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omments9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riggs010\Dev\jimbrig\"/>
    </mc:Choice>
  </mc:AlternateContent>
  <xr:revisionPtr revIDLastSave="0" documentId="13_ncr:1_{0C99AEC7-8EE1-42C1-9751-4526154B4DAB}" xr6:coauthVersionLast="46" xr6:coauthVersionMax="46" xr10:uidLastSave="{00000000-0000-0000-0000-000000000000}"/>
  <bookViews>
    <workbookView xWindow="-120" yWindow="-120" windowWidth="29040" windowHeight="15990" tabRatio="855" firstSheet="49" activeTab="66" xr2:uid="{00000000-000D-0000-FFFF-FFFF00000000}"/>
  </bookViews>
  <sheets>
    <sheet name="Index" sheetId="1" r:id="rId1"/>
    <sheet name="Intro" sheetId="2" r:id="rId2"/>
    <sheet name="Tbls for Txt" sheetId="72" r:id="rId3"/>
    <sheet name="Unpaid Reconciliation" sheetId="79" r:id="rId4"/>
    <sheet name="e1.1A" sheetId="78" r:id="rId5"/>
    <sheet name="e1.1B" sheetId="31" r:id="rId6"/>
    <sheet name="e1.2A" sheetId="75" r:id="rId7"/>
    <sheet name="e1.2B" sheetId="76" r:id="rId8"/>
    <sheet name="e1.3A" sheetId="32" r:id="rId9"/>
    <sheet name="e1.3B" sheetId="33" r:id="rId10"/>
    <sheet name="e1.4" sheetId="36" r:id="rId11"/>
    <sheet name="e2.1" sheetId="37" r:id="rId12"/>
    <sheet name="e2.2" sheetId="38" r:id="rId13"/>
    <sheet name="e2.3" sheetId="39" r:id="rId14"/>
    <sheet name="e3.1A" sheetId="40" r:id="rId15"/>
    <sheet name="e3.1B" sheetId="41" r:id="rId16"/>
    <sheet name="e3.1C" sheetId="42" r:id="rId17"/>
    <sheet name="e3.2A" sheetId="43" r:id="rId18"/>
    <sheet name="e3.2B" sheetId="44" r:id="rId19"/>
    <sheet name="e3.2C" sheetId="45" r:id="rId20"/>
    <sheet name="e3.3A" sheetId="46" r:id="rId21"/>
    <sheet name="e3.3B" sheetId="47" r:id="rId22"/>
    <sheet name="e3.3C" sheetId="48" r:id="rId23"/>
    <sheet name="e3.4A" sheetId="49" r:id="rId24"/>
    <sheet name="e3.4B" sheetId="50" r:id="rId25"/>
    <sheet name="e3.4C" sheetId="51" r:id="rId26"/>
    <sheet name="e3.5A" sheetId="52" r:id="rId27"/>
    <sheet name="e3.5B" sheetId="53" r:id="rId28"/>
    <sheet name="e3.5C" sheetId="54" r:id="rId29"/>
    <sheet name="e4.1" sheetId="55" r:id="rId30"/>
    <sheet name="e4.2" sheetId="56" r:id="rId31"/>
    <sheet name="e4.3" sheetId="57" r:id="rId32"/>
    <sheet name="e4.4" sheetId="58" r:id="rId33"/>
    <sheet name="e4.5" sheetId="59" r:id="rId34"/>
    <sheet name="e4.6" sheetId="60" r:id="rId35"/>
    <sheet name="e5.1" sheetId="61" r:id="rId36"/>
    <sheet name="e5.2" sheetId="62" r:id="rId37"/>
    <sheet name="e5.3" sheetId="63" r:id="rId38"/>
    <sheet name="e5.4" sheetId="64" r:id="rId39"/>
    <sheet name="e6.1" sheetId="65" r:id="rId40"/>
    <sheet name="e6.2" sheetId="66" r:id="rId41"/>
    <sheet name="e7" sheetId="3" r:id="rId42"/>
    <sheet name="e8.1" sheetId="5" r:id="rId43"/>
    <sheet name="e8.2" sheetId="6" r:id="rId44"/>
    <sheet name="e8.3" sheetId="7" r:id="rId45"/>
    <sheet name="e8.4" sheetId="8" r:id="rId46"/>
    <sheet name="e8.5" sheetId="9" r:id="rId47"/>
    <sheet name="e8.6" sheetId="10" r:id="rId48"/>
    <sheet name="e8.7" sheetId="11" r:id="rId49"/>
    <sheet name="e8.8" sheetId="12" r:id="rId50"/>
    <sheet name="e8.9" sheetId="13" r:id="rId51"/>
    <sheet name="e8.10" sheetId="14" r:id="rId52"/>
    <sheet name="e8.11" sheetId="15" r:id="rId53"/>
    <sheet name="e9.1" sheetId="19" r:id="rId54"/>
    <sheet name="e9.2" sheetId="20" r:id="rId55"/>
    <sheet name="e9.3" sheetId="21" r:id="rId56"/>
    <sheet name="e9.4" sheetId="22" r:id="rId57"/>
    <sheet name="e9.5" sheetId="23" r:id="rId58"/>
    <sheet name="e9.6" sheetId="24" r:id="rId59"/>
    <sheet name="e9.7" sheetId="25" r:id="rId60"/>
    <sheet name="e9.8" sheetId="26" r:id="rId61"/>
    <sheet name="e9.9" sheetId="27" r:id="rId62"/>
    <sheet name="e10.1" sheetId="29" r:id="rId63"/>
    <sheet name="e10.2" sheetId="30" r:id="rId64"/>
    <sheet name="DNP -&gt;" sheetId="16" r:id="rId65"/>
    <sheet name="Trend" sheetId="80" r:id="rId66"/>
    <sheet name="LDF" sheetId="28" r:id="rId67"/>
    <sheet name="XS LDF" sheetId="69" r:id="rId68"/>
    <sheet name="Industry LDF" sheetId="17" r:id="rId69"/>
    <sheet name="Prior LDF" sheetId="18" r:id="rId70"/>
    <sheet name="Disc" sheetId="70" r:id="rId71"/>
    <sheet name="Agg Disc" sheetId="71" r:id="rId72"/>
    <sheet name="Agg Disc Roll" sheetId="77" r:id="rId73"/>
  </sheets>
  <externalReferences>
    <externalReference r:id="rId74"/>
  </externalReferences>
  <definedNames>
    <definedName name="_xlnm._FilterDatabase" localSheetId="70">Disc!$L$3:$U$144</definedName>
    <definedName name="ages">Intro!$S$18:$AC$42</definedName>
    <definedName name="CFooter">Index!$L$2:$L$74</definedName>
    <definedName name="client">Intro!$C$1</definedName>
    <definedName name="cov">Intro!$C$3</definedName>
    <definedName name="cpy">Intro!$E$47</definedName>
    <definedName name="cpy_l">Intro!$D$48</definedName>
    <definedName name="cpy_s">Intro!$D$47</definedName>
    <definedName name="ctxt">Intro!$D$8</definedName>
    <definedName name="ctxt_l">Intro!$E$8</definedName>
    <definedName name="curr">Intro!$C$8</definedName>
    <definedName name="curr_to_roll">Intro!$F$12</definedName>
    <definedName name="curr_to_roll_l">Intro!$G$12</definedName>
    <definedName name="cutoff">LDF!$W$145</definedName>
    <definedName name="disc_rate">'e9.1'!$E$11</definedName>
    <definedName name="disc_rt_txt">'e9.1'!$N$11</definedName>
    <definedName name="disccols">Disc!$L$3:$U$3</definedName>
    <definedName name="discs">Disc!$L$4:$U$144</definedName>
    <definedName name="div">Intro!$C$4</definedName>
    <definedName name="ExNums">Index!$A$2:$O$74</definedName>
    <definedName name="HFfont">Index!$N$2:$N$74</definedName>
    <definedName name="index_lkups">Index!$Q$5:$T$65</definedName>
    <definedName name="indldfs">'Industry LDF'!$A$6:$M$28</definedName>
    <definedName name="indrels">'Industry LDF'!$O$6:$Q$28</definedName>
    <definedName name="lctrnd_250k">Trend!$V$41</definedName>
    <definedName name="lctrnd_350k">Trend!$W$41</definedName>
    <definedName name="lctrnd_500k">Trend!$X$41</definedName>
    <definedName name="lctrnd_750k">Trend!$Y$41</definedName>
    <definedName name="lctrnd_unl">Trend!$Z$41</definedName>
    <definedName name="ldf_ages">LDF!$W$5:$W$145</definedName>
    <definedName name="ldf_ret">LDF!$X$4:$AH$4</definedName>
    <definedName name="ldf_type">LDF!$X$3:$AH$3</definedName>
    <definedName name="ldfs">LDF!$X$5:$AH$145</definedName>
    <definedName name="LFooter">Index!$K$2:$K$74</definedName>
    <definedName name="LH_1">Index!$G$2:$G$74</definedName>
    <definedName name="LH_2">Index!$H$2:$H$74</definedName>
    <definedName name="LH_3">Index!$I$2:$I$74</definedName>
    <definedName name="LH_4">Index!$J$2:$J$74</definedName>
    <definedName name="ltfreq_trnd">Trend!$E$41</definedName>
    <definedName name="na">Intro!$T$6</definedName>
    <definedName name="old">Intro!$C$7</definedName>
    <definedName name="OptionalTabName">Index!$O$2:$O$74</definedName>
    <definedName name="otxt">Intro!$D$7</definedName>
    <definedName name="otxt_l">Intro!$E$7</definedName>
    <definedName name="pr">Intro!$C$10</definedName>
    <definedName name="pr_2">Intro!$C$11</definedName>
    <definedName name="pr_to_curr">Intro!$F$10</definedName>
    <definedName name="pr_to_curr_2">Intro!$F$11</definedName>
    <definedName name="pr_to_curr_l">Intro!$G$10</definedName>
    <definedName name="pr_to_curr_l_2">Intro!$G$11</definedName>
    <definedName name="Print">Index!$B$2:$B$74</definedName>
    <definedName name="_xlnm.Print_Area" localSheetId="4">'e1.1A'!$A$2:$H$46</definedName>
    <definedName name="_xlnm.Print_Area" localSheetId="5">'e1.1B'!$A$2:$H$46</definedName>
    <definedName name="_xlnm.Print_Area" localSheetId="6">'e1.2A'!$A$2:$O$56</definedName>
    <definedName name="_xlnm.Print_Area" localSheetId="7">'e1.2B'!$A$2:$O$55</definedName>
    <definedName name="_xlnm.Print_Area" localSheetId="8">'e1.3A'!$A$2:$X$55</definedName>
    <definedName name="_xlnm.Print_Area" localSheetId="9">'e1.3B'!$A$2:$R$55</definedName>
    <definedName name="_xlnm.Print_Area" localSheetId="10">'e1.4'!$A$2:$H$47</definedName>
    <definedName name="_xlnm.Print_Area" localSheetId="62">'e10.1'!$A$2:$U$88</definedName>
    <definedName name="_xlnm.Print_Area" localSheetId="63">'e10.2'!$A$2:$U$88</definedName>
    <definedName name="_xlnm.Print_Area" localSheetId="11">'e2.1'!$A$2:$W$54</definedName>
    <definedName name="_xlnm.Print_Area" localSheetId="12">'e2.2'!$A$2:$W$54</definedName>
    <definedName name="_xlnm.Print_Area" localSheetId="13">'e2.3'!$A$2:$W$54</definedName>
    <definedName name="_xlnm.Print_Area" localSheetId="14">'e3.1A'!$A$2:$M$122</definedName>
    <definedName name="_xlnm.Print_Area" localSheetId="15">'e3.1B'!$A$2:$M$86</definedName>
    <definedName name="_xlnm.Print_Area" localSheetId="16">'e3.1C'!$A$2:$M$52</definedName>
    <definedName name="_xlnm.Print_Area" localSheetId="17">'e3.2A'!$A$2:$M$122</definedName>
    <definedName name="_xlnm.Print_Area" localSheetId="18">'e3.2B'!$A$2:$M$86</definedName>
    <definedName name="_xlnm.Print_Area" localSheetId="19">'e3.2C'!$A$2:$M$50</definedName>
    <definedName name="_xlnm.Print_Area" localSheetId="20">'e3.3A'!$A$2:$M$51</definedName>
    <definedName name="_xlnm.Print_Area" localSheetId="21">'e3.3B'!$A$2:$M$51</definedName>
    <definedName name="_xlnm.Print_Area" localSheetId="22">'e3.3C'!$A$2:$M$51</definedName>
    <definedName name="_xlnm.Print_Area" localSheetId="23">'e3.4A'!$A$2:$M$51</definedName>
    <definedName name="_xlnm.Print_Area" localSheetId="24">'e3.4B'!$A$2:$M$51</definedName>
    <definedName name="_xlnm.Print_Area" localSheetId="25">'e3.4C'!$A$2:$M$51</definedName>
    <definedName name="_xlnm.Print_Area" localSheetId="26">'e3.5A'!$A$2:$O$51</definedName>
    <definedName name="_xlnm.Print_Area" localSheetId="27">'e3.5B'!$A$2:$O$51</definedName>
    <definedName name="_xlnm.Print_Area" localSheetId="28">'e3.5C'!$A$2:$O$51</definedName>
    <definedName name="_xlnm.Print_Area" localSheetId="29">'e4.1'!$A$2:$J$101</definedName>
    <definedName name="_xlnm.Print_Area" localSheetId="30">'e4.2'!$A$2:$S$77</definedName>
    <definedName name="_xlnm.Print_Area" localSheetId="31">'e4.3'!$A$2:$O$62</definedName>
    <definedName name="_xlnm.Print_Area" localSheetId="32">'e4.4'!$A$2:$O$62</definedName>
    <definedName name="_xlnm.Print_Area" localSheetId="33">'e4.5'!$A$2:$O$62</definedName>
    <definedName name="_xlnm.Print_Area" localSheetId="34">'e4.6'!$A$2:$O$62</definedName>
    <definedName name="_xlnm.Print_Area" localSheetId="35">'e5.1'!$A$2:$Q$58</definedName>
    <definedName name="_xlnm.Print_Area" localSheetId="36">'e5.2'!$A$2:$Q$58</definedName>
    <definedName name="_xlnm.Print_Area" localSheetId="37">'e5.3'!$A$2:$Q$58</definedName>
    <definedName name="_xlnm.Print_Area" localSheetId="38">'e5.4'!$A$2:$Q$58</definedName>
    <definedName name="_xlnm.Print_Area" localSheetId="39">'e6.1'!$A$2:$M$43</definedName>
    <definedName name="_xlnm.Print_Area" localSheetId="40">'e6.2'!$A$2:$Q$55</definedName>
    <definedName name="_xlnm.Print_Area" localSheetId="41">'e7'!$A$2:$Y$82</definedName>
    <definedName name="_xlnm.Print_Area" localSheetId="42">'e8.1'!$A$2:$S$70</definedName>
    <definedName name="_xlnm.Print_Area" localSheetId="51">'e8.10'!$A$2:$N$47</definedName>
    <definedName name="_xlnm.Print_Area" localSheetId="52">'e8.11'!$A$2:$N$29</definedName>
    <definedName name="_xlnm.Print_Area" localSheetId="43">'e8.2'!$A$2:$S$70</definedName>
    <definedName name="_xlnm.Print_Area" localSheetId="44">'e8.3'!$A$2:$S$70</definedName>
    <definedName name="_xlnm.Print_Area" localSheetId="45">'e8.4'!$A$2:$S$70</definedName>
    <definedName name="_xlnm.Print_Area" localSheetId="46">'e8.5'!$A$2:$S$70</definedName>
    <definedName name="_xlnm.Print_Area" localSheetId="47">'e8.6'!$A$2:$S$70</definedName>
    <definedName name="_xlnm.Print_Area" localSheetId="48">'e8.7'!$A$2:$S$70</definedName>
    <definedName name="_xlnm.Print_Area" localSheetId="49">'e8.8'!$A$2:$S$70</definedName>
    <definedName name="_xlnm.Print_Area" localSheetId="50">'e8.9'!$A$2:$N$58</definedName>
    <definedName name="_xlnm.Print_Area" localSheetId="53">'e9.1'!$A$2:$M$49</definedName>
    <definedName name="_xlnm.Print_Area" localSheetId="54">'e9.2'!$A$2:$M$49</definedName>
    <definedName name="_xlnm.Print_Area" localSheetId="55">'e9.3'!$A$2:$M$49</definedName>
    <definedName name="_xlnm.Print_Area" localSheetId="56">'e9.4'!$A$2:$M$49</definedName>
    <definedName name="_xlnm.Print_Area" localSheetId="57">'e9.5'!$A$2:$M$49</definedName>
    <definedName name="_xlnm.Print_Area" localSheetId="58">'e9.6'!$A$2:$M$49</definedName>
    <definedName name="_xlnm.Print_Area" localSheetId="59">'e9.7'!$A$2:$M$49</definedName>
    <definedName name="_xlnm.Print_Area" localSheetId="60">'e9.8'!$A$2:$M$49</definedName>
    <definedName name="_xlnm.Print_Area" localSheetId="61">'e9.9'!$A$2:$M$50</definedName>
    <definedName name="_xlnm.Print_Area" localSheetId="3">'Unpaid Reconciliation'!$A$2:$C$37</definedName>
    <definedName name="prldf_ages">'Prior LDF'!$A$7:$A$127</definedName>
    <definedName name="prldf_cutoff">'Prior LDF'!$A$127</definedName>
    <definedName name="prldf_ret">'Prior LDF'!$B$6:$L$6</definedName>
    <definedName name="prldf_type">'Prior LDF'!$B$5:$L$5</definedName>
    <definedName name="prldfs">'Prior LDF'!$B$7:$L$127</definedName>
    <definedName name="proj_py">Intro!$D$52</definedName>
    <definedName name="prxsldf_ret">'Prior LDF'!$M$6:$T$6</definedName>
    <definedName name="prxsldf_type">'Prior LDF'!$M$5:$T$5</definedName>
    <definedName name="prxsldfs">'Prior LDF'!$M$7:$T$127</definedName>
    <definedName name="ptxt">Intro!$D$10</definedName>
    <definedName name="ptxt_2">Intro!$D$11</definedName>
    <definedName name="ptxt_l">Intro!$E$10</definedName>
    <definedName name="ptxt_l_2">Intro!$E$11</definedName>
    <definedName name="RFooter">Index!$M$2:$M$74</definedName>
    <definedName name="RH_1">Index!$C$2:$C$74</definedName>
    <definedName name="RH_2">Index!$D$2:$D$74</definedName>
    <definedName name="RH_3">Index!$E$2:$E$74</definedName>
    <definedName name="RH_4">Index!$F$2:$F$74</definedName>
    <definedName name="roll">Intro!$C$12</definedName>
    <definedName name="roll_to_roll">Intro!$F$13</definedName>
    <definedName name="roll_to_roll_l">Intro!$G$13</definedName>
    <definedName name="rtxt">Intro!$D$12</definedName>
    <definedName name="rtxt_l">Intro!$E$12</definedName>
    <definedName name="sevtrnd_250k">Trend!$I$41</definedName>
    <definedName name="sevtrnd_350k">Trend!$J$41</definedName>
    <definedName name="sevtrnd_500k">Trend!$K$41</definedName>
    <definedName name="sevtrnd_unl">Trend!$L$41</definedName>
    <definedName name="SheetList">Index!$A$2:$A$74</definedName>
    <definedName name="tctxt">Intro!$D$9</definedName>
    <definedName name="tctxt_l">Intro!$E$9</definedName>
    <definedName name="tcurr">Intro!$C$9</definedName>
    <definedName name="tit">Intro!$C$2</definedName>
    <definedName name="trend_prior">Intro!$T$47</definedName>
    <definedName name="utilo.version" hidden="1">3</definedName>
    <definedName name="xsldf_ret">LDF!$AI$4:$AP$4</definedName>
    <definedName name="xsldf_type">LDF!$AI$3:$AP$3</definedName>
    <definedName name="xsldfs">LDF!$AI$5:$AP$145</definedName>
  </definedNames>
  <calcPr calcId="181029"/>
</workbook>
</file>

<file path=xl/calcChain.xml><?xml version="1.0" encoding="utf-8"?>
<calcChain xmlns="http://schemas.openxmlformats.org/spreadsheetml/2006/main">
  <c r="AU18" i="28" l="1"/>
  <c r="AU19" i="28"/>
  <c r="AU20" i="28"/>
  <c r="AU21" i="28"/>
  <c r="AU17" i="28"/>
  <c r="AU16" i="28"/>
  <c r="AU22" i="28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S1" i="28"/>
  <c r="AT1" i="28" s="1"/>
  <c r="X2" i="28"/>
  <c r="Y2" i="28"/>
  <c r="Z2" i="28" s="1"/>
  <c r="AA2" i="28" s="1"/>
  <c r="AB2" i="28" s="1"/>
  <c r="AC2" i="28"/>
  <c r="AD2" i="28" s="1"/>
  <c r="AE2" i="28" s="1"/>
  <c r="AF2" i="28" s="1"/>
  <c r="AG2" i="28" s="1"/>
  <c r="AH2" i="28" s="1"/>
  <c r="AI2" i="28" s="1"/>
  <c r="AJ2" i="28" s="1"/>
  <c r="AK2" i="28" s="1"/>
  <c r="AL2" i="28" s="1"/>
  <c r="AM2" i="28" s="1"/>
  <c r="AN2" i="28" s="1"/>
  <c r="AO2" i="28" s="1"/>
  <c r="AP2" i="28" s="1"/>
  <c r="A5" i="28"/>
  <c r="W5" i="28"/>
  <c r="A6" i="28"/>
  <c r="A7" i="28" s="1"/>
  <c r="A8" i="28" s="1"/>
  <c r="A9" i="28" s="1"/>
  <c r="A10" i="28" s="1"/>
  <c r="A11" i="28" s="1"/>
  <c r="A12" i="28" s="1"/>
  <c r="A13" i="28" s="1"/>
  <c r="V6" i="28"/>
  <c r="A14" i="28"/>
  <c r="A15" i="28" s="1"/>
  <c r="A16" i="28" s="1"/>
  <c r="W6" i="28" l="1"/>
  <c r="A17" i="28"/>
  <c r="V7" i="28" l="1"/>
  <c r="A18" i="28"/>
  <c r="W7" i="28" l="1"/>
  <c r="A19" i="28"/>
  <c r="V8" i="28" l="1"/>
  <c r="A20" i="28"/>
  <c r="W8" i="28" l="1"/>
  <c r="A21" i="28"/>
  <c r="V9" i="28" l="1"/>
  <c r="A22" i="28"/>
  <c r="W9" i="28" l="1"/>
  <c r="A23" i="28"/>
  <c r="V10" i="28" l="1"/>
  <c r="A24" i="28"/>
  <c r="W10" i="28" l="1"/>
  <c r="A25" i="28"/>
  <c r="V11" i="28" l="1"/>
  <c r="A26" i="28"/>
  <c r="W11" i="28" l="1"/>
  <c r="A27" i="28"/>
  <c r="V12" i="28" l="1"/>
  <c r="W12" i="28" l="1"/>
  <c r="V13" i="28" l="1"/>
  <c r="W13" i="28" l="1"/>
  <c r="V14" i="28" l="1"/>
  <c r="W14" i="28" l="1"/>
  <c r="V15" i="28" l="1"/>
  <c r="W15" i="28" l="1"/>
  <c r="V16" i="28" l="1"/>
  <c r="W16" i="28" l="1"/>
  <c r="V17" i="28" s="1"/>
  <c r="W17" i="28" s="1"/>
  <c r="V18" i="28" s="1"/>
  <c r="W18" i="28" s="1"/>
  <c r="V19" i="28" s="1"/>
  <c r="W19" i="28" s="1"/>
  <c r="V20" i="28" s="1"/>
  <c r="W20" i="28" s="1"/>
  <c r="V21" i="28" s="1"/>
  <c r="W21" i="28" s="1"/>
  <c r="V22" i="28" s="1"/>
  <c r="W22" i="28" s="1"/>
  <c r="V23" i="28" s="1"/>
  <c r="W23" i="28" s="1"/>
  <c r="V24" i="28" s="1"/>
  <c r="W24" i="28" s="1"/>
  <c r="V25" i="28" s="1"/>
  <c r="W25" i="28" s="1"/>
  <c r="V26" i="28" s="1"/>
  <c r="W26" i="28" s="1"/>
  <c r="V27" i="28" s="1"/>
  <c r="W27" i="28" s="1"/>
  <c r="V28" i="28" s="1"/>
  <c r="W28" i="28" s="1"/>
  <c r="V29" i="28" s="1"/>
  <c r="W29" i="28" l="1"/>
  <c r="V30" i="28" s="1"/>
  <c r="W30" i="28" s="1"/>
  <c r="V31" i="28" s="1"/>
  <c r="W31" i="28" l="1"/>
  <c r="V32" i="28" s="1"/>
  <c r="W32" i="28" s="1"/>
  <c r="V33" i="28" s="1"/>
  <c r="W33" i="28" l="1"/>
  <c r="V34" i="28" s="1"/>
  <c r="W34" i="28" s="1"/>
  <c r="V35" i="28" s="1"/>
  <c r="W35" i="28" l="1"/>
  <c r="V36" i="28" s="1"/>
  <c r="W36" i="28" s="1"/>
  <c r="V37" i="28" s="1"/>
  <c r="W37" i="28" l="1"/>
  <c r="V38" i="28" s="1"/>
  <c r="W38" i="28" l="1"/>
  <c r="V39" i="28" s="1"/>
  <c r="W39" i="28" l="1"/>
  <c r="V40" i="28" s="1"/>
  <c r="W40" i="28" s="1"/>
  <c r="V41" i="28" s="1"/>
  <c r="W41" i="28" l="1"/>
  <c r="V42" i="28" s="1"/>
  <c r="W42" i="28" l="1"/>
  <c r="V43" i="28" s="1"/>
  <c r="W43" i="28" l="1"/>
  <c r="V44" i="28" s="1"/>
  <c r="W44" i="28" s="1"/>
  <c r="V45" i="28" s="1"/>
  <c r="W45" i="28" l="1"/>
  <c r="V46" i="28" s="1"/>
  <c r="W46" i="28" l="1"/>
  <c r="V47" i="28" s="1"/>
  <c r="W47" i="28" s="1"/>
  <c r="V48" i="28" s="1"/>
  <c r="W48" i="28" l="1"/>
  <c r="V49" i="28" s="1"/>
  <c r="W49" i="28" s="1"/>
  <c r="V50" i="28" s="1"/>
  <c r="W50" i="28" l="1"/>
  <c r="V51" i="28" s="1"/>
  <c r="W51" i="28" s="1"/>
  <c r="V52" i="28" s="1"/>
  <c r="W52" i="28" s="1"/>
  <c r="V53" i="28" s="1"/>
  <c r="W53" i="28" s="1"/>
  <c r="V54" i="28" s="1"/>
  <c r="W54" i="28" s="1"/>
  <c r="V55" i="28" s="1"/>
  <c r="W55" i="28" s="1"/>
  <c r="V56" i="28" s="1"/>
  <c r="W56" i="28" s="1"/>
  <c r="V57" i="28" s="1"/>
  <c r="W57" i="28" s="1"/>
  <c r="V58" i="28" s="1"/>
  <c r="W58" i="28" s="1"/>
  <c r="V59" i="28" s="1"/>
  <c r="W59" i="28" s="1"/>
  <c r="V60" i="28" s="1"/>
  <c r="W60" i="28" s="1"/>
  <c r="V61" i="28" s="1"/>
  <c r="W61" i="28" s="1"/>
  <c r="V62" i="28" s="1"/>
  <c r="W62" i="28" s="1"/>
  <c r="V63" i="28" s="1"/>
  <c r="W63" i="28" s="1"/>
  <c r="V64" i="28" s="1"/>
  <c r="W64" i="28" s="1"/>
  <c r="V65" i="28" s="1"/>
  <c r="W65" i="28" s="1"/>
  <c r="V66" i="28" s="1"/>
  <c r="W66" i="28" s="1"/>
  <c r="V67" i="28" s="1"/>
  <c r="W67" i="28" s="1"/>
  <c r="V68" i="28" s="1"/>
  <c r="W68" i="28" s="1"/>
  <c r="V69" i="28" s="1"/>
  <c r="W69" i="28" s="1"/>
  <c r="V70" i="28" s="1"/>
  <c r="W70" i="28" s="1"/>
  <c r="V71" i="28" s="1"/>
  <c r="W71" i="28" s="1"/>
  <c r="V72" i="28" s="1"/>
  <c r="W72" i="28" s="1"/>
  <c r="V73" i="28" s="1"/>
  <c r="W73" i="28" s="1"/>
  <c r="V74" i="28" s="1"/>
  <c r="W74" i="28" s="1"/>
  <c r="V75" i="28" s="1"/>
  <c r="W75" i="28" s="1"/>
  <c r="V76" i="28" s="1"/>
  <c r="W76" i="28" s="1"/>
  <c r="V77" i="28" s="1"/>
  <c r="W77" i="28" s="1"/>
  <c r="V78" i="28" s="1"/>
  <c r="W78" i="28" s="1"/>
  <c r="V79" i="28" s="1"/>
  <c r="W79" i="28" s="1"/>
  <c r="V80" i="28" s="1"/>
  <c r="W80" i="28" s="1"/>
  <c r="V81" i="28" s="1"/>
  <c r="W81" i="28" s="1"/>
  <c r="V82" i="28" s="1"/>
  <c r="W82" i="28" s="1"/>
  <c r="V83" i="28" s="1"/>
  <c r="W83" i="28" s="1"/>
  <c r="V84" i="28" s="1"/>
  <c r="W84" i="28" s="1"/>
  <c r="V85" i="28" s="1"/>
  <c r="W85" i="28" s="1"/>
  <c r="V86" i="28" s="1"/>
  <c r="W86" i="28" s="1"/>
  <c r="V87" i="28" s="1"/>
  <c r="W87" i="28" s="1"/>
  <c r="V88" i="28" s="1"/>
  <c r="W88" i="28" s="1"/>
  <c r="V89" i="28" s="1"/>
  <c r="W89" i="28" s="1"/>
  <c r="V90" i="28" s="1"/>
  <c r="W90" i="28" s="1"/>
  <c r="V91" i="28" s="1"/>
  <c r="W91" i="28" s="1"/>
  <c r="V92" i="28" s="1"/>
  <c r="W92" i="28" s="1"/>
  <c r="V93" i="28" s="1"/>
  <c r="W93" i="28" s="1"/>
  <c r="V94" i="28" s="1"/>
  <c r="W94" i="28" s="1"/>
  <c r="V95" i="28" s="1"/>
  <c r="W95" i="28" s="1"/>
  <c r="V96" i="28" s="1"/>
  <c r="W96" i="28" s="1"/>
  <c r="V97" i="28" s="1"/>
  <c r="W97" i="28" s="1"/>
  <c r="V98" i="28" s="1"/>
  <c r="W98" i="28" s="1"/>
  <c r="V99" i="28" s="1"/>
  <c r="W99" i="28" s="1"/>
  <c r="V100" i="28" s="1"/>
  <c r="W100" i="28" s="1"/>
  <c r="V101" i="28" s="1"/>
  <c r="W101" i="28" s="1"/>
  <c r="V102" i="28" s="1"/>
  <c r="W102" i="28" s="1"/>
  <c r="V103" i="28" s="1"/>
  <c r="W103" i="28" s="1"/>
  <c r="V104" i="28" s="1"/>
  <c r="W104" i="28" s="1"/>
  <c r="V105" i="28" s="1"/>
  <c r="W105" i="28" s="1"/>
  <c r="V106" i="28" s="1"/>
  <c r="W106" i="28" s="1"/>
  <c r="V107" i="28" s="1"/>
  <c r="W107" i="28" s="1"/>
  <c r="V108" i="28" s="1"/>
  <c r="W108" i="28" s="1"/>
  <c r="V109" i="28" s="1"/>
  <c r="W109" i="28" s="1"/>
  <c r="V110" i="28" s="1"/>
  <c r="W110" i="28" s="1"/>
  <c r="V111" i="28" s="1"/>
  <c r="W111" i="28" s="1"/>
  <c r="V112" i="28" s="1"/>
  <c r="W112" i="28" s="1"/>
  <c r="V113" i="28" s="1"/>
  <c r="W113" i="28" s="1"/>
  <c r="V114" i="28" s="1"/>
  <c r="W114" i="28" s="1"/>
  <c r="V115" i="28" s="1"/>
  <c r="W115" i="28" s="1"/>
  <c r="V116" i="28" s="1"/>
  <c r="W116" i="28" s="1"/>
  <c r="V117" i="28" s="1"/>
  <c r="W117" i="28" s="1"/>
  <c r="V118" i="28" s="1"/>
  <c r="W118" i="28" s="1"/>
  <c r="V119" i="28" s="1"/>
  <c r="W119" i="28" s="1"/>
  <c r="V120" i="28" s="1"/>
  <c r="W120" i="28" s="1"/>
  <c r="V121" i="28" s="1"/>
  <c r="W121" i="28" s="1"/>
  <c r="V122" i="28" s="1"/>
  <c r="W122" i="28" s="1"/>
  <c r="V123" i="28" s="1"/>
  <c r="W123" i="28" s="1"/>
  <c r="V124" i="28" s="1"/>
  <c r="W124" i="28" s="1"/>
  <c r="V125" i="28" s="1"/>
  <c r="W125" i="28" s="1"/>
  <c r="V126" i="28" s="1"/>
  <c r="W126" i="28" s="1"/>
  <c r="V127" i="28" s="1"/>
  <c r="W127" i="28" s="1"/>
  <c r="V128" i="28" s="1"/>
  <c r="W128" i="28" s="1"/>
  <c r="V129" i="28" s="1"/>
  <c r="W129" i="28" s="1"/>
  <c r="V130" i="28" s="1"/>
  <c r="W130" i="28" s="1"/>
  <c r="V131" i="28" s="1"/>
  <c r="W131" i="28" s="1"/>
  <c r="V132" i="28" s="1"/>
  <c r="W132" i="28" s="1"/>
  <c r="V133" i="28" s="1"/>
  <c r="W133" i="28" s="1"/>
  <c r="V134" i="28" s="1"/>
  <c r="W134" i="28" s="1"/>
  <c r="V135" i="28" s="1"/>
  <c r="W135" i="28" s="1"/>
  <c r="V136" i="28" s="1"/>
  <c r="W136" i="28" s="1"/>
  <c r="V137" i="28" s="1"/>
  <c r="W137" i="28" s="1"/>
  <c r="V138" i="28" s="1"/>
  <c r="W138" i="28" s="1"/>
  <c r="V139" i="28" s="1"/>
  <c r="W139" i="28" s="1"/>
  <c r="V140" i="28" s="1"/>
  <c r="W140" i="28" s="1"/>
  <c r="V141" i="28" s="1"/>
  <c r="W141" i="28" s="1"/>
  <c r="V142" i="28" s="1"/>
  <c r="W142" i="28" s="1"/>
  <c r="V143" i="28" s="1"/>
  <c r="W143" i="28" s="1"/>
  <c r="V144" i="28" s="1"/>
  <c r="W144" i="28" s="1"/>
  <c r="V145" i="28" s="1"/>
  <c r="W145" i="28" s="1"/>
  <c r="B29" i="80" l="1"/>
  <c r="A1" i="65"/>
  <c r="A41" i="38" l="1"/>
  <c r="A56" i="13"/>
  <c r="A7" i="30"/>
  <c r="B25" i="79" l="1"/>
  <c r="B21" i="79"/>
  <c r="B13" i="79"/>
  <c r="S42" i="75" l="1"/>
  <c r="A40" i="75" l="1"/>
  <c r="A61" i="60"/>
  <c r="Z46" i="80"/>
  <c r="E17" i="60" l="1"/>
  <c r="E39" i="57" l="1"/>
  <c r="E39" i="58"/>
  <c r="E39" i="60"/>
  <c r="E39" i="59"/>
  <c r="E36" i="57"/>
  <c r="E36" i="59"/>
  <c r="E36" i="58"/>
  <c r="E36" i="60"/>
  <c r="E25" i="60"/>
  <c r="E25" i="58"/>
  <c r="E25" i="59"/>
  <c r="E25" i="57"/>
  <c r="E33" i="60"/>
  <c r="E33" i="58"/>
  <c r="E33" i="59"/>
  <c r="E33" i="57"/>
  <c r="E35" i="57"/>
  <c r="E35" i="59"/>
  <c r="E35" i="60"/>
  <c r="E35" i="58"/>
  <c r="E26" i="58"/>
  <c r="E26" i="60"/>
  <c r="E26" i="57"/>
  <c r="E26" i="59"/>
  <c r="E31" i="60"/>
  <c r="E31" i="57"/>
  <c r="E31" i="59"/>
  <c r="E31" i="58"/>
  <c r="E28" i="57"/>
  <c r="E28" i="59"/>
  <c r="E28" i="58"/>
  <c r="E28" i="60"/>
  <c r="E21" i="60"/>
  <c r="E21" i="58"/>
  <c r="E21" i="57"/>
  <c r="E21" i="59"/>
  <c r="E23" i="57"/>
  <c r="E23" i="59"/>
  <c r="E23" i="60"/>
  <c r="E23" i="58"/>
  <c r="E20" i="57"/>
  <c r="E20" i="59"/>
  <c r="E20" i="58"/>
  <c r="E20" i="60"/>
  <c r="E27" i="57"/>
  <c r="E27" i="59"/>
  <c r="E27" i="60"/>
  <c r="E27" i="58"/>
  <c r="E22" i="58"/>
  <c r="E22" i="59"/>
  <c r="E22" i="60"/>
  <c r="E22" i="57"/>
  <c r="E32" i="57"/>
  <c r="E32" i="59"/>
  <c r="E32" i="58"/>
  <c r="E32" i="60"/>
  <c r="E29" i="60"/>
  <c r="E29" i="58"/>
  <c r="E29" i="57"/>
  <c r="E29" i="59"/>
  <c r="E18" i="58"/>
  <c r="E18" i="57"/>
  <c r="E18" i="60"/>
  <c r="E18" i="59"/>
  <c r="E34" i="58"/>
  <c r="E34" i="60"/>
  <c r="E34" i="57"/>
  <c r="E34" i="59"/>
  <c r="E19" i="60"/>
  <c r="E19" i="57"/>
  <c r="E19" i="59"/>
  <c r="E19" i="58"/>
  <c r="E37" i="60"/>
  <c r="E37" i="58"/>
  <c r="E37" i="57"/>
  <c r="E37" i="59"/>
  <c r="E30" i="58"/>
  <c r="E30" i="60"/>
  <c r="E30" i="57"/>
  <c r="E30" i="59"/>
  <c r="E38" i="58"/>
  <c r="E38" i="60"/>
  <c r="E38" i="57"/>
  <c r="E38" i="59"/>
  <c r="E24" i="57"/>
  <c r="E24" i="59"/>
  <c r="E24" i="58"/>
  <c r="E24" i="60"/>
  <c r="G39" i="57" l="1"/>
  <c r="G39" i="59"/>
  <c r="K41" i="44"/>
  <c r="G39" i="58"/>
  <c r="K42" i="42"/>
  <c r="I32" i="66"/>
  <c r="K41" i="43"/>
  <c r="K42" i="45"/>
  <c r="K41" i="41"/>
  <c r="O38" i="56"/>
  <c r="G39" i="60"/>
  <c r="H42" i="2"/>
  <c r="C42" i="42"/>
  <c r="C42" i="45"/>
  <c r="C39" i="3"/>
  <c r="C77" i="41"/>
  <c r="C77" i="44"/>
  <c r="K42" i="2"/>
  <c r="K51" i="2" s="1"/>
  <c r="Q42" i="1"/>
  <c r="Q43" i="1"/>
  <c r="A29" i="80"/>
  <c r="A40" i="76" l="1"/>
  <c r="A39" i="32"/>
  <c r="A39" i="33"/>
  <c r="A84" i="30"/>
  <c r="M16" i="30"/>
  <c r="A42" i="30"/>
  <c r="C16" i="30"/>
  <c r="C18" i="50" l="1"/>
  <c r="C17" i="50"/>
  <c r="C16" i="50"/>
  <c r="E18" i="50"/>
  <c r="E17" i="50"/>
  <c r="E16" i="50"/>
  <c r="G18" i="50"/>
  <c r="G17" i="50"/>
  <c r="G16" i="50"/>
  <c r="I18" i="50"/>
  <c r="I17" i="50"/>
  <c r="I16" i="50"/>
  <c r="M18" i="50"/>
  <c r="M17" i="50"/>
  <c r="M16" i="50"/>
  <c r="K17" i="50"/>
  <c r="K18" i="50"/>
  <c r="K16" i="50"/>
  <c r="M18" i="47"/>
  <c r="M17" i="47"/>
  <c r="M16" i="47"/>
  <c r="K18" i="47"/>
  <c r="K17" i="47"/>
  <c r="K16" i="47"/>
  <c r="I18" i="47"/>
  <c r="I17" i="47"/>
  <c r="I16" i="47"/>
  <c r="G18" i="47"/>
  <c r="G17" i="47"/>
  <c r="G16" i="47"/>
  <c r="E18" i="47"/>
  <c r="E17" i="47"/>
  <c r="E16" i="47"/>
  <c r="C17" i="47"/>
  <c r="C18" i="47"/>
  <c r="C16" i="47"/>
  <c r="A41" i="37"/>
  <c r="A41" i="39"/>
  <c r="A40" i="53"/>
  <c r="A32" i="61" l="1"/>
  <c r="A32" i="62"/>
  <c r="A32" i="63"/>
  <c r="A41" i="41"/>
  <c r="A77" i="41" s="1"/>
  <c r="V57" i="56" l="1"/>
  <c r="V54" i="56"/>
  <c r="V56" i="56" l="1"/>
  <c r="V55" i="56"/>
  <c r="A40" i="52" l="1"/>
  <c r="A39" i="51" s="1"/>
  <c r="A39" i="50"/>
  <c r="A39" i="49"/>
  <c r="A39" i="48"/>
  <c r="A39" i="47"/>
  <c r="A39" i="46"/>
  <c r="A42" i="45"/>
  <c r="A41" i="44"/>
  <c r="A42" i="42"/>
  <c r="A41" i="43"/>
  <c r="A41" i="40"/>
  <c r="A40" i="54"/>
  <c r="A32" i="64"/>
  <c r="A32" i="65"/>
  <c r="A32" i="66" l="1"/>
  <c r="A39" i="57"/>
  <c r="A39" i="58"/>
  <c r="A39" i="59"/>
  <c r="A39" i="60"/>
  <c r="A38" i="56"/>
  <c r="A42" i="29"/>
  <c r="D65" i="13" l="1"/>
  <c r="A28" i="15"/>
  <c r="N24" i="15"/>
  <c r="M24" i="15"/>
  <c r="L24" i="15"/>
  <c r="K24" i="15"/>
  <c r="J24" i="15"/>
  <c r="I24" i="15"/>
  <c r="H24" i="15"/>
  <c r="G24" i="15"/>
  <c r="F24" i="15"/>
  <c r="E24" i="15"/>
  <c r="D24" i="15"/>
  <c r="N23" i="15"/>
  <c r="M23" i="15"/>
  <c r="L23" i="15"/>
  <c r="K23" i="15"/>
  <c r="J23" i="15"/>
  <c r="I23" i="15"/>
  <c r="H23" i="15"/>
  <c r="G23" i="15"/>
  <c r="F23" i="15"/>
  <c r="E23" i="15"/>
  <c r="N22" i="15"/>
  <c r="M22" i="15"/>
  <c r="L22" i="15"/>
  <c r="K22" i="15"/>
  <c r="J22" i="15"/>
  <c r="I22" i="15"/>
  <c r="H22" i="15"/>
  <c r="G22" i="15"/>
  <c r="F22" i="15"/>
  <c r="N21" i="15"/>
  <c r="M21" i="15"/>
  <c r="L21" i="15"/>
  <c r="K21" i="15"/>
  <c r="J21" i="15"/>
  <c r="I21" i="15"/>
  <c r="H21" i="15"/>
  <c r="G21" i="15"/>
  <c r="N20" i="15"/>
  <c r="M20" i="15"/>
  <c r="L20" i="15"/>
  <c r="K20" i="15"/>
  <c r="J20" i="15"/>
  <c r="I20" i="15"/>
  <c r="H20" i="15"/>
  <c r="N19" i="15"/>
  <c r="M19" i="15"/>
  <c r="L19" i="15"/>
  <c r="K19" i="15"/>
  <c r="J19" i="15"/>
  <c r="I19" i="15"/>
  <c r="N18" i="15"/>
  <c r="M18" i="15"/>
  <c r="L18" i="15"/>
  <c r="K18" i="15"/>
  <c r="J18" i="15"/>
  <c r="N17" i="15"/>
  <c r="M17" i="15"/>
  <c r="L17" i="15"/>
  <c r="K17" i="15"/>
  <c r="N16" i="15"/>
  <c r="M16" i="15"/>
  <c r="L16" i="15"/>
  <c r="N15" i="15"/>
  <c r="M15" i="15"/>
  <c r="N14" i="15"/>
  <c r="A23" i="15"/>
  <c r="A27" i="15" s="1"/>
  <c r="A24" i="15"/>
  <c r="A46" i="14"/>
  <c r="R17" i="14"/>
  <c r="R18" i="14"/>
  <c r="R19" i="14"/>
  <c r="R20" i="14"/>
  <c r="R21" i="14"/>
  <c r="R22" i="14"/>
  <c r="R23" i="14"/>
  <c r="R24" i="14"/>
  <c r="N42" i="14"/>
  <c r="M42" i="14"/>
  <c r="L42" i="14"/>
  <c r="K42" i="14"/>
  <c r="J42" i="14"/>
  <c r="I42" i="14"/>
  <c r="H42" i="14"/>
  <c r="G42" i="14"/>
  <c r="F42" i="14"/>
  <c r="E42" i="14"/>
  <c r="D42" i="14"/>
  <c r="N41" i="14"/>
  <c r="M41" i="14"/>
  <c r="L41" i="14"/>
  <c r="K41" i="14"/>
  <c r="J41" i="14"/>
  <c r="I41" i="14"/>
  <c r="H41" i="14"/>
  <c r="G41" i="14"/>
  <c r="F41" i="14"/>
  <c r="E41" i="14"/>
  <c r="N40" i="14"/>
  <c r="M40" i="14"/>
  <c r="L40" i="14"/>
  <c r="K40" i="14"/>
  <c r="J40" i="14"/>
  <c r="I40" i="14"/>
  <c r="H40" i="14"/>
  <c r="G40" i="14"/>
  <c r="F40" i="14"/>
  <c r="N39" i="14"/>
  <c r="M39" i="14"/>
  <c r="L39" i="14"/>
  <c r="K39" i="14"/>
  <c r="J39" i="14"/>
  <c r="I39" i="14"/>
  <c r="H39" i="14"/>
  <c r="G39" i="14"/>
  <c r="N38" i="14"/>
  <c r="M38" i="14"/>
  <c r="L38" i="14"/>
  <c r="K38" i="14"/>
  <c r="J38" i="14"/>
  <c r="I38" i="14"/>
  <c r="H38" i="14"/>
  <c r="N37" i="14"/>
  <c r="M37" i="14"/>
  <c r="L37" i="14"/>
  <c r="K37" i="14"/>
  <c r="J37" i="14"/>
  <c r="I37" i="14"/>
  <c r="N36" i="14"/>
  <c r="M36" i="14"/>
  <c r="L36" i="14"/>
  <c r="K36" i="14"/>
  <c r="J36" i="14"/>
  <c r="N35" i="14"/>
  <c r="M35" i="14"/>
  <c r="L35" i="14"/>
  <c r="K35" i="14"/>
  <c r="N34" i="14"/>
  <c r="M34" i="14"/>
  <c r="L34" i="14"/>
  <c r="N33" i="14"/>
  <c r="M33" i="14"/>
  <c r="N32" i="14"/>
  <c r="A23" i="14"/>
  <c r="A41" i="14" s="1"/>
  <c r="A24" i="14"/>
  <c r="A42" i="14" s="1"/>
  <c r="R22" i="13"/>
  <c r="R23" i="13"/>
  <c r="R24" i="13"/>
  <c r="A57" i="13"/>
  <c r="N39" i="13"/>
  <c r="N38" i="13"/>
  <c r="N37" i="13"/>
  <c r="N36" i="13"/>
  <c r="N35" i="13"/>
  <c r="N34" i="13"/>
  <c r="N33" i="13"/>
  <c r="N32" i="13"/>
  <c r="N31" i="13"/>
  <c r="N30" i="13"/>
  <c r="N29" i="13"/>
  <c r="M39" i="13"/>
  <c r="L39" i="13"/>
  <c r="K39" i="13"/>
  <c r="J39" i="13"/>
  <c r="I39" i="13"/>
  <c r="H39" i="13"/>
  <c r="G39" i="13"/>
  <c r="F39" i="13"/>
  <c r="E39" i="13"/>
  <c r="D39" i="13"/>
  <c r="M38" i="13"/>
  <c r="L38" i="13"/>
  <c r="K38" i="13"/>
  <c r="J38" i="13"/>
  <c r="I38" i="13"/>
  <c r="H38" i="13"/>
  <c r="G38" i="13"/>
  <c r="F38" i="13"/>
  <c r="E38" i="13"/>
  <c r="M37" i="13"/>
  <c r="L37" i="13"/>
  <c r="K37" i="13"/>
  <c r="J37" i="13"/>
  <c r="I37" i="13"/>
  <c r="H37" i="13"/>
  <c r="G37" i="13"/>
  <c r="F37" i="13"/>
  <c r="M36" i="13"/>
  <c r="L36" i="13"/>
  <c r="K36" i="13"/>
  <c r="J36" i="13"/>
  <c r="I36" i="13"/>
  <c r="H36" i="13"/>
  <c r="G36" i="13"/>
  <c r="M35" i="13"/>
  <c r="L35" i="13"/>
  <c r="K35" i="13"/>
  <c r="J35" i="13"/>
  <c r="I35" i="13"/>
  <c r="H35" i="13"/>
  <c r="M34" i="13"/>
  <c r="L34" i="13"/>
  <c r="K34" i="13"/>
  <c r="J34" i="13"/>
  <c r="I34" i="13"/>
  <c r="M33" i="13"/>
  <c r="L33" i="13"/>
  <c r="K33" i="13"/>
  <c r="J33" i="13"/>
  <c r="M32" i="13"/>
  <c r="L32" i="13"/>
  <c r="K32" i="13"/>
  <c r="M31" i="13"/>
  <c r="L31" i="13"/>
  <c r="C33" i="14"/>
  <c r="M30" i="13"/>
  <c r="C30" i="13"/>
  <c r="C32" i="14"/>
  <c r="A23" i="13"/>
  <c r="A39" i="13" s="1"/>
  <c r="A24" i="13"/>
  <c r="H34" i="5"/>
  <c r="A6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S45" i="5"/>
  <c r="R45" i="5"/>
  <c r="Q45" i="5"/>
  <c r="P45" i="5"/>
  <c r="O45" i="5"/>
  <c r="N45" i="5"/>
  <c r="M45" i="5"/>
  <c r="L45" i="5"/>
  <c r="K45" i="5"/>
  <c r="J45" i="5"/>
  <c r="I45" i="5"/>
  <c r="H45" i="5"/>
  <c r="S44" i="5"/>
  <c r="R44" i="5"/>
  <c r="Q44" i="5"/>
  <c r="P44" i="5"/>
  <c r="O44" i="5"/>
  <c r="N44" i="5"/>
  <c r="M44" i="5"/>
  <c r="L44" i="5"/>
  <c r="K44" i="5"/>
  <c r="J44" i="5"/>
  <c r="I44" i="5"/>
  <c r="S43" i="5"/>
  <c r="R43" i="5"/>
  <c r="Q43" i="5"/>
  <c r="P43" i="5"/>
  <c r="O43" i="5"/>
  <c r="N43" i="5"/>
  <c r="M43" i="5"/>
  <c r="L43" i="5"/>
  <c r="K43" i="5"/>
  <c r="J43" i="5"/>
  <c r="S42" i="5"/>
  <c r="R42" i="5"/>
  <c r="Q42" i="5"/>
  <c r="P42" i="5"/>
  <c r="O42" i="5"/>
  <c r="N42" i="5"/>
  <c r="M42" i="5"/>
  <c r="L42" i="5"/>
  <c r="K42" i="5"/>
  <c r="S41" i="5"/>
  <c r="R41" i="5"/>
  <c r="Q41" i="5"/>
  <c r="P41" i="5"/>
  <c r="O41" i="5"/>
  <c r="N41" i="5"/>
  <c r="M41" i="5"/>
  <c r="L41" i="5"/>
  <c r="S40" i="5"/>
  <c r="R40" i="5"/>
  <c r="Q40" i="5"/>
  <c r="P40" i="5"/>
  <c r="O40" i="5"/>
  <c r="N40" i="5"/>
  <c r="M40" i="5"/>
  <c r="S39" i="5"/>
  <c r="R39" i="5"/>
  <c r="Q39" i="5"/>
  <c r="P39" i="5"/>
  <c r="O39" i="5"/>
  <c r="N39" i="5"/>
  <c r="S38" i="5"/>
  <c r="R38" i="5"/>
  <c r="Q38" i="5"/>
  <c r="P38" i="5"/>
  <c r="O38" i="5"/>
  <c r="S37" i="5"/>
  <c r="R37" i="5"/>
  <c r="Q37" i="5"/>
  <c r="P37" i="5"/>
  <c r="S36" i="5"/>
  <c r="R36" i="5"/>
  <c r="Q36" i="5"/>
  <c r="S35" i="5"/>
  <c r="R35" i="5"/>
  <c r="S34" i="5"/>
  <c r="A32" i="5"/>
  <c r="A31" i="5"/>
  <c r="W29" i="5"/>
  <c r="A29" i="5"/>
  <c r="W28" i="5"/>
  <c r="A28" i="5"/>
  <c r="A49" i="5" s="1"/>
  <c r="W27" i="5"/>
  <c r="A27" i="5"/>
  <c r="A48" i="5" s="1"/>
  <c r="W26" i="5"/>
  <c r="A26" i="5"/>
  <c r="A47" i="5" s="1"/>
  <c r="W25" i="5"/>
  <c r="A25" i="5"/>
  <c r="A46" i="5" s="1"/>
  <c r="W24" i="5"/>
  <c r="A24" i="5"/>
  <c r="A45" i="5" s="1"/>
  <c r="W23" i="5"/>
  <c r="A23" i="5"/>
  <c r="A44" i="5" s="1"/>
  <c r="W22" i="5"/>
  <c r="A22" i="5"/>
  <c r="A43" i="5" s="1"/>
  <c r="W21" i="5"/>
  <c r="A21" i="5"/>
  <c r="A42" i="5" s="1"/>
  <c r="W20" i="5"/>
  <c r="A20" i="5"/>
  <c r="A41" i="5" s="1"/>
  <c r="W19" i="5"/>
  <c r="A19" i="5"/>
  <c r="A40" i="5" s="1"/>
  <c r="W18" i="5"/>
  <c r="A18" i="5"/>
  <c r="A39" i="5" s="1"/>
  <c r="W17" i="5"/>
  <c r="A17" i="5"/>
  <c r="A38" i="5" s="1"/>
  <c r="W16" i="5"/>
  <c r="G37" i="5"/>
  <c r="A16" i="5"/>
  <c r="A37" i="5" s="1"/>
  <c r="W15" i="5"/>
  <c r="E36" i="5"/>
  <c r="A15" i="5"/>
  <c r="A36" i="5" s="1"/>
  <c r="W14" i="5"/>
  <c r="A14" i="5"/>
  <c r="A35" i="5" s="1"/>
  <c r="W13" i="5"/>
  <c r="A13" i="5"/>
  <c r="A34" i="5" s="1"/>
  <c r="C11" i="5"/>
  <c r="C72" i="5" s="1"/>
  <c r="A11" i="5"/>
  <c r="A10" i="5"/>
  <c r="A5" i="5"/>
  <c r="A4" i="5"/>
  <c r="A2" i="5"/>
  <c r="F45" i="6"/>
  <c r="A6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S45" i="6"/>
  <c r="R45" i="6"/>
  <c r="Q45" i="6"/>
  <c r="P45" i="6"/>
  <c r="O45" i="6"/>
  <c r="N45" i="6"/>
  <c r="M45" i="6"/>
  <c r="L45" i="6"/>
  <c r="K45" i="6"/>
  <c r="J45" i="6"/>
  <c r="I45" i="6"/>
  <c r="H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S42" i="6"/>
  <c r="R42" i="6"/>
  <c r="Q42" i="6"/>
  <c r="P42" i="6"/>
  <c r="O42" i="6"/>
  <c r="N42" i="6"/>
  <c r="M42" i="6"/>
  <c r="L42" i="6"/>
  <c r="K42" i="6"/>
  <c r="S41" i="6"/>
  <c r="R41" i="6"/>
  <c r="Q41" i="6"/>
  <c r="P41" i="6"/>
  <c r="O41" i="6"/>
  <c r="N41" i="6"/>
  <c r="M41" i="6"/>
  <c r="L41" i="6"/>
  <c r="S40" i="6"/>
  <c r="R40" i="6"/>
  <c r="Q40" i="6"/>
  <c r="P40" i="6"/>
  <c r="O40" i="6"/>
  <c r="N40" i="6"/>
  <c r="M40" i="6"/>
  <c r="S39" i="6"/>
  <c r="R39" i="6"/>
  <c r="Q39" i="6"/>
  <c r="P39" i="6"/>
  <c r="O39" i="6"/>
  <c r="N39" i="6"/>
  <c r="S38" i="6"/>
  <c r="R38" i="6"/>
  <c r="Q38" i="6"/>
  <c r="P38" i="6"/>
  <c r="O38" i="6"/>
  <c r="S37" i="6"/>
  <c r="R37" i="6"/>
  <c r="Q37" i="6"/>
  <c r="P37" i="6"/>
  <c r="S36" i="6"/>
  <c r="R36" i="6"/>
  <c r="Q36" i="6"/>
  <c r="S35" i="6"/>
  <c r="R35" i="6"/>
  <c r="S34" i="6"/>
  <c r="A32" i="6"/>
  <c r="A31" i="6"/>
  <c r="W29" i="6"/>
  <c r="A29" i="6"/>
  <c r="W28" i="6"/>
  <c r="A28" i="6"/>
  <c r="W27" i="6"/>
  <c r="A27" i="6"/>
  <c r="A48" i="6" s="1"/>
  <c r="W26" i="6"/>
  <c r="A26" i="6"/>
  <c r="A47" i="6" s="1"/>
  <c r="W25" i="6"/>
  <c r="A25" i="6"/>
  <c r="A46" i="6" s="1"/>
  <c r="W24" i="6"/>
  <c r="A24" i="6"/>
  <c r="A45" i="6" s="1"/>
  <c r="W23" i="6"/>
  <c r="A23" i="6"/>
  <c r="A44" i="6" s="1"/>
  <c r="W22" i="6"/>
  <c r="A22" i="6"/>
  <c r="A43" i="6" s="1"/>
  <c r="W21" i="6"/>
  <c r="A21" i="6"/>
  <c r="A42" i="6" s="1"/>
  <c r="W20" i="6"/>
  <c r="A20" i="6"/>
  <c r="A41" i="6" s="1"/>
  <c r="W19" i="6"/>
  <c r="A19" i="6"/>
  <c r="A40" i="6" s="1"/>
  <c r="W18" i="6"/>
  <c r="A18" i="6"/>
  <c r="A39" i="6" s="1"/>
  <c r="W17" i="6"/>
  <c r="A17" i="6"/>
  <c r="A38" i="6" s="1"/>
  <c r="W16" i="6"/>
  <c r="A16" i="6"/>
  <c r="A37" i="6" s="1"/>
  <c r="W15" i="6"/>
  <c r="A15" i="6"/>
  <c r="A36" i="6" s="1"/>
  <c r="W14" i="6"/>
  <c r="A14" i="6"/>
  <c r="A35" i="6" s="1"/>
  <c r="W13" i="6"/>
  <c r="A13" i="6"/>
  <c r="A34" i="6" s="1"/>
  <c r="C11" i="6"/>
  <c r="C72" i="6" s="1"/>
  <c r="A11" i="6"/>
  <c r="A10" i="6"/>
  <c r="A5" i="6"/>
  <c r="A4" i="6"/>
  <c r="A2" i="6"/>
  <c r="C34" i="8"/>
  <c r="A6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S45" i="8"/>
  <c r="R45" i="8"/>
  <c r="Q45" i="8"/>
  <c r="P45" i="8"/>
  <c r="O45" i="8"/>
  <c r="N45" i="8"/>
  <c r="M45" i="8"/>
  <c r="L45" i="8"/>
  <c r="K45" i="8"/>
  <c r="J45" i="8"/>
  <c r="I45" i="8"/>
  <c r="H45" i="8"/>
  <c r="S44" i="8"/>
  <c r="R44" i="8"/>
  <c r="Q44" i="8"/>
  <c r="P44" i="8"/>
  <c r="O44" i="8"/>
  <c r="N44" i="8"/>
  <c r="M44" i="8"/>
  <c r="L44" i="8"/>
  <c r="K44" i="8"/>
  <c r="J44" i="8"/>
  <c r="I44" i="8"/>
  <c r="S43" i="8"/>
  <c r="R43" i="8"/>
  <c r="Q43" i="8"/>
  <c r="P43" i="8"/>
  <c r="O43" i="8"/>
  <c r="N43" i="8"/>
  <c r="M43" i="8"/>
  <c r="L43" i="8"/>
  <c r="K43" i="8"/>
  <c r="J43" i="8"/>
  <c r="S42" i="8"/>
  <c r="R42" i="8"/>
  <c r="Q42" i="8"/>
  <c r="P42" i="8"/>
  <c r="O42" i="8"/>
  <c r="N42" i="8"/>
  <c r="M42" i="8"/>
  <c r="L42" i="8"/>
  <c r="K42" i="8"/>
  <c r="S41" i="8"/>
  <c r="R41" i="8"/>
  <c r="Q41" i="8"/>
  <c r="P41" i="8"/>
  <c r="O41" i="8"/>
  <c r="N41" i="8"/>
  <c r="M41" i="8"/>
  <c r="L41" i="8"/>
  <c r="S40" i="8"/>
  <c r="R40" i="8"/>
  <c r="Q40" i="8"/>
  <c r="P40" i="8"/>
  <c r="O40" i="8"/>
  <c r="N40" i="8"/>
  <c r="M40" i="8"/>
  <c r="S39" i="8"/>
  <c r="R39" i="8"/>
  <c r="Q39" i="8"/>
  <c r="P39" i="8"/>
  <c r="O39" i="8"/>
  <c r="N39" i="8"/>
  <c r="S38" i="8"/>
  <c r="R38" i="8"/>
  <c r="Q38" i="8"/>
  <c r="P38" i="8"/>
  <c r="O38" i="8"/>
  <c r="S37" i="8"/>
  <c r="R37" i="8"/>
  <c r="Q37" i="8"/>
  <c r="P37" i="8"/>
  <c r="S36" i="8"/>
  <c r="R36" i="8"/>
  <c r="Q36" i="8"/>
  <c r="S35" i="8"/>
  <c r="R35" i="8"/>
  <c r="S34" i="8"/>
  <c r="A32" i="8"/>
  <c r="A31" i="8"/>
  <c r="W29" i="8"/>
  <c r="A29" i="8"/>
  <c r="W28" i="8"/>
  <c r="A28" i="8"/>
  <c r="A49" i="8" s="1"/>
  <c r="W27" i="8"/>
  <c r="A27" i="8"/>
  <c r="A48" i="8" s="1"/>
  <c r="W26" i="8"/>
  <c r="A26" i="8"/>
  <c r="A47" i="8" s="1"/>
  <c r="W25" i="8"/>
  <c r="A25" i="8"/>
  <c r="A46" i="8" s="1"/>
  <c r="W24" i="8"/>
  <c r="A24" i="8"/>
  <c r="A45" i="8" s="1"/>
  <c r="W23" i="8"/>
  <c r="A23" i="8"/>
  <c r="A44" i="8" s="1"/>
  <c r="W22" i="8"/>
  <c r="A22" i="8"/>
  <c r="A43" i="8" s="1"/>
  <c r="W21" i="8"/>
  <c r="A21" i="8"/>
  <c r="A42" i="8" s="1"/>
  <c r="W20" i="8"/>
  <c r="A20" i="8"/>
  <c r="A41" i="8" s="1"/>
  <c r="W19" i="8"/>
  <c r="A19" i="8"/>
  <c r="A40" i="8" s="1"/>
  <c r="W18" i="8"/>
  <c r="A18" i="8"/>
  <c r="A39" i="8" s="1"/>
  <c r="W17" i="8"/>
  <c r="A17" i="8"/>
  <c r="A38" i="8" s="1"/>
  <c r="W16" i="8"/>
  <c r="A16" i="8"/>
  <c r="A37" i="8" s="1"/>
  <c r="W15" i="8"/>
  <c r="A15" i="8"/>
  <c r="A36" i="8" s="1"/>
  <c r="W14" i="8"/>
  <c r="A14" i="8"/>
  <c r="A35" i="8" s="1"/>
  <c r="W13" i="8"/>
  <c r="A13" i="8"/>
  <c r="A34" i="8" s="1"/>
  <c r="C11" i="8"/>
  <c r="C72" i="8" s="1"/>
  <c r="A11" i="8"/>
  <c r="A10" i="8"/>
  <c r="A5" i="8"/>
  <c r="A4" i="8"/>
  <c r="A2" i="8"/>
  <c r="A6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S45" i="7"/>
  <c r="R45" i="7"/>
  <c r="Q45" i="7"/>
  <c r="P45" i="7"/>
  <c r="O45" i="7"/>
  <c r="N45" i="7"/>
  <c r="M45" i="7"/>
  <c r="L45" i="7"/>
  <c r="K45" i="7"/>
  <c r="J45" i="7"/>
  <c r="I45" i="7"/>
  <c r="H45" i="7"/>
  <c r="S44" i="7"/>
  <c r="R44" i="7"/>
  <c r="Q44" i="7"/>
  <c r="P44" i="7"/>
  <c r="O44" i="7"/>
  <c r="N44" i="7"/>
  <c r="M44" i="7"/>
  <c r="L44" i="7"/>
  <c r="K44" i="7"/>
  <c r="J44" i="7"/>
  <c r="I44" i="7"/>
  <c r="S43" i="7"/>
  <c r="R43" i="7"/>
  <c r="Q43" i="7"/>
  <c r="P43" i="7"/>
  <c r="O43" i="7"/>
  <c r="N43" i="7"/>
  <c r="M43" i="7"/>
  <c r="L43" i="7"/>
  <c r="K43" i="7"/>
  <c r="J43" i="7"/>
  <c r="S42" i="7"/>
  <c r="R42" i="7"/>
  <c r="Q42" i="7"/>
  <c r="P42" i="7"/>
  <c r="O42" i="7"/>
  <c r="N42" i="7"/>
  <c r="M42" i="7"/>
  <c r="L42" i="7"/>
  <c r="K42" i="7"/>
  <c r="S41" i="7"/>
  <c r="R41" i="7"/>
  <c r="Q41" i="7"/>
  <c r="P41" i="7"/>
  <c r="O41" i="7"/>
  <c r="N41" i="7"/>
  <c r="M41" i="7"/>
  <c r="L41" i="7"/>
  <c r="S40" i="7"/>
  <c r="R40" i="7"/>
  <c r="Q40" i="7"/>
  <c r="P40" i="7"/>
  <c r="O40" i="7"/>
  <c r="N40" i="7"/>
  <c r="M40" i="7"/>
  <c r="S39" i="7"/>
  <c r="R39" i="7"/>
  <c r="Q39" i="7"/>
  <c r="P39" i="7"/>
  <c r="O39" i="7"/>
  <c r="N39" i="7"/>
  <c r="S38" i="7"/>
  <c r="R38" i="7"/>
  <c r="Q38" i="7"/>
  <c r="P38" i="7"/>
  <c r="O38" i="7"/>
  <c r="S37" i="7"/>
  <c r="R37" i="7"/>
  <c r="Q37" i="7"/>
  <c r="P37" i="7"/>
  <c r="S36" i="7"/>
  <c r="R36" i="7"/>
  <c r="Q36" i="7"/>
  <c r="S35" i="7"/>
  <c r="R35" i="7"/>
  <c r="S34" i="7"/>
  <c r="A32" i="7"/>
  <c r="A31" i="7"/>
  <c r="W29" i="7"/>
  <c r="A29" i="7"/>
  <c r="W28" i="7"/>
  <c r="A28" i="7"/>
  <c r="A68" i="7" s="1"/>
  <c r="W27" i="7"/>
  <c r="A27" i="7"/>
  <c r="A48" i="7" s="1"/>
  <c r="W26" i="7"/>
  <c r="A26" i="7"/>
  <c r="A47" i="7" s="1"/>
  <c r="W25" i="7"/>
  <c r="A25" i="7"/>
  <c r="A46" i="7" s="1"/>
  <c r="W24" i="7"/>
  <c r="A24" i="7"/>
  <c r="A45" i="7" s="1"/>
  <c r="W23" i="7"/>
  <c r="A23" i="7"/>
  <c r="A44" i="7" s="1"/>
  <c r="W22" i="7"/>
  <c r="A22" i="7"/>
  <c r="A43" i="7" s="1"/>
  <c r="W21" i="7"/>
  <c r="A21" i="7"/>
  <c r="A42" i="7" s="1"/>
  <c r="W20" i="7"/>
  <c r="A20" i="7"/>
  <c r="A41" i="7" s="1"/>
  <c r="W19" i="7"/>
  <c r="A19" i="7"/>
  <c r="A40" i="7" s="1"/>
  <c r="W18" i="7"/>
  <c r="A18" i="7"/>
  <c r="A39" i="7" s="1"/>
  <c r="W17" i="7"/>
  <c r="A17" i="7"/>
  <c r="A38" i="7" s="1"/>
  <c r="W16" i="7"/>
  <c r="A16" i="7"/>
  <c r="A37" i="7" s="1"/>
  <c r="W15" i="7"/>
  <c r="A15" i="7"/>
  <c r="A36" i="7" s="1"/>
  <c r="W14" i="7"/>
  <c r="A14" i="7"/>
  <c r="A35" i="7" s="1"/>
  <c r="W13" i="7"/>
  <c r="A13" i="7"/>
  <c r="A34" i="7" s="1"/>
  <c r="C11" i="7"/>
  <c r="C72" i="7" s="1"/>
  <c r="A11" i="7"/>
  <c r="A10" i="7"/>
  <c r="A5" i="7"/>
  <c r="A4" i="7"/>
  <c r="A2" i="7"/>
  <c r="A6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S45" i="9"/>
  <c r="R45" i="9"/>
  <c r="Q45" i="9"/>
  <c r="P45" i="9"/>
  <c r="O45" i="9"/>
  <c r="N45" i="9"/>
  <c r="M45" i="9"/>
  <c r="L45" i="9"/>
  <c r="K45" i="9"/>
  <c r="J45" i="9"/>
  <c r="I45" i="9"/>
  <c r="H45" i="9"/>
  <c r="S44" i="9"/>
  <c r="R44" i="9"/>
  <c r="Q44" i="9"/>
  <c r="P44" i="9"/>
  <c r="O44" i="9"/>
  <c r="N44" i="9"/>
  <c r="M44" i="9"/>
  <c r="L44" i="9"/>
  <c r="K44" i="9"/>
  <c r="J44" i="9"/>
  <c r="I44" i="9"/>
  <c r="S43" i="9"/>
  <c r="R43" i="9"/>
  <c r="Q43" i="9"/>
  <c r="P43" i="9"/>
  <c r="O43" i="9"/>
  <c r="N43" i="9"/>
  <c r="M43" i="9"/>
  <c r="L43" i="9"/>
  <c r="K43" i="9"/>
  <c r="J43" i="9"/>
  <c r="S42" i="9"/>
  <c r="R42" i="9"/>
  <c r="Q42" i="9"/>
  <c r="P42" i="9"/>
  <c r="O42" i="9"/>
  <c r="N42" i="9"/>
  <c r="M42" i="9"/>
  <c r="L42" i="9"/>
  <c r="K42" i="9"/>
  <c r="S41" i="9"/>
  <c r="R41" i="9"/>
  <c r="Q41" i="9"/>
  <c r="P41" i="9"/>
  <c r="O41" i="9"/>
  <c r="N41" i="9"/>
  <c r="M41" i="9"/>
  <c r="L41" i="9"/>
  <c r="S40" i="9"/>
  <c r="R40" i="9"/>
  <c r="Q40" i="9"/>
  <c r="P40" i="9"/>
  <c r="O40" i="9"/>
  <c r="N40" i="9"/>
  <c r="M40" i="9"/>
  <c r="S39" i="9"/>
  <c r="R39" i="9"/>
  <c r="Q39" i="9"/>
  <c r="P39" i="9"/>
  <c r="O39" i="9"/>
  <c r="N39" i="9"/>
  <c r="S38" i="9"/>
  <c r="R38" i="9"/>
  <c r="Q38" i="9"/>
  <c r="P38" i="9"/>
  <c r="O38" i="9"/>
  <c r="S37" i="9"/>
  <c r="R37" i="9"/>
  <c r="Q37" i="9"/>
  <c r="P37" i="9"/>
  <c r="S36" i="9"/>
  <c r="R36" i="9"/>
  <c r="Q36" i="9"/>
  <c r="S35" i="9"/>
  <c r="R35" i="9"/>
  <c r="S34" i="9"/>
  <c r="A32" i="9"/>
  <c r="A31" i="9"/>
  <c r="W29" i="9"/>
  <c r="A29" i="9"/>
  <c r="W28" i="9"/>
  <c r="A28" i="9"/>
  <c r="A49" i="9" s="1"/>
  <c r="W27" i="9"/>
  <c r="A27" i="9"/>
  <c r="A48" i="9" s="1"/>
  <c r="W26" i="9"/>
  <c r="A26" i="9"/>
  <c r="A47" i="9" s="1"/>
  <c r="W25" i="9"/>
  <c r="A25" i="9"/>
  <c r="A46" i="9" s="1"/>
  <c r="W24" i="9"/>
  <c r="A24" i="9"/>
  <c r="A45" i="9" s="1"/>
  <c r="W23" i="9"/>
  <c r="A23" i="9"/>
  <c r="A44" i="9" s="1"/>
  <c r="W22" i="9"/>
  <c r="A22" i="9"/>
  <c r="A43" i="9" s="1"/>
  <c r="W21" i="9"/>
  <c r="A21" i="9"/>
  <c r="A42" i="9" s="1"/>
  <c r="W20" i="9"/>
  <c r="A20" i="9"/>
  <c r="A41" i="9" s="1"/>
  <c r="W19" i="9"/>
  <c r="A19" i="9"/>
  <c r="A40" i="9" s="1"/>
  <c r="W18" i="9"/>
  <c r="A18" i="9"/>
  <c r="A39" i="9" s="1"/>
  <c r="W17" i="9"/>
  <c r="A17" i="9"/>
  <c r="A38" i="9" s="1"/>
  <c r="W16" i="9"/>
  <c r="A16" i="9"/>
  <c r="A37" i="9" s="1"/>
  <c r="W15" i="9"/>
  <c r="A15" i="9"/>
  <c r="A36" i="9" s="1"/>
  <c r="W14" i="9"/>
  <c r="A14" i="9"/>
  <c r="A35" i="9" s="1"/>
  <c r="W13" i="9"/>
  <c r="A13" i="9"/>
  <c r="A34" i="9" s="1"/>
  <c r="C11" i="9"/>
  <c r="C72" i="9" s="1"/>
  <c r="A11" i="9"/>
  <c r="A10" i="9"/>
  <c r="A5" i="9"/>
  <c r="A4" i="9"/>
  <c r="A2" i="9"/>
  <c r="A6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S44" i="10"/>
  <c r="R44" i="10"/>
  <c r="Q44" i="10"/>
  <c r="P44" i="10"/>
  <c r="O44" i="10"/>
  <c r="N44" i="10"/>
  <c r="M44" i="10"/>
  <c r="L44" i="10"/>
  <c r="K44" i="10"/>
  <c r="J44" i="10"/>
  <c r="I44" i="10"/>
  <c r="S43" i="10"/>
  <c r="R43" i="10"/>
  <c r="Q43" i="10"/>
  <c r="P43" i="10"/>
  <c r="O43" i="10"/>
  <c r="N43" i="10"/>
  <c r="M43" i="10"/>
  <c r="L43" i="10"/>
  <c r="K43" i="10"/>
  <c r="J43" i="10"/>
  <c r="S42" i="10"/>
  <c r="R42" i="10"/>
  <c r="Q42" i="10"/>
  <c r="P42" i="10"/>
  <c r="O42" i="10"/>
  <c r="N42" i="10"/>
  <c r="M42" i="10"/>
  <c r="L42" i="10"/>
  <c r="K42" i="10"/>
  <c r="S41" i="10"/>
  <c r="R41" i="10"/>
  <c r="Q41" i="10"/>
  <c r="P41" i="10"/>
  <c r="O41" i="10"/>
  <c r="N41" i="10"/>
  <c r="M41" i="10"/>
  <c r="L41" i="10"/>
  <c r="S40" i="10"/>
  <c r="R40" i="10"/>
  <c r="Q40" i="10"/>
  <c r="P40" i="10"/>
  <c r="O40" i="10"/>
  <c r="N40" i="10"/>
  <c r="M40" i="10"/>
  <c r="S39" i="10"/>
  <c r="R39" i="10"/>
  <c r="Q39" i="10"/>
  <c r="P39" i="10"/>
  <c r="O39" i="10"/>
  <c r="N39" i="10"/>
  <c r="S38" i="10"/>
  <c r="R38" i="10"/>
  <c r="Q38" i="10"/>
  <c r="P38" i="10"/>
  <c r="O38" i="10"/>
  <c r="S37" i="10"/>
  <c r="R37" i="10"/>
  <c r="Q37" i="10"/>
  <c r="P37" i="10"/>
  <c r="S36" i="10"/>
  <c r="R36" i="10"/>
  <c r="Q36" i="10"/>
  <c r="S35" i="10"/>
  <c r="R35" i="10"/>
  <c r="S34" i="10"/>
  <c r="A32" i="10"/>
  <c r="A31" i="10"/>
  <c r="W29" i="10"/>
  <c r="A29" i="10"/>
  <c r="W28" i="10"/>
  <c r="A28" i="10"/>
  <c r="A49" i="10" s="1"/>
  <c r="W27" i="10"/>
  <c r="A27" i="10"/>
  <c r="A48" i="10" s="1"/>
  <c r="W26" i="10"/>
  <c r="A26" i="10"/>
  <c r="A47" i="10" s="1"/>
  <c r="W25" i="10"/>
  <c r="A25" i="10"/>
  <c r="A46" i="10" s="1"/>
  <c r="W24" i="10"/>
  <c r="A24" i="10"/>
  <c r="A45" i="10" s="1"/>
  <c r="W23" i="10"/>
  <c r="A23" i="10"/>
  <c r="A44" i="10" s="1"/>
  <c r="W22" i="10"/>
  <c r="A22" i="10"/>
  <c r="A43" i="10" s="1"/>
  <c r="W21" i="10"/>
  <c r="A21" i="10"/>
  <c r="A42" i="10" s="1"/>
  <c r="W20" i="10"/>
  <c r="A20" i="10"/>
  <c r="A41" i="10" s="1"/>
  <c r="W19" i="10"/>
  <c r="A19" i="10"/>
  <c r="A40" i="10" s="1"/>
  <c r="W18" i="10"/>
  <c r="A18" i="10"/>
  <c r="A39" i="10" s="1"/>
  <c r="W17" i="10"/>
  <c r="A17" i="10"/>
  <c r="A38" i="10" s="1"/>
  <c r="W16" i="10"/>
  <c r="A16" i="10"/>
  <c r="A37" i="10" s="1"/>
  <c r="W15" i="10"/>
  <c r="A15" i="10"/>
  <c r="A36" i="10" s="1"/>
  <c r="W14" i="10"/>
  <c r="A14" i="10"/>
  <c r="A35" i="10" s="1"/>
  <c r="W13" i="10"/>
  <c r="A13" i="10"/>
  <c r="A34" i="10" s="1"/>
  <c r="C11" i="10"/>
  <c r="C72" i="10" s="1"/>
  <c r="A11" i="10"/>
  <c r="A10" i="10"/>
  <c r="A5" i="10"/>
  <c r="A4" i="10"/>
  <c r="A2" i="10"/>
  <c r="C46" i="12"/>
  <c r="H38" i="12"/>
  <c r="C34" i="12"/>
  <c r="A6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S44" i="12"/>
  <c r="R44" i="12"/>
  <c r="Q44" i="12"/>
  <c r="P44" i="12"/>
  <c r="O44" i="12"/>
  <c r="N44" i="12"/>
  <c r="M44" i="12"/>
  <c r="L44" i="12"/>
  <c r="K44" i="12"/>
  <c r="J44" i="12"/>
  <c r="I44" i="12"/>
  <c r="S43" i="12"/>
  <c r="R43" i="12"/>
  <c r="Q43" i="12"/>
  <c r="P43" i="12"/>
  <c r="O43" i="12"/>
  <c r="N43" i="12"/>
  <c r="M43" i="12"/>
  <c r="L43" i="12"/>
  <c r="K43" i="12"/>
  <c r="J43" i="12"/>
  <c r="S42" i="12"/>
  <c r="R42" i="12"/>
  <c r="Q42" i="12"/>
  <c r="P42" i="12"/>
  <c r="O42" i="12"/>
  <c r="N42" i="12"/>
  <c r="M42" i="12"/>
  <c r="L42" i="12"/>
  <c r="K42" i="12"/>
  <c r="S41" i="12"/>
  <c r="R41" i="12"/>
  <c r="Q41" i="12"/>
  <c r="P41" i="12"/>
  <c r="O41" i="12"/>
  <c r="N41" i="12"/>
  <c r="M41" i="12"/>
  <c r="L41" i="12"/>
  <c r="S40" i="12"/>
  <c r="R40" i="12"/>
  <c r="Q40" i="12"/>
  <c r="P40" i="12"/>
  <c r="O40" i="12"/>
  <c r="N40" i="12"/>
  <c r="M40" i="12"/>
  <c r="S39" i="12"/>
  <c r="R39" i="12"/>
  <c r="Q39" i="12"/>
  <c r="P39" i="12"/>
  <c r="O39" i="12"/>
  <c r="N39" i="12"/>
  <c r="S38" i="12"/>
  <c r="R38" i="12"/>
  <c r="Q38" i="12"/>
  <c r="P38" i="12"/>
  <c r="O38" i="12"/>
  <c r="S37" i="12"/>
  <c r="R37" i="12"/>
  <c r="Q37" i="12"/>
  <c r="P37" i="12"/>
  <c r="S36" i="12"/>
  <c r="R36" i="12"/>
  <c r="Q36" i="12"/>
  <c r="S35" i="12"/>
  <c r="R35" i="12"/>
  <c r="S34" i="12"/>
  <c r="A32" i="12"/>
  <c r="A31" i="12"/>
  <c r="W29" i="12"/>
  <c r="A29" i="12"/>
  <c r="W28" i="12"/>
  <c r="A28" i="12"/>
  <c r="A49" i="12" s="1"/>
  <c r="W27" i="12"/>
  <c r="A27" i="12"/>
  <c r="A48" i="12" s="1"/>
  <c r="W26" i="12"/>
  <c r="A26" i="12"/>
  <c r="A47" i="12" s="1"/>
  <c r="W25" i="12"/>
  <c r="A25" i="12"/>
  <c r="A46" i="12" s="1"/>
  <c r="W24" i="12"/>
  <c r="A24" i="12"/>
  <c r="A45" i="12" s="1"/>
  <c r="W23" i="12"/>
  <c r="A23" i="12"/>
  <c r="A44" i="12" s="1"/>
  <c r="W22" i="12"/>
  <c r="A22" i="12"/>
  <c r="A43" i="12" s="1"/>
  <c r="W21" i="12"/>
  <c r="A21" i="12"/>
  <c r="A42" i="12" s="1"/>
  <c r="W20" i="12"/>
  <c r="A20" i="12"/>
  <c r="A41" i="12" s="1"/>
  <c r="W19" i="12"/>
  <c r="A19" i="12"/>
  <c r="A40" i="12" s="1"/>
  <c r="W18" i="12"/>
  <c r="A18" i="12"/>
  <c r="A39" i="12" s="1"/>
  <c r="W17" i="12"/>
  <c r="A17" i="12"/>
  <c r="A38" i="12" s="1"/>
  <c r="W16" i="12"/>
  <c r="A16" i="12"/>
  <c r="A37" i="12" s="1"/>
  <c r="W15" i="12"/>
  <c r="A15" i="12"/>
  <c r="A36" i="12" s="1"/>
  <c r="W14" i="12"/>
  <c r="A14" i="12"/>
  <c r="A35" i="12" s="1"/>
  <c r="W13" i="12"/>
  <c r="A13" i="12"/>
  <c r="A34" i="12" s="1"/>
  <c r="C11" i="12"/>
  <c r="C72" i="12" s="1"/>
  <c r="A11" i="12"/>
  <c r="A10" i="12"/>
  <c r="A5" i="12"/>
  <c r="A4" i="12"/>
  <c r="A2" i="12"/>
  <c r="A6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S44" i="11"/>
  <c r="R44" i="11"/>
  <c r="Q44" i="11"/>
  <c r="P44" i="11"/>
  <c r="O44" i="11"/>
  <c r="N44" i="11"/>
  <c r="M44" i="11"/>
  <c r="L44" i="11"/>
  <c r="K44" i="11"/>
  <c r="J44" i="11"/>
  <c r="I44" i="11"/>
  <c r="S43" i="11"/>
  <c r="R43" i="11"/>
  <c r="Q43" i="11"/>
  <c r="P43" i="11"/>
  <c r="O43" i="11"/>
  <c r="N43" i="11"/>
  <c r="M43" i="11"/>
  <c r="L43" i="11"/>
  <c r="K43" i="11"/>
  <c r="J43" i="11"/>
  <c r="S42" i="11"/>
  <c r="R42" i="11"/>
  <c r="Q42" i="11"/>
  <c r="P42" i="11"/>
  <c r="O42" i="11"/>
  <c r="N42" i="11"/>
  <c r="M42" i="11"/>
  <c r="L42" i="11"/>
  <c r="K42" i="11"/>
  <c r="S41" i="11"/>
  <c r="R41" i="11"/>
  <c r="Q41" i="11"/>
  <c r="P41" i="11"/>
  <c r="O41" i="11"/>
  <c r="N41" i="11"/>
  <c r="M41" i="11"/>
  <c r="L41" i="11"/>
  <c r="S40" i="11"/>
  <c r="R40" i="11"/>
  <c r="Q40" i="11"/>
  <c r="P40" i="11"/>
  <c r="O40" i="11"/>
  <c r="N40" i="11"/>
  <c r="M40" i="11"/>
  <c r="S39" i="11"/>
  <c r="R39" i="11"/>
  <c r="Q39" i="11"/>
  <c r="P39" i="11"/>
  <c r="O39" i="11"/>
  <c r="N39" i="11"/>
  <c r="S38" i="11"/>
  <c r="R38" i="11"/>
  <c r="Q38" i="11"/>
  <c r="P38" i="11"/>
  <c r="O38" i="11"/>
  <c r="S37" i="11"/>
  <c r="R37" i="11"/>
  <c r="Q37" i="11"/>
  <c r="P37" i="11"/>
  <c r="S36" i="11"/>
  <c r="R36" i="11"/>
  <c r="Q36" i="11"/>
  <c r="S35" i="11"/>
  <c r="R35" i="11"/>
  <c r="S34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Y72" i="3"/>
  <c r="U72" i="3"/>
  <c r="U29" i="7"/>
  <c r="C29" i="7" s="1"/>
  <c r="U29" i="8"/>
  <c r="C29" i="8" s="1"/>
  <c r="U29" i="6"/>
  <c r="C29" i="6" s="1"/>
  <c r="Y71" i="3"/>
  <c r="U71" i="3"/>
  <c r="U28" i="7"/>
  <c r="D28" i="7" s="1"/>
  <c r="U28" i="8"/>
  <c r="D28" i="8" s="1"/>
  <c r="U28" i="6"/>
  <c r="D28" i="6" s="1"/>
  <c r="Y70" i="3"/>
  <c r="U70" i="3"/>
  <c r="U27" i="7"/>
  <c r="E27" i="7" s="1"/>
  <c r="U27" i="8"/>
  <c r="E27" i="8" s="1"/>
  <c r="U27" i="6"/>
  <c r="E27" i="6" s="1"/>
  <c r="Y69" i="3"/>
  <c r="U69" i="3"/>
  <c r="U26" i="7"/>
  <c r="F26" i="7" s="1"/>
  <c r="U26" i="8"/>
  <c r="F26" i="8" s="1"/>
  <c r="U26" i="5"/>
  <c r="F26" i="5" s="1"/>
  <c r="Y68" i="3"/>
  <c r="U68" i="3"/>
  <c r="U25" i="7"/>
  <c r="G25" i="7" s="1"/>
  <c r="U25" i="8"/>
  <c r="G25" i="8" s="1"/>
  <c r="U25" i="5"/>
  <c r="G25" i="5" s="1"/>
  <c r="U25" i="6"/>
  <c r="G25" i="6" s="1"/>
  <c r="Y67" i="3"/>
  <c r="U67" i="3"/>
  <c r="U24" i="7"/>
  <c r="H24" i="7" s="1"/>
  <c r="U24" i="8"/>
  <c r="H24" i="8" s="1"/>
  <c r="U24" i="5"/>
  <c r="H24" i="5" s="1"/>
  <c r="Y66" i="3"/>
  <c r="U23" i="10"/>
  <c r="I23" i="10" s="1"/>
  <c r="U23" i="8"/>
  <c r="I23" i="8" s="1"/>
  <c r="U23" i="5"/>
  <c r="I23" i="5" s="1"/>
  <c r="Y65" i="3"/>
  <c r="U65" i="3"/>
  <c r="U22" i="8"/>
  <c r="J22" i="8" s="1"/>
  <c r="U22" i="5"/>
  <c r="J22" i="5" s="1"/>
  <c r="I43" i="5" s="1"/>
  <c r="Y64" i="3"/>
  <c r="U64" i="3"/>
  <c r="U21" i="8"/>
  <c r="K21" i="8" s="1"/>
  <c r="U21" i="5"/>
  <c r="K21" i="5" s="1"/>
  <c r="Y63" i="3"/>
  <c r="U63" i="3"/>
  <c r="U20" i="7"/>
  <c r="L20" i="7" s="1"/>
  <c r="U20" i="8"/>
  <c r="L20" i="8" s="1"/>
  <c r="U20" i="5"/>
  <c r="L20" i="5" s="1"/>
  <c r="Y62" i="3"/>
  <c r="U19" i="10"/>
  <c r="M19" i="10" s="1"/>
  <c r="U19" i="8"/>
  <c r="M19" i="8" s="1"/>
  <c r="U19" i="5"/>
  <c r="M19" i="5" s="1"/>
  <c r="L40" i="5" s="1"/>
  <c r="Y61" i="3"/>
  <c r="U61" i="3"/>
  <c r="U18" i="8"/>
  <c r="N18" i="8" s="1"/>
  <c r="U18" i="5"/>
  <c r="N18" i="5" s="1"/>
  <c r="Y60" i="3"/>
  <c r="U60" i="3"/>
  <c r="U17" i="8"/>
  <c r="O17" i="8" s="1"/>
  <c r="U17" i="5"/>
  <c r="O17" i="5" s="1"/>
  <c r="Y59" i="3"/>
  <c r="U59" i="3"/>
  <c r="U16" i="7"/>
  <c r="P16" i="7" s="1"/>
  <c r="U16" i="8"/>
  <c r="P16" i="8" s="1"/>
  <c r="U16" i="5"/>
  <c r="P16" i="5" s="1"/>
  <c r="Y58" i="3"/>
  <c r="U15" i="10"/>
  <c r="Q15" i="10" s="1"/>
  <c r="U15" i="8"/>
  <c r="Q15" i="8" s="1"/>
  <c r="U15" i="5"/>
  <c r="Q15" i="5" s="1"/>
  <c r="Y57" i="3"/>
  <c r="U57" i="3"/>
  <c r="U14" i="8"/>
  <c r="R14" i="8" s="1"/>
  <c r="U14" i="5"/>
  <c r="R14" i="5" s="1"/>
  <c r="Q35" i="5" s="1"/>
  <c r="Y56" i="3"/>
  <c r="U56" i="3"/>
  <c r="U13" i="8"/>
  <c r="S13" i="8" s="1"/>
  <c r="U13" i="5"/>
  <c r="S13" i="5" s="1"/>
  <c r="P24" i="14"/>
  <c r="C24" i="14" s="1"/>
  <c r="P24" i="13"/>
  <c r="C24" i="13" s="1"/>
  <c r="G42" i="29"/>
  <c r="U29" i="12"/>
  <c r="C29" i="12" s="1"/>
  <c r="P23" i="14"/>
  <c r="D23" i="14" s="1"/>
  <c r="P23" i="13"/>
  <c r="D23" i="13" s="1"/>
  <c r="G41" i="29"/>
  <c r="U28" i="12"/>
  <c r="D28" i="12" s="1"/>
  <c r="P22" i="14"/>
  <c r="E22" i="14" s="1"/>
  <c r="P22" i="13"/>
  <c r="E22" i="13" s="1"/>
  <c r="U27" i="12"/>
  <c r="E27" i="12" s="1"/>
  <c r="P21" i="14"/>
  <c r="F21" i="14" s="1"/>
  <c r="P21" i="13"/>
  <c r="F21" i="13" s="1"/>
  <c r="G39" i="29"/>
  <c r="U26" i="12"/>
  <c r="F26" i="12" s="1"/>
  <c r="P20" i="14"/>
  <c r="G20" i="14" s="1"/>
  <c r="P20" i="13"/>
  <c r="G20" i="13" s="1"/>
  <c r="U25" i="12"/>
  <c r="G25" i="12" s="1"/>
  <c r="P19" i="14"/>
  <c r="H19" i="14" s="1"/>
  <c r="P19" i="13"/>
  <c r="H19" i="13" s="1"/>
  <c r="G37" i="29"/>
  <c r="U24" i="12"/>
  <c r="H24" i="12" s="1"/>
  <c r="P18" i="14"/>
  <c r="I18" i="14" s="1"/>
  <c r="P18" i="13"/>
  <c r="I18" i="13" s="1"/>
  <c r="U23" i="12"/>
  <c r="I23" i="12" s="1"/>
  <c r="P17" i="14"/>
  <c r="J17" i="14" s="1"/>
  <c r="P17" i="13"/>
  <c r="J17" i="13" s="1"/>
  <c r="G35" i="29"/>
  <c r="U22" i="12"/>
  <c r="J22" i="12" s="1"/>
  <c r="P16" i="14"/>
  <c r="K16" i="14" s="1"/>
  <c r="P16" i="13"/>
  <c r="K16" i="13" s="1"/>
  <c r="U21" i="12"/>
  <c r="K21" i="12" s="1"/>
  <c r="P15" i="14"/>
  <c r="L15" i="14" s="1"/>
  <c r="P15" i="13"/>
  <c r="L15" i="13" s="1"/>
  <c r="G33" i="29"/>
  <c r="U20" i="12"/>
  <c r="L20" i="12" s="1"/>
  <c r="P14" i="14"/>
  <c r="M14" i="14" s="1"/>
  <c r="P14" i="13"/>
  <c r="M14" i="13" s="1"/>
  <c r="U19" i="12"/>
  <c r="M19" i="12" s="1"/>
  <c r="G31" i="29"/>
  <c r="U18" i="12"/>
  <c r="N18" i="12" s="1"/>
  <c r="U17" i="12"/>
  <c r="O17" i="12" s="1"/>
  <c r="G29" i="29"/>
  <c r="U16" i="12"/>
  <c r="P16" i="12" s="1"/>
  <c r="U15" i="12"/>
  <c r="Q15" i="12" s="1"/>
  <c r="G27" i="29"/>
  <c r="U14" i="12"/>
  <c r="R14" i="12" s="1"/>
  <c r="U13" i="12"/>
  <c r="S13" i="12" s="1"/>
  <c r="A39" i="3"/>
  <c r="A72" i="3" s="1"/>
  <c r="C9" i="2"/>
  <c r="A28" i="11"/>
  <c r="A68" i="11" s="1"/>
  <c r="A29" i="11"/>
  <c r="H55" i="5"/>
  <c r="J55" i="8"/>
  <c r="K55" i="12"/>
  <c r="M54" i="5"/>
  <c r="L55" i="12"/>
  <c r="E53" i="8"/>
  <c r="N53" i="5"/>
  <c r="G55" i="7"/>
  <c r="F54" i="8"/>
  <c r="F54" i="12"/>
  <c r="N54" i="5"/>
  <c r="R53" i="8"/>
  <c r="A1" i="7"/>
  <c r="E55" i="8"/>
  <c r="P53" i="12"/>
  <c r="L53" i="8"/>
  <c r="D54" i="7"/>
  <c r="I55" i="5"/>
  <c r="I53" i="8"/>
  <c r="Q54" i="12"/>
  <c r="F43" i="13"/>
  <c r="C53" i="8"/>
  <c r="K44" i="13"/>
  <c r="N54" i="12"/>
  <c r="C54" i="12"/>
  <c r="K54" i="12"/>
  <c r="G53" i="8"/>
  <c r="H53" i="8"/>
  <c r="I43" i="13"/>
  <c r="F53" i="7"/>
  <c r="C43" i="13"/>
  <c r="M54" i="12"/>
  <c r="D55" i="8"/>
  <c r="H45" i="13"/>
  <c r="P54" i="5"/>
  <c r="S52" i="7"/>
  <c r="G43" i="13"/>
  <c r="S55" i="5"/>
  <c r="L44" i="13"/>
  <c r="K54" i="5"/>
  <c r="A1" i="5"/>
  <c r="L54" i="5"/>
  <c r="C55" i="8"/>
  <c r="G53" i="5"/>
  <c r="A1" i="12"/>
  <c r="C45" i="13"/>
  <c r="P55" i="5"/>
  <c r="P55" i="12"/>
  <c r="N54" i="8"/>
  <c r="C53" i="12"/>
  <c r="H54" i="8"/>
  <c r="J54" i="12"/>
  <c r="C54" i="8"/>
  <c r="O54" i="5"/>
  <c r="E55" i="7"/>
  <c r="D44" i="13"/>
  <c r="F45" i="13"/>
  <c r="J43" i="13"/>
  <c r="I54" i="12"/>
  <c r="M53" i="12"/>
  <c r="G54" i="12"/>
  <c r="C55" i="7"/>
  <c r="N55" i="12"/>
  <c r="Q54" i="8"/>
  <c r="R53" i="5"/>
  <c r="F53" i="8"/>
  <c r="M53" i="5"/>
  <c r="J45" i="13"/>
  <c r="O53" i="5"/>
  <c r="Q53" i="5"/>
  <c r="A1" i="6"/>
  <c r="O54" i="12"/>
  <c r="D53" i="12"/>
  <c r="L43" i="13"/>
  <c r="T14" i="13"/>
  <c r="O55" i="12"/>
  <c r="Q55" i="12"/>
  <c r="N42" i="13"/>
  <c r="G44" i="13"/>
  <c r="F54" i="5"/>
  <c r="G54" i="5"/>
  <c r="T23" i="13"/>
  <c r="J55" i="5"/>
  <c r="L53" i="12"/>
  <c r="H44" i="13"/>
  <c r="P53" i="5"/>
  <c r="M55" i="8"/>
  <c r="C55" i="12"/>
  <c r="O55" i="5"/>
  <c r="I44" i="13"/>
  <c r="E54" i="12"/>
  <c r="D54" i="6"/>
  <c r="A1" i="9"/>
  <c r="E44" i="13"/>
  <c r="S53" i="5"/>
  <c r="K53" i="5"/>
  <c r="I53" i="12"/>
  <c r="S55" i="12"/>
  <c r="D45" i="13"/>
  <c r="S52" i="5"/>
  <c r="F55" i="12"/>
  <c r="C44" i="13"/>
  <c r="H55" i="8"/>
  <c r="L55" i="8"/>
  <c r="F55" i="5"/>
  <c r="T18" i="13"/>
  <c r="M54" i="8"/>
  <c r="O53" i="8"/>
  <c r="I45" i="13"/>
  <c r="H43" i="13"/>
  <c r="E53" i="12"/>
  <c r="C53" i="7"/>
  <c r="K45" i="13"/>
  <c r="S52" i="6"/>
  <c r="I55" i="8"/>
  <c r="E54" i="8"/>
  <c r="S52" i="10"/>
  <c r="E45" i="13"/>
  <c r="L45" i="13"/>
  <c r="S52" i="9"/>
  <c r="O55" i="8"/>
  <c r="N55" i="5"/>
  <c r="E53" i="7"/>
  <c r="G55" i="12"/>
  <c r="I53" i="5"/>
  <c r="C54" i="6"/>
  <c r="J44" i="13"/>
  <c r="S54" i="12"/>
  <c r="G45" i="13"/>
  <c r="F53" i="12"/>
  <c r="H54" i="12"/>
  <c r="G53" i="7"/>
  <c r="S53" i="8"/>
  <c r="S54" i="8"/>
  <c r="K55" i="5"/>
  <c r="S55" i="8"/>
  <c r="T20" i="13"/>
  <c r="N55" i="8"/>
  <c r="N53" i="8"/>
  <c r="C54" i="7"/>
  <c r="G55" i="5"/>
  <c r="Q55" i="5"/>
  <c r="D53" i="8"/>
  <c r="O54" i="8"/>
  <c r="G53" i="12"/>
  <c r="T16" i="13"/>
  <c r="M55" i="12"/>
  <c r="L54" i="12"/>
  <c r="Q55" i="8"/>
  <c r="P54" i="8"/>
  <c r="R53" i="12"/>
  <c r="R54" i="8"/>
  <c r="Q54" i="5"/>
  <c r="F55" i="8"/>
  <c r="F53" i="5"/>
  <c r="F55" i="7"/>
  <c r="D55" i="12"/>
  <c r="L54" i="8"/>
  <c r="J53" i="12"/>
  <c r="N53" i="12"/>
  <c r="J53" i="5"/>
  <c r="S52" i="12"/>
  <c r="G55" i="8"/>
  <c r="C53" i="6"/>
  <c r="G54" i="8"/>
  <c r="D53" i="7"/>
  <c r="H53" i="5"/>
  <c r="I54" i="8"/>
  <c r="K53" i="8"/>
  <c r="Q53" i="12"/>
  <c r="D54" i="8"/>
  <c r="D55" i="6"/>
  <c r="G54" i="7"/>
  <c r="P53" i="8"/>
  <c r="K55" i="8"/>
  <c r="R54" i="5"/>
  <c r="H53" i="12"/>
  <c r="P54" i="12"/>
  <c r="S52" i="11"/>
  <c r="L55" i="5"/>
  <c r="R55" i="12"/>
  <c r="O53" i="12"/>
  <c r="K53" i="12"/>
  <c r="S53" i="12"/>
  <c r="S52" i="8"/>
  <c r="P55" i="8"/>
  <c r="D43" i="13"/>
  <c r="D54" i="12"/>
  <c r="R55" i="8"/>
  <c r="J55" i="12"/>
  <c r="S54" i="5"/>
  <c r="F54" i="7"/>
  <c r="L53" i="5"/>
  <c r="I55" i="12"/>
  <c r="J53" i="8"/>
  <c r="C55" i="6"/>
  <c r="J54" i="8"/>
  <c r="H55" i="12"/>
  <c r="D55" i="7"/>
  <c r="K54" i="8"/>
  <c r="D53" i="6"/>
  <c r="M53" i="8"/>
  <c r="H54" i="5"/>
  <c r="E54" i="7"/>
  <c r="R54" i="12"/>
  <c r="K43" i="13"/>
  <c r="E43" i="13"/>
  <c r="A1" i="10"/>
  <c r="A1" i="8"/>
  <c r="I54" i="5"/>
  <c r="R55" i="5"/>
  <c r="E55" i="12"/>
  <c r="J54" i="5"/>
  <c r="Q53" i="8"/>
  <c r="F44" i="13"/>
  <c r="M55" i="5"/>
  <c r="E37" i="6" l="1"/>
  <c r="C44" i="6"/>
  <c r="P34" i="9"/>
  <c r="H35" i="9"/>
  <c r="E36" i="9"/>
  <c r="M36" i="9"/>
  <c r="G37" i="9"/>
  <c r="I41" i="9"/>
  <c r="G26" i="30"/>
  <c r="E35" i="12"/>
  <c r="I35" i="12"/>
  <c r="M35" i="12"/>
  <c r="F36" i="12"/>
  <c r="J36" i="12"/>
  <c r="N36" i="12"/>
  <c r="H37" i="12"/>
  <c r="K38" i="12"/>
  <c r="C35" i="6"/>
  <c r="G42" i="6"/>
  <c r="G43" i="6"/>
  <c r="M35" i="5"/>
  <c r="J36" i="5"/>
  <c r="N36" i="5"/>
  <c r="K38" i="5"/>
  <c r="C39" i="5"/>
  <c r="G39" i="5"/>
  <c r="K39" i="5"/>
  <c r="D40" i="5"/>
  <c r="H40" i="5"/>
  <c r="F41" i="5"/>
  <c r="J41" i="5"/>
  <c r="E42" i="5"/>
  <c r="I42" i="5"/>
  <c r="E43" i="5"/>
  <c r="F44" i="5"/>
  <c r="D45" i="5"/>
  <c r="C46" i="5"/>
  <c r="C47" i="5"/>
  <c r="E30" i="13"/>
  <c r="I30" i="13"/>
  <c r="F31" i="13"/>
  <c r="J31" i="13"/>
  <c r="E34" i="13"/>
  <c r="F35" i="12"/>
  <c r="J35" i="12"/>
  <c r="D35" i="9"/>
  <c r="L35" i="9"/>
  <c r="P35" i="9"/>
  <c r="I36" i="9"/>
  <c r="C37" i="9"/>
  <c r="K37" i="9"/>
  <c r="J38" i="9"/>
  <c r="K40" i="9"/>
  <c r="E41" i="9"/>
  <c r="G38" i="6"/>
  <c r="M39" i="5"/>
  <c r="G35" i="5"/>
  <c r="E42" i="9"/>
  <c r="H42" i="9"/>
  <c r="C48" i="9"/>
  <c r="C40" i="10"/>
  <c r="K40" i="10"/>
  <c r="E41" i="10"/>
  <c r="C36" i="5"/>
  <c r="F39" i="12"/>
  <c r="E43" i="12"/>
  <c r="C42" i="9"/>
  <c r="O35" i="5"/>
  <c r="D36" i="5"/>
  <c r="F37" i="5"/>
  <c r="N37" i="5"/>
  <c r="E38" i="5"/>
  <c r="I38" i="5"/>
  <c r="M38" i="5"/>
  <c r="E39" i="5"/>
  <c r="I39" i="5"/>
  <c r="C42" i="5"/>
  <c r="G42" i="5"/>
  <c r="G30" i="13"/>
  <c r="P36" i="5"/>
  <c r="K41" i="7"/>
  <c r="C49" i="7"/>
  <c r="N35" i="12"/>
  <c r="O34" i="10"/>
  <c r="I39" i="10"/>
  <c r="G42" i="10"/>
  <c r="L36" i="12"/>
  <c r="G38" i="10"/>
  <c r="K30" i="13"/>
  <c r="A68" i="5"/>
  <c r="O37" i="8"/>
  <c r="G45" i="8"/>
  <c r="C44" i="9"/>
  <c r="F35" i="10"/>
  <c r="N35" i="10"/>
  <c r="C41" i="10"/>
  <c r="O34" i="7"/>
  <c r="I39" i="7"/>
  <c r="G43" i="7"/>
  <c r="G27" i="30"/>
  <c r="G31" i="30"/>
  <c r="G35" i="30"/>
  <c r="G39" i="30"/>
  <c r="E47" i="7"/>
  <c r="N38" i="8"/>
  <c r="F46" i="8"/>
  <c r="D45" i="9"/>
  <c r="I34" i="10"/>
  <c r="Q34" i="10"/>
  <c r="J36" i="10"/>
  <c r="L37" i="10"/>
  <c r="I37" i="6"/>
  <c r="D39" i="7"/>
  <c r="C35" i="8"/>
  <c r="G35" i="8"/>
  <c r="K35" i="8"/>
  <c r="O35" i="8"/>
  <c r="E38" i="8"/>
  <c r="I38" i="8"/>
  <c r="I39" i="8"/>
  <c r="L40" i="12"/>
  <c r="C40" i="12"/>
  <c r="P35" i="8"/>
  <c r="J38" i="8"/>
  <c r="F39" i="8"/>
  <c r="J39" i="8"/>
  <c r="K40" i="8"/>
  <c r="E41" i="8"/>
  <c r="D35" i="12"/>
  <c r="P35" i="12"/>
  <c r="D37" i="12"/>
  <c r="L37" i="12"/>
  <c r="C38" i="12"/>
  <c r="G38" i="12"/>
  <c r="D40" i="12"/>
  <c r="H40" i="12"/>
  <c r="F41" i="12"/>
  <c r="C48" i="12"/>
  <c r="C36" i="8"/>
  <c r="G36" i="8"/>
  <c r="K36" i="8"/>
  <c r="O36" i="8"/>
  <c r="E37" i="8"/>
  <c r="I37" i="8"/>
  <c r="M37" i="8"/>
  <c r="D39" i="8"/>
  <c r="L39" i="8"/>
  <c r="E40" i="8"/>
  <c r="G41" i="8"/>
  <c r="F42" i="8"/>
  <c r="F43" i="8"/>
  <c r="C44" i="8"/>
  <c r="G44" i="8"/>
  <c r="E45" i="8"/>
  <c r="D46" i="8"/>
  <c r="L40" i="10"/>
  <c r="K41" i="8"/>
  <c r="C49" i="8"/>
  <c r="C35" i="12"/>
  <c r="D36" i="12"/>
  <c r="H36" i="12"/>
  <c r="F37" i="12"/>
  <c r="J37" i="12"/>
  <c r="N37" i="12"/>
  <c r="E38" i="12"/>
  <c r="I38" i="12"/>
  <c r="M38" i="12"/>
  <c r="E39" i="12"/>
  <c r="I39" i="12"/>
  <c r="D44" i="12"/>
  <c r="E35" i="8"/>
  <c r="I35" i="8"/>
  <c r="M35" i="8"/>
  <c r="F36" i="8"/>
  <c r="J36" i="8"/>
  <c r="N36" i="8"/>
  <c r="D37" i="8"/>
  <c r="H37" i="8"/>
  <c r="L37" i="8"/>
  <c r="C38" i="8"/>
  <c r="G38" i="8"/>
  <c r="C39" i="8"/>
  <c r="D40" i="8"/>
  <c r="H40" i="8"/>
  <c r="I41" i="8"/>
  <c r="E42" i="8"/>
  <c r="E43" i="8"/>
  <c r="F44" i="8"/>
  <c r="D45" i="8"/>
  <c r="C46" i="8"/>
  <c r="C47" i="8"/>
  <c r="C48" i="8"/>
  <c r="E61" i="3"/>
  <c r="E65" i="3"/>
  <c r="E67" i="3"/>
  <c r="M36" i="6"/>
  <c r="F41" i="6"/>
  <c r="J41" i="6"/>
  <c r="E42" i="6"/>
  <c r="E43" i="6"/>
  <c r="D45" i="6"/>
  <c r="C46" i="6"/>
  <c r="R34" i="5"/>
  <c r="G39" i="8"/>
  <c r="D35" i="5"/>
  <c r="H35" i="5"/>
  <c r="L35" i="5"/>
  <c r="I36" i="5"/>
  <c r="M36" i="5"/>
  <c r="C37" i="5"/>
  <c r="K37" i="5"/>
  <c r="C40" i="5"/>
  <c r="G40" i="5"/>
  <c r="K40" i="5"/>
  <c r="E41" i="5"/>
  <c r="I41" i="5"/>
  <c r="C48" i="5"/>
  <c r="E32" i="13"/>
  <c r="I32" i="13"/>
  <c r="F33" i="13"/>
  <c r="G34" i="13"/>
  <c r="C38" i="13"/>
  <c r="F46" i="6"/>
  <c r="N37" i="6"/>
  <c r="M38" i="6"/>
  <c r="G34" i="12"/>
  <c r="O34" i="12"/>
  <c r="H34" i="8"/>
  <c r="F34" i="5"/>
  <c r="C34" i="9"/>
  <c r="C34" i="10"/>
  <c r="Q34" i="7"/>
  <c r="C34" i="7"/>
  <c r="L34" i="8"/>
  <c r="N34" i="5"/>
  <c r="D29" i="13"/>
  <c r="K31" i="13"/>
  <c r="G35" i="13"/>
  <c r="D34" i="12"/>
  <c r="I34" i="12"/>
  <c r="M34" i="12"/>
  <c r="P34" i="12"/>
  <c r="C37" i="8"/>
  <c r="F34" i="8"/>
  <c r="K34" i="8"/>
  <c r="O34" i="8"/>
  <c r="D34" i="5"/>
  <c r="G34" i="5"/>
  <c r="L34" i="5"/>
  <c r="O34" i="5"/>
  <c r="F29" i="13"/>
  <c r="J29" i="13"/>
  <c r="J34" i="12"/>
  <c r="E34" i="8"/>
  <c r="P34" i="8"/>
  <c r="P36" i="10"/>
  <c r="G34" i="9"/>
  <c r="E34" i="9"/>
  <c r="I34" i="9"/>
  <c r="N34" i="9"/>
  <c r="Q34" i="9"/>
  <c r="E35" i="9"/>
  <c r="I35" i="9"/>
  <c r="M35" i="9"/>
  <c r="F36" i="9"/>
  <c r="J36" i="9"/>
  <c r="N36" i="9"/>
  <c r="D37" i="9"/>
  <c r="H37" i="9"/>
  <c r="L37" i="9"/>
  <c r="C38" i="9"/>
  <c r="G38" i="9"/>
  <c r="K38" i="9"/>
  <c r="C39" i="9"/>
  <c r="G39" i="9"/>
  <c r="K39" i="9"/>
  <c r="D40" i="9"/>
  <c r="M38" i="7"/>
  <c r="H35" i="8"/>
  <c r="E36" i="8"/>
  <c r="I34" i="6"/>
  <c r="Q34" i="5"/>
  <c r="N35" i="5"/>
  <c r="D31" i="14"/>
  <c r="G35" i="3"/>
  <c r="G38" i="30"/>
  <c r="U29" i="11"/>
  <c r="C29" i="11" s="1"/>
  <c r="G42" i="30"/>
  <c r="E37" i="11"/>
  <c r="I37" i="11"/>
  <c r="M37" i="11"/>
  <c r="D38" i="11"/>
  <c r="H38" i="11"/>
  <c r="L38" i="11"/>
  <c r="D39" i="11"/>
  <c r="H39" i="11"/>
  <c r="L39" i="11"/>
  <c r="E40" i="11"/>
  <c r="I40" i="11"/>
  <c r="F43" i="11"/>
  <c r="C44" i="11"/>
  <c r="G44" i="11"/>
  <c r="F34" i="7"/>
  <c r="F35" i="7"/>
  <c r="J35" i="7"/>
  <c r="O36" i="7"/>
  <c r="E37" i="7"/>
  <c r="G38" i="7"/>
  <c r="K39" i="7"/>
  <c r="E45" i="7"/>
  <c r="D46" i="7"/>
  <c r="F34" i="6"/>
  <c r="N34" i="6"/>
  <c r="M35" i="6"/>
  <c r="H37" i="6"/>
  <c r="M37" i="6"/>
  <c r="U21" i="11"/>
  <c r="K21" i="11" s="1"/>
  <c r="G34" i="30"/>
  <c r="U15" i="11"/>
  <c r="Q15" i="11" s="1"/>
  <c r="P36" i="11" s="1"/>
  <c r="G28" i="30"/>
  <c r="U19" i="11"/>
  <c r="M19" i="11" s="1"/>
  <c r="G32" i="30"/>
  <c r="U23" i="11"/>
  <c r="I23" i="11" s="1"/>
  <c r="H44" i="11" s="1"/>
  <c r="G36" i="30"/>
  <c r="U27" i="11"/>
  <c r="E27" i="11" s="1"/>
  <c r="D48" i="11" s="1"/>
  <c r="G40" i="30"/>
  <c r="U17" i="11"/>
  <c r="O17" i="11" s="1"/>
  <c r="N38" i="11" s="1"/>
  <c r="G30" i="30"/>
  <c r="G37" i="11"/>
  <c r="K37" i="11"/>
  <c r="F38" i="11"/>
  <c r="J38" i="11"/>
  <c r="F39" i="11"/>
  <c r="J39" i="11"/>
  <c r="C40" i="11"/>
  <c r="G40" i="11"/>
  <c r="K40" i="11"/>
  <c r="E41" i="11"/>
  <c r="I41" i="11"/>
  <c r="D42" i="11"/>
  <c r="H42" i="11"/>
  <c r="D43" i="11"/>
  <c r="H43" i="11"/>
  <c r="E44" i="11"/>
  <c r="C45" i="11"/>
  <c r="C48" i="11"/>
  <c r="U16" i="11"/>
  <c r="P16" i="11" s="1"/>
  <c r="O37" i="11" s="1"/>
  <c r="G29" i="30"/>
  <c r="U20" i="11"/>
  <c r="L20" i="11" s="1"/>
  <c r="K41" i="11" s="1"/>
  <c r="G33" i="30"/>
  <c r="U24" i="11"/>
  <c r="H24" i="11" s="1"/>
  <c r="G45" i="11" s="1"/>
  <c r="G37" i="30"/>
  <c r="U28" i="11"/>
  <c r="D28" i="11" s="1"/>
  <c r="C49" i="11" s="1"/>
  <c r="G41" i="30"/>
  <c r="H34" i="12"/>
  <c r="O35" i="7"/>
  <c r="H41" i="7"/>
  <c r="D34" i="8"/>
  <c r="H35" i="6"/>
  <c r="K35" i="6"/>
  <c r="O35" i="6"/>
  <c r="E36" i="6"/>
  <c r="C37" i="6"/>
  <c r="I38" i="6"/>
  <c r="I39" i="6"/>
  <c r="J40" i="6"/>
  <c r="J35" i="5"/>
  <c r="I35" i="5"/>
  <c r="H38" i="5"/>
  <c r="G38" i="5"/>
  <c r="H34" i="11"/>
  <c r="L34" i="11"/>
  <c r="P34" i="11"/>
  <c r="E35" i="11"/>
  <c r="I35" i="11"/>
  <c r="M35" i="11"/>
  <c r="C36" i="11"/>
  <c r="G36" i="11"/>
  <c r="K36" i="11"/>
  <c r="L38" i="5"/>
  <c r="J34" i="5"/>
  <c r="I34" i="5"/>
  <c r="G36" i="5"/>
  <c r="F36" i="5"/>
  <c r="H34" i="9"/>
  <c r="L34" i="9"/>
  <c r="D36" i="9"/>
  <c r="D34" i="6"/>
  <c r="C34" i="6"/>
  <c r="E34" i="5"/>
  <c r="F35" i="5"/>
  <c r="E35" i="5"/>
  <c r="K35" i="12"/>
  <c r="G36" i="12"/>
  <c r="F36" i="7"/>
  <c r="G36" i="7"/>
  <c r="M34" i="5"/>
  <c r="F39" i="9"/>
  <c r="J39" i="9"/>
  <c r="C40" i="9"/>
  <c r="G40" i="9"/>
  <c r="D42" i="9"/>
  <c r="D35" i="10"/>
  <c r="H35" i="10"/>
  <c r="L35" i="10"/>
  <c r="J34" i="7"/>
  <c r="N34" i="7"/>
  <c r="K35" i="7"/>
  <c r="N35" i="7"/>
  <c r="C36" i="7"/>
  <c r="H36" i="7"/>
  <c r="K36" i="7"/>
  <c r="I37" i="7"/>
  <c r="M37" i="7"/>
  <c r="D38" i="7"/>
  <c r="H38" i="7"/>
  <c r="H39" i="7"/>
  <c r="L39" i="7"/>
  <c r="F43" i="7"/>
  <c r="C44" i="7"/>
  <c r="G44" i="7"/>
  <c r="C40" i="8"/>
  <c r="E34" i="6"/>
  <c r="H34" i="6"/>
  <c r="M34" i="6"/>
  <c r="P34" i="6"/>
  <c r="E35" i="6"/>
  <c r="I35" i="6"/>
  <c r="L35" i="6"/>
  <c r="P35" i="6"/>
  <c r="F36" i="6"/>
  <c r="J36" i="6"/>
  <c r="N36" i="6"/>
  <c r="D37" i="6"/>
  <c r="G37" i="6"/>
  <c r="L37" i="6"/>
  <c r="C38" i="6"/>
  <c r="K38" i="6"/>
  <c r="F39" i="6"/>
  <c r="J39" i="6"/>
  <c r="C40" i="6"/>
  <c r="G40" i="6"/>
  <c r="K40" i="6"/>
  <c r="E41" i="6"/>
  <c r="F44" i="6"/>
  <c r="C47" i="6"/>
  <c r="C48" i="6"/>
  <c r="C35" i="5"/>
  <c r="P35" i="5"/>
  <c r="F34" i="13"/>
  <c r="C34" i="13"/>
  <c r="H40" i="9"/>
  <c r="F41" i="9"/>
  <c r="J41" i="9"/>
  <c r="I42" i="9"/>
  <c r="E43" i="9"/>
  <c r="F44" i="9"/>
  <c r="C46" i="9"/>
  <c r="C47" i="9"/>
  <c r="E34" i="10"/>
  <c r="J34" i="10"/>
  <c r="M34" i="10"/>
  <c r="E35" i="10"/>
  <c r="J35" i="10"/>
  <c r="M35" i="10"/>
  <c r="F36" i="10"/>
  <c r="K36" i="10"/>
  <c r="N36" i="10"/>
  <c r="E37" i="10"/>
  <c r="H37" i="10"/>
  <c r="C38" i="10"/>
  <c r="H38" i="10"/>
  <c r="K38" i="10"/>
  <c r="I40" i="10"/>
  <c r="F43" i="10"/>
  <c r="C44" i="10"/>
  <c r="C46" i="10"/>
  <c r="E34" i="7"/>
  <c r="I34" i="7"/>
  <c r="M34" i="7"/>
  <c r="H35" i="7"/>
  <c r="J36" i="7"/>
  <c r="N36" i="7"/>
  <c r="D37" i="7"/>
  <c r="H37" i="7"/>
  <c r="K37" i="7"/>
  <c r="C38" i="7"/>
  <c r="K38" i="7"/>
  <c r="C39" i="7"/>
  <c r="D40" i="7"/>
  <c r="H40" i="7"/>
  <c r="F41" i="7"/>
  <c r="C46" i="7"/>
  <c r="M36" i="8"/>
  <c r="K37" i="8"/>
  <c r="K38" i="8"/>
  <c r="G34" i="6"/>
  <c r="K34" i="6"/>
  <c r="O34" i="6"/>
  <c r="F35" i="6"/>
  <c r="J35" i="6"/>
  <c r="N35" i="6"/>
  <c r="D36" i="6"/>
  <c r="H36" i="6"/>
  <c r="L36" i="6"/>
  <c r="O36" i="6"/>
  <c r="F37" i="6"/>
  <c r="J37" i="6"/>
  <c r="E38" i="6"/>
  <c r="E39" i="6"/>
  <c r="F40" i="6"/>
  <c r="D41" i="6"/>
  <c r="H41" i="6"/>
  <c r="C42" i="6"/>
  <c r="F43" i="6"/>
  <c r="G44" i="6"/>
  <c r="K35" i="5"/>
  <c r="P34" i="5"/>
  <c r="F36" i="11"/>
  <c r="J36" i="11"/>
  <c r="N36" i="11"/>
  <c r="J37" i="11"/>
  <c r="N37" i="11"/>
  <c r="I38" i="11"/>
  <c r="M38" i="11"/>
  <c r="E39" i="11"/>
  <c r="I39" i="11"/>
  <c r="F40" i="11"/>
  <c r="J40" i="11"/>
  <c r="D41" i="11"/>
  <c r="H41" i="11"/>
  <c r="C42" i="11"/>
  <c r="E46" i="11"/>
  <c r="L40" i="8"/>
  <c r="D48" i="8"/>
  <c r="K34" i="12"/>
  <c r="G35" i="12"/>
  <c r="L35" i="12"/>
  <c r="I37" i="12"/>
  <c r="H39" i="12"/>
  <c r="E34" i="12"/>
  <c r="Q34" i="12"/>
  <c r="J41" i="12"/>
  <c r="I35" i="10"/>
  <c r="D37" i="10"/>
  <c r="D34" i="9"/>
  <c r="F34" i="9"/>
  <c r="K34" i="9"/>
  <c r="O34" i="9"/>
  <c r="C35" i="9"/>
  <c r="G35" i="9"/>
  <c r="K35" i="9"/>
  <c r="O35" i="9"/>
  <c r="C36" i="9"/>
  <c r="H36" i="9"/>
  <c r="L36" i="9"/>
  <c r="F37" i="9"/>
  <c r="M37" i="9"/>
  <c r="E39" i="9"/>
  <c r="I39" i="9"/>
  <c r="G42" i="9"/>
  <c r="G44" i="9"/>
  <c r="E45" i="9"/>
  <c r="F34" i="10"/>
  <c r="K34" i="10"/>
  <c r="N34" i="10"/>
  <c r="C35" i="10"/>
  <c r="G35" i="10"/>
  <c r="K35" i="10"/>
  <c r="O35" i="10"/>
  <c r="C36" i="10"/>
  <c r="G36" i="10"/>
  <c r="L36" i="10"/>
  <c r="O36" i="10"/>
  <c r="F37" i="10"/>
  <c r="I37" i="10"/>
  <c r="M37" i="10"/>
  <c r="D38" i="10"/>
  <c r="L38" i="10"/>
  <c r="D39" i="10"/>
  <c r="H39" i="10"/>
  <c r="L39" i="10"/>
  <c r="E40" i="10"/>
  <c r="G41" i="10"/>
  <c r="I34" i="8"/>
  <c r="F38" i="8"/>
  <c r="K39" i="8"/>
  <c r="J41" i="8"/>
  <c r="I42" i="8"/>
  <c r="J34" i="6"/>
  <c r="D35" i="6"/>
  <c r="Q34" i="6"/>
  <c r="L36" i="5"/>
  <c r="J37" i="5"/>
  <c r="C34" i="5"/>
  <c r="K34" i="5"/>
  <c r="E31" i="13"/>
  <c r="I31" i="13"/>
  <c r="F32" i="13"/>
  <c r="D48" i="7"/>
  <c r="L34" i="12"/>
  <c r="H35" i="12"/>
  <c r="C37" i="12"/>
  <c r="G40" i="12"/>
  <c r="E41" i="12"/>
  <c r="E43" i="10"/>
  <c r="M34" i="9"/>
  <c r="L37" i="7"/>
  <c r="M34" i="8"/>
  <c r="D35" i="8"/>
  <c r="L35" i="8"/>
  <c r="I36" i="8"/>
  <c r="G37" i="8"/>
  <c r="G40" i="8"/>
  <c r="L34" i="6"/>
  <c r="I36" i="6"/>
  <c r="K37" i="6"/>
  <c r="H36" i="5"/>
  <c r="M34" i="11"/>
  <c r="F35" i="11"/>
  <c r="J35" i="11"/>
  <c r="N35" i="11"/>
  <c r="D36" i="11"/>
  <c r="H36" i="11"/>
  <c r="L36" i="11"/>
  <c r="Q35" i="12"/>
  <c r="J32" i="13"/>
  <c r="I43" i="12"/>
  <c r="F36" i="13"/>
  <c r="Q35" i="8"/>
  <c r="I43" i="8"/>
  <c r="D48" i="6"/>
  <c r="F34" i="12"/>
  <c r="O35" i="12"/>
  <c r="L38" i="7"/>
  <c r="G34" i="7"/>
  <c r="K34" i="7"/>
  <c r="C35" i="7"/>
  <c r="G35" i="7"/>
  <c r="L36" i="7"/>
  <c r="J37" i="7"/>
  <c r="N37" i="7"/>
  <c r="E38" i="7"/>
  <c r="F40" i="7"/>
  <c r="E46" i="7"/>
  <c r="Q34" i="8"/>
  <c r="F41" i="8"/>
  <c r="G35" i="6"/>
  <c r="E57" i="3"/>
  <c r="E63" i="3"/>
  <c r="E69" i="3"/>
  <c r="N38" i="5"/>
  <c r="E72" i="3"/>
  <c r="K41" i="12"/>
  <c r="C49" i="12"/>
  <c r="R34" i="8"/>
  <c r="J42" i="8"/>
  <c r="R34" i="12"/>
  <c r="K56" i="3"/>
  <c r="K60" i="3"/>
  <c r="K62" i="3"/>
  <c r="K64" i="3"/>
  <c r="D41" i="7"/>
  <c r="C42" i="7"/>
  <c r="G42" i="7"/>
  <c r="C43" i="7"/>
  <c r="D44" i="7"/>
  <c r="F45" i="7"/>
  <c r="F13" i="15"/>
  <c r="J13" i="15"/>
  <c r="C14" i="15"/>
  <c r="G14" i="15"/>
  <c r="K14" i="15"/>
  <c r="E15" i="15"/>
  <c r="I15" i="15"/>
  <c r="D16" i="15"/>
  <c r="H16" i="15"/>
  <c r="D17" i="15"/>
  <c r="H17" i="15"/>
  <c r="E18" i="15"/>
  <c r="C19" i="15"/>
  <c r="C22" i="15"/>
  <c r="I34" i="11"/>
  <c r="E45" i="11"/>
  <c r="D46" i="11"/>
  <c r="D47" i="11"/>
  <c r="K36" i="12"/>
  <c r="O36" i="12"/>
  <c r="M37" i="12"/>
  <c r="L38" i="12"/>
  <c r="L39" i="12"/>
  <c r="F40" i="12"/>
  <c r="J40" i="12"/>
  <c r="D41" i="12"/>
  <c r="H41" i="12"/>
  <c r="C42" i="12"/>
  <c r="G42" i="12"/>
  <c r="C43" i="12"/>
  <c r="G43" i="12"/>
  <c r="C44" i="12"/>
  <c r="G44" i="12"/>
  <c r="F45" i="12"/>
  <c r="E46" i="12"/>
  <c r="J40" i="8"/>
  <c r="D41" i="8"/>
  <c r="C42" i="8"/>
  <c r="D47" i="8"/>
  <c r="I42" i="6"/>
  <c r="G13" i="15"/>
  <c r="K13" i="15"/>
  <c r="D14" i="15"/>
  <c r="H14" i="15"/>
  <c r="F15" i="15"/>
  <c r="J15" i="15"/>
  <c r="E16" i="15"/>
  <c r="I16" i="15"/>
  <c r="E17" i="15"/>
  <c r="F18" i="15"/>
  <c r="D19" i="15"/>
  <c r="C20" i="15"/>
  <c r="C21" i="15"/>
  <c r="G29" i="13"/>
  <c r="K29" i="13"/>
  <c r="C33" i="13"/>
  <c r="G33" i="13"/>
  <c r="C37" i="13"/>
  <c r="E34" i="11"/>
  <c r="G42" i="11"/>
  <c r="G43" i="11"/>
  <c r="F45" i="11"/>
  <c r="J41" i="7"/>
  <c r="D13" i="15"/>
  <c r="H13" i="15"/>
  <c r="L13" i="15"/>
  <c r="E14" i="15"/>
  <c r="I14" i="15"/>
  <c r="C15" i="15"/>
  <c r="G15" i="15"/>
  <c r="F16" i="15"/>
  <c r="F17" i="15"/>
  <c r="C18" i="15"/>
  <c r="G18" i="15"/>
  <c r="E19" i="15"/>
  <c r="D20" i="15"/>
  <c r="D21" i="15"/>
  <c r="C32" i="13"/>
  <c r="G32" i="13"/>
  <c r="F35" i="13"/>
  <c r="C36" i="13"/>
  <c r="E13" i="15"/>
  <c r="I13" i="15"/>
  <c r="F14" i="15"/>
  <c r="J14" i="15"/>
  <c r="D15" i="15"/>
  <c r="H15" i="15"/>
  <c r="C16" i="15"/>
  <c r="G16" i="15"/>
  <c r="C17" i="15"/>
  <c r="G17" i="15"/>
  <c r="D18" i="15"/>
  <c r="F19" i="15"/>
  <c r="E20" i="15"/>
  <c r="F30" i="13"/>
  <c r="J30" i="13"/>
  <c r="G31" i="13"/>
  <c r="C35" i="13"/>
  <c r="E59" i="3"/>
  <c r="K58" i="3"/>
  <c r="M38" i="3"/>
  <c r="E56" i="3"/>
  <c r="E58" i="3"/>
  <c r="E62" i="3"/>
  <c r="E64" i="3"/>
  <c r="E66" i="3"/>
  <c r="K57" i="3"/>
  <c r="K61" i="3"/>
  <c r="K65" i="3"/>
  <c r="G19" i="15"/>
  <c r="F20" i="15"/>
  <c r="U26" i="10"/>
  <c r="F26" i="10" s="1"/>
  <c r="U17" i="9"/>
  <c r="O17" i="9" s="1"/>
  <c r="K66" i="3"/>
  <c r="W67" i="3"/>
  <c r="K70" i="3"/>
  <c r="U22" i="10"/>
  <c r="J22" i="10" s="1"/>
  <c r="U29" i="9"/>
  <c r="C29" i="9" s="1"/>
  <c r="G23" i="3"/>
  <c r="G27" i="3"/>
  <c r="G31" i="3"/>
  <c r="E60" i="3"/>
  <c r="U18" i="10"/>
  <c r="N18" i="10" s="1"/>
  <c r="U25" i="9"/>
  <c r="G25" i="9" s="1"/>
  <c r="U25" i="11"/>
  <c r="G25" i="11" s="1"/>
  <c r="U13" i="10"/>
  <c r="S13" i="10" s="1"/>
  <c r="U14" i="10"/>
  <c r="R14" i="10" s="1"/>
  <c r="U21" i="9"/>
  <c r="K21" i="9" s="1"/>
  <c r="M23" i="3"/>
  <c r="G26" i="29"/>
  <c r="M27" i="3"/>
  <c r="G30" i="29"/>
  <c r="M29" i="3"/>
  <c r="G32" i="29"/>
  <c r="M31" i="3"/>
  <c r="G34" i="29"/>
  <c r="M33" i="3"/>
  <c r="G36" i="29"/>
  <c r="M35" i="3"/>
  <c r="G38" i="29"/>
  <c r="M37" i="3"/>
  <c r="G40" i="29"/>
  <c r="U19" i="7"/>
  <c r="M19" i="7" s="1"/>
  <c r="U15" i="6"/>
  <c r="Q15" i="6" s="1"/>
  <c r="P36" i="6" s="1"/>
  <c r="U29" i="5"/>
  <c r="C29" i="5" s="1"/>
  <c r="C24" i="15" s="1"/>
  <c r="M24" i="3"/>
  <c r="G25" i="3"/>
  <c r="M26" i="3"/>
  <c r="M28" i="3"/>
  <c r="G29" i="3"/>
  <c r="M30" i="3"/>
  <c r="M32" i="3"/>
  <c r="G33" i="3"/>
  <c r="M34" i="3"/>
  <c r="M36" i="3"/>
  <c r="G37" i="3"/>
  <c r="M39" i="3"/>
  <c r="K69" i="3"/>
  <c r="E71" i="3"/>
  <c r="W72" i="3"/>
  <c r="U29" i="10"/>
  <c r="C29" i="10" s="1"/>
  <c r="U25" i="10"/>
  <c r="G25" i="10" s="1"/>
  <c r="F46" i="10" s="1"/>
  <c r="U21" i="10"/>
  <c r="K21" i="10" s="1"/>
  <c r="U17" i="10"/>
  <c r="O17" i="10" s="1"/>
  <c r="U28" i="9"/>
  <c r="D28" i="9" s="1"/>
  <c r="C49" i="9" s="1"/>
  <c r="U24" i="9"/>
  <c r="H24" i="9" s="1"/>
  <c r="U20" i="9"/>
  <c r="L20" i="9" s="1"/>
  <c r="U16" i="9"/>
  <c r="P16" i="9" s="1"/>
  <c r="P35" i="10"/>
  <c r="U13" i="7"/>
  <c r="S13" i="7" s="1"/>
  <c r="U22" i="7"/>
  <c r="J22" i="7" s="1"/>
  <c r="U18" i="7"/>
  <c r="N18" i="7" s="1"/>
  <c r="U14" i="7"/>
  <c r="R14" i="7" s="1"/>
  <c r="U13" i="6"/>
  <c r="S13" i="6" s="1"/>
  <c r="U26" i="6"/>
  <c r="F26" i="6" s="1"/>
  <c r="U22" i="6"/>
  <c r="J22" i="6" s="1"/>
  <c r="J17" i="15" s="1"/>
  <c r="U18" i="6"/>
  <c r="N18" i="6" s="1"/>
  <c r="U14" i="6"/>
  <c r="R14" i="6" s="1"/>
  <c r="L14" i="15"/>
  <c r="I17" i="15"/>
  <c r="D22" i="15"/>
  <c r="U28" i="5"/>
  <c r="D28" i="5" s="1"/>
  <c r="C49" i="5" s="1"/>
  <c r="I33" i="13"/>
  <c r="M25" i="3"/>
  <c r="G28" i="29"/>
  <c r="U23" i="7"/>
  <c r="I23" i="7" s="1"/>
  <c r="U23" i="6"/>
  <c r="I23" i="6" s="1"/>
  <c r="W56" i="3"/>
  <c r="W57" i="3"/>
  <c r="W59" i="3"/>
  <c r="W60" i="3"/>
  <c r="W61" i="3"/>
  <c r="W63" i="3"/>
  <c r="W64" i="3"/>
  <c r="W65" i="3"/>
  <c r="K68" i="3"/>
  <c r="E70" i="3"/>
  <c r="W71" i="3"/>
  <c r="K72" i="3"/>
  <c r="U28" i="10"/>
  <c r="D28" i="10" s="1"/>
  <c r="U24" i="10"/>
  <c r="H24" i="10" s="1"/>
  <c r="U20" i="10"/>
  <c r="L20" i="10" s="1"/>
  <c r="U16" i="10"/>
  <c r="P16" i="10" s="1"/>
  <c r="U27" i="9"/>
  <c r="E27" i="9" s="1"/>
  <c r="U23" i="9"/>
  <c r="I23" i="9" s="1"/>
  <c r="U19" i="9"/>
  <c r="M19" i="9" s="1"/>
  <c r="U15" i="9"/>
  <c r="Q15" i="9" s="1"/>
  <c r="U21" i="7"/>
  <c r="K21" i="7" s="1"/>
  <c r="U17" i="7"/>
  <c r="O17" i="7" s="1"/>
  <c r="N38" i="7" s="1"/>
  <c r="U21" i="6"/>
  <c r="K21" i="6" s="1"/>
  <c r="U17" i="6"/>
  <c r="O17" i="6" s="1"/>
  <c r="K15" i="15"/>
  <c r="J16" i="15"/>
  <c r="C23" i="15"/>
  <c r="U27" i="5"/>
  <c r="E27" i="5" s="1"/>
  <c r="U15" i="7"/>
  <c r="Q15" i="7" s="1"/>
  <c r="U19" i="6"/>
  <c r="M19" i="6" s="1"/>
  <c r="M14" i="15" s="1"/>
  <c r="K16" i="15"/>
  <c r="G24" i="3"/>
  <c r="G26" i="3"/>
  <c r="G28" i="3"/>
  <c r="G30" i="3"/>
  <c r="G32" i="3"/>
  <c r="G34" i="3"/>
  <c r="G36" i="3"/>
  <c r="G38" i="3"/>
  <c r="G39" i="3"/>
  <c r="U58" i="3"/>
  <c r="W58" i="3" s="1"/>
  <c r="K59" i="3"/>
  <c r="U62" i="3"/>
  <c r="W62" i="3" s="1"/>
  <c r="K63" i="3"/>
  <c r="U66" i="3"/>
  <c r="W66" i="3" s="1"/>
  <c r="K67" i="3"/>
  <c r="E68" i="3"/>
  <c r="K71" i="3"/>
  <c r="U26" i="11"/>
  <c r="F26" i="11" s="1"/>
  <c r="U22" i="11"/>
  <c r="J22" i="11" s="1"/>
  <c r="U18" i="11"/>
  <c r="N18" i="11" s="1"/>
  <c r="M39" i="11" s="1"/>
  <c r="U14" i="11"/>
  <c r="R14" i="11" s="1"/>
  <c r="U27" i="10"/>
  <c r="E27" i="10" s="1"/>
  <c r="U13" i="9"/>
  <c r="S13" i="9" s="1"/>
  <c r="U26" i="9"/>
  <c r="F26" i="9" s="1"/>
  <c r="E47" i="9" s="1"/>
  <c r="U22" i="9"/>
  <c r="J22" i="9" s="1"/>
  <c r="U18" i="9"/>
  <c r="N18" i="9" s="1"/>
  <c r="U14" i="9"/>
  <c r="R14" i="9" s="1"/>
  <c r="M38" i="8"/>
  <c r="U24" i="6"/>
  <c r="H24" i="6" s="1"/>
  <c r="U20" i="6"/>
  <c r="L20" i="6" s="1"/>
  <c r="U16" i="6"/>
  <c r="P16" i="6" s="1"/>
  <c r="M13" i="15"/>
  <c r="H18" i="15"/>
  <c r="E21" i="15"/>
  <c r="E37" i="13"/>
  <c r="C39" i="13"/>
  <c r="D34" i="11"/>
  <c r="C37" i="11"/>
  <c r="Q34" i="11"/>
  <c r="F42" i="10"/>
  <c r="G44" i="10"/>
  <c r="E45" i="10"/>
  <c r="D46" i="10"/>
  <c r="D47" i="10"/>
  <c r="F46" i="5"/>
  <c r="E29" i="13"/>
  <c r="I29" i="13"/>
  <c r="E33" i="13"/>
  <c r="E35" i="13"/>
  <c r="E36" i="13"/>
  <c r="E31" i="14"/>
  <c r="D37" i="11"/>
  <c r="H37" i="11"/>
  <c r="L37" i="11"/>
  <c r="C38" i="11"/>
  <c r="G38" i="11"/>
  <c r="K38" i="11"/>
  <c r="C39" i="11"/>
  <c r="G39" i="11"/>
  <c r="K39" i="11"/>
  <c r="D40" i="11"/>
  <c r="H40" i="11"/>
  <c r="F41" i="11"/>
  <c r="J41" i="11"/>
  <c r="E42" i="11"/>
  <c r="I42" i="11"/>
  <c r="E43" i="11"/>
  <c r="F44" i="11"/>
  <c r="D45" i="11"/>
  <c r="C46" i="11"/>
  <c r="C47" i="11"/>
  <c r="J42" i="12"/>
  <c r="G34" i="10"/>
  <c r="D36" i="10"/>
  <c r="H36" i="10"/>
  <c r="E39" i="10"/>
  <c r="G40" i="10"/>
  <c r="I41" i="10"/>
  <c r="C42" i="10"/>
  <c r="C48" i="10"/>
  <c r="C43" i="6"/>
  <c r="E46" i="6"/>
  <c r="G45" i="5"/>
  <c r="O37" i="5"/>
  <c r="G20" i="15"/>
  <c r="F34" i="11"/>
  <c r="J34" i="11"/>
  <c r="N34" i="11"/>
  <c r="C35" i="11"/>
  <c r="G35" i="11"/>
  <c r="K35" i="11"/>
  <c r="O35" i="11"/>
  <c r="E36" i="11"/>
  <c r="I36" i="11"/>
  <c r="M36" i="11"/>
  <c r="C41" i="11"/>
  <c r="G41" i="11"/>
  <c r="F42" i="11"/>
  <c r="O36" i="11"/>
  <c r="L35" i="7"/>
  <c r="P35" i="7"/>
  <c r="E36" i="7"/>
  <c r="C37" i="7"/>
  <c r="G37" i="7"/>
  <c r="J38" i="7"/>
  <c r="F39" i="7"/>
  <c r="J39" i="7"/>
  <c r="C40" i="7"/>
  <c r="K40" i="7"/>
  <c r="I41" i="7"/>
  <c r="C48" i="7"/>
  <c r="C31" i="13"/>
  <c r="D32" i="14"/>
  <c r="G34" i="11"/>
  <c r="K34" i="11"/>
  <c r="O34" i="11"/>
  <c r="D35" i="11"/>
  <c r="H35" i="11"/>
  <c r="L35" i="11"/>
  <c r="F37" i="11"/>
  <c r="E38" i="11"/>
  <c r="C43" i="11"/>
  <c r="D44" i="11"/>
  <c r="P35" i="11"/>
  <c r="H29" i="13"/>
  <c r="L29" i="13"/>
  <c r="D30" i="13"/>
  <c r="H30" i="13"/>
  <c r="L30" i="13"/>
  <c r="D31" i="13"/>
  <c r="H31" i="13"/>
  <c r="D32" i="13"/>
  <c r="H32" i="13"/>
  <c r="D33" i="13"/>
  <c r="H33" i="13"/>
  <c r="D34" i="13"/>
  <c r="H34" i="13"/>
  <c r="D35" i="13"/>
  <c r="D36" i="13"/>
  <c r="D37" i="13"/>
  <c r="D38" i="13"/>
  <c r="A45" i="14"/>
  <c r="C38" i="5"/>
  <c r="D38" i="5"/>
  <c r="C44" i="5"/>
  <c r="G44" i="5"/>
  <c r="E45" i="5"/>
  <c r="K36" i="5"/>
  <c r="D37" i="5"/>
  <c r="E37" i="5"/>
  <c r="H37" i="5"/>
  <c r="I37" i="5"/>
  <c r="L37" i="5"/>
  <c r="M37" i="5"/>
  <c r="O36" i="5"/>
  <c r="H39" i="5"/>
  <c r="F40" i="5"/>
  <c r="J40" i="5"/>
  <c r="D41" i="5"/>
  <c r="H41" i="5"/>
  <c r="C43" i="5"/>
  <c r="G43" i="5"/>
  <c r="D44" i="5"/>
  <c r="H44" i="5"/>
  <c r="F45" i="5"/>
  <c r="E46" i="5"/>
  <c r="C32" i="5"/>
  <c r="C60" i="5" s="1"/>
  <c r="D39" i="5"/>
  <c r="L39" i="5"/>
  <c r="E40" i="5"/>
  <c r="I40" i="5"/>
  <c r="C41" i="5"/>
  <c r="G41" i="5"/>
  <c r="K41" i="5"/>
  <c r="F42" i="5"/>
  <c r="J42" i="5"/>
  <c r="F43" i="5"/>
  <c r="D46" i="5"/>
  <c r="D47" i="5"/>
  <c r="E47" i="5"/>
  <c r="D11" i="5"/>
  <c r="F38" i="5"/>
  <c r="J38" i="5"/>
  <c r="F39" i="5"/>
  <c r="J39" i="5"/>
  <c r="D42" i="5"/>
  <c r="H42" i="5"/>
  <c r="D43" i="5"/>
  <c r="H43" i="5"/>
  <c r="E44" i="5"/>
  <c r="C45" i="5"/>
  <c r="C36" i="6"/>
  <c r="G36" i="6"/>
  <c r="K36" i="6"/>
  <c r="D44" i="6"/>
  <c r="D11" i="6"/>
  <c r="C32" i="6" s="1"/>
  <c r="C60" i="6" s="1"/>
  <c r="F38" i="6"/>
  <c r="J38" i="6"/>
  <c r="I41" i="6"/>
  <c r="D42" i="6"/>
  <c r="H42" i="6"/>
  <c r="D43" i="6"/>
  <c r="H43" i="6"/>
  <c r="E44" i="6"/>
  <c r="C45" i="6"/>
  <c r="A49" i="6"/>
  <c r="A68" i="6"/>
  <c r="C39" i="6"/>
  <c r="G39" i="6"/>
  <c r="K39" i="6"/>
  <c r="D40" i="6"/>
  <c r="H40" i="6"/>
  <c r="D38" i="6"/>
  <c r="H38" i="6"/>
  <c r="L38" i="6"/>
  <c r="D39" i="6"/>
  <c r="H39" i="6"/>
  <c r="L39" i="6"/>
  <c r="E40" i="6"/>
  <c r="I40" i="6"/>
  <c r="C41" i="6"/>
  <c r="G41" i="6"/>
  <c r="F42" i="6"/>
  <c r="E45" i="6"/>
  <c r="D46" i="6"/>
  <c r="D47" i="6"/>
  <c r="C49" i="6"/>
  <c r="C41" i="8"/>
  <c r="G42" i="8"/>
  <c r="D11" i="8"/>
  <c r="D72" i="8" s="1"/>
  <c r="G34" i="8"/>
  <c r="E39" i="8"/>
  <c r="N34" i="8"/>
  <c r="J34" i="8"/>
  <c r="F35" i="8"/>
  <c r="J35" i="8"/>
  <c r="N35" i="8"/>
  <c r="D38" i="8"/>
  <c r="H38" i="8"/>
  <c r="L38" i="8"/>
  <c r="H39" i="8"/>
  <c r="M39" i="8"/>
  <c r="I40" i="8"/>
  <c r="E47" i="8"/>
  <c r="L36" i="8"/>
  <c r="J37" i="8"/>
  <c r="H41" i="8"/>
  <c r="C43" i="8"/>
  <c r="G43" i="8"/>
  <c r="D44" i="8"/>
  <c r="H44" i="8"/>
  <c r="F45" i="8"/>
  <c r="E46" i="8"/>
  <c r="C32" i="8"/>
  <c r="C60" i="8" s="1"/>
  <c r="H36" i="8"/>
  <c r="F37" i="8"/>
  <c r="D42" i="8"/>
  <c r="H42" i="8"/>
  <c r="D43" i="8"/>
  <c r="H43" i="8"/>
  <c r="E44" i="8"/>
  <c r="C45" i="8"/>
  <c r="A68" i="8"/>
  <c r="D36" i="8"/>
  <c r="P36" i="8"/>
  <c r="N37" i="8"/>
  <c r="F40" i="8"/>
  <c r="D35" i="7"/>
  <c r="O37" i="7"/>
  <c r="I38" i="7"/>
  <c r="J40" i="7"/>
  <c r="M36" i="7"/>
  <c r="A49" i="7"/>
  <c r="D36" i="7"/>
  <c r="F37" i="7"/>
  <c r="F38" i="7"/>
  <c r="E39" i="7"/>
  <c r="D42" i="7"/>
  <c r="G40" i="7"/>
  <c r="D11" i="7"/>
  <c r="C32" i="7" s="1"/>
  <c r="C60" i="7" s="1"/>
  <c r="D34" i="7"/>
  <c r="L34" i="7"/>
  <c r="I35" i="7"/>
  <c r="M35" i="7"/>
  <c r="D43" i="7"/>
  <c r="C45" i="7"/>
  <c r="H42" i="7"/>
  <c r="E43" i="7"/>
  <c r="I36" i="7"/>
  <c r="G39" i="7"/>
  <c r="E41" i="7"/>
  <c r="H34" i="7"/>
  <c r="P34" i="7"/>
  <c r="E35" i="7"/>
  <c r="H43" i="7"/>
  <c r="E44" i="7"/>
  <c r="G45" i="7"/>
  <c r="F46" i="7"/>
  <c r="E42" i="7"/>
  <c r="I42" i="7"/>
  <c r="F44" i="7"/>
  <c r="D45" i="7"/>
  <c r="C47" i="7"/>
  <c r="E40" i="7"/>
  <c r="I40" i="7"/>
  <c r="C41" i="7"/>
  <c r="G41" i="7"/>
  <c r="F42" i="7"/>
  <c r="D47" i="7"/>
  <c r="J34" i="9"/>
  <c r="F35" i="9"/>
  <c r="J35" i="9"/>
  <c r="N35" i="9"/>
  <c r="P36" i="9"/>
  <c r="D38" i="9"/>
  <c r="H38" i="9"/>
  <c r="L38" i="9"/>
  <c r="D39" i="9"/>
  <c r="H39" i="9"/>
  <c r="L39" i="9"/>
  <c r="E40" i="9"/>
  <c r="I40" i="9"/>
  <c r="C41" i="9"/>
  <c r="G41" i="9"/>
  <c r="F42" i="9"/>
  <c r="F43" i="9"/>
  <c r="D46" i="9"/>
  <c r="D47" i="9"/>
  <c r="K36" i="9"/>
  <c r="E37" i="9"/>
  <c r="J37" i="9"/>
  <c r="N37" i="9"/>
  <c r="E38" i="9"/>
  <c r="I38" i="9"/>
  <c r="M38" i="9"/>
  <c r="F40" i="9"/>
  <c r="J40" i="9"/>
  <c r="D41" i="9"/>
  <c r="H41" i="9"/>
  <c r="C43" i="9"/>
  <c r="G43" i="9"/>
  <c r="D44" i="9"/>
  <c r="F45" i="9"/>
  <c r="E46" i="9"/>
  <c r="C32" i="9"/>
  <c r="C60" i="9" s="1"/>
  <c r="A68" i="9"/>
  <c r="G36" i="9"/>
  <c r="O36" i="9"/>
  <c r="I37" i="9"/>
  <c r="D11" i="9"/>
  <c r="F38" i="9"/>
  <c r="D43" i="9"/>
  <c r="H43" i="9"/>
  <c r="E44" i="9"/>
  <c r="C45" i="9"/>
  <c r="D34" i="10"/>
  <c r="H34" i="10"/>
  <c r="L34" i="10"/>
  <c r="P34" i="10"/>
  <c r="J37" i="10"/>
  <c r="N37" i="10"/>
  <c r="E38" i="10"/>
  <c r="I38" i="10"/>
  <c r="M38" i="10"/>
  <c r="F40" i="10"/>
  <c r="J40" i="10"/>
  <c r="D41" i="10"/>
  <c r="H41" i="10"/>
  <c r="C43" i="10"/>
  <c r="G43" i="10"/>
  <c r="D44" i="10"/>
  <c r="H44" i="10"/>
  <c r="F45" i="10"/>
  <c r="E46" i="10"/>
  <c r="E36" i="10"/>
  <c r="I36" i="10"/>
  <c r="M36" i="10"/>
  <c r="C37" i="10"/>
  <c r="K37" i="10"/>
  <c r="J38" i="10"/>
  <c r="F39" i="10"/>
  <c r="D42" i="10"/>
  <c r="H43" i="10"/>
  <c r="E44" i="10"/>
  <c r="C45" i="10"/>
  <c r="A68" i="10"/>
  <c r="D11" i="10"/>
  <c r="C32" i="10" s="1"/>
  <c r="C60" i="10" s="1"/>
  <c r="G37" i="10"/>
  <c r="F38" i="10"/>
  <c r="J39" i="10"/>
  <c r="H42" i="10"/>
  <c r="D43" i="10"/>
  <c r="C39" i="10"/>
  <c r="G39" i="10"/>
  <c r="K39" i="10"/>
  <c r="D40" i="10"/>
  <c r="H40" i="10"/>
  <c r="F41" i="10"/>
  <c r="J41" i="10"/>
  <c r="E42" i="10"/>
  <c r="I42" i="10"/>
  <c r="F44" i="10"/>
  <c r="D45" i="10"/>
  <c r="C47" i="10"/>
  <c r="C36" i="12"/>
  <c r="E37" i="12"/>
  <c r="D39" i="12"/>
  <c r="E40" i="12"/>
  <c r="I40" i="12"/>
  <c r="F43" i="12"/>
  <c r="N34" i="12"/>
  <c r="D38" i="12"/>
  <c r="H44" i="12"/>
  <c r="E45" i="12"/>
  <c r="E47" i="12"/>
  <c r="P36" i="12"/>
  <c r="M39" i="12"/>
  <c r="K37" i="12"/>
  <c r="D11" i="12"/>
  <c r="C32" i="12" s="1"/>
  <c r="C60" i="12" s="1"/>
  <c r="F38" i="12"/>
  <c r="J38" i="12"/>
  <c r="N38" i="12"/>
  <c r="D42" i="12"/>
  <c r="H42" i="12"/>
  <c r="D43" i="12"/>
  <c r="H43" i="12"/>
  <c r="E44" i="12"/>
  <c r="C45" i="12"/>
  <c r="G45" i="12"/>
  <c r="F46" i="12"/>
  <c r="E36" i="12"/>
  <c r="M36" i="12"/>
  <c r="G37" i="12"/>
  <c r="K40" i="12"/>
  <c r="I41" i="12"/>
  <c r="C39" i="12"/>
  <c r="G39" i="12"/>
  <c r="K39" i="12"/>
  <c r="E42" i="12"/>
  <c r="I42" i="12"/>
  <c r="F44" i="12"/>
  <c r="D45" i="12"/>
  <c r="C47" i="12"/>
  <c r="D48" i="12"/>
  <c r="A68" i="12"/>
  <c r="I36" i="12"/>
  <c r="O37" i="12"/>
  <c r="J39" i="12"/>
  <c r="C41" i="12"/>
  <c r="G41" i="12"/>
  <c r="F42" i="12"/>
  <c r="D46" i="12"/>
  <c r="D47" i="12"/>
  <c r="A49" i="11"/>
  <c r="W70" i="3"/>
  <c r="W69" i="3"/>
  <c r="W68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G52" i="8"/>
  <c r="G55" i="10"/>
  <c r="Q53" i="10"/>
  <c r="G55" i="6"/>
  <c r="R55" i="6"/>
  <c r="E52" i="7"/>
  <c r="H52" i="8"/>
  <c r="F55" i="6"/>
  <c r="S53" i="6"/>
  <c r="I53" i="10"/>
  <c r="R53" i="10"/>
  <c r="O53" i="10"/>
  <c r="D52" i="6"/>
  <c r="N52" i="7"/>
  <c r="K52" i="7"/>
  <c r="K53" i="7"/>
  <c r="C53" i="9"/>
  <c r="S55" i="9"/>
  <c r="H54" i="10"/>
  <c r="D53" i="11"/>
  <c r="P52" i="9"/>
  <c r="L53" i="10"/>
  <c r="J54" i="6"/>
  <c r="G53" i="9"/>
  <c r="Q55" i="6"/>
  <c r="D53" i="5"/>
  <c r="N54" i="9"/>
  <c r="H55" i="9"/>
  <c r="K54" i="9"/>
  <c r="J54" i="9"/>
  <c r="E53" i="9"/>
  <c r="Q55" i="9"/>
  <c r="H52" i="11"/>
  <c r="M54" i="9"/>
  <c r="T23" i="14"/>
  <c r="E52" i="5"/>
  <c r="J55" i="9"/>
  <c r="E55" i="11"/>
  <c r="J52" i="5"/>
  <c r="S53" i="9"/>
  <c r="P53" i="9"/>
  <c r="C53" i="10"/>
  <c r="L55" i="11"/>
  <c r="R55" i="7"/>
  <c r="I54" i="11"/>
  <c r="M55" i="6"/>
  <c r="M55" i="11"/>
  <c r="S54" i="7"/>
  <c r="H55" i="6"/>
  <c r="H53" i="11"/>
  <c r="P55" i="9"/>
  <c r="S54" i="6"/>
  <c r="L53" i="7"/>
  <c r="O55" i="9"/>
  <c r="I55" i="6"/>
  <c r="F54" i="11"/>
  <c r="Q53" i="7"/>
  <c r="G52" i="7"/>
  <c r="L52" i="10"/>
  <c r="I42" i="13"/>
  <c r="O54" i="7"/>
  <c r="D53" i="10"/>
  <c r="O52" i="8"/>
  <c r="N55" i="10"/>
  <c r="D54" i="10"/>
  <c r="K53" i="9"/>
  <c r="E53" i="10"/>
  <c r="S55" i="10"/>
  <c r="P52" i="6"/>
  <c r="N54" i="6"/>
  <c r="L53" i="11"/>
  <c r="J53" i="10"/>
  <c r="H55" i="7"/>
  <c r="Q52" i="8"/>
  <c r="C55" i="5"/>
  <c r="L54" i="7"/>
  <c r="M54" i="7"/>
  <c r="P52" i="12"/>
  <c r="L55" i="10"/>
  <c r="J55" i="7"/>
  <c r="S54" i="10"/>
  <c r="K53" i="6"/>
  <c r="N53" i="9"/>
  <c r="K55" i="6"/>
  <c r="O53" i="9"/>
  <c r="M53" i="10"/>
  <c r="G55" i="9"/>
  <c r="H52" i="5"/>
  <c r="S55" i="6"/>
  <c r="C53" i="5"/>
  <c r="J55" i="11"/>
  <c r="E54" i="6"/>
  <c r="D55" i="9"/>
  <c r="N53" i="6"/>
  <c r="I52" i="12"/>
  <c r="Q54" i="10"/>
  <c r="F53" i="6"/>
  <c r="P54" i="10"/>
  <c r="C54" i="10"/>
  <c r="O52" i="5"/>
  <c r="M52" i="11"/>
  <c r="O54" i="11"/>
  <c r="R52" i="12"/>
  <c r="P54" i="11"/>
  <c r="E54" i="11"/>
  <c r="M53" i="7"/>
  <c r="C52" i="6"/>
  <c r="R52" i="8"/>
  <c r="C53" i="11"/>
  <c r="F52" i="6"/>
  <c r="K53" i="11"/>
  <c r="Q53" i="6"/>
  <c r="R53" i="6"/>
  <c r="I55" i="10"/>
  <c r="Q54" i="7"/>
  <c r="E52" i="12"/>
  <c r="G54" i="6"/>
  <c r="L42" i="13"/>
  <c r="Q54" i="9"/>
  <c r="Q52" i="5"/>
  <c r="L52" i="5"/>
  <c r="P52" i="5"/>
  <c r="Q55" i="7"/>
  <c r="I55" i="7"/>
  <c r="R54" i="9"/>
  <c r="K55" i="7"/>
  <c r="E53" i="11"/>
  <c r="F52" i="7"/>
  <c r="T15" i="13"/>
  <c r="R54" i="6"/>
  <c r="K55" i="11"/>
  <c r="D52" i="8"/>
  <c r="H55" i="10"/>
  <c r="S53" i="10"/>
  <c r="C52" i="8"/>
  <c r="O53" i="6"/>
  <c r="Q54" i="6"/>
  <c r="L54" i="9"/>
  <c r="M54" i="11"/>
  <c r="K54" i="10"/>
  <c r="J53" i="11"/>
  <c r="N53" i="10"/>
  <c r="O52" i="11"/>
  <c r="M55" i="9"/>
  <c r="G53" i="10"/>
  <c r="M53" i="9"/>
  <c r="J55" i="6"/>
  <c r="I52" i="8"/>
  <c r="F54" i="10"/>
  <c r="I54" i="9"/>
  <c r="D53" i="9"/>
  <c r="Q53" i="9"/>
  <c r="I55" i="11"/>
  <c r="J53" i="9"/>
  <c r="H54" i="9"/>
  <c r="G52" i="5"/>
  <c r="P55" i="11"/>
  <c r="G42" i="13"/>
  <c r="M52" i="8"/>
  <c r="F53" i="11"/>
  <c r="R54" i="10"/>
  <c r="D52" i="11"/>
  <c r="G54" i="10"/>
  <c r="N52" i="11"/>
  <c r="Q55" i="11"/>
  <c r="D55" i="10"/>
  <c r="P54" i="6"/>
  <c r="J42" i="13"/>
  <c r="E54" i="5"/>
  <c r="M54" i="10"/>
  <c r="O55" i="7"/>
  <c r="D55" i="11"/>
  <c r="F52" i="10"/>
  <c r="E54" i="10"/>
  <c r="S53" i="7"/>
  <c r="C54" i="11"/>
  <c r="H55" i="11"/>
  <c r="G52" i="11"/>
  <c r="P53" i="10"/>
  <c r="K52" i="11"/>
  <c r="P53" i="6"/>
  <c r="Q55" i="10"/>
  <c r="O52" i="12"/>
  <c r="E55" i="6"/>
  <c r="T22" i="13"/>
  <c r="G54" i="11"/>
  <c r="K52" i="8"/>
  <c r="H52" i="12"/>
  <c r="D52" i="7"/>
  <c r="F52" i="5"/>
  <c r="M53" i="11"/>
  <c r="K54" i="11"/>
  <c r="O54" i="10"/>
  <c r="O54" i="9"/>
  <c r="M55" i="10"/>
  <c r="I53" i="9"/>
  <c r="K55" i="9"/>
  <c r="Q52" i="12"/>
  <c r="N52" i="12"/>
  <c r="C54" i="9"/>
  <c r="J52" i="12"/>
  <c r="K54" i="6"/>
  <c r="F54" i="6"/>
  <c r="L52" i="8"/>
  <c r="C52" i="9"/>
  <c r="G53" i="6"/>
  <c r="K52" i="12"/>
  <c r="L55" i="9"/>
  <c r="H52" i="10"/>
  <c r="D42" i="13"/>
  <c r="C52" i="12"/>
  <c r="F42" i="13"/>
  <c r="M53" i="6"/>
  <c r="I52" i="5"/>
  <c r="F55" i="11"/>
  <c r="K53" i="10"/>
  <c r="I53" i="6"/>
  <c r="I54" i="10"/>
  <c r="J54" i="11"/>
  <c r="P55" i="10"/>
  <c r="K54" i="7"/>
  <c r="P53" i="7"/>
  <c r="L55" i="6"/>
  <c r="I53" i="11"/>
  <c r="O55" i="10"/>
  <c r="C55" i="10"/>
  <c r="N53" i="7"/>
  <c r="L53" i="6"/>
  <c r="F52" i="12"/>
  <c r="C52" i="7"/>
  <c r="E53" i="6"/>
  <c r="E55" i="10"/>
  <c r="P52" i="11"/>
  <c r="L54" i="10"/>
  <c r="J52" i="8"/>
  <c r="L54" i="11"/>
  <c r="C55" i="9"/>
  <c r="L52" i="12"/>
  <c r="R53" i="7"/>
  <c r="S54" i="9"/>
  <c r="I54" i="6"/>
  <c r="E53" i="5"/>
  <c r="N55" i="11"/>
  <c r="F53" i="10"/>
  <c r="N54" i="10"/>
  <c r="P55" i="7"/>
  <c r="O53" i="11"/>
  <c r="T17" i="13"/>
  <c r="H42" i="13"/>
  <c r="D52" i="12"/>
  <c r="D54" i="5"/>
  <c r="M54" i="6"/>
  <c r="H53" i="6"/>
  <c r="R53" i="9"/>
  <c r="P55" i="6"/>
  <c r="I54" i="7"/>
  <c r="P53" i="11"/>
  <c r="L54" i="6"/>
  <c r="I53" i="7"/>
  <c r="T19" i="13"/>
  <c r="K55" i="10"/>
  <c r="N54" i="7"/>
  <c r="E52" i="9"/>
  <c r="C52" i="5"/>
  <c r="M55" i="7"/>
  <c r="P52" i="10"/>
  <c r="J54" i="10"/>
  <c r="O53" i="7"/>
  <c r="D55" i="5"/>
  <c r="T21" i="13"/>
  <c r="H53" i="9"/>
  <c r="O55" i="6"/>
  <c r="J53" i="6"/>
  <c r="F55" i="9"/>
  <c r="P54" i="9"/>
  <c r="O54" i="6"/>
  <c r="O55" i="11"/>
  <c r="J53" i="7"/>
  <c r="J54" i="7"/>
  <c r="E55" i="5"/>
  <c r="H53" i="10"/>
  <c r="R52" i="5"/>
  <c r="C54" i="5"/>
  <c r="O52" i="7"/>
  <c r="H54" i="11"/>
  <c r="Q54" i="11"/>
  <c r="H53" i="7"/>
  <c r="P54" i="7"/>
  <c r="M52" i="5"/>
  <c r="R55" i="10"/>
  <c r="C55" i="11"/>
  <c r="F52" i="8"/>
  <c r="H54" i="7"/>
  <c r="E54" i="9"/>
  <c r="F53" i="9"/>
  <c r="I55" i="9"/>
  <c r="N52" i="5"/>
  <c r="K52" i="5"/>
  <c r="M52" i="12"/>
  <c r="N55" i="7"/>
  <c r="G55" i="11"/>
  <c r="R54" i="7"/>
  <c r="S55" i="7"/>
  <c r="J55" i="10"/>
  <c r="D54" i="11"/>
  <c r="Q53" i="11"/>
  <c r="F55" i="10"/>
  <c r="N54" i="11"/>
  <c r="R55" i="9"/>
  <c r="L55" i="7"/>
  <c r="F54" i="9"/>
  <c r="E42" i="13"/>
  <c r="G53" i="11"/>
  <c r="G54" i="9"/>
  <c r="H54" i="6"/>
  <c r="E55" i="9"/>
  <c r="N55" i="6"/>
  <c r="D54" i="9"/>
  <c r="G52" i="12"/>
  <c r="N55" i="9"/>
  <c r="P52" i="8"/>
  <c r="N53" i="11"/>
  <c r="K42" i="13"/>
  <c r="N52" i="8"/>
  <c r="E52" i="8"/>
  <c r="L53" i="9"/>
  <c r="E11" i="8" l="1"/>
  <c r="N38" i="9"/>
  <c r="Q35" i="7"/>
  <c r="E47" i="11"/>
  <c r="J42" i="7"/>
  <c r="N38" i="10"/>
  <c r="J42" i="9"/>
  <c r="F46" i="9"/>
  <c r="E47" i="10"/>
  <c r="L40" i="6"/>
  <c r="M39" i="6"/>
  <c r="G45" i="10"/>
  <c r="H44" i="9"/>
  <c r="L40" i="11"/>
  <c r="H19" i="15"/>
  <c r="Q35" i="11"/>
  <c r="E22" i="15"/>
  <c r="O37" i="10"/>
  <c r="I18" i="15"/>
  <c r="E47" i="6"/>
  <c r="K41" i="9"/>
  <c r="M39" i="10"/>
  <c r="I43" i="11"/>
  <c r="J42" i="11"/>
  <c r="H44" i="6"/>
  <c r="Q35" i="10"/>
  <c r="R34" i="10"/>
  <c r="F46" i="11"/>
  <c r="I43" i="10"/>
  <c r="J42" i="6"/>
  <c r="L40" i="9"/>
  <c r="K41" i="10"/>
  <c r="O37" i="6"/>
  <c r="Q35" i="9"/>
  <c r="R34" i="9"/>
  <c r="I43" i="6"/>
  <c r="M39" i="7"/>
  <c r="O37" i="9"/>
  <c r="K41" i="6"/>
  <c r="M39" i="9"/>
  <c r="D48" i="10"/>
  <c r="P36" i="7"/>
  <c r="D48" i="9"/>
  <c r="C49" i="10"/>
  <c r="I43" i="7"/>
  <c r="J42" i="10"/>
  <c r="L40" i="7"/>
  <c r="F21" i="15"/>
  <c r="G45" i="6"/>
  <c r="I43" i="9"/>
  <c r="D48" i="5"/>
  <c r="N38" i="6"/>
  <c r="H44" i="7"/>
  <c r="D23" i="15"/>
  <c r="Q35" i="6"/>
  <c r="R34" i="6"/>
  <c r="R34" i="7"/>
  <c r="G45" i="9"/>
  <c r="L15" i="15"/>
  <c r="D72" i="5"/>
  <c r="E11" i="5"/>
  <c r="D72" i="6"/>
  <c r="E11" i="6"/>
  <c r="D32" i="6" s="1"/>
  <c r="D60" i="6" s="1"/>
  <c r="E72" i="8"/>
  <c r="F11" i="8"/>
  <c r="E32" i="8" s="1"/>
  <c r="E60" i="8" s="1"/>
  <c r="D32" i="8"/>
  <c r="D60" i="8" s="1"/>
  <c r="D72" i="7"/>
  <c r="E11" i="7"/>
  <c r="D32" i="7" s="1"/>
  <c r="D60" i="7" s="1"/>
  <c r="D72" i="9"/>
  <c r="E11" i="9"/>
  <c r="D72" i="10"/>
  <c r="E11" i="10"/>
  <c r="D32" i="10" s="1"/>
  <c r="D60" i="10" s="1"/>
  <c r="D72" i="12"/>
  <c r="E11" i="12"/>
  <c r="D32" i="12"/>
  <c r="D60" i="12" s="1"/>
  <c r="I52" i="6"/>
  <c r="H52" i="9"/>
  <c r="L52" i="6"/>
  <c r="R52" i="9"/>
  <c r="L52" i="7"/>
  <c r="E52" i="10"/>
  <c r="K52" i="9"/>
  <c r="J52" i="7"/>
  <c r="D52" i="5"/>
  <c r="J52" i="11"/>
  <c r="I52" i="9"/>
  <c r="G52" i="9"/>
  <c r="Q52" i="6"/>
  <c r="R52" i="10"/>
  <c r="P52" i="7"/>
  <c r="H52" i="6"/>
  <c r="Q52" i="9"/>
  <c r="I52" i="7"/>
  <c r="R52" i="7"/>
  <c r="C52" i="10"/>
  <c r="O52" i="10"/>
  <c r="N52" i="10"/>
  <c r="O52" i="9"/>
  <c r="D52" i="9"/>
  <c r="N52" i="9"/>
  <c r="M52" i="7"/>
  <c r="I52" i="10"/>
  <c r="E52" i="11"/>
  <c r="Q52" i="10"/>
  <c r="J52" i="10"/>
  <c r="N52" i="6"/>
  <c r="K52" i="6"/>
  <c r="F52" i="9"/>
  <c r="Q52" i="7"/>
  <c r="M52" i="10"/>
  <c r="R52" i="6"/>
  <c r="G52" i="6"/>
  <c r="L52" i="11"/>
  <c r="J52" i="9"/>
  <c r="O52" i="6"/>
  <c r="D52" i="10"/>
  <c r="M52" i="9"/>
  <c r="K52" i="10"/>
  <c r="M52" i="6"/>
  <c r="I52" i="11"/>
  <c r="G52" i="10"/>
  <c r="L52" i="9"/>
  <c r="F52" i="11"/>
  <c r="H52" i="7"/>
  <c r="J52" i="6"/>
  <c r="Q52" i="11"/>
  <c r="E52" i="6"/>
  <c r="E72" i="5" l="1"/>
  <c r="F11" i="5"/>
  <c r="E32" i="5"/>
  <c r="E60" i="5" s="1"/>
  <c r="D32" i="5"/>
  <c r="D60" i="5" s="1"/>
  <c r="E72" i="6"/>
  <c r="F11" i="6"/>
  <c r="E32" i="6" s="1"/>
  <c r="E60" i="6" s="1"/>
  <c r="F72" i="8"/>
  <c r="G11" i="8"/>
  <c r="F11" i="7"/>
  <c r="E32" i="7" s="1"/>
  <c r="E60" i="7" s="1"/>
  <c r="E72" i="7"/>
  <c r="E72" i="9"/>
  <c r="F11" i="9"/>
  <c r="E32" i="9" s="1"/>
  <c r="E60" i="9" s="1"/>
  <c r="D32" i="9"/>
  <c r="D60" i="9" s="1"/>
  <c r="E72" i="10"/>
  <c r="F11" i="10"/>
  <c r="F11" i="12"/>
  <c r="E32" i="12" s="1"/>
  <c r="E60" i="12" s="1"/>
  <c r="E72" i="12"/>
  <c r="F72" i="5" l="1"/>
  <c r="G11" i="5"/>
  <c r="F72" i="6"/>
  <c r="G11" i="6"/>
  <c r="G72" i="8"/>
  <c r="H11" i="8"/>
  <c r="G32" i="8" s="1"/>
  <c r="G60" i="8" s="1"/>
  <c r="F32" i="8"/>
  <c r="F60" i="8" s="1"/>
  <c r="G11" i="7"/>
  <c r="F32" i="7" s="1"/>
  <c r="F60" i="7" s="1"/>
  <c r="F72" i="7"/>
  <c r="F72" i="9"/>
  <c r="G11" i="9"/>
  <c r="F32" i="9" s="1"/>
  <c r="F60" i="9" s="1"/>
  <c r="F72" i="10"/>
  <c r="G11" i="10"/>
  <c r="F32" i="10" s="1"/>
  <c r="F60" i="10" s="1"/>
  <c r="E32" i="10"/>
  <c r="E60" i="10" s="1"/>
  <c r="F72" i="12"/>
  <c r="G11" i="12"/>
  <c r="G72" i="5" l="1"/>
  <c r="H11" i="5"/>
  <c r="G32" i="5" s="1"/>
  <c r="G60" i="5" s="1"/>
  <c r="F32" i="5"/>
  <c r="F60" i="5" s="1"/>
  <c r="G72" i="6"/>
  <c r="H11" i="6"/>
  <c r="G32" i="6" s="1"/>
  <c r="G60" i="6" s="1"/>
  <c r="F32" i="6"/>
  <c r="F60" i="6" s="1"/>
  <c r="H72" i="8"/>
  <c r="I11" i="8"/>
  <c r="H32" i="8"/>
  <c r="H60" i="8" s="1"/>
  <c r="G72" i="7"/>
  <c r="H11" i="7"/>
  <c r="G32" i="7" s="1"/>
  <c r="G60" i="7" s="1"/>
  <c r="G72" i="9"/>
  <c r="H11" i="9"/>
  <c r="G32" i="9"/>
  <c r="G60" i="9" s="1"/>
  <c r="G72" i="10"/>
  <c r="H11" i="10"/>
  <c r="G32" i="10" s="1"/>
  <c r="G60" i="10" s="1"/>
  <c r="G72" i="12"/>
  <c r="H11" i="12"/>
  <c r="F32" i="12"/>
  <c r="F60" i="12" s="1"/>
  <c r="H72" i="5" l="1"/>
  <c r="I11" i="5"/>
  <c r="H72" i="6"/>
  <c r="I11" i="6"/>
  <c r="H32" i="6" s="1"/>
  <c r="H60" i="6" s="1"/>
  <c r="J11" i="8"/>
  <c r="I72" i="8"/>
  <c r="H72" i="7"/>
  <c r="I11" i="7"/>
  <c r="H32" i="7" s="1"/>
  <c r="H60" i="7" s="1"/>
  <c r="H72" i="9"/>
  <c r="I11" i="9"/>
  <c r="H72" i="10"/>
  <c r="I11" i="10"/>
  <c r="H32" i="10" s="1"/>
  <c r="H60" i="10" s="1"/>
  <c r="H72" i="12"/>
  <c r="I11" i="12"/>
  <c r="H32" i="12"/>
  <c r="H60" i="12" s="1"/>
  <c r="G32" i="12"/>
  <c r="G60" i="12" s="1"/>
  <c r="I72" i="5" l="1"/>
  <c r="J11" i="5"/>
  <c r="I32" i="5" s="1"/>
  <c r="I60" i="5" s="1"/>
  <c r="H32" i="5"/>
  <c r="H60" i="5" s="1"/>
  <c r="I72" i="6"/>
  <c r="J11" i="6"/>
  <c r="I32" i="6" s="1"/>
  <c r="I60" i="6" s="1"/>
  <c r="J72" i="8"/>
  <c r="K11" i="8"/>
  <c r="I32" i="8"/>
  <c r="I60" i="8" s="1"/>
  <c r="J11" i="7"/>
  <c r="I32" i="7" s="1"/>
  <c r="I60" i="7" s="1"/>
  <c r="I72" i="7"/>
  <c r="I72" i="9"/>
  <c r="J11" i="9"/>
  <c r="I32" i="9" s="1"/>
  <c r="I60" i="9" s="1"/>
  <c r="H32" i="9"/>
  <c r="H60" i="9" s="1"/>
  <c r="J11" i="10"/>
  <c r="I72" i="10"/>
  <c r="J11" i="12"/>
  <c r="I32" i="12"/>
  <c r="I60" i="12" s="1"/>
  <c r="I72" i="12"/>
  <c r="J72" i="5" l="1"/>
  <c r="K11" i="5"/>
  <c r="J72" i="6"/>
  <c r="J32" i="6"/>
  <c r="J60" i="6" s="1"/>
  <c r="K11" i="6"/>
  <c r="K72" i="8"/>
  <c r="L11" i="8"/>
  <c r="K32" i="8"/>
  <c r="K60" i="8" s="1"/>
  <c r="J32" i="8"/>
  <c r="J60" i="8" s="1"/>
  <c r="J72" i="7"/>
  <c r="K11" i="7"/>
  <c r="J72" i="9"/>
  <c r="K11" i="9"/>
  <c r="J32" i="9" s="1"/>
  <c r="J60" i="9" s="1"/>
  <c r="J72" i="10"/>
  <c r="K11" i="10"/>
  <c r="J32" i="10" s="1"/>
  <c r="J60" i="10" s="1"/>
  <c r="I32" i="10"/>
  <c r="I60" i="10" s="1"/>
  <c r="J72" i="12"/>
  <c r="K11" i="12"/>
  <c r="K72" i="5" l="1"/>
  <c r="L11" i="5"/>
  <c r="K32" i="5"/>
  <c r="K60" i="5" s="1"/>
  <c r="J32" i="5"/>
  <c r="J60" i="5" s="1"/>
  <c r="K72" i="6"/>
  <c r="L11" i="6"/>
  <c r="K32" i="6"/>
  <c r="K60" i="6" s="1"/>
  <c r="L72" i="8"/>
  <c r="M11" i="8"/>
  <c r="L32" i="8"/>
  <c r="L60" i="8" s="1"/>
  <c r="K72" i="7"/>
  <c r="L11" i="7"/>
  <c r="J32" i="7"/>
  <c r="J60" i="7" s="1"/>
  <c r="K72" i="9"/>
  <c r="L11" i="9"/>
  <c r="K32" i="9"/>
  <c r="K60" i="9" s="1"/>
  <c r="K72" i="10"/>
  <c r="L11" i="10"/>
  <c r="K32" i="10" s="1"/>
  <c r="K60" i="10" s="1"/>
  <c r="K72" i="12"/>
  <c r="L11" i="12"/>
  <c r="J32" i="12"/>
  <c r="J60" i="12" s="1"/>
  <c r="L72" i="5" l="1"/>
  <c r="M11" i="5"/>
  <c r="L72" i="6"/>
  <c r="M11" i="6"/>
  <c r="L32" i="6" s="1"/>
  <c r="L60" i="6" s="1"/>
  <c r="M72" i="8"/>
  <c r="N11" i="8"/>
  <c r="M32" i="8" s="1"/>
  <c r="M60" i="8" s="1"/>
  <c r="L72" i="7"/>
  <c r="M11" i="7"/>
  <c r="L32" i="7"/>
  <c r="L60" i="7" s="1"/>
  <c r="K32" i="7"/>
  <c r="K60" i="7" s="1"/>
  <c r="L72" i="9"/>
  <c r="M11" i="9"/>
  <c r="L72" i="10"/>
  <c r="M11" i="10"/>
  <c r="L32" i="10" s="1"/>
  <c r="L60" i="10" s="1"/>
  <c r="L72" i="12"/>
  <c r="M11" i="12"/>
  <c r="L32" i="12"/>
  <c r="L60" i="12" s="1"/>
  <c r="K32" i="12"/>
  <c r="K60" i="12" s="1"/>
  <c r="M72" i="5" l="1"/>
  <c r="N11" i="5"/>
  <c r="M32" i="5" s="1"/>
  <c r="M60" i="5" s="1"/>
  <c r="L32" i="5"/>
  <c r="L60" i="5" s="1"/>
  <c r="M72" i="6"/>
  <c r="N11" i="6"/>
  <c r="M32" i="6" s="1"/>
  <c r="M60" i="6" s="1"/>
  <c r="N72" i="8"/>
  <c r="O11" i="8"/>
  <c r="N11" i="7"/>
  <c r="M32" i="7" s="1"/>
  <c r="M60" i="7" s="1"/>
  <c r="M72" i="7"/>
  <c r="M72" i="9"/>
  <c r="N11" i="9"/>
  <c r="M32" i="9" s="1"/>
  <c r="M60" i="9" s="1"/>
  <c r="L32" i="9"/>
  <c r="L60" i="9" s="1"/>
  <c r="M72" i="10"/>
  <c r="N11" i="10"/>
  <c r="M32" i="10" s="1"/>
  <c r="M60" i="10" s="1"/>
  <c r="N11" i="12"/>
  <c r="M72" i="12"/>
  <c r="M32" i="12"/>
  <c r="M60" i="12" s="1"/>
  <c r="N72" i="5" l="1"/>
  <c r="O11" i="5"/>
  <c r="N72" i="6"/>
  <c r="O11" i="6"/>
  <c r="O72" i="8"/>
  <c r="P11" i="8"/>
  <c r="O32" i="8" s="1"/>
  <c r="O60" i="8" s="1"/>
  <c r="N32" i="8"/>
  <c r="N60" i="8" s="1"/>
  <c r="N72" i="7"/>
  <c r="O11" i="7"/>
  <c r="N72" i="9"/>
  <c r="O11" i="9"/>
  <c r="N72" i="10"/>
  <c r="O11" i="10"/>
  <c r="N32" i="10" s="1"/>
  <c r="N60" i="10" s="1"/>
  <c r="N72" i="12"/>
  <c r="O11" i="12"/>
  <c r="N32" i="12" s="1"/>
  <c r="N60" i="12" s="1"/>
  <c r="O72" i="5" l="1"/>
  <c r="P11" i="5"/>
  <c r="O32" i="5" s="1"/>
  <c r="O60" i="5" s="1"/>
  <c r="N32" i="5"/>
  <c r="N60" i="5" s="1"/>
  <c r="O72" i="6"/>
  <c r="P11" i="6"/>
  <c r="O32" i="6" s="1"/>
  <c r="O60" i="6" s="1"/>
  <c r="N32" i="6"/>
  <c r="N60" i="6" s="1"/>
  <c r="P72" i="8"/>
  <c r="Q11" i="8"/>
  <c r="O72" i="7"/>
  <c r="P11" i="7"/>
  <c r="O32" i="7"/>
  <c r="O60" i="7" s="1"/>
  <c r="N32" i="7"/>
  <c r="N60" i="7" s="1"/>
  <c r="O72" i="9"/>
  <c r="P11" i="9"/>
  <c r="O32" i="9"/>
  <c r="O60" i="9" s="1"/>
  <c r="N32" i="9"/>
  <c r="N60" i="9" s="1"/>
  <c r="O72" i="10"/>
  <c r="P11" i="10"/>
  <c r="O32" i="10"/>
  <c r="O60" i="10" s="1"/>
  <c r="O72" i="12"/>
  <c r="P11" i="12"/>
  <c r="O32" i="12" s="1"/>
  <c r="O60" i="12" s="1"/>
  <c r="P72" i="5" l="1"/>
  <c r="Q11" i="5"/>
  <c r="P72" i="6"/>
  <c r="Q11" i="6"/>
  <c r="P32" i="6" s="1"/>
  <c r="P60" i="6" s="1"/>
  <c r="Q72" i="8"/>
  <c r="R11" i="8"/>
  <c r="Q32" i="8" s="1"/>
  <c r="Q60" i="8" s="1"/>
  <c r="P32" i="8"/>
  <c r="P60" i="8" s="1"/>
  <c r="P72" i="7"/>
  <c r="Q11" i="7"/>
  <c r="P32" i="7" s="1"/>
  <c r="P60" i="7" s="1"/>
  <c r="P72" i="9"/>
  <c r="P32" i="9"/>
  <c r="P60" i="9" s="1"/>
  <c r="Q11" i="9"/>
  <c r="P72" i="10"/>
  <c r="Q11" i="10"/>
  <c r="P32" i="10" s="1"/>
  <c r="P60" i="10" s="1"/>
  <c r="P72" i="12"/>
  <c r="Q11" i="12"/>
  <c r="P32" i="12"/>
  <c r="P60" i="12" s="1"/>
  <c r="Q72" i="5" l="1"/>
  <c r="R11" i="5"/>
  <c r="Q32" i="5" s="1"/>
  <c r="Q60" i="5" s="1"/>
  <c r="P32" i="5"/>
  <c r="P60" i="5" s="1"/>
  <c r="Q72" i="6"/>
  <c r="R11" i="6"/>
  <c r="Q32" i="6" s="1"/>
  <c r="Q60" i="6" s="1"/>
  <c r="R72" i="8"/>
  <c r="S11" i="8"/>
  <c r="R11" i="7"/>
  <c r="Q32" i="7" s="1"/>
  <c r="Q60" i="7" s="1"/>
  <c r="Q72" i="7"/>
  <c r="Q72" i="9"/>
  <c r="R11" i="9"/>
  <c r="Q32" i="9" s="1"/>
  <c r="Q60" i="9" s="1"/>
  <c r="Q72" i="10"/>
  <c r="R11" i="10"/>
  <c r="Q72" i="12"/>
  <c r="R11" i="12"/>
  <c r="Q32" i="12"/>
  <c r="Q60" i="12" s="1"/>
  <c r="R72" i="5" l="1"/>
  <c r="S11" i="5"/>
  <c r="R72" i="6"/>
  <c r="R32" i="6"/>
  <c r="R60" i="6" s="1"/>
  <c r="S11" i="6"/>
  <c r="S72" i="8"/>
  <c r="S32" i="8"/>
  <c r="S60" i="8" s="1"/>
  <c r="R32" i="8"/>
  <c r="R60" i="8" s="1"/>
  <c r="R72" i="7"/>
  <c r="S11" i="7"/>
  <c r="R72" i="9"/>
  <c r="S11" i="9"/>
  <c r="R32" i="9" s="1"/>
  <c r="R60" i="9" s="1"/>
  <c r="R72" i="10"/>
  <c r="S11" i="10"/>
  <c r="R32" i="10" s="1"/>
  <c r="R60" i="10" s="1"/>
  <c r="Q32" i="10"/>
  <c r="Q60" i="10" s="1"/>
  <c r="R72" i="12"/>
  <c r="S11" i="12"/>
  <c r="S72" i="5" l="1"/>
  <c r="S32" i="5"/>
  <c r="S60" i="5" s="1"/>
  <c r="R32" i="5"/>
  <c r="R60" i="5" s="1"/>
  <c r="S72" i="6"/>
  <c r="S32" i="6"/>
  <c r="S60" i="6" s="1"/>
  <c r="S72" i="7"/>
  <c r="S32" i="7"/>
  <c r="S60" i="7" s="1"/>
  <c r="R32" i="7"/>
  <c r="R60" i="7" s="1"/>
  <c r="S72" i="9"/>
  <c r="S32" i="9"/>
  <c r="S60" i="9" s="1"/>
  <c r="S72" i="10"/>
  <c r="S32" i="10"/>
  <c r="S60" i="10" s="1"/>
  <c r="S72" i="12"/>
  <c r="S32" i="12"/>
  <c r="S60" i="12" s="1"/>
  <c r="R32" i="12"/>
  <c r="R60" i="12" s="1"/>
  <c r="AC41" i="2" l="1"/>
  <c r="AC40" i="2" s="1"/>
  <c r="AC39" i="2" s="1"/>
  <c r="P41" i="2"/>
  <c r="Q41" i="2" s="1"/>
  <c r="AA41" i="2" s="1"/>
  <c r="P42" i="2"/>
  <c r="K19" i="40"/>
  <c r="I22" i="57" l="1"/>
  <c r="I22" i="58"/>
  <c r="I22" i="59"/>
  <c r="I22" i="60"/>
  <c r="I26" i="57"/>
  <c r="I26" i="58"/>
  <c r="I26" i="59"/>
  <c r="I26" i="60"/>
  <c r="I30" i="57"/>
  <c r="I30" i="58"/>
  <c r="I30" i="59"/>
  <c r="I30" i="60"/>
  <c r="I34" i="57"/>
  <c r="I34" i="58"/>
  <c r="I34" i="59"/>
  <c r="I34" i="60"/>
  <c r="I38" i="57"/>
  <c r="I38" i="58"/>
  <c r="I38" i="59"/>
  <c r="I38" i="60"/>
  <c r="I23" i="57"/>
  <c r="I23" i="58"/>
  <c r="I23" i="59"/>
  <c r="I23" i="60"/>
  <c r="I27" i="60"/>
  <c r="I27" i="57"/>
  <c r="I27" i="58"/>
  <c r="I27" i="59"/>
  <c r="I31" i="60"/>
  <c r="I31" i="57"/>
  <c r="I31" i="58"/>
  <c r="I31" i="59"/>
  <c r="I35" i="57"/>
  <c r="I35" i="58"/>
  <c r="I35" i="59"/>
  <c r="I35" i="60"/>
  <c r="I24" i="60"/>
  <c r="I24" i="59"/>
  <c r="I24" i="57"/>
  <c r="I24" i="58"/>
  <c r="I28" i="60"/>
  <c r="I28" i="57"/>
  <c r="I28" i="58"/>
  <c r="I28" i="59"/>
  <c r="I32" i="60"/>
  <c r="I32" i="59"/>
  <c r="I32" i="57"/>
  <c r="I32" i="58"/>
  <c r="I36" i="60"/>
  <c r="I36" i="58"/>
  <c r="I36" i="57"/>
  <c r="I36" i="59"/>
  <c r="I25" i="57"/>
  <c r="I25" i="58"/>
  <c r="I25" i="59"/>
  <c r="I25" i="60"/>
  <c r="I29" i="57"/>
  <c r="I29" i="58"/>
  <c r="I29" i="59"/>
  <c r="I29" i="60"/>
  <c r="I33" i="57"/>
  <c r="I33" i="58"/>
  <c r="I33" i="59"/>
  <c r="I33" i="60"/>
  <c r="I37" i="57"/>
  <c r="I37" i="58"/>
  <c r="I37" i="59"/>
  <c r="I37" i="60"/>
  <c r="I39" i="57"/>
  <c r="K39" i="57" s="1"/>
  <c r="I39" i="58"/>
  <c r="K39" i="58" s="1"/>
  <c r="I39" i="59"/>
  <c r="K39" i="59" s="1"/>
  <c r="I39" i="60"/>
  <c r="K39" i="60" s="1"/>
  <c r="K22" i="42"/>
  <c r="K21" i="43"/>
  <c r="G19" i="58"/>
  <c r="K21" i="44"/>
  <c r="G19" i="60"/>
  <c r="O18" i="56"/>
  <c r="K21" i="41"/>
  <c r="G19" i="57"/>
  <c r="G19" i="59"/>
  <c r="K22" i="45"/>
  <c r="K30" i="42"/>
  <c r="K29" i="43"/>
  <c r="G27" i="58"/>
  <c r="K27" i="58" s="1"/>
  <c r="K29" i="41"/>
  <c r="G27" i="59"/>
  <c r="O26" i="56"/>
  <c r="I20" i="66"/>
  <c r="G27" i="60"/>
  <c r="K27" i="60" s="1"/>
  <c r="K29" i="44"/>
  <c r="G27" i="57"/>
  <c r="K27" i="57" s="1"/>
  <c r="K30" i="45"/>
  <c r="K38" i="42"/>
  <c r="K37" i="43"/>
  <c r="G35" i="58"/>
  <c r="K35" i="58" s="1"/>
  <c r="G35" i="60"/>
  <c r="K37" i="41"/>
  <c r="O34" i="56"/>
  <c r="I28" i="66"/>
  <c r="K37" i="44"/>
  <c r="G35" i="57"/>
  <c r="K35" i="57" s="1"/>
  <c r="G35" i="59"/>
  <c r="K35" i="59" s="1"/>
  <c r="K38" i="45"/>
  <c r="K23" i="45"/>
  <c r="K22" i="44"/>
  <c r="K23" i="42"/>
  <c r="K22" i="43"/>
  <c r="G20" i="57"/>
  <c r="G20" i="59"/>
  <c r="G20" i="60"/>
  <c r="O19" i="56"/>
  <c r="K22" i="41"/>
  <c r="G20" i="58"/>
  <c r="K27" i="45"/>
  <c r="O23" i="56"/>
  <c r="K27" i="42"/>
  <c r="K26" i="43"/>
  <c r="G24" i="57"/>
  <c r="K24" i="57" s="1"/>
  <c r="G24" i="59"/>
  <c r="K24" i="59" s="1"/>
  <c r="K26" i="41"/>
  <c r="K26" i="44"/>
  <c r="G24" i="58"/>
  <c r="G24" i="60"/>
  <c r="K24" i="60" s="1"/>
  <c r="K31" i="45"/>
  <c r="G28" i="60"/>
  <c r="K28" i="60" s="1"/>
  <c r="K30" i="41"/>
  <c r="K31" i="42"/>
  <c r="K30" i="43"/>
  <c r="G28" i="57"/>
  <c r="K28" i="57" s="1"/>
  <c r="G28" i="59"/>
  <c r="I21" i="66"/>
  <c r="K30" i="44"/>
  <c r="O27" i="56"/>
  <c r="G28" i="58"/>
  <c r="K28" i="58" s="1"/>
  <c r="K35" i="45"/>
  <c r="W34" i="38"/>
  <c r="K35" i="42"/>
  <c r="K34" i="43"/>
  <c r="G32" i="57"/>
  <c r="K32" i="57" s="1"/>
  <c r="G32" i="59"/>
  <c r="K32" i="59" s="1"/>
  <c r="G32" i="60"/>
  <c r="K32" i="60" s="1"/>
  <c r="O31" i="56"/>
  <c r="K34" i="41"/>
  <c r="I25" i="66"/>
  <c r="K34" i="44"/>
  <c r="G32" i="58"/>
  <c r="K39" i="45"/>
  <c r="I29" i="66"/>
  <c r="K38" i="41"/>
  <c r="K39" i="42"/>
  <c r="K38" i="43"/>
  <c r="G36" i="57"/>
  <c r="K36" i="57" s="1"/>
  <c r="G36" i="59"/>
  <c r="O35" i="56"/>
  <c r="G36" i="60"/>
  <c r="K36" i="60" s="1"/>
  <c r="K38" i="44"/>
  <c r="G36" i="58"/>
  <c r="K36" i="58" s="1"/>
  <c r="K23" i="41"/>
  <c r="K23" i="44"/>
  <c r="G21" i="57"/>
  <c r="G21" i="59"/>
  <c r="K24" i="45"/>
  <c r="K24" i="42"/>
  <c r="G21" i="58"/>
  <c r="K23" i="43"/>
  <c r="O20" i="56"/>
  <c r="G21" i="60"/>
  <c r="K27" i="41"/>
  <c r="K27" i="44"/>
  <c r="G25" i="57"/>
  <c r="K25" i="57" s="1"/>
  <c r="G25" i="59"/>
  <c r="K25" i="59" s="1"/>
  <c r="K28" i="45"/>
  <c r="G25" i="60"/>
  <c r="K27" i="43"/>
  <c r="G25" i="58"/>
  <c r="K25" i="58" s="1"/>
  <c r="K28" i="42"/>
  <c r="O24" i="56"/>
  <c r="K31" i="41"/>
  <c r="K31" i="44"/>
  <c r="G29" i="57"/>
  <c r="K29" i="57" s="1"/>
  <c r="G29" i="59"/>
  <c r="K29" i="59" s="1"/>
  <c r="K32" i="42"/>
  <c r="K31" i="43"/>
  <c r="G29" i="58"/>
  <c r="K29" i="58" s="1"/>
  <c r="G29" i="60"/>
  <c r="K32" i="45"/>
  <c r="O28" i="56"/>
  <c r="I22" i="66"/>
  <c r="K35" i="41"/>
  <c r="K35" i="44"/>
  <c r="G33" i="57"/>
  <c r="K33" i="57" s="1"/>
  <c r="G33" i="59"/>
  <c r="K33" i="59" s="1"/>
  <c r="G33" i="58"/>
  <c r="K33" i="58" s="1"/>
  <c r="K36" i="45"/>
  <c r="K36" i="42"/>
  <c r="K35" i="43"/>
  <c r="G33" i="60"/>
  <c r="O32" i="56"/>
  <c r="I26" i="66"/>
  <c r="K39" i="41"/>
  <c r="K39" i="44"/>
  <c r="G37" i="57"/>
  <c r="K37" i="57" s="1"/>
  <c r="G37" i="59"/>
  <c r="K37" i="59" s="1"/>
  <c r="K40" i="45"/>
  <c r="G37" i="60"/>
  <c r="G37" i="58"/>
  <c r="K37" i="58" s="1"/>
  <c r="K40" i="42"/>
  <c r="K39" i="43"/>
  <c r="O36" i="56"/>
  <c r="I30" i="66"/>
  <c r="K26" i="42"/>
  <c r="K25" i="43"/>
  <c r="G23" i="58"/>
  <c r="K23" i="58" s="1"/>
  <c r="G23" i="60"/>
  <c r="G23" i="57"/>
  <c r="K23" i="57" s="1"/>
  <c r="O22" i="56"/>
  <c r="K25" i="44"/>
  <c r="G23" i="59"/>
  <c r="K23" i="59" s="1"/>
  <c r="K25" i="41"/>
  <c r="K26" i="45"/>
  <c r="K34" i="42"/>
  <c r="K33" i="43"/>
  <c r="G31" i="58"/>
  <c r="K31" i="58" s="1"/>
  <c r="K33" i="44"/>
  <c r="G31" i="59"/>
  <c r="O30" i="56"/>
  <c r="I24" i="66"/>
  <c r="K33" i="41"/>
  <c r="G31" i="57"/>
  <c r="K31" i="57" s="1"/>
  <c r="G31" i="60"/>
  <c r="K31" i="60" s="1"/>
  <c r="K34" i="45"/>
  <c r="O17" i="56"/>
  <c r="K20" i="41"/>
  <c r="K20" i="44"/>
  <c r="G18" i="58"/>
  <c r="K20" i="43"/>
  <c r="K21" i="42"/>
  <c r="G18" i="57"/>
  <c r="G18" i="59"/>
  <c r="G18" i="60"/>
  <c r="O21" i="56"/>
  <c r="K24" i="41"/>
  <c r="K24" i="44"/>
  <c r="G22" i="58"/>
  <c r="K22" i="58" s="1"/>
  <c r="G22" i="60"/>
  <c r="K25" i="42"/>
  <c r="K25" i="45"/>
  <c r="K24" i="43"/>
  <c r="G22" i="59"/>
  <c r="K22" i="59" s="1"/>
  <c r="G22" i="57"/>
  <c r="K22" i="57" s="1"/>
  <c r="O25" i="56"/>
  <c r="K29" i="45"/>
  <c r="K29" i="42"/>
  <c r="K28" i="41"/>
  <c r="K28" i="44"/>
  <c r="G26" i="58"/>
  <c r="K26" i="58" s="1"/>
  <c r="K28" i="43"/>
  <c r="G26" i="57"/>
  <c r="K26" i="57" s="1"/>
  <c r="G26" i="59"/>
  <c r="K26" i="59" s="1"/>
  <c r="G26" i="60"/>
  <c r="O29" i="56"/>
  <c r="G30" i="60"/>
  <c r="I23" i="66"/>
  <c r="K32" i="43"/>
  <c r="K32" i="41"/>
  <c r="K32" i="44"/>
  <c r="G30" i="58"/>
  <c r="K30" i="58" s="1"/>
  <c r="K33" i="45"/>
  <c r="K33" i="42"/>
  <c r="G30" i="59"/>
  <c r="K30" i="59" s="1"/>
  <c r="G30" i="57"/>
  <c r="K30" i="57" s="1"/>
  <c r="O33" i="56"/>
  <c r="I27" i="66"/>
  <c r="K37" i="45"/>
  <c r="K36" i="41"/>
  <c r="K36" i="44"/>
  <c r="G34" i="58"/>
  <c r="K34" i="58" s="1"/>
  <c r="G34" i="60"/>
  <c r="K37" i="42"/>
  <c r="K36" i="43"/>
  <c r="G34" i="57"/>
  <c r="K34" i="57" s="1"/>
  <c r="G34" i="59"/>
  <c r="K34" i="59" s="1"/>
  <c r="O37" i="56"/>
  <c r="I31" i="66"/>
  <c r="K40" i="41"/>
  <c r="K40" i="44"/>
  <c r="G38" i="58"/>
  <c r="K38" i="58" s="1"/>
  <c r="K41" i="42"/>
  <c r="K40" i="43"/>
  <c r="K41" i="45"/>
  <c r="G38" i="60"/>
  <c r="K38" i="60" s="1"/>
  <c r="G38" i="59"/>
  <c r="K38" i="59" s="1"/>
  <c r="G38" i="57"/>
  <c r="K38" i="57" s="1"/>
  <c r="Y39" i="32"/>
  <c r="S39" i="33"/>
  <c r="V22" i="56"/>
  <c r="V26" i="56"/>
  <c r="V30" i="56"/>
  <c r="V34" i="56"/>
  <c r="V23" i="56"/>
  <c r="V27" i="56"/>
  <c r="V31" i="56"/>
  <c r="V35" i="56"/>
  <c r="V24" i="56"/>
  <c r="V28" i="56"/>
  <c r="V32" i="56"/>
  <c r="V36" i="56"/>
  <c r="V38" i="56"/>
  <c r="V21" i="56"/>
  <c r="V25" i="56"/>
  <c r="V29" i="56"/>
  <c r="V33" i="56"/>
  <c r="V37" i="56"/>
  <c r="M26" i="2"/>
  <c r="K26" i="40"/>
  <c r="I17" i="66"/>
  <c r="P39" i="14"/>
  <c r="F39" i="14" s="1"/>
  <c r="K38" i="40"/>
  <c r="K23" i="40"/>
  <c r="M27" i="2"/>
  <c r="K27" i="40"/>
  <c r="I18" i="66"/>
  <c r="M31" i="2"/>
  <c r="K31" i="40"/>
  <c r="M35" i="2"/>
  <c r="K35" i="40"/>
  <c r="P40" i="14"/>
  <c r="E40" i="14" s="1"/>
  <c r="K39" i="40"/>
  <c r="K22" i="40"/>
  <c r="M30" i="2"/>
  <c r="K30" i="40"/>
  <c r="M34" i="2"/>
  <c r="K34" i="40"/>
  <c r="K20" i="40"/>
  <c r="M24" i="2"/>
  <c r="K24" i="40"/>
  <c r="M28" i="2"/>
  <c r="K28" i="40"/>
  <c r="I19" i="66"/>
  <c r="M32" i="2"/>
  <c r="K32" i="40"/>
  <c r="M36" i="2"/>
  <c r="K36" i="40"/>
  <c r="P42" i="14"/>
  <c r="C42" i="14" s="1"/>
  <c r="K41" i="40"/>
  <c r="K21" i="40"/>
  <c r="M25" i="2"/>
  <c r="K25" i="40"/>
  <c r="M29" i="2"/>
  <c r="K29" i="40"/>
  <c r="M33" i="2"/>
  <c r="K33" i="40"/>
  <c r="P38" i="14"/>
  <c r="C38" i="14" s="1"/>
  <c r="K37" i="40"/>
  <c r="P41" i="14"/>
  <c r="D41" i="14" s="1"/>
  <c r="K40" i="40"/>
  <c r="M41" i="2"/>
  <c r="M37" i="2"/>
  <c r="M40" i="2"/>
  <c r="M39" i="2"/>
  <c r="M38" i="2"/>
  <c r="K34" i="60" l="1"/>
  <c r="K30" i="60"/>
  <c r="K23" i="60"/>
  <c r="K32" i="58"/>
  <c r="K28" i="59"/>
  <c r="K24" i="58"/>
  <c r="K27" i="59"/>
  <c r="K22" i="60"/>
  <c r="K31" i="59"/>
  <c r="K37" i="60"/>
  <c r="K33" i="60"/>
  <c r="K29" i="60"/>
  <c r="K25" i="60"/>
  <c r="K36" i="59"/>
  <c r="K26" i="60"/>
  <c r="K35" i="60"/>
  <c r="F38" i="14"/>
  <c r="E39" i="14"/>
  <c r="G38" i="14"/>
  <c r="C39" i="14"/>
  <c r="D39" i="14"/>
  <c r="C41" i="14"/>
  <c r="D40" i="14"/>
  <c r="D38" i="14"/>
  <c r="E29" i="64"/>
  <c r="U35" i="56"/>
  <c r="E29" i="63"/>
  <c r="E29" i="62"/>
  <c r="E29" i="61"/>
  <c r="E19" i="64"/>
  <c r="U25" i="56"/>
  <c r="E19" i="63"/>
  <c r="E19" i="62"/>
  <c r="E19" i="61"/>
  <c r="C40" i="14"/>
  <c r="U32" i="56"/>
  <c r="E26" i="63"/>
  <c r="E26" i="62"/>
  <c r="E26" i="61"/>
  <c r="E26" i="64"/>
  <c r="U21" i="56"/>
  <c r="U20" i="56"/>
  <c r="E38" i="14"/>
  <c r="AF41" i="2"/>
  <c r="AG41" i="2"/>
  <c r="AG40" i="2"/>
  <c r="AF40" i="2"/>
  <c r="E24" i="64" l="1"/>
  <c r="U30" i="56"/>
  <c r="E24" i="63"/>
  <c r="E24" i="62"/>
  <c r="E24" i="61"/>
  <c r="E20" i="64"/>
  <c r="U26" i="56"/>
  <c r="E20" i="63"/>
  <c r="E20" i="62"/>
  <c r="E20" i="61"/>
  <c r="U16" i="56"/>
  <c r="E17" i="59"/>
  <c r="E17" i="58"/>
  <c r="E17" i="57"/>
  <c r="E27" i="64"/>
  <c r="U33" i="56"/>
  <c r="E27" i="63"/>
  <c r="E27" i="62"/>
  <c r="E27" i="61"/>
  <c r="U19" i="56"/>
  <c r="U22" i="56"/>
  <c r="E32" i="64"/>
  <c r="U38" i="56"/>
  <c r="E32" i="63"/>
  <c r="E32" i="62"/>
  <c r="E32" i="61"/>
  <c r="U17" i="56"/>
  <c r="E23" i="64"/>
  <c r="U29" i="56"/>
  <c r="E23" i="63"/>
  <c r="E23" i="62"/>
  <c r="E23" i="61"/>
  <c r="U18" i="56"/>
  <c r="U36" i="56"/>
  <c r="E30" i="63"/>
  <c r="E30" i="62"/>
  <c r="E30" i="61"/>
  <c r="E30" i="64"/>
  <c r="U24" i="56"/>
  <c r="E18" i="63"/>
  <c r="E18" i="62"/>
  <c r="E18" i="61"/>
  <c r="E18" i="64"/>
  <c r="U28" i="56"/>
  <c r="E22" i="63"/>
  <c r="E22" i="62"/>
  <c r="E22" i="61"/>
  <c r="E22" i="64"/>
  <c r="E17" i="64"/>
  <c r="U23" i="56"/>
  <c r="E17" i="63"/>
  <c r="E17" i="62"/>
  <c r="E17" i="61"/>
  <c r="E25" i="64"/>
  <c r="U31" i="56"/>
  <c r="E25" i="63"/>
  <c r="E25" i="62"/>
  <c r="E25" i="61"/>
  <c r="E28" i="64"/>
  <c r="U34" i="56"/>
  <c r="E28" i="63"/>
  <c r="E28" i="62"/>
  <c r="E28" i="61"/>
  <c r="E21" i="64"/>
  <c r="U27" i="56"/>
  <c r="E21" i="63"/>
  <c r="E21" i="62"/>
  <c r="E21" i="61"/>
  <c r="J42" i="2"/>
  <c r="AJ41" i="2"/>
  <c r="E31" i="64" l="1"/>
  <c r="U37" i="56"/>
  <c r="E31" i="63"/>
  <c r="E31" i="62"/>
  <c r="E31" i="61"/>
  <c r="M42" i="2" l="1"/>
  <c r="AG42" i="2" s="1"/>
  <c r="S43" i="75" l="1"/>
  <c r="A1" i="79"/>
  <c r="G13" i="2" l="1"/>
  <c r="F13" i="2"/>
  <c r="U14" i="76" l="1"/>
  <c r="M13" i="76"/>
  <c r="M13" i="75"/>
  <c r="U14" i="75"/>
  <c r="A1" i="75"/>
  <c r="A1" i="33"/>
  <c r="A1" i="31"/>
  <c r="A1" i="76"/>
  <c r="A1" i="32"/>
  <c r="A1" i="78"/>
  <c r="V41" i="80" l="1"/>
  <c r="L44" i="80"/>
  <c r="E44" i="80"/>
  <c r="E42" i="80"/>
  <c r="H38" i="80"/>
  <c r="U38" i="80" s="1"/>
  <c r="H37" i="80"/>
  <c r="U37" i="80" s="1"/>
  <c r="H36" i="80"/>
  <c r="U36" i="80" s="1"/>
  <c r="H35" i="80"/>
  <c r="U35" i="80" s="1"/>
  <c r="H34" i="80"/>
  <c r="U34" i="80" s="1"/>
  <c r="H33" i="80"/>
  <c r="U33" i="80" s="1"/>
  <c r="V42" i="80" l="1"/>
  <c r="V44" i="80"/>
  <c r="W41" i="80"/>
  <c r="I41" i="80"/>
  <c r="J41" i="80"/>
  <c r="W46" i="80" s="1"/>
  <c r="K41" i="80"/>
  <c r="X46" i="80" s="1"/>
  <c r="X41" i="80"/>
  <c r="L42" i="80"/>
  <c r="I44" i="80" l="1"/>
  <c r="V46" i="80"/>
  <c r="I42" i="80"/>
  <c r="X42" i="80"/>
  <c r="X44" i="80"/>
  <c r="Z42" i="80"/>
  <c r="Z44" i="80"/>
  <c r="Y42" i="80"/>
  <c r="Y44" i="80"/>
  <c r="K42" i="80"/>
  <c r="K44" i="80"/>
  <c r="W42" i="80"/>
  <c r="W44" i="80"/>
  <c r="J42" i="80"/>
  <c r="J44" i="80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5" i="1"/>
  <c r="AL42" i="2"/>
  <c r="A7" i="5" l="1"/>
  <c r="A7" i="6"/>
  <c r="A7" i="7"/>
  <c r="C1" i="9"/>
  <c r="U73" i="9" s="1"/>
  <c r="A7" i="10"/>
  <c r="C1" i="8"/>
  <c r="U73" i="8" s="1"/>
  <c r="A7" i="9"/>
  <c r="C1" i="5"/>
  <c r="U73" i="5" s="1"/>
  <c r="C1" i="6"/>
  <c r="U73" i="6" s="1"/>
  <c r="A7" i="8"/>
  <c r="C1" i="7"/>
  <c r="U73" i="7" s="1"/>
  <c r="C1" i="10"/>
  <c r="U73" i="10" s="1"/>
  <c r="C1" i="12"/>
  <c r="U73" i="12" s="1"/>
  <c r="A7" i="12"/>
  <c r="K34" i="31"/>
  <c r="K35" i="31"/>
  <c r="K36" i="31"/>
  <c r="K37" i="31"/>
  <c r="K33" i="31"/>
  <c r="K19" i="31"/>
  <c r="K20" i="31"/>
  <c r="K21" i="31"/>
  <c r="K22" i="31"/>
  <c r="K18" i="31"/>
  <c r="K34" i="78"/>
  <c r="K35" i="78"/>
  <c r="K36" i="78"/>
  <c r="K37" i="78"/>
  <c r="K33" i="78"/>
  <c r="K19" i="78"/>
  <c r="K20" i="78"/>
  <c r="K21" i="78"/>
  <c r="K22" i="78"/>
  <c r="K18" i="78"/>
  <c r="G12" i="2" l="1"/>
  <c r="B27" i="79" s="1"/>
  <c r="G11" i="2"/>
  <c r="G10" i="2"/>
  <c r="B19" i="79" s="1"/>
  <c r="F10" i="2"/>
  <c r="AK15" i="41" s="1"/>
  <c r="A4" i="79"/>
  <c r="A2" i="79"/>
  <c r="A11" i="79"/>
  <c r="A13" i="79" s="1"/>
  <c r="A15" i="79" s="1"/>
  <c r="A17" i="79" s="1"/>
  <c r="A19" i="79" s="1"/>
  <c r="A21" i="79" s="1"/>
  <c r="A23" i="79" s="1"/>
  <c r="A25" i="79" s="1"/>
  <c r="A27" i="79" s="1"/>
  <c r="A29" i="79" s="1"/>
  <c r="B15" i="79" l="1"/>
  <c r="M37" i="78" l="1"/>
  <c r="M36" i="78"/>
  <c r="M35" i="78"/>
  <c r="M21" i="78"/>
  <c r="M20" i="78"/>
  <c r="M19" i="78"/>
  <c r="F13" i="78"/>
  <c r="H13" i="78" s="1"/>
  <c r="A4" i="78"/>
  <c r="A2" i="78"/>
  <c r="L40" i="76"/>
  <c r="L40" i="75"/>
  <c r="E15" i="75"/>
  <c r="G15" i="75" s="1"/>
  <c r="I15" i="75" s="1"/>
  <c r="K15" i="75" s="1"/>
  <c r="M15" i="75" s="1"/>
  <c r="O15" i="75" s="1"/>
  <c r="I14" i="75"/>
  <c r="A14" i="75"/>
  <c r="A13" i="75"/>
  <c r="A12" i="75"/>
  <c r="A4" i="75"/>
  <c r="A2" i="75"/>
  <c r="E34" i="77"/>
  <c r="G34" i="77" s="1"/>
  <c r="I34" i="77" s="1"/>
  <c r="K34" i="77" s="1"/>
  <c r="M34" i="77" s="1"/>
  <c r="O34" i="77" s="1"/>
  <c r="X9" i="77"/>
  <c r="X10" i="77" s="1"/>
  <c r="X11" i="77" s="1"/>
  <c r="X12" i="77" s="1"/>
  <c r="C5" i="77"/>
  <c r="Y2" i="77"/>
  <c r="E15" i="76"/>
  <c r="G15" i="76" s="1"/>
  <c r="I15" i="76" s="1"/>
  <c r="K15" i="76" s="1"/>
  <c r="M15" i="76" s="1"/>
  <c r="O15" i="76" s="1"/>
  <c r="I14" i="76"/>
  <c r="A14" i="76"/>
  <c r="A13" i="76"/>
  <c r="A12" i="76"/>
  <c r="A4" i="76"/>
  <c r="A2" i="76"/>
  <c r="C38" i="32"/>
  <c r="C39" i="32"/>
  <c r="K37" i="36"/>
  <c r="K36" i="36"/>
  <c r="K35" i="36"/>
  <c r="K34" i="36"/>
  <c r="K33" i="36"/>
  <c r="K19" i="36"/>
  <c r="K20" i="36"/>
  <c r="K21" i="36"/>
  <c r="K22" i="36"/>
  <c r="K18" i="36"/>
  <c r="M33" i="78" l="1"/>
  <c r="M18" i="78"/>
  <c r="M22" i="78"/>
  <c r="M34" i="78"/>
  <c r="Y9" i="77"/>
  <c r="X13" i="77"/>
  <c r="X14" i="77" s="1"/>
  <c r="Y12" i="77"/>
  <c r="Y10" i="77"/>
  <c r="Y8" i="77"/>
  <c r="Y11" i="77"/>
  <c r="Y13" i="77" l="1"/>
  <c r="X15" i="77"/>
  <c r="Y14" i="77"/>
  <c r="X16" i="77" l="1"/>
  <c r="Y15" i="77"/>
  <c r="X17" i="77" l="1"/>
  <c r="Y16" i="77"/>
  <c r="X18" i="77" l="1"/>
  <c r="Y17" i="77"/>
  <c r="X19" i="77" l="1"/>
  <c r="Y18" i="77"/>
  <c r="X20" i="77" l="1"/>
  <c r="Y19" i="77"/>
  <c r="X21" i="77" l="1"/>
  <c r="Y20" i="77"/>
  <c r="X22" i="77" l="1"/>
  <c r="Y21" i="77"/>
  <c r="X23" i="77" l="1"/>
  <c r="Y22" i="77"/>
  <c r="X24" i="77" l="1"/>
  <c r="Y23" i="77"/>
  <c r="X25" i="77" l="1"/>
  <c r="Y24" i="77"/>
  <c r="X26" i="77" l="1"/>
  <c r="Y25" i="77"/>
  <c r="X27" i="77" l="1"/>
  <c r="Y26" i="77"/>
  <c r="X28" i="77" l="1"/>
  <c r="Y27" i="77"/>
  <c r="X29" i="77" l="1"/>
  <c r="Y28" i="77"/>
  <c r="X30" i="77" l="1"/>
  <c r="Y29" i="77"/>
  <c r="X31" i="77" l="1"/>
  <c r="Y30" i="77"/>
  <c r="X32" i="77" l="1"/>
  <c r="Y31" i="77"/>
  <c r="X33" i="77" l="1"/>
  <c r="Y32" i="77"/>
  <c r="X34" i="77" l="1"/>
  <c r="Y33" i="77"/>
  <c r="X35" i="77" l="1"/>
  <c r="Y34" i="77"/>
  <c r="X36" i="77" l="1"/>
  <c r="Y35" i="77"/>
  <c r="X37" i="77" l="1"/>
  <c r="Y36" i="77"/>
  <c r="X38" i="77" l="1"/>
  <c r="Y37" i="77"/>
  <c r="X39" i="77" l="1"/>
  <c r="Y38" i="77"/>
  <c r="X40" i="77" l="1"/>
  <c r="Y39" i="77"/>
  <c r="X41" i="77" l="1"/>
  <c r="Y40" i="77"/>
  <c r="X42" i="77" l="1"/>
  <c r="Y41" i="77"/>
  <c r="X43" i="77" l="1"/>
  <c r="Y42" i="77"/>
  <c r="X44" i="77" l="1"/>
  <c r="Y44" i="77" s="1"/>
  <c r="Y43" i="77"/>
  <c r="AT34" i="37" l="1"/>
  <c r="AX34" i="37" s="1"/>
  <c r="C32" i="33" s="1"/>
  <c r="A48" i="45"/>
  <c r="G17" i="45"/>
  <c r="I17" i="45" s="1"/>
  <c r="K17" i="45" s="1"/>
  <c r="M17" i="45" s="1"/>
  <c r="A16" i="45"/>
  <c r="A15" i="45"/>
  <c r="A14" i="45"/>
  <c r="A4" i="45"/>
  <c r="A2" i="45"/>
  <c r="A5" i="70"/>
  <c r="N11" i="19"/>
  <c r="A20" i="19"/>
  <c r="A4" i="19"/>
  <c r="A2" i="19"/>
  <c r="A20" i="20"/>
  <c r="A21" i="20" s="1"/>
  <c r="A4" i="20"/>
  <c r="A2" i="20"/>
  <c r="A20" i="21"/>
  <c r="A21" i="21" s="1"/>
  <c r="A4" i="21"/>
  <c r="A2" i="21"/>
  <c r="A20" i="22"/>
  <c r="A21" i="22" s="1"/>
  <c r="A4" i="22"/>
  <c r="A2" i="22"/>
  <c r="A20" i="23"/>
  <c r="A21" i="23" s="1"/>
  <c r="A4" i="23"/>
  <c r="A2" i="23"/>
  <c r="A20" i="24"/>
  <c r="A21" i="24" s="1"/>
  <c r="A4" i="24"/>
  <c r="A2" i="24"/>
  <c r="A20" i="25"/>
  <c r="A21" i="25" s="1"/>
  <c r="A4" i="25"/>
  <c r="A2" i="25"/>
  <c r="A20" i="26"/>
  <c r="A21" i="26" s="1"/>
  <c r="A4" i="26"/>
  <c r="A2" i="26"/>
  <c r="Z49" i="41"/>
  <c r="AK51" i="41"/>
  <c r="Z13" i="41"/>
  <c r="A15" i="44"/>
  <c r="A51" i="44" s="1"/>
  <c r="A14" i="44"/>
  <c r="A50" i="44" s="1"/>
  <c r="A13" i="44"/>
  <c r="A83" i="44"/>
  <c r="G52" i="44"/>
  <c r="I52" i="44" s="1"/>
  <c r="K52" i="44" s="1"/>
  <c r="M52" i="44" s="1"/>
  <c r="C19" i="44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G16" i="44"/>
  <c r="I16" i="44" s="1"/>
  <c r="K16" i="44" s="1"/>
  <c r="M16" i="44" s="1"/>
  <c r="A49" i="44"/>
  <c r="A4" i="44"/>
  <c r="A2" i="44"/>
  <c r="A15" i="41"/>
  <c r="A51" i="41" s="1"/>
  <c r="A14" i="41"/>
  <c r="A50" i="41" s="1"/>
  <c r="A13" i="41"/>
  <c r="A49" i="41" s="1"/>
  <c r="A83" i="41"/>
  <c r="G52" i="41"/>
  <c r="I52" i="41" s="1"/>
  <c r="K52" i="41" s="1"/>
  <c r="M52" i="41" s="1"/>
  <c r="C19" i="41"/>
  <c r="C20" i="41" s="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G16" i="41"/>
  <c r="I16" i="41" s="1"/>
  <c r="K16" i="41" s="1"/>
  <c r="M16" i="41" s="1"/>
  <c r="A4" i="41"/>
  <c r="A2" i="41"/>
  <c r="AK15" i="40"/>
  <c r="Z13" i="40"/>
  <c r="Z49" i="40" s="1"/>
  <c r="AK51" i="40" s="1"/>
  <c r="A1" i="19"/>
  <c r="A1" i="45"/>
  <c r="A1" i="24"/>
  <c r="A1" i="22"/>
  <c r="A1" i="20"/>
  <c r="A1" i="21"/>
  <c r="A1" i="3"/>
  <c r="A1" i="26"/>
  <c r="A1" i="23"/>
  <c r="A1" i="41"/>
  <c r="A1" i="44"/>
  <c r="A1" i="25"/>
  <c r="A7" i="44" l="1"/>
  <c r="A7" i="45"/>
  <c r="A7" i="41"/>
  <c r="A21" i="19"/>
  <c r="A7" i="70" s="1"/>
  <c r="A6" i="70"/>
  <c r="A8" i="19"/>
  <c r="A8" i="20"/>
  <c r="A22" i="20"/>
  <c r="A8" i="21"/>
  <c r="A22" i="21"/>
  <c r="A8" i="22"/>
  <c r="A22" i="22"/>
  <c r="A8" i="23"/>
  <c r="A22" i="23"/>
  <c r="A8" i="24"/>
  <c r="A22" i="24"/>
  <c r="A8" i="25"/>
  <c r="A22" i="25"/>
  <c r="A8" i="26"/>
  <c r="A22" i="26"/>
  <c r="Z85" i="40"/>
  <c r="AK87" i="40" s="1"/>
  <c r="A22" i="19" l="1"/>
  <c r="A8" i="70" s="1"/>
  <c r="A23" i="20"/>
  <c r="A23" i="21"/>
  <c r="A23" i="22"/>
  <c r="A23" i="23"/>
  <c r="A23" i="24"/>
  <c r="A23" i="25"/>
  <c r="A23" i="26"/>
  <c r="A23" i="19" l="1"/>
  <c r="A9" i="70" s="1"/>
  <c r="A24" i="20"/>
  <c r="A24" i="21"/>
  <c r="A24" i="22"/>
  <c r="A24" i="23"/>
  <c r="A24" i="24"/>
  <c r="A24" i="25"/>
  <c r="A24" i="26"/>
  <c r="A24" i="19" l="1"/>
  <c r="A10" i="70" s="1"/>
  <c r="A25" i="20"/>
  <c r="A25" i="21"/>
  <c r="A25" i="22"/>
  <c r="A25" i="23"/>
  <c r="A25" i="24"/>
  <c r="A25" i="25"/>
  <c r="A25" i="26"/>
  <c r="A25" i="19" l="1"/>
  <c r="A11" i="70" s="1"/>
  <c r="A26" i="20"/>
  <c r="A26" i="21"/>
  <c r="A26" i="22"/>
  <c r="A26" i="23"/>
  <c r="A26" i="24"/>
  <c r="A26" i="25"/>
  <c r="A26" i="26"/>
  <c r="A26" i="19" l="1"/>
  <c r="A12" i="70" s="1"/>
  <c r="A27" i="20"/>
  <c r="A27" i="21"/>
  <c r="A27" i="22"/>
  <c r="A27" i="23"/>
  <c r="A27" i="24"/>
  <c r="A27" i="25"/>
  <c r="A27" i="26"/>
  <c r="A27" i="19" l="1"/>
  <c r="A13" i="70" s="1"/>
  <c r="A28" i="20"/>
  <c r="A28" i="21"/>
  <c r="A28" i="22"/>
  <c r="A28" i="23"/>
  <c r="A28" i="24"/>
  <c r="A28" i="25"/>
  <c r="A28" i="26"/>
  <c r="A28" i="19" l="1"/>
  <c r="A14" i="70" s="1"/>
  <c r="A29" i="20"/>
  <c r="A29" i="21"/>
  <c r="A29" i="22"/>
  <c r="A29" i="23"/>
  <c r="A29" i="24"/>
  <c r="A29" i="25"/>
  <c r="A29" i="26"/>
  <c r="A29" i="19" l="1"/>
  <c r="A15" i="70" s="1"/>
  <c r="A30" i="20"/>
  <c r="A30" i="21"/>
  <c r="A30" i="22"/>
  <c r="A30" i="23"/>
  <c r="A30" i="24"/>
  <c r="A30" i="25"/>
  <c r="A30" i="26"/>
  <c r="A30" i="19" l="1"/>
  <c r="A16" i="70" s="1"/>
  <c r="A31" i="20"/>
  <c r="A31" i="21"/>
  <c r="A31" i="22"/>
  <c r="A31" i="23"/>
  <c r="A31" i="24"/>
  <c r="A31" i="25"/>
  <c r="A31" i="26"/>
  <c r="A31" i="19" l="1"/>
  <c r="A17" i="70" s="1"/>
  <c r="A32" i="20"/>
  <c r="A32" i="21"/>
  <c r="A32" i="22"/>
  <c r="A32" i="23"/>
  <c r="A32" i="24"/>
  <c r="A32" i="25"/>
  <c r="A32" i="26"/>
  <c r="A32" i="19" l="1"/>
  <c r="A18" i="70" s="1"/>
  <c r="A33" i="20"/>
  <c r="A33" i="21"/>
  <c r="A33" i="22"/>
  <c r="A33" i="23"/>
  <c r="A33" i="24"/>
  <c r="A33" i="25"/>
  <c r="A33" i="26"/>
  <c r="A33" i="19" l="1"/>
  <c r="A19" i="70" s="1"/>
  <c r="A34" i="20"/>
  <c r="A34" i="21"/>
  <c r="A34" i="22"/>
  <c r="A34" i="23"/>
  <c r="A34" i="24"/>
  <c r="A34" i="25"/>
  <c r="A34" i="26"/>
  <c r="A34" i="19" l="1"/>
  <c r="A20" i="70" s="1"/>
  <c r="A35" i="20"/>
  <c r="A35" i="21"/>
  <c r="A35" i="22"/>
  <c r="A35" i="23"/>
  <c r="A35" i="24"/>
  <c r="A35" i="25"/>
  <c r="A35" i="26"/>
  <c r="A35" i="19" l="1"/>
  <c r="A21" i="70" s="1"/>
  <c r="A36" i="20"/>
  <c r="A36" i="21"/>
  <c r="A36" i="22"/>
  <c r="A36" i="23"/>
  <c r="A36" i="24"/>
  <c r="A36" i="25"/>
  <c r="A36" i="26"/>
  <c r="A36" i="19" l="1"/>
  <c r="A22" i="70" s="1"/>
  <c r="A37" i="20"/>
  <c r="A37" i="21"/>
  <c r="A37" i="22"/>
  <c r="A37" i="23"/>
  <c r="A37" i="24"/>
  <c r="A37" i="25"/>
  <c r="A37" i="26"/>
  <c r="A37" i="19" l="1"/>
  <c r="A23" i="70" s="1"/>
  <c r="A38" i="20"/>
  <c r="A38" i="21"/>
  <c r="A38" i="22"/>
  <c r="A38" i="23"/>
  <c r="A38" i="24"/>
  <c r="A38" i="25"/>
  <c r="A38" i="26"/>
  <c r="A38" i="19" l="1"/>
  <c r="A24" i="70" s="1"/>
  <c r="A39" i="20"/>
  <c r="A39" i="21"/>
  <c r="A39" i="22"/>
  <c r="A39" i="23"/>
  <c r="A39" i="24"/>
  <c r="A39" i="25"/>
  <c r="A39" i="26"/>
  <c r="A39" i="19" l="1"/>
  <c r="A25" i="70" s="1"/>
  <c r="A40" i="20"/>
  <c r="A40" i="21"/>
  <c r="A40" i="22"/>
  <c r="A40" i="23"/>
  <c r="A40" i="24"/>
  <c r="A40" i="25"/>
  <c r="A40" i="26"/>
  <c r="A40" i="19" l="1"/>
  <c r="A26" i="70" s="1"/>
  <c r="A41" i="20"/>
  <c r="A41" i="21"/>
  <c r="A41" i="22"/>
  <c r="A41" i="23"/>
  <c r="A41" i="24"/>
  <c r="A41" i="25"/>
  <c r="A41" i="26"/>
  <c r="A41" i="19" l="1"/>
  <c r="A27" i="70" s="1"/>
  <c r="A42" i="20"/>
  <c r="A42" i="21"/>
  <c r="A42" i="22"/>
  <c r="A42" i="23"/>
  <c r="A42" i="24"/>
  <c r="A42" i="25"/>
  <c r="A42" i="26"/>
  <c r="A42" i="19" l="1"/>
  <c r="A15" i="43"/>
  <c r="A14" i="43"/>
  <c r="A50" i="43" s="1"/>
  <c r="A86" i="43" s="1"/>
  <c r="A13" i="43"/>
  <c r="A49" i="43" s="1"/>
  <c r="A85" i="43" s="1"/>
  <c r="A119" i="43"/>
  <c r="C91" i="43"/>
  <c r="C92" i="43" s="1"/>
  <c r="C93" i="43" s="1"/>
  <c r="C94" i="43" s="1"/>
  <c r="C95" i="43" s="1"/>
  <c r="C96" i="43" s="1"/>
  <c r="C97" i="43" s="1"/>
  <c r="C98" i="43" s="1"/>
  <c r="C99" i="43" s="1"/>
  <c r="C100" i="43" s="1"/>
  <c r="C101" i="43" s="1"/>
  <c r="C102" i="43" s="1"/>
  <c r="C103" i="43" s="1"/>
  <c r="C104" i="43" s="1"/>
  <c r="C105" i="43" s="1"/>
  <c r="C106" i="43" s="1"/>
  <c r="C107" i="43" s="1"/>
  <c r="C108" i="43" s="1"/>
  <c r="C109" i="43" s="1"/>
  <c r="C110" i="43" s="1"/>
  <c r="C111" i="43" s="1"/>
  <c r="C112" i="43" s="1"/>
  <c r="C113" i="43" s="1"/>
  <c r="G88" i="43"/>
  <c r="I88" i="43" s="1"/>
  <c r="K88" i="43" s="1"/>
  <c r="M88" i="43" s="1"/>
  <c r="C55" i="43"/>
  <c r="C56" i="43" s="1"/>
  <c r="C57" i="43" s="1"/>
  <c r="C58" i="43" s="1"/>
  <c r="C59" i="43" s="1"/>
  <c r="C60" i="43" s="1"/>
  <c r="C61" i="43" s="1"/>
  <c r="C62" i="43" s="1"/>
  <c r="C63" i="43" s="1"/>
  <c r="C64" i="43" s="1"/>
  <c r="C65" i="43" s="1"/>
  <c r="C66" i="43" s="1"/>
  <c r="C67" i="43" s="1"/>
  <c r="C68" i="43" s="1"/>
  <c r="C69" i="43" s="1"/>
  <c r="C70" i="43" s="1"/>
  <c r="C71" i="43" s="1"/>
  <c r="C72" i="43" s="1"/>
  <c r="C73" i="43" s="1"/>
  <c r="C74" i="43" s="1"/>
  <c r="C75" i="43" s="1"/>
  <c r="C76" i="43" s="1"/>
  <c r="C77" i="43" s="1"/>
  <c r="G52" i="43"/>
  <c r="I52" i="43" s="1"/>
  <c r="K52" i="43" s="1"/>
  <c r="M52" i="43" s="1"/>
  <c r="C20" i="43"/>
  <c r="C21" i="43" s="1"/>
  <c r="C22" i="43" s="1"/>
  <c r="C23" i="43" s="1"/>
  <c r="C24" i="43" s="1"/>
  <c r="C25" i="43" s="1"/>
  <c r="C26" i="43" s="1"/>
  <c r="C27" i="43" s="1"/>
  <c r="C28" i="43" s="1"/>
  <c r="C29" i="43" s="1"/>
  <c r="C30" i="43" s="1"/>
  <c r="C31" i="43" s="1"/>
  <c r="C32" i="43" s="1"/>
  <c r="C33" i="43" s="1"/>
  <c r="C34" i="43" s="1"/>
  <c r="C35" i="43" s="1"/>
  <c r="C36" i="43" s="1"/>
  <c r="C37" i="43" s="1"/>
  <c r="C38" i="43" s="1"/>
  <c r="C39" i="43" s="1"/>
  <c r="C40" i="43" s="1"/>
  <c r="C41" i="43" s="1"/>
  <c r="C19" i="43"/>
  <c r="I16" i="43"/>
  <c r="K16" i="43" s="1"/>
  <c r="M16" i="43" s="1"/>
  <c r="G16" i="43"/>
  <c r="A51" i="43"/>
  <c r="A87" i="43" s="1"/>
  <c r="A4" i="43"/>
  <c r="A2" i="43"/>
  <c r="A15" i="40"/>
  <c r="A51" i="40" s="1"/>
  <c r="A87" i="40" s="1"/>
  <c r="A14" i="40"/>
  <c r="A50" i="40" s="1"/>
  <c r="A86" i="40" s="1"/>
  <c r="A13" i="40"/>
  <c r="A49" i="40" s="1"/>
  <c r="A85" i="40" s="1"/>
  <c r="C91" i="40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I88" i="40"/>
  <c r="K88" i="40" s="1"/>
  <c r="M88" i="40" s="1"/>
  <c r="G88" i="40"/>
  <c r="C55" i="40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G52" i="40"/>
  <c r="I52" i="40" s="1"/>
  <c r="K52" i="40" s="1"/>
  <c r="M52" i="40" s="1"/>
  <c r="C19" i="40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G16" i="40"/>
  <c r="I16" i="40" s="1"/>
  <c r="K16" i="40" s="1"/>
  <c r="M16" i="40" s="1"/>
  <c r="A4" i="40"/>
  <c r="A2" i="40"/>
  <c r="A1" i="30"/>
  <c r="A1" i="43"/>
  <c r="A1" i="29"/>
  <c r="A1" i="40"/>
  <c r="A7" i="40" l="1"/>
  <c r="A7" i="43"/>
  <c r="M16" i="29"/>
  <c r="R14" i="14" l="1"/>
  <c r="R15" i="14"/>
  <c r="R16" i="14"/>
  <c r="R15" i="13" l="1"/>
  <c r="R16" i="13"/>
  <c r="R17" i="13"/>
  <c r="R18" i="13"/>
  <c r="R19" i="13"/>
  <c r="R20" i="13"/>
  <c r="R21" i="13"/>
  <c r="F12" i="2" l="1"/>
  <c r="F11" i="2"/>
  <c r="T14" i="76" l="1"/>
  <c r="T14" i="75"/>
  <c r="E14" i="75"/>
  <c r="E14" i="76"/>
  <c r="D12" i="2"/>
  <c r="E12" i="2"/>
  <c r="E11" i="2"/>
  <c r="D11" i="2"/>
  <c r="K14" i="75" l="1"/>
  <c r="A8" i="77"/>
  <c r="K14" i="76"/>
  <c r="R5" i="77"/>
  <c r="R14" i="75"/>
  <c r="S14" i="75" s="1"/>
  <c r="G14" i="75"/>
  <c r="W13" i="75"/>
  <c r="W13" i="76"/>
  <c r="G14" i="76"/>
  <c r="Q5" i="77"/>
  <c r="R14" i="76"/>
  <c r="A7" i="76"/>
  <c r="A7" i="75"/>
  <c r="B29" i="79"/>
  <c r="A7" i="78"/>
  <c r="C2" i="2"/>
  <c r="E16" i="30"/>
  <c r="A3" i="7" l="1"/>
  <c r="A3" i="8"/>
  <c r="A3" i="12"/>
  <c r="A3" i="10"/>
  <c r="A3" i="5"/>
  <c r="A3" i="6"/>
  <c r="A3" i="9"/>
  <c r="A3" i="78"/>
  <c r="A3" i="24"/>
  <c r="A3" i="25"/>
  <c r="A3" i="44"/>
  <c r="A3" i="76"/>
  <c r="A3" i="45"/>
  <c r="A3" i="22"/>
  <c r="A3" i="41"/>
  <c r="A3" i="75"/>
  <c r="A3" i="19"/>
  <c r="A3" i="26"/>
  <c r="A3" i="79"/>
  <c r="A3" i="20"/>
  <c r="A3" i="21"/>
  <c r="A3" i="23"/>
  <c r="A3" i="43"/>
  <c r="A3" i="40"/>
  <c r="O13" i="76"/>
  <c r="S14" i="76"/>
  <c r="S44" i="75"/>
  <c r="O13" i="75"/>
  <c r="E113" i="40" l="1"/>
  <c r="Z113" i="40" s="1"/>
  <c r="E112" i="43"/>
  <c r="E77" i="40"/>
  <c r="Z77" i="40" s="1"/>
  <c r="E77" i="43"/>
  <c r="E41" i="40"/>
  <c r="T6" i="2"/>
  <c r="W21" i="3" s="1"/>
  <c r="E62" i="41"/>
  <c r="C17" i="66"/>
  <c r="Z26" i="37"/>
  <c r="E63" i="41"/>
  <c r="C18" i="66"/>
  <c r="Z27" i="37"/>
  <c r="E64" i="41"/>
  <c r="C19" i="66"/>
  <c r="Z28" i="37"/>
  <c r="E65" i="41"/>
  <c r="C20" i="66"/>
  <c r="Z29" i="37"/>
  <c r="E66" i="41"/>
  <c r="P13" i="14"/>
  <c r="N13" i="14" s="1"/>
  <c r="N13" i="15" s="1"/>
  <c r="Z30" i="37"/>
  <c r="E67" i="41"/>
  <c r="Z31" i="37"/>
  <c r="E68" i="41"/>
  <c r="Z32" i="37"/>
  <c r="E69" i="41"/>
  <c r="Z33" i="37"/>
  <c r="E70" i="41"/>
  <c r="Z34" i="37"/>
  <c r="E71" i="41"/>
  <c r="Z35" i="37"/>
  <c r="E72" i="41"/>
  <c r="Z36" i="37"/>
  <c r="E73" i="41"/>
  <c r="Z37" i="37"/>
  <c r="E74" i="41"/>
  <c r="Z38" i="37"/>
  <c r="E75" i="41"/>
  <c r="Z39" i="37"/>
  <c r="E76" i="41"/>
  <c r="E77" i="41"/>
  <c r="Y25" i="39"/>
  <c r="E61" i="41"/>
  <c r="E40" i="41"/>
  <c r="E41" i="42" s="1"/>
  <c r="E26" i="41"/>
  <c r="E28" i="41"/>
  <c r="E29" i="42" s="1"/>
  <c r="E29" i="41"/>
  <c r="E30" i="41"/>
  <c r="E31" i="42" s="1"/>
  <c r="E32" i="41"/>
  <c r="E33" i="41"/>
  <c r="E34" i="42" s="1"/>
  <c r="E34" i="41"/>
  <c r="E36" i="41"/>
  <c r="E37" i="42" s="1"/>
  <c r="E37" i="41"/>
  <c r="E38" i="42" s="1"/>
  <c r="E38" i="41"/>
  <c r="E40" i="44"/>
  <c r="E39" i="44"/>
  <c r="E37" i="44"/>
  <c r="E36" i="44"/>
  <c r="E35" i="44"/>
  <c r="E33" i="44"/>
  <c r="E32" i="44"/>
  <c r="E31" i="44"/>
  <c r="E29" i="44"/>
  <c r="E28" i="44"/>
  <c r="E27" i="44"/>
  <c r="E25" i="44"/>
  <c r="E30" i="42" l="1"/>
  <c r="E27" i="42"/>
  <c r="E39" i="42"/>
  <c r="E33" i="42"/>
  <c r="M32" i="38" s="1"/>
  <c r="AU32" i="37" s="1"/>
  <c r="AY32" i="37" s="1"/>
  <c r="E30" i="33" s="1"/>
  <c r="E35" i="42"/>
  <c r="K31" i="65"/>
  <c r="M37" i="38"/>
  <c r="AU37" i="37" s="1"/>
  <c r="AY37" i="37" s="1"/>
  <c r="E35" i="33" s="1"/>
  <c r="Z37" i="41"/>
  <c r="M42" i="30"/>
  <c r="E41" i="41"/>
  <c r="E42" i="42" s="1"/>
  <c r="C32" i="66"/>
  <c r="K32" i="65"/>
  <c r="M39" i="37"/>
  <c r="I37" i="46"/>
  <c r="Z75" i="41"/>
  <c r="M35" i="37"/>
  <c r="I33" i="46"/>
  <c r="Z71" i="41"/>
  <c r="Y30" i="37"/>
  <c r="Y30" i="39"/>
  <c r="C25" i="52"/>
  <c r="E62" i="44"/>
  <c r="C35" i="54"/>
  <c r="E36" i="43"/>
  <c r="C27" i="54"/>
  <c r="E28" i="43"/>
  <c r="E61" i="43"/>
  <c r="E66" i="43"/>
  <c r="E75" i="40"/>
  <c r="Z75" i="40" s="1"/>
  <c r="E108" i="43"/>
  <c r="E104" i="43"/>
  <c r="E100" i="43"/>
  <c r="E101" i="40"/>
  <c r="G78" i="30"/>
  <c r="M78" i="30" s="1"/>
  <c r="E41" i="44"/>
  <c r="U13" i="11"/>
  <c r="S13" i="11" s="1"/>
  <c r="E25" i="41"/>
  <c r="E26" i="42" s="1"/>
  <c r="M36" i="38"/>
  <c r="Z36" i="41"/>
  <c r="Q36" i="41"/>
  <c r="C27" i="64" s="1"/>
  <c r="Z32" i="41"/>
  <c r="M28" i="38"/>
  <c r="AU28" i="37" s="1"/>
  <c r="AY28" i="37" s="1"/>
  <c r="E26" i="33" s="1"/>
  <c r="Q28" i="41"/>
  <c r="C19" i="64" s="1"/>
  <c r="Z28" i="41"/>
  <c r="M40" i="38"/>
  <c r="Z40" i="41"/>
  <c r="Z41" i="37"/>
  <c r="Z41" i="38"/>
  <c r="S41" i="38" s="1"/>
  <c r="M40" i="37"/>
  <c r="I38" i="46"/>
  <c r="Z76" i="41"/>
  <c r="Y39" i="37"/>
  <c r="Y39" i="39"/>
  <c r="C38" i="52"/>
  <c r="E75" i="44"/>
  <c r="E40" i="45" s="1"/>
  <c r="O39" i="38" s="1"/>
  <c r="AV39" i="37" s="1"/>
  <c r="AZ39" i="37" s="1"/>
  <c r="G37" i="33" s="1"/>
  <c r="M36" i="37"/>
  <c r="I34" i="46"/>
  <c r="Z72" i="41"/>
  <c r="Y35" i="37"/>
  <c r="Y35" i="39"/>
  <c r="C34" i="52"/>
  <c r="E71" i="44"/>
  <c r="C34" i="53" s="1"/>
  <c r="M32" i="37"/>
  <c r="U32" i="37" s="1"/>
  <c r="W32" i="37" s="1"/>
  <c r="I30" i="46"/>
  <c r="Z68" i="41"/>
  <c r="Y31" i="39"/>
  <c r="Y31" i="37"/>
  <c r="C30" i="52"/>
  <c r="E67" i="44"/>
  <c r="C30" i="53" s="1"/>
  <c r="M28" i="37"/>
  <c r="I26" i="46"/>
  <c r="Z64" i="41"/>
  <c r="Y27" i="37"/>
  <c r="Y27" i="39"/>
  <c r="C26" i="52"/>
  <c r="E63" i="44"/>
  <c r="C38" i="54"/>
  <c r="E39" i="43"/>
  <c r="C34" i="54"/>
  <c r="E35" i="43"/>
  <c r="C30" i="54"/>
  <c r="E31" i="43"/>
  <c r="C26" i="54"/>
  <c r="E27" i="43"/>
  <c r="E40" i="40"/>
  <c r="E36" i="40"/>
  <c r="E32" i="40"/>
  <c r="E28" i="40"/>
  <c r="E73" i="43"/>
  <c r="E69" i="43"/>
  <c r="E65" i="43"/>
  <c r="E61" i="40"/>
  <c r="E74" i="40"/>
  <c r="Z74" i="40" s="1"/>
  <c r="E70" i="40"/>
  <c r="Q70" i="40" s="1"/>
  <c r="E66" i="40"/>
  <c r="E62" i="40"/>
  <c r="Z62" i="40" s="1"/>
  <c r="E111" i="43"/>
  <c r="E107" i="43"/>
  <c r="E103" i="43"/>
  <c r="E99" i="43"/>
  <c r="E112" i="40"/>
  <c r="Z112" i="40" s="1"/>
  <c r="E108" i="40"/>
  <c r="E104" i="40"/>
  <c r="Z104" i="40" s="1"/>
  <c r="E100" i="40"/>
  <c r="M29" i="38"/>
  <c r="AU29" i="37" s="1"/>
  <c r="AY29" i="37" s="1"/>
  <c r="E27" i="33" s="1"/>
  <c r="Q29" i="41"/>
  <c r="C20" i="64" s="1"/>
  <c r="Z29" i="41"/>
  <c r="C37" i="52"/>
  <c r="E74" i="44"/>
  <c r="C33" i="52"/>
  <c r="E70" i="44"/>
  <c r="C29" i="52"/>
  <c r="E66" i="44"/>
  <c r="M27" i="37"/>
  <c r="I25" i="46"/>
  <c r="Z63" i="41"/>
  <c r="Z41" i="40"/>
  <c r="M41" i="39"/>
  <c r="I39" i="48"/>
  <c r="E33" i="40"/>
  <c r="E74" i="43"/>
  <c r="E62" i="43"/>
  <c r="E67" i="40"/>
  <c r="Z67" i="40" s="1"/>
  <c r="E63" i="40"/>
  <c r="E109" i="40"/>
  <c r="Z109" i="40" s="1"/>
  <c r="E39" i="41"/>
  <c r="E40" i="42" s="1"/>
  <c r="E35" i="41"/>
  <c r="E36" i="42" s="1"/>
  <c r="E31" i="41"/>
  <c r="E32" i="42" s="1"/>
  <c r="E27" i="41"/>
  <c r="E28" i="42" s="1"/>
  <c r="C24" i="52"/>
  <c r="E61" i="44"/>
  <c r="E26" i="45" s="1"/>
  <c r="O25" i="38" s="1"/>
  <c r="M41" i="37"/>
  <c r="I39" i="46"/>
  <c r="Z77" i="41"/>
  <c r="Y40" i="39"/>
  <c r="Y40" i="37"/>
  <c r="Y40" i="38"/>
  <c r="C39" i="52"/>
  <c r="E76" i="44"/>
  <c r="E41" i="45" s="1"/>
  <c r="O40" i="38" s="1"/>
  <c r="AV40" i="37" s="1"/>
  <c r="AZ40" i="37" s="1"/>
  <c r="G38" i="33" s="1"/>
  <c r="M37" i="37"/>
  <c r="I35" i="46"/>
  <c r="Z73" i="41"/>
  <c r="Y36" i="37"/>
  <c r="Y36" i="39"/>
  <c r="C35" i="52"/>
  <c r="E72" i="44"/>
  <c r="E37" i="45" s="1"/>
  <c r="O36" i="38" s="1"/>
  <c r="AV36" i="37" s="1"/>
  <c r="AZ36" i="37" s="1"/>
  <c r="G34" i="33" s="1"/>
  <c r="M33" i="37"/>
  <c r="I31" i="46"/>
  <c r="Z69" i="41"/>
  <c r="Y32" i="37"/>
  <c r="Y32" i="39"/>
  <c r="C31" i="52"/>
  <c r="E68" i="44"/>
  <c r="C31" i="53" s="1"/>
  <c r="M29" i="37"/>
  <c r="I27" i="46"/>
  <c r="Z65" i="41"/>
  <c r="Y28" i="39"/>
  <c r="Y28" i="37"/>
  <c r="C27" i="52"/>
  <c r="E64" i="44"/>
  <c r="C24" i="54"/>
  <c r="E25" i="43"/>
  <c r="C37" i="54"/>
  <c r="E38" i="43"/>
  <c r="C33" i="54"/>
  <c r="E34" i="43"/>
  <c r="C29" i="54"/>
  <c r="E30" i="43"/>
  <c r="C25" i="54"/>
  <c r="E26" i="43"/>
  <c r="E39" i="40"/>
  <c r="E35" i="40"/>
  <c r="E31" i="40"/>
  <c r="E27" i="40"/>
  <c r="E76" i="43"/>
  <c r="E72" i="43"/>
  <c r="E68" i="43"/>
  <c r="E64" i="43"/>
  <c r="E73" i="40"/>
  <c r="E69" i="40"/>
  <c r="E65" i="40"/>
  <c r="E97" i="43"/>
  <c r="E110" i="43"/>
  <c r="E106" i="43"/>
  <c r="E102" i="43"/>
  <c r="E98" i="43"/>
  <c r="E111" i="40"/>
  <c r="Z111" i="40" s="1"/>
  <c r="E107" i="40"/>
  <c r="Z107" i="40" s="1"/>
  <c r="E103" i="40"/>
  <c r="Z103" i="40" s="1"/>
  <c r="E99" i="40"/>
  <c r="E36" i="45"/>
  <c r="O35" i="38" s="1"/>
  <c r="AV35" i="37" s="1"/>
  <c r="AZ35" i="37" s="1"/>
  <c r="G33" i="33" s="1"/>
  <c r="M33" i="38"/>
  <c r="AU33" i="37" s="1"/>
  <c r="AY33" i="37" s="1"/>
  <c r="E31" i="33" s="1"/>
  <c r="Q33" i="41"/>
  <c r="C24" i="64" s="1"/>
  <c r="Z33" i="41"/>
  <c r="Z40" i="37"/>
  <c r="Z40" i="38"/>
  <c r="S40" i="38" s="1"/>
  <c r="Y38" i="37"/>
  <c r="Y38" i="39"/>
  <c r="Y34" i="37"/>
  <c r="Y34" i="39"/>
  <c r="M31" i="37"/>
  <c r="I29" i="46"/>
  <c r="Z67" i="41"/>
  <c r="Y26" i="37"/>
  <c r="Y26" i="39"/>
  <c r="C39" i="54"/>
  <c r="E40" i="43"/>
  <c r="C31" i="54"/>
  <c r="E32" i="43"/>
  <c r="E37" i="40"/>
  <c r="Q37" i="40" s="1"/>
  <c r="E29" i="40"/>
  <c r="E70" i="43"/>
  <c r="E71" i="40"/>
  <c r="Z71" i="40" s="1"/>
  <c r="E105" i="40"/>
  <c r="E26" i="44"/>
  <c r="E30" i="44"/>
  <c r="E34" i="44"/>
  <c r="E38" i="44"/>
  <c r="M38" i="38"/>
  <c r="AU38" i="37" s="1"/>
  <c r="AY38" i="37" s="1"/>
  <c r="E36" i="33" s="1"/>
  <c r="Z38" i="41"/>
  <c r="M34" i="38"/>
  <c r="AU34" i="37" s="1"/>
  <c r="AY34" i="37" s="1"/>
  <c r="E32" i="33" s="1"/>
  <c r="Z34" i="41"/>
  <c r="M30" i="38"/>
  <c r="AU30" i="37" s="1"/>
  <c r="AY30" i="37" s="1"/>
  <c r="E28" i="33" s="1"/>
  <c r="Q30" i="41"/>
  <c r="C21" i="64" s="1"/>
  <c r="Z30" i="41"/>
  <c r="M26" i="38"/>
  <c r="AU26" i="37" s="1"/>
  <c r="AY26" i="37" s="1"/>
  <c r="E24" i="33" s="1"/>
  <c r="Z26" i="41"/>
  <c r="M25" i="37"/>
  <c r="I23" i="46"/>
  <c r="Y41" i="38"/>
  <c r="Y41" i="39"/>
  <c r="Y41" i="37"/>
  <c r="C40" i="52"/>
  <c r="E77" i="44"/>
  <c r="M38" i="37"/>
  <c r="I36" i="46"/>
  <c r="Z74" i="41"/>
  <c r="Y37" i="39"/>
  <c r="Y37" i="37"/>
  <c r="C36" i="52"/>
  <c r="E73" i="44"/>
  <c r="M34" i="37"/>
  <c r="I32" i="46"/>
  <c r="Z70" i="41"/>
  <c r="Y33" i="39"/>
  <c r="Y33" i="37"/>
  <c r="C32" i="52"/>
  <c r="E69" i="44"/>
  <c r="E34" i="45" s="1"/>
  <c r="O33" i="38" s="1"/>
  <c r="AV33" i="37" s="1"/>
  <c r="AZ33" i="37" s="1"/>
  <c r="G31" i="33" s="1"/>
  <c r="M30" i="37"/>
  <c r="I28" i="46"/>
  <c r="Z66" i="41"/>
  <c r="Y29" i="37"/>
  <c r="Y29" i="39"/>
  <c r="C28" i="52"/>
  <c r="E65" i="44"/>
  <c r="E30" i="45" s="1"/>
  <c r="O29" i="38" s="1"/>
  <c r="AV29" i="37" s="1"/>
  <c r="AZ29" i="37" s="1"/>
  <c r="G27" i="33" s="1"/>
  <c r="M26" i="37"/>
  <c r="I24" i="46"/>
  <c r="Z62" i="41"/>
  <c r="C40" i="54"/>
  <c r="E41" i="43"/>
  <c r="C36" i="54"/>
  <c r="E37" i="43"/>
  <c r="C32" i="54"/>
  <c r="E33" i="43"/>
  <c r="C28" i="54"/>
  <c r="E29" i="43"/>
  <c r="E25" i="40"/>
  <c r="E38" i="40"/>
  <c r="E34" i="40"/>
  <c r="E30" i="40"/>
  <c r="E26" i="40"/>
  <c r="E75" i="43"/>
  <c r="E71" i="43"/>
  <c r="E67" i="43"/>
  <c r="E63" i="43"/>
  <c r="E76" i="40"/>
  <c r="Z76" i="40" s="1"/>
  <c r="E72" i="40"/>
  <c r="E68" i="40"/>
  <c r="Z68" i="40" s="1"/>
  <c r="E64" i="40"/>
  <c r="AA39" i="3"/>
  <c r="E113" i="43"/>
  <c r="E109" i="43"/>
  <c r="E105" i="43"/>
  <c r="E101" i="43"/>
  <c r="E97" i="40"/>
  <c r="E110" i="40"/>
  <c r="Z110" i="40" s="1"/>
  <c r="E106" i="40"/>
  <c r="E102" i="40"/>
  <c r="E98" i="40"/>
  <c r="C28" i="66"/>
  <c r="C29" i="66"/>
  <c r="C25" i="66"/>
  <c r="P13" i="13"/>
  <c r="N13" i="13" s="1"/>
  <c r="C21" i="66"/>
  <c r="C24" i="66"/>
  <c r="C30" i="66"/>
  <c r="C26" i="66"/>
  <c r="C22" i="66"/>
  <c r="C31" i="66"/>
  <c r="C27" i="66"/>
  <c r="C23" i="66"/>
  <c r="G64" i="30"/>
  <c r="G72" i="30"/>
  <c r="M38" i="30"/>
  <c r="AA38" i="3"/>
  <c r="G65" i="30"/>
  <c r="G69" i="30"/>
  <c r="G73" i="30"/>
  <c r="M41" i="30"/>
  <c r="G62" i="30"/>
  <c r="G66" i="30"/>
  <c r="G70" i="30"/>
  <c r="G74" i="30"/>
  <c r="G77" i="30"/>
  <c r="M77" i="30" s="1"/>
  <c r="G68" i="30"/>
  <c r="G76" i="30"/>
  <c r="G63" i="30"/>
  <c r="G67" i="30"/>
  <c r="G71" i="30"/>
  <c r="G75" i="30"/>
  <c r="M40" i="30"/>
  <c r="R41" i="41"/>
  <c r="G76" i="29"/>
  <c r="G72" i="29"/>
  <c r="G68" i="29"/>
  <c r="G64" i="29"/>
  <c r="G67" i="29"/>
  <c r="G63" i="29"/>
  <c r="G62" i="29"/>
  <c r="G77" i="29"/>
  <c r="G73" i="29"/>
  <c r="G69" i="29"/>
  <c r="G65" i="29"/>
  <c r="G75" i="29"/>
  <c r="G71" i="29"/>
  <c r="G78" i="29"/>
  <c r="G74" i="29"/>
  <c r="G70" i="29"/>
  <c r="G66" i="29"/>
  <c r="S22" i="3"/>
  <c r="S18" i="3"/>
  <c r="W18" i="3"/>
  <c r="W22" i="3"/>
  <c r="S21" i="3"/>
  <c r="S17" i="3"/>
  <c r="W19" i="3"/>
  <c r="S16" i="3"/>
  <c r="S20" i="3"/>
  <c r="W16" i="3"/>
  <c r="W20" i="3"/>
  <c r="S19" i="3"/>
  <c r="W17" i="3"/>
  <c r="R110" i="40"/>
  <c r="R106" i="40"/>
  <c r="R75" i="40"/>
  <c r="R71" i="40"/>
  <c r="R113" i="40"/>
  <c r="R109" i="40"/>
  <c r="R105" i="40"/>
  <c r="R40" i="41"/>
  <c r="R74" i="40"/>
  <c r="R70" i="40"/>
  <c r="R112" i="40"/>
  <c r="R108" i="40"/>
  <c r="R77" i="40"/>
  <c r="R73" i="40"/>
  <c r="R111" i="40"/>
  <c r="R107" i="40"/>
  <c r="R76" i="40"/>
  <c r="R72" i="40"/>
  <c r="AB38" i="3"/>
  <c r="M45" i="13"/>
  <c r="R54" i="11"/>
  <c r="S53" i="11"/>
  <c r="N43" i="13"/>
  <c r="M43" i="13"/>
  <c r="R55" i="11"/>
  <c r="N44" i="13"/>
  <c r="M44" i="13"/>
  <c r="R53" i="11"/>
  <c r="N45" i="13"/>
  <c r="S55" i="11"/>
  <c r="S54" i="11"/>
  <c r="AM41" i="39" l="1"/>
  <c r="Z73" i="40"/>
  <c r="Q73" i="40"/>
  <c r="M29" i="13"/>
  <c r="R34" i="11"/>
  <c r="C38" i="53"/>
  <c r="I37" i="50" s="1"/>
  <c r="I27" i="33"/>
  <c r="AM113" i="40"/>
  <c r="AM107" i="40"/>
  <c r="I30" i="50"/>
  <c r="I29" i="50"/>
  <c r="E37" i="52"/>
  <c r="R74" i="41"/>
  <c r="AM74" i="41" s="1"/>
  <c r="E40" i="54"/>
  <c r="R41" i="40"/>
  <c r="AM77" i="40" s="1"/>
  <c r="O33" i="39"/>
  <c r="I31" i="51"/>
  <c r="O41" i="37"/>
  <c r="AA41" i="37" s="1"/>
  <c r="I39" i="49"/>
  <c r="O30" i="39"/>
  <c r="I28" i="51"/>
  <c r="O28" i="37"/>
  <c r="AA28" i="37" s="1"/>
  <c r="I26" i="49"/>
  <c r="Q100" i="40"/>
  <c r="Z100" i="40"/>
  <c r="Q108" i="40"/>
  <c r="Z108" i="40"/>
  <c r="Z70" i="40"/>
  <c r="Q61" i="40"/>
  <c r="Z28" i="40"/>
  <c r="M28" i="39"/>
  <c r="AM28" i="39" s="1"/>
  <c r="I26" i="48"/>
  <c r="Q28" i="40"/>
  <c r="Z36" i="40"/>
  <c r="M36" i="39"/>
  <c r="AM36" i="39" s="1"/>
  <c r="I34" i="48"/>
  <c r="Q36" i="40"/>
  <c r="O27" i="39"/>
  <c r="I25" i="51"/>
  <c r="O27" i="37"/>
  <c r="AA27" i="37" s="1"/>
  <c r="I25" i="49"/>
  <c r="M25" i="38"/>
  <c r="Z25" i="41"/>
  <c r="Q25" i="41"/>
  <c r="C16" i="64" s="1"/>
  <c r="C35" i="53"/>
  <c r="C27" i="53"/>
  <c r="O28" i="39"/>
  <c r="I26" i="51"/>
  <c r="E30" i="52"/>
  <c r="R67" i="41"/>
  <c r="AM106" i="40"/>
  <c r="E38" i="54"/>
  <c r="R39" i="40"/>
  <c r="AM75" i="40" s="1"/>
  <c r="E34" i="52"/>
  <c r="R71" i="41"/>
  <c r="AM71" i="41" s="1"/>
  <c r="E28" i="52"/>
  <c r="R65" i="41"/>
  <c r="E25" i="52"/>
  <c r="R62" i="41"/>
  <c r="E31" i="52"/>
  <c r="R68" i="41"/>
  <c r="E37" i="54"/>
  <c r="R38" i="40"/>
  <c r="AM74" i="40" s="1"/>
  <c r="E27" i="52"/>
  <c r="R64" i="41"/>
  <c r="AM110" i="40"/>
  <c r="E34" i="54"/>
  <c r="R35" i="40"/>
  <c r="AM71" i="40" s="1"/>
  <c r="E36" i="52"/>
  <c r="R73" i="41"/>
  <c r="AM73" i="41" s="1"/>
  <c r="Z106" i="40"/>
  <c r="Q97" i="40"/>
  <c r="Z30" i="40"/>
  <c r="M30" i="39"/>
  <c r="AM30" i="39" s="1"/>
  <c r="I28" i="48"/>
  <c r="Q30" i="40"/>
  <c r="Z38" i="40"/>
  <c r="M38" i="39"/>
  <c r="AM38" i="39" s="1"/>
  <c r="I36" i="48"/>
  <c r="O29" i="39"/>
  <c r="I27" i="51"/>
  <c r="O37" i="37"/>
  <c r="AA37" i="37" s="1"/>
  <c r="I35" i="49"/>
  <c r="C37" i="53"/>
  <c r="E39" i="45"/>
  <c r="O38" i="38" s="1"/>
  <c r="AV38" i="37" s="1"/>
  <c r="AZ38" i="37" s="1"/>
  <c r="G36" i="33" s="1"/>
  <c r="I36" i="33" s="1"/>
  <c r="C29" i="53"/>
  <c r="E31" i="45"/>
  <c r="O30" i="38" s="1"/>
  <c r="AV30" i="37" s="1"/>
  <c r="AZ30" i="37" s="1"/>
  <c r="G28" i="33" s="1"/>
  <c r="I28" i="33" s="1"/>
  <c r="Q105" i="40"/>
  <c r="Z105" i="40"/>
  <c r="Z37" i="40"/>
  <c r="M37" i="39"/>
  <c r="I35" i="48"/>
  <c r="C31" i="60"/>
  <c r="T33" i="41"/>
  <c r="AC33" i="41"/>
  <c r="Q99" i="40"/>
  <c r="Z99" i="40"/>
  <c r="Z69" i="40"/>
  <c r="Q69" i="40"/>
  <c r="Z27" i="40"/>
  <c r="M27" i="39"/>
  <c r="I25" i="48"/>
  <c r="Q27" i="40"/>
  <c r="Z35" i="40"/>
  <c r="M35" i="39"/>
  <c r="I33" i="48"/>
  <c r="O26" i="39"/>
  <c r="I24" i="51"/>
  <c r="O25" i="39"/>
  <c r="I23" i="51"/>
  <c r="O40" i="37"/>
  <c r="I38" i="32" s="1"/>
  <c r="I38" i="49"/>
  <c r="O25" i="37"/>
  <c r="I23" i="49"/>
  <c r="M31" i="38"/>
  <c r="AU31" i="37" s="1"/>
  <c r="AY31" i="37" s="1"/>
  <c r="E29" i="33" s="1"/>
  <c r="Z31" i="41"/>
  <c r="M39" i="38"/>
  <c r="AU39" i="37" s="1"/>
  <c r="AY39" i="37" s="1"/>
  <c r="E37" i="33" s="1"/>
  <c r="I37" i="33" s="1"/>
  <c r="Z39" i="41"/>
  <c r="C36" i="53"/>
  <c r="C28" i="53"/>
  <c r="O34" i="37"/>
  <c r="AA34" i="37" s="1"/>
  <c r="I32" i="49"/>
  <c r="O39" i="39"/>
  <c r="I37" i="51"/>
  <c r="O39" i="37"/>
  <c r="AA39" i="37" s="1"/>
  <c r="I37" i="49"/>
  <c r="C26" i="60"/>
  <c r="AC28" i="41"/>
  <c r="T28" i="41"/>
  <c r="C34" i="60"/>
  <c r="T36" i="41"/>
  <c r="AC36" i="41"/>
  <c r="E29" i="45"/>
  <c r="O28" i="38" s="1"/>
  <c r="AV28" i="37" s="1"/>
  <c r="AZ28" i="37" s="1"/>
  <c r="G26" i="33" s="1"/>
  <c r="I26" i="33" s="1"/>
  <c r="E38" i="52"/>
  <c r="R75" i="41"/>
  <c r="AM75" i="41" s="1"/>
  <c r="E29" i="52"/>
  <c r="R66" i="41"/>
  <c r="AM108" i="40"/>
  <c r="E35" i="54"/>
  <c r="R36" i="40"/>
  <c r="E35" i="52"/>
  <c r="R72" i="41"/>
  <c r="O41" i="39"/>
  <c r="I39" i="51"/>
  <c r="O33" i="37"/>
  <c r="AA33" i="37" s="1"/>
  <c r="I31" i="49"/>
  <c r="K32" i="33"/>
  <c r="O40" i="39"/>
  <c r="I38" i="51"/>
  <c r="I31" i="33"/>
  <c r="O38" i="39"/>
  <c r="I36" i="51"/>
  <c r="O36" i="37"/>
  <c r="AA36" i="37" s="1"/>
  <c r="I34" i="49"/>
  <c r="E38" i="45"/>
  <c r="O37" i="38" s="1"/>
  <c r="AV37" i="37" s="1"/>
  <c r="AZ37" i="37" s="1"/>
  <c r="G35" i="33" s="1"/>
  <c r="I35" i="33" s="1"/>
  <c r="C27" i="60"/>
  <c r="T29" i="41"/>
  <c r="AC29" i="41"/>
  <c r="C26" i="53"/>
  <c r="Z66" i="40"/>
  <c r="Q66" i="40"/>
  <c r="Z32" i="40"/>
  <c r="M32" i="39"/>
  <c r="I30" i="48"/>
  <c r="Z40" i="40"/>
  <c r="M40" i="39"/>
  <c r="AM40" i="39" s="1"/>
  <c r="I38" i="48"/>
  <c r="O35" i="39"/>
  <c r="I33" i="51"/>
  <c r="O35" i="37"/>
  <c r="AA35" i="37" s="1"/>
  <c r="I33" i="49"/>
  <c r="E42" i="45"/>
  <c r="O41" i="38" s="1"/>
  <c r="AV41" i="37" s="1"/>
  <c r="AZ41" i="37" s="1"/>
  <c r="C40" i="53"/>
  <c r="Q101" i="40"/>
  <c r="Z101" i="40"/>
  <c r="O26" i="37"/>
  <c r="AA26" i="37" s="1"/>
  <c r="I24" i="49"/>
  <c r="M41" i="38"/>
  <c r="Z41" i="41"/>
  <c r="E32" i="52"/>
  <c r="R69" i="41"/>
  <c r="AM69" i="41" s="1"/>
  <c r="E26" i="52"/>
  <c r="R63" i="41"/>
  <c r="E33" i="52"/>
  <c r="R70" i="41"/>
  <c r="AM70" i="41" s="1"/>
  <c r="AM111" i="40"/>
  <c r="AM112" i="40"/>
  <c r="E39" i="54"/>
  <c r="R40" i="40"/>
  <c r="AM76" i="40" s="1"/>
  <c r="AM109" i="40"/>
  <c r="E36" i="54"/>
  <c r="R37" i="40"/>
  <c r="AM73" i="40" s="1"/>
  <c r="E39" i="52"/>
  <c r="R76" i="41"/>
  <c r="AM76" i="41" s="1"/>
  <c r="E40" i="52"/>
  <c r="R77" i="41"/>
  <c r="AM77" i="41" s="1"/>
  <c r="Q102" i="40"/>
  <c r="Z102" i="40"/>
  <c r="Z64" i="40"/>
  <c r="Q64" i="40"/>
  <c r="Z72" i="40"/>
  <c r="Q72" i="40"/>
  <c r="Z26" i="40"/>
  <c r="M26" i="39"/>
  <c r="AM26" i="39" s="1"/>
  <c r="I24" i="48"/>
  <c r="Z34" i="40"/>
  <c r="M34" i="39"/>
  <c r="I32" i="48"/>
  <c r="Q34" i="40"/>
  <c r="Z25" i="40"/>
  <c r="M25" i="39"/>
  <c r="AM25" i="39" s="1"/>
  <c r="I23" i="48"/>
  <c r="Q25" i="40"/>
  <c r="O37" i="39"/>
  <c r="I35" i="51"/>
  <c r="O29" i="37"/>
  <c r="AA29" i="37" s="1"/>
  <c r="I27" i="49"/>
  <c r="C28" i="60"/>
  <c r="T30" i="41"/>
  <c r="AC30" i="41"/>
  <c r="C33" i="53"/>
  <c r="E35" i="45"/>
  <c r="C25" i="53"/>
  <c r="E27" i="45"/>
  <c r="O26" i="38" s="1"/>
  <c r="AV26" i="37" s="1"/>
  <c r="AZ26" i="37" s="1"/>
  <c r="G24" i="33" s="1"/>
  <c r="I24" i="33" s="1"/>
  <c r="Z29" i="40"/>
  <c r="M29" i="39"/>
  <c r="AM29" i="39" s="1"/>
  <c r="I27" i="48"/>
  <c r="Q29" i="40"/>
  <c r="O32" i="39"/>
  <c r="I30" i="51"/>
  <c r="I33" i="50"/>
  <c r="Z65" i="40"/>
  <c r="Q65" i="40"/>
  <c r="Z31" i="40"/>
  <c r="M31" i="39"/>
  <c r="I29" i="48"/>
  <c r="Q31" i="40"/>
  <c r="Z39" i="40"/>
  <c r="M39" i="39"/>
  <c r="AM39" i="39" s="1"/>
  <c r="I37" i="48"/>
  <c r="O34" i="39"/>
  <c r="I32" i="51"/>
  <c r="O32" i="37"/>
  <c r="AA32" i="37" s="1"/>
  <c r="I30" i="49"/>
  <c r="M27" i="38"/>
  <c r="AU27" i="37" s="1"/>
  <c r="AY27" i="37" s="1"/>
  <c r="E25" i="33" s="1"/>
  <c r="Z27" i="41"/>
  <c r="Q27" i="41"/>
  <c r="C18" i="64" s="1"/>
  <c r="M35" i="38"/>
  <c r="AU35" i="37" s="1"/>
  <c r="AY35" i="37" s="1"/>
  <c r="E33" i="33" s="1"/>
  <c r="I33" i="33" s="1"/>
  <c r="Z35" i="41"/>
  <c r="C39" i="53"/>
  <c r="C32" i="53"/>
  <c r="C24" i="53"/>
  <c r="Z63" i="40"/>
  <c r="Q63" i="40"/>
  <c r="Z33" i="40"/>
  <c r="M33" i="39"/>
  <c r="AM33" i="39" s="1"/>
  <c r="I31" i="48"/>
  <c r="Q33" i="40"/>
  <c r="O30" i="37"/>
  <c r="AA30" i="37" s="1"/>
  <c r="I28" i="49"/>
  <c r="O38" i="37"/>
  <c r="AA38" i="37" s="1"/>
  <c r="I36" i="49"/>
  <c r="E28" i="45"/>
  <c r="O27" i="38" s="1"/>
  <c r="AV27" i="37" s="1"/>
  <c r="AZ27" i="37" s="1"/>
  <c r="G25" i="33" s="1"/>
  <c r="O31" i="39"/>
  <c r="I29" i="51"/>
  <c r="O31" i="37"/>
  <c r="AA31" i="37" s="1"/>
  <c r="I29" i="49"/>
  <c r="G38" i="32"/>
  <c r="AU40" i="37"/>
  <c r="AY40" i="37" s="1"/>
  <c r="E38" i="33" s="1"/>
  <c r="I38" i="33" s="1"/>
  <c r="AA40" i="38"/>
  <c r="AU36" i="37"/>
  <c r="AY36" i="37" s="1"/>
  <c r="E34" i="33" s="1"/>
  <c r="I34" i="33" s="1"/>
  <c r="U36" i="38"/>
  <c r="E33" i="45"/>
  <c r="O32" i="38" s="1"/>
  <c r="AV32" i="37" s="1"/>
  <c r="AZ32" i="37" s="1"/>
  <c r="G30" i="33" s="1"/>
  <c r="I30" i="33" s="1"/>
  <c r="O36" i="39"/>
  <c r="I34" i="51"/>
  <c r="E32" i="45"/>
  <c r="O31" i="38" s="1"/>
  <c r="AV31" i="37" s="1"/>
  <c r="AZ31" i="37" s="1"/>
  <c r="G29" i="33" s="1"/>
  <c r="M78" i="29"/>
  <c r="M65" i="29"/>
  <c r="M67" i="29"/>
  <c r="M42" i="29"/>
  <c r="M66" i="29"/>
  <c r="M71" i="29"/>
  <c r="M69" i="29"/>
  <c r="M64" i="29"/>
  <c r="M77" i="29"/>
  <c r="M76" i="29"/>
  <c r="M70" i="29"/>
  <c r="M75" i="29"/>
  <c r="M73" i="29"/>
  <c r="M62" i="29"/>
  <c r="M68" i="29"/>
  <c r="M41" i="29"/>
  <c r="M74" i="29"/>
  <c r="M63" i="29"/>
  <c r="M72" i="29"/>
  <c r="AB39" i="3"/>
  <c r="T22" i="14"/>
  <c r="T14" i="14"/>
  <c r="T17" i="14"/>
  <c r="T13" i="13"/>
  <c r="T21" i="14"/>
  <c r="T13" i="14"/>
  <c r="M42" i="13"/>
  <c r="T18" i="14"/>
  <c r="T15" i="14"/>
  <c r="R52" i="11"/>
  <c r="T20" i="14"/>
  <c r="T19" i="14"/>
  <c r="T16" i="14"/>
  <c r="AT36" i="37" l="1"/>
  <c r="AX36" i="37" s="1"/>
  <c r="C34" i="33" s="1"/>
  <c r="W36" i="38"/>
  <c r="AM31" i="39"/>
  <c r="U31" i="39"/>
  <c r="W31" i="39" s="1"/>
  <c r="AM34" i="39"/>
  <c r="U34" i="39"/>
  <c r="W34" i="39" s="1"/>
  <c r="AM32" i="39"/>
  <c r="U32" i="39"/>
  <c r="W32" i="39" s="1"/>
  <c r="AM37" i="39"/>
  <c r="AA27" i="39"/>
  <c r="BB29" i="37"/>
  <c r="BB28" i="37"/>
  <c r="BB30" i="37"/>
  <c r="BB32" i="37"/>
  <c r="BB26" i="37"/>
  <c r="BB36" i="37"/>
  <c r="BB33" i="37"/>
  <c r="BB37" i="37"/>
  <c r="AM27" i="39"/>
  <c r="BB35" i="37"/>
  <c r="BB27" i="37"/>
  <c r="AN27" i="39"/>
  <c r="BB31" i="37"/>
  <c r="BB39" i="37"/>
  <c r="BB34" i="37"/>
  <c r="BB41" i="37"/>
  <c r="BB38" i="37"/>
  <c r="AM35" i="39"/>
  <c r="I29" i="33"/>
  <c r="I25" i="33"/>
  <c r="AM41" i="41"/>
  <c r="E40" i="53"/>
  <c r="I39" i="47" s="1"/>
  <c r="AA40" i="39"/>
  <c r="AA29" i="39"/>
  <c r="AN29" i="39" s="1"/>
  <c r="K38" i="32"/>
  <c r="AA36" i="39"/>
  <c r="AN36" i="39" s="1"/>
  <c r="AA40" i="37"/>
  <c r="AA30" i="39"/>
  <c r="AN30" i="39" s="1"/>
  <c r="AA39" i="39"/>
  <c r="AN39" i="39" s="1"/>
  <c r="AA32" i="39"/>
  <c r="AN32" i="39" s="1"/>
  <c r="C34" i="58"/>
  <c r="C27" i="62"/>
  <c r="AR72" i="41"/>
  <c r="T72" i="40"/>
  <c r="C25" i="57"/>
  <c r="C18" i="61"/>
  <c r="AQ63" i="41"/>
  <c r="T27" i="40"/>
  <c r="AC27" i="40"/>
  <c r="I38" i="50"/>
  <c r="I25" i="50"/>
  <c r="I36" i="50"/>
  <c r="K34" i="33"/>
  <c r="M34" i="33" s="1"/>
  <c r="C35" i="76" s="1"/>
  <c r="C29" i="57"/>
  <c r="C22" i="61"/>
  <c r="AQ67" i="41"/>
  <c r="T31" i="40"/>
  <c r="AC31" i="40"/>
  <c r="C27" i="58"/>
  <c r="C20" i="62"/>
  <c r="AR65" i="41"/>
  <c r="T65" i="40"/>
  <c r="AC65" i="40"/>
  <c r="O34" i="38"/>
  <c r="AV34" i="37" s="1"/>
  <c r="AZ34" i="37" s="1"/>
  <c r="G32" i="33" s="1"/>
  <c r="I32" i="33" s="1"/>
  <c r="M32" i="33" s="1"/>
  <c r="C33" i="76" s="1"/>
  <c r="C23" i="57"/>
  <c r="C16" i="61"/>
  <c r="AQ61" i="41"/>
  <c r="T25" i="40"/>
  <c r="AC25" i="40"/>
  <c r="C32" i="57"/>
  <c r="C25" i="61"/>
  <c r="AQ70" i="41"/>
  <c r="T34" i="40"/>
  <c r="AC34" i="40"/>
  <c r="C28" i="59"/>
  <c r="AS66" i="41"/>
  <c r="C21" i="63"/>
  <c r="T102" i="40"/>
  <c r="AC102" i="40"/>
  <c r="AM72" i="40"/>
  <c r="AA41" i="38"/>
  <c r="AU41" i="37"/>
  <c r="AY41" i="37" s="1"/>
  <c r="C27" i="59"/>
  <c r="C20" i="63"/>
  <c r="AS65" i="41"/>
  <c r="T101" i="40"/>
  <c r="AC101" i="40"/>
  <c r="AA37" i="39"/>
  <c r="AN37" i="39" s="1"/>
  <c r="AA38" i="39"/>
  <c r="AN38" i="39" s="1"/>
  <c r="I26" i="50"/>
  <c r="C26" i="59"/>
  <c r="C19" i="63"/>
  <c r="AS64" i="41"/>
  <c r="T100" i="40"/>
  <c r="AM40" i="41"/>
  <c r="C31" i="57"/>
  <c r="C24" i="61"/>
  <c r="AQ69" i="41"/>
  <c r="AC33" i="40"/>
  <c r="T33" i="40"/>
  <c r="I24" i="50"/>
  <c r="C31" i="58"/>
  <c r="AR69" i="41"/>
  <c r="C24" i="62"/>
  <c r="T69" i="40"/>
  <c r="I23" i="50"/>
  <c r="I32" i="50"/>
  <c r="AA26" i="39"/>
  <c r="AN26" i="39" s="1"/>
  <c r="AC64" i="40"/>
  <c r="C26" i="58"/>
  <c r="C19" i="62"/>
  <c r="AR64" i="41"/>
  <c r="T64" i="40"/>
  <c r="I39" i="50"/>
  <c r="AC66" i="40"/>
  <c r="C28" i="58"/>
  <c r="AR66" i="41"/>
  <c r="C21" i="62"/>
  <c r="T66" i="40"/>
  <c r="I27" i="50"/>
  <c r="AA35" i="39"/>
  <c r="AN35" i="39" s="1"/>
  <c r="I28" i="50"/>
  <c r="I34" i="50"/>
  <c r="C34" i="57"/>
  <c r="C27" i="61"/>
  <c r="AQ72" i="41"/>
  <c r="AC36" i="40"/>
  <c r="T36" i="40"/>
  <c r="C26" i="57"/>
  <c r="C19" i="61"/>
  <c r="AQ64" i="41"/>
  <c r="AC28" i="40"/>
  <c r="T28" i="40"/>
  <c r="C23" i="58"/>
  <c r="C16" i="62"/>
  <c r="AR61" i="41"/>
  <c r="T61" i="40"/>
  <c r="AA33" i="39"/>
  <c r="AN33" i="39" s="1"/>
  <c r="E39" i="53"/>
  <c r="I38" i="47" s="1"/>
  <c r="C25" i="58"/>
  <c r="C18" i="62"/>
  <c r="AR63" i="41"/>
  <c r="T63" i="40"/>
  <c r="C31" i="59"/>
  <c r="AS69" i="41"/>
  <c r="C24" i="63"/>
  <c r="T105" i="40"/>
  <c r="C23" i="59"/>
  <c r="C16" i="63"/>
  <c r="AS61" i="41"/>
  <c r="T97" i="40"/>
  <c r="AA28" i="39"/>
  <c r="AN28" i="39" s="1"/>
  <c r="I31" i="50"/>
  <c r="C25" i="60"/>
  <c r="AC27" i="41"/>
  <c r="T27" i="41"/>
  <c r="AA31" i="39"/>
  <c r="AN31" i="39" s="1"/>
  <c r="C27" i="57"/>
  <c r="C20" i="61"/>
  <c r="AQ65" i="41"/>
  <c r="T29" i="40"/>
  <c r="AC29" i="40"/>
  <c r="AA34" i="39"/>
  <c r="AN34" i="39" s="1"/>
  <c r="AM72" i="41"/>
  <c r="I35" i="50"/>
  <c r="C25" i="59"/>
  <c r="AS63" i="41"/>
  <c r="C18" i="63"/>
  <c r="T99" i="40"/>
  <c r="AC99" i="40"/>
  <c r="C28" i="57"/>
  <c r="C21" i="61"/>
  <c r="AQ66" i="41"/>
  <c r="AC30" i="40"/>
  <c r="T30" i="40"/>
  <c r="C23" i="60"/>
  <c r="T25" i="41"/>
  <c r="AC25" i="41"/>
  <c r="C34" i="59"/>
  <c r="C27" i="63"/>
  <c r="AS72" i="41"/>
  <c r="T108" i="40"/>
  <c r="AC108" i="40"/>
  <c r="E90" i="40"/>
  <c r="E54" i="43"/>
  <c r="E18" i="40"/>
  <c r="E18" i="43"/>
  <c r="BB40" i="37" l="1"/>
  <c r="AN40" i="39"/>
  <c r="M18" i="39"/>
  <c r="I16" i="48"/>
  <c r="Q18" i="40"/>
  <c r="AG99" i="40"/>
  <c r="AN99" i="40"/>
  <c r="AG97" i="40"/>
  <c r="AN97" i="40"/>
  <c r="AG61" i="40"/>
  <c r="AN61" i="40"/>
  <c r="AG66" i="40"/>
  <c r="AN66" i="40"/>
  <c r="AG64" i="40"/>
  <c r="AN64" i="40"/>
  <c r="AG34" i="40"/>
  <c r="AV65" i="41"/>
  <c r="AU65" i="41"/>
  <c r="AG31" i="40"/>
  <c r="AG27" i="40"/>
  <c r="AG108" i="40"/>
  <c r="AN108" i="40"/>
  <c r="AO108" i="40" s="1"/>
  <c r="AN105" i="40"/>
  <c r="AG105" i="40"/>
  <c r="AG28" i="40"/>
  <c r="AG69" i="40"/>
  <c r="AN69" i="40"/>
  <c r="AV66" i="41"/>
  <c r="AG25" i="40"/>
  <c r="AN72" i="40"/>
  <c r="AO72" i="40" s="1"/>
  <c r="AG72" i="40"/>
  <c r="AG30" i="40"/>
  <c r="AG36" i="40"/>
  <c r="AU64" i="41"/>
  <c r="AG100" i="40"/>
  <c r="AN100" i="40"/>
  <c r="AG65" i="40"/>
  <c r="AN65" i="40"/>
  <c r="O18" i="39"/>
  <c r="I16" i="51"/>
  <c r="Q90" i="40"/>
  <c r="Z90" i="40"/>
  <c r="AG29" i="40"/>
  <c r="AG63" i="40"/>
  <c r="AN63" i="40"/>
  <c r="AU66" i="41"/>
  <c r="AG33" i="40"/>
  <c r="AV64" i="41"/>
  <c r="AG101" i="40"/>
  <c r="AN101" i="40"/>
  <c r="AG102" i="40"/>
  <c r="AN102" i="40"/>
  <c r="E54" i="40"/>
  <c r="E90" i="43"/>
  <c r="C16" i="57" l="1"/>
  <c r="AQ54" i="41"/>
  <c r="T18" i="40"/>
  <c r="Z54" i="40"/>
  <c r="Q54" i="40"/>
  <c r="C16" i="59"/>
  <c r="AS54" i="41"/>
  <c r="AC90" i="40"/>
  <c r="T90" i="40"/>
  <c r="U90" i="40" l="1"/>
  <c r="T54" i="40"/>
  <c r="AN90" i="40" s="1"/>
  <c r="C16" i="58"/>
  <c r="AR54" i="41"/>
  <c r="AU54" i="41" s="1"/>
  <c r="AC54" i="40"/>
  <c r="AN54" i="40" l="1"/>
  <c r="AV54" i="41"/>
  <c r="U54" i="40"/>
  <c r="O31" i="72" l="1"/>
  <c r="Q31" i="72"/>
  <c r="O32" i="72"/>
  <c r="Q32" i="72"/>
  <c r="O33" i="72"/>
  <c r="Q33" i="72"/>
  <c r="O34" i="72"/>
  <c r="Q34" i="72"/>
  <c r="O35" i="72"/>
  <c r="Q35" i="72"/>
  <c r="O36" i="72"/>
  <c r="Q36" i="72"/>
  <c r="O37" i="72"/>
  <c r="Q37" i="72"/>
  <c r="O38" i="72"/>
  <c r="Q38" i="72"/>
  <c r="O39" i="72"/>
  <c r="Q39" i="72"/>
  <c r="O40" i="72"/>
  <c r="Q40" i="72"/>
  <c r="O41" i="72"/>
  <c r="Q41" i="72"/>
  <c r="O42" i="72"/>
  <c r="Q42" i="72"/>
  <c r="O43" i="72"/>
  <c r="Q43" i="72"/>
  <c r="O44" i="72"/>
  <c r="Q44" i="72"/>
  <c r="O45" i="72"/>
  <c r="Q45" i="72"/>
  <c r="O46" i="72"/>
  <c r="Q46" i="72"/>
  <c r="O47" i="72"/>
  <c r="Q47" i="72"/>
  <c r="O48" i="72"/>
  <c r="Q48" i="72"/>
  <c r="O49" i="72"/>
  <c r="Q49" i="72"/>
  <c r="O50" i="72"/>
  <c r="Q50" i="72"/>
  <c r="O51" i="72"/>
  <c r="Q51" i="72"/>
  <c r="O52" i="72"/>
  <c r="Q52" i="72"/>
  <c r="Q30" i="72"/>
  <c r="O30" i="72"/>
  <c r="E34" i="71" l="1"/>
  <c r="G34" i="71" s="1"/>
  <c r="I34" i="71" s="1"/>
  <c r="K34" i="71" s="1"/>
  <c r="M34" i="71" s="1"/>
  <c r="O34" i="71" s="1"/>
  <c r="Y2" i="71"/>
  <c r="Y8" i="71" s="1"/>
  <c r="X9" i="71"/>
  <c r="C5" i="71"/>
  <c r="U23" i="38"/>
  <c r="W23" i="38" s="1"/>
  <c r="U22" i="38"/>
  <c r="W22" i="38" s="1"/>
  <c r="U20" i="38"/>
  <c r="W20" i="38" s="1"/>
  <c r="C29" i="13"/>
  <c r="C31" i="14"/>
  <c r="C34" i="11"/>
  <c r="C70" i="29"/>
  <c r="C69" i="29"/>
  <c r="C67" i="29"/>
  <c r="C66" i="29"/>
  <c r="C65" i="29"/>
  <c r="C64" i="29"/>
  <c r="C62" i="29"/>
  <c r="C60" i="29"/>
  <c r="U19" i="37"/>
  <c r="M18" i="31"/>
  <c r="L49" i="37"/>
  <c r="A46" i="32"/>
  <c r="F13" i="31"/>
  <c r="H13" i="31" s="1"/>
  <c r="A4" i="31"/>
  <c r="A2" i="31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23" i="32"/>
  <c r="C17" i="32"/>
  <c r="AH18" i="75" s="1"/>
  <c r="C18" i="32"/>
  <c r="AH19" i="75" s="1"/>
  <c r="C19" i="32"/>
  <c r="AH20" i="75" s="1"/>
  <c r="C20" i="32"/>
  <c r="AH21" i="75" s="1"/>
  <c r="C21" i="32"/>
  <c r="AH22" i="75" s="1"/>
  <c r="C22" i="32"/>
  <c r="AH23" i="75" s="1"/>
  <c r="C16" i="32"/>
  <c r="AH17" i="75" s="1"/>
  <c r="I14" i="32"/>
  <c r="K14" i="32" s="1"/>
  <c r="M14" i="32" s="1"/>
  <c r="O14" i="32" s="1"/>
  <c r="Q14" i="32" s="1"/>
  <c r="S14" i="32" s="1"/>
  <c r="U14" i="32" s="1"/>
  <c r="W14" i="32" s="1"/>
  <c r="U13" i="32"/>
  <c r="A13" i="32"/>
  <c r="A12" i="32"/>
  <c r="A11" i="32"/>
  <c r="A4" i="32"/>
  <c r="A2" i="32"/>
  <c r="M2" i="70"/>
  <c r="N2" i="70" s="1"/>
  <c r="O2" i="70" s="1"/>
  <c r="P2" i="70" s="1"/>
  <c r="Q2" i="70" s="1"/>
  <c r="R2" i="70" s="1"/>
  <c r="S2" i="70" s="1"/>
  <c r="T2" i="70" s="1"/>
  <c r="U2" i="70" s="1"/>
  <c r="AZ45" i="37"/>
  <c r="AY45" i="37"/>
  <c r="AN18" i="37"/>
  <c r="AN19" i="37"/>
  <c r="AN20" i="37"/>
  <c r="AN21" i="37"/>
  <c r="AN22" i="37"/>
  <c r="AN23" i="37"/>
  <c r="AN24" i="37"/>
  <c r="O13" i="33"/>
  <c r="E14" i="33"/>
  <c r="G14" i="33" s="1"/>
  <c r="I14" i="33" s="1"/>
  <c r="K14" i="33" s="1"/>
  <c r="M14" i="33" s="1"/>
  <c r="O14" i="33" s="1"/>
  <c r="Q14" i="33" s="1"/>
  <c r="A12" i="33"/>
  <c r="A13" i="33"/>
  <c r="A11" i="33"/>
  <c r="F13" i="36"/>
  <c r="H13" i="36" s="1"/>
  <c r="E16" i="39"/>
  <c r="G16" i="39" s="1"/>
  <c r="I16" i="39" s="1"/>
  <c r="K16" i="39" s="1"/>
  <c r="M16" i="39" s="1"/>
  <c r="O16" i="39" s="1"/>
  <c r="U16" i="39" s="1"/>
  <c r="W16" i="39" s="1"/>
  <c r="A15" i="39"/>
  <c r="A14" i="39"/>
  <c r="A13" i="39"/>
  <c r="A4" i="39"/>
  <c r="A2" i="39"/>
  <c r="E16" i="38"/>
  <c r="G16" i="38" s="1"/>
  <c r="I16" i="38" s="1"/>
  <c r="K16" i="38" s="1"/>
  <c r="M16" i="38" s="1"/>
  <c r="O16" i="38" s="1"/>
  <c r="U16" i="38" s="1"/>
  <c r="W16" i="38" s="1"/>
  <c r="A15" i="38"/>
  <c r="A14" i="38"/>
  <c r="A13" i="38"/>
  <c r="A4" i="38"/>
  <c r="A2" i="38"/>
  <c r="E16" i="37"/>
  <c r="G16" i="37" s="1"/>
  <c r="I16" i="37" s="1"/>
  <c r="K16" i="37" s="1"/>
  <c r="M16" i="37" s="1"/>
  <c r="O16" i="37" s="1"/>
  <c r="U16" i="37" s="1"/>
  <c r="W16" i="37" s="1"/>
  <c r="A14" i="37"/>
  <c r="A15" i="37"/>
  <c r="A13" i="37"/>
  <c r="A48" i="42"/>
  <c r="G17" i="42"/>
  <c r="I17" i="42" s="1"/>
  <c r="K17" i="42" s="1"/>
  <c r="M17" i="42" s="1"/>
  <c r="A16" i="42"/>
  <c r="A15" i="42"/>
  <c r="A14" i="42"/>
  <c r="A4" i="42"/>
  <c r="A2" i="42"/>
  <c r="A48" i="47"/>
  <c r="E14" i="47"/>
  <c r="G14" i="47" s="1"/>
  <c r="I14" i="47" s="1"/>
  <c r="K14" i="47" s="1"/>
  <c r="M14" i="47" s="1"/>
  <c r="A13" i="47"/>
  <c r="A12" i="47"/>
  <c r="A11" i="47"/>
  <c r="A4" i="47"/>
  <c r="A2" i="47"/>
  <c r="A20" i="27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" i="27"/>
  <c r="A2" i="27"/>
  <c r="A48" i="46"/>
  <c r="E14" i="46"/>
  <c r="G14" i="46" s="1"/>
  <c r="I14" i="46" s="1"/>
  <c r="K14" i="46" s="1"/>
  <c r="M14" i="46" s="1"/>
  <c r="A13" i="46"/>
  <c r="A12" i="46"/>
  <c r="A11" i="46"/>
  <c r="A4" i="46"/>
  <c r="A2" i="46"/>
  <c r="A48" i="48"/>
  <c r="E14" i="48"/>
  <c r="G14" i="48" s="1"/>
  <c r="I14" i="48" s="1"/>
  <c r="K14" i="48" s="1"/>
  <c r="M14" i="48" s="1"/>
  <c r="A13" i="48"/>
  <c r="A12" i="48"/>
  <c r="A11" i="48"/>
  <c r="A4" i="48"/>
  <c r="A2" i="48"/>
  <c r="A48" i="49"/>
  <c r="E14" i="49"/>
  <c r="G14" i="49" s="1"/>
  <c r="I14" i="49" s="1"/>
  <c r="K14" i="49" s="1"/>
  <c r="M14" i="49" s="1"/>
  <c r="A13" i="49"/>
  <c r="A12" i="49"/>
  <c r="A11" i="49"/>
  <c r="A4" i="49"/>
  <c r="A2" i="49"/>
  <c r="A48" i="50"/>
  <c r="E14" i="50"/>
  <c r="G14" i="50" s="1"/>
  <c r="I14" i="50" s="1"/>
  <c r="K14" i="50" s="1"/>
  <c r="M14" i="50" s="1"/>
  <c r="A13" i="50"/>
  <c r="A12" i="50"/>
  <c r="A11" i="50"/>
  <c r="A4" i="50"/>
  <c r="A2" i="50"/>
  <c r="A48" i="51"/>
  <c r="E14" i="51"/>
  <c r="G14" i="51" s="1"/>
  <c r="I14" i="51" s="1"/>
  <c r="K14" i="51" s="1"/>
  <c r="M14" i="51" s="1"/>
  <c r="A12" i="51"/>
  <c r="A13" i="51"/>
  <c r="A11" i="51"/>
  <c r="A47" i="52"/>
  <c r="A46" i="52"/>
  <c r="E15" i="52"/>
  <c r="G15" i="52" s="1"/>
  <c r="I15" i="52" s="1"/>
  <c r="K15" i="52" s="1"/>
  <c r="M15" i="52" s="1"/>
  <c r="O15" i="52" s="1"/>
  <c r="A14" i="52"/>
  <c r="A13" i="52"/>
  <c r="A12" i="52"/>
  <c r="A4" i="52"/>
  <c r="A2" i="52"/>
  <c r="A47" i="53"/>
  <c r="A46" i="53"/>
  <c r="E15" i="53"/>
  <c r="G15" i="53" s="1"/>
  <c r="I15" i="53" s="1"/>
  <c r="K15" i="53" s="1"/>
  <c r="M15" i="53" s="1"/>
  <c r="O15" i="53" s="1"/>
  <c r="A14" i="53"/>
  <c r="A13" i="53"/>
  <c r="A12" i="53"/>
  <c r="A4" i="53"/>
  <c r="A2" i="53"/>
  <c r="A46" i="54"/>
  <c r="E15" i="54"/>
  <c r="G15" i="54" s="1"/>
  <c r="I15" i="54" s="1"/>
  <c r="K15" i="54" s="1"/>
  <c r="M15" i="54" s="1"/>
  <c r="O15" i="54" s="1"/>
  <c r="A13" i="54"/>
  <c r="A14" i="54"/>
  <c r="A12" i="54"/>
  <c r="A47" i="54"/>
  <c r="A97" i="55"/>
  <c r="W42" i="56"/>
  <c r="A12" i="56"/>
  <c r="A11" i="56"/>
  <c r="A10" i="56"/>
  <c r="U49" i="57"/>
  <c r="A49" i="57" s="1"/>
  <c r="U48" i="57"/>
  <c r="A48" i="57" s="1"/>
  <c r="U47" i="57"/>
  <c r="A47" i="57" s="1"/>
  <c r="U46" i="57"/>
  <c r="A46" i="57" s="1"/>
  <c r="U45" i="57"/>
  <c r="A45" i="57" s="1"/>
  <c r="E14" i="57"/>
  <c r="G14" i="57" s="1"/>
  <c r="I14" i="57" s="1"/>
  <c r="K14" i="57" s="1"/>
  <c r="M14" i="57" s="1"/>
  <c r="O14" i="57" s="1"/>
  <c r="A13" i="57"/>
  <c r="A12" i="57"/>
  <c r="A11" i="57"/>
  <c r="U49" i="58"/>
  <c r="A49" i="58" s="1"/>
  <c r="U48" i="58"/>
  <c r="A48" i="58" s="1"/>
  <c r="U47" i="58"/>
  <c r="A47" i="58" s="1"/>
  <c r="U46" i="58"/>
  <c r="A46" i="58" s="1"/>
  <c r="U45" i="58"/>
  <c r="A45" i="58" s="1"/>
  <c r="E14" i="58"/>
  <c r="G14" i="58" s="1"/>
  <c r="I14" i="58" s="1"/>
  <c r="K14" i="58" s="1"/>
  <c r="M14" i="58" s="1"/>
  <c r="O14" i="58" s="1"/>
  <c r="A13" i="58"/>
  <c r="A12" i="58"/>
  <c r="A11" i="58"/>
  <c r="U49" i="59"/>
  <c r="A49" i="59" s="1"/>
  <c r="U48" i="59"/>
  <c r="A48" i="59" s="1"/>
  <c r="U47" i="59"/>
  <c r="A47" i="59" s="1"/>
  <c r="U46" i="59"/>
  <c r="A46" i="59" s="1"/>
  <c r="U45" i="59"/>
  <c r="A45" i="59" s="1"/>
  <c r="E14" i="59"/>
  <c r="G14" i="59" s="1"/>
  <c r="I14" i="59" s="1"/>
  <c r="K14" i="59" s="1"/>
  <c r="M14" i="59" s="1"/>
  <c r="O14" i="59" s="1"/>
  <c r="A13" i="59"/>
  <c r="A12" i="59"/>
  <c r="A11" i="59"/>
  <c r="U49" i="60"/>
  <c r="A49" i="60" s="1"/>
  <c r="U48" i="60"/>
  <c r="A48" i="60" s="1"/>
  <c r="U47" i="60"/>
  <c r="A47" i="60" s="1"/>
  <c r="U46" i="60"/>
  <c r="A46" i="60" s="1"/>
  <c r="U45" i="60"/>
  <c r="A45" i="60" s="1"/>
  <c r="E14" i="60"/>
  <c r="G14" i="60" s="1"/>
  <c r="I14" i="60" s="1"/>
  <c r="K14" i="60" s="1"/>
  <c r="M14" i="60" s="1"/>
  <c r="O14" i="60" s="1"/>
  <c r="A13" i="60"/>
  <c r="A12" i="60"/>
  <c r="A11" i="60"/>
  <c r="W42" i="63"/>
  <c r="A42" i="63" s="1"/>
  <c r="W41" i="63"/>
  <c r="A41" i="63" s="1"/>
  <c r="W40" i="63"/>
  <c r="A40" i="63" s="1"/>
  <c r="W39" i="63"/>
  <c r="A39" i="63" s="1"/>
  <c r="W38" i="63"/>
  <c r="A38" i="63" s="1"/>
  <c r="A13" i="63"/>
  <c r="A12" i="63"/>
  <c r="A11" i="63"/>
  <c r="W42" i="61"/>
  <c r="A42" i="61" s="1"/>
  <c r="W41" i="61"/>
  <c r="A41" i="61" s="1"/>
  <c r="W40" i="61"/>
  <c r="A40" i="61" s="1"/>
  <c r="W39" i="61"/>
  <c r="A39" i="61" s="1"/>
  <c r="W38" i="61"/>
  <c r="A38" i="61" s="1"/>
  <c r="A13" i="61"/>
  <c r="A12" i="61"/>
  <c r="A11" i="61"/>
  <c r="W42" i="62"/>
  <c r="A42" i="62" s="1"/>
  <c r="W41" i="62"/>
  <c r="A41" i="62" s="1"/>
  <c r="W40" i="62"/>
  <c r="A40" i="62" s="1"/>
  <c r="W39" i="62"/>
  <c r="A39" i="62" s="1"/>
  <c r="W38" i="62"/>
  <c r="A38" i="62" s="1"/>
  <c r="A13" i="62"/>
  <c r="A12" i="62"/>
  <c r="A11" i="62"/>
  <c r="W42" i="64"/>
  <c r="A42" i="64" s="1"/>
  <c r="W41" i="64"/>
  <c r="A41" i="64" s="1"/>
  <c r="W40" i="64"/>
  <c r="A40" i="64" s="1"/>
  <c r="W39" i="64"/>
  <c r="A39" i="64" s="1"/>
  <c r="W38" i="64"/>
  <c r="A38" i="64" s="1"/>
  <c r="A13" i="64"/>
  <c r="A12" i="64"/>
  <c r="A11" i="64"/>
  <c r="A12" i="65"/>
  <c r="A13" i="65"/>
  <c r="A11" i="65"/>
  <c r="A52" i="66"/>
  <c r="W39" i="66"/>
  <c r="A39" i="66" s="1"/>
  <c r="W40" i="66"/>
  <c r="A40" i="66" s="1"/>
  <c r="W41" i="66"/>
  <c r="A41" i="66" s="1"/>
  <c r="W42" i="66"/>
  <c r="A42" i="66" s="1"/>
  <c r="W38" i="66"/>
  <c r="A38" i="66" s="1"/>
  <c r="E14" i="66"/>
  <c r="G14" i="66" s="1"/>
  <c r="I14" i="66" s="1"/>
  <c r="K14" i="66" s="1"/>
  <c r="M14" i="66" s="1"/>
  <c r="O14" i="66" s="1"/>
  <c r="Q14" i="66" s="1"/>
  <c r="A12" i="66"/>
  <c r="A13" i="66"/>
  <c r="A11" i="66"/>
  <c r="A4" i="33"/>
  <c r="A2" i="33"/>
  <c r="A4" i="36"/>
  <c r="A2" i="36"/>
  <c r="A4" i="37"/>
  <c r="A2" i="37"/>
  <c r="A4" i="51"/>
  <c r="A2" i="51"/>
  <c r="A4" i="54"/>
  <c r="A2" i="54"/>
  <c r="A4" i="55"/>
  <c r="A2" i="55"/>
  <c r="A4" i="56"/>
  <c r="A2" i="56"/>
  <c r="A4" i="57"/>
  <c r="A2" i="57"/>
  <c r="A4" i="58"/>
  <c r="A2" i="58"/>
  <c r="A4" i="59"/>
  <c r="A2" i="59"/>
  <c r="A4" i="60"/>
  <c r="A2" i="60"/>
  <c r="A4" i="61"/>
  <c r="A2" i="61"/>
  <c r="A4" i="62"/>
  <c r="A2" i="62"/>
  <c r="A4" i="63"/>
  <c r="A2" i="63"/>
  <c r="A4" i="64"/>
  <c r="A2" i="64"/>
  <c r="A4" i="65"/>
  <c r="A2" i="65"/>
  <c r="A4" i="66"/>
  <c r="A2" i="66"/>
  <c r="A85" i="30"/>
  <c r="O17" i="30"/>
  <c r="Q17" i="30" s="1"/>
  <c r="S17" i="30" s="1"/>
  <c r="U17" i="30" s="1"/>
  <c r="A16" i="30"/>
  <c r="A52" i="30" s="1"/>
  <c r="A15" i="30"/>
  <c r="A51" i="30" s="1"/>
  <c r="A14" i="30"/>
  <c r="A50" i="30" s="1"/>
  <c r="A4" i="30"/>
  <c r="A2" i="30"/>
  <c r="A85" i="29"/>
  <c r="T13" i="2"/>
  <c r="O17" i="29"/>
  <c r="Q17" i="29" s="1"/>
  <c r="S17" i="29" s="1"/>
  <c r="U17" i="29" s="1"/>
  <c r="A15" i="29"/>
  <c r="A51" i="29" s="1"/>
  <c r="A16" i="29"/>
  <c r="A52" i="29" s="1"/>
  <c r="A14" i="29"/>
  <c r="A50" i="29" s="1"/>
  <c r="A4" i="29"/>
  <c r="A2" i="29"/>
  <c r="AA5" i="77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A11" i="15"/>
  <c r="A10" i="15"/>
  <c r="A4" i="15"/>
  <c r="A2" i="15"/>
  <c r="A29" i="14"/>
  <c r="A28" i="14"/>
  <c r="R13" i="14"/>
  <c r="C11" i="14"/>
  <c r="A11" i="14"/>
  <c r="A10" i="14"/>
  <c r="A4" i="14"/>
  <c r="A2" i="14"/>
  <c r="A27" i="13"/>
  <c r="A26" i="13"/>
  <c r="R14" i="13"/>
  <c r="R13" i="13"/>
  <c r="C11" i="13"/>
  <c r="A11" i="13"/>
  <c r="A10" i="13"/>
  <c r="A4" i="13"/>
  <c r="A2" i="13"/>
  <c r="A32" i="11"/>
  <c r="A31" i="11"/>
  <c r="W13" i="11"/>
  <c r="C11" i="11"/>
  <c r="A11" i="11"/>
  <c r="A10" i="11"/>
  <c r="A4" i="11"/>
  <c r="A2" i="11"/>
  <c r="B3" i="18"/>
  <c r="C3" i="18" s="1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B3" i="17"/>
  <c r="C3" i="17" s="1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E4" i="17"/>
  <c r="A78" i="3"/>
  <c r="Z34" i="38"/>
  <c r="S34" i="38" s="1"/>
  <c r="Z37" i="38"/>
  <c r="S37" i="38" s="1"/>
  <c r="Z39" i="38"/>
  <c r="S39" i="38" s="1"/>
  <c r="Z25" i="37"/>
  <c r="AD17" i="3"/>
  <c r="AD18" i="3"/>
  <c r="AD19" i="3"/>
  <c r="AD20" i="3"/>
  <c r="AD21" i="3"/>
  <c r="AD22" i="3"/>
  <c r="AD16" i="3"/>
  <c r="E14" i="3"/>
  <c r="G14" i="3" s="1"/>
  <c r="I14" i="3" s="1"/>
  <c r="K14" i="3" s="1"/>
  <c r="M14" i="3" s="1"/>
  <c r="O14" i="3" s="1"/>
  <c r="Q14" i="3" s="1"/>
  <c r="S14" i="3" s="1"/>
  <c r="U14" i="3" s="1"/>
  <c r="W14" i="3" s="1"/>
  <c r="Y14" i="3" s="1"/>
  <c r="C47" i="3" s="1"/>
  <c r="E47" i="3" s="1"/>
  <c r="G47" i="3" s="1"/>
  <c r="I47" i="3" s="1"/>
  <c r="K47" i="3" s="1"/>
  <c r="M47" i="3" s="1"/>
  <c r="O47" i="3" s="1"/>
  <c r="Q47" i="3" s="1"/>
  <c r="S47" i="3" s="1"/>
  <c r="U47" i="3" s="1"/>
  <c r="W47" i="3" s="1"/>
  <c r="Y47" i="3" s="1"/>
  <c r="I26" i="32"/>
  <c r="I35" i="32"/>
  <c r="I36" i="32"/>
  <c r="K27" i="65"/>
  <c r="C16" i="66"/>
  <c r="AB37" i="3"/>
  <c r="AA36" i="3"/>
  <c r="B50" i="3"/>
  <c r="B51" i="3"/>
  <c r="B52" i="3"/>
  <c r="B53" i="3"/>
  <c r="B54" i="3"/>
  <c r="B55" i="3"/>
  <c r="B49" i="3"/>
  <c r="R37" i="41"/>
  <c r="A13" i="3"/>
  <c r="A12" i="3"/>
  <c r="A8" i="3"/>
  <c r="A4" i="3"/>
  <c r="A2" i="3"/>
  <c r="AC38" i="2"/>
  <c r="AC37" i="2" s="1"/>
  <c r="AC36" i="2" s="1"/>
  <c r="AC35" i="2" s="1"/>
  <c r="AC34" i="2" s="1"/>
  <c r="AC33" i="2" s="1"/>
  <c r="AC32" i="2" s="1"/>
  <c r="AC31" i="2" s="1"/>
  <c r="AC30" i="2" s="1"/>
  <c r="AC29" i="2" s="1"/>
  <c r="AC28" i="2" s="1"/>
  <c r="AC27" i="2" s="1"/>
  <c r="AC26" i="2" s="1"/>
  <c r="AC25" i="2" s="1"/>
  <c r="AC24" i="2" s="1"/>
  <c r="AC23" i="2" s="1"/>
  <c r="AC22" i="2" s="1"/>
  <c r="AC21" i="2" s="1"/>
  <c r="AC20" i="2" s="1"/>
  <c r="AC19" i="2" s="1"/>
  <c r="AC18" i="2" s="1"/>
  <c r="AC43" i="2" s="1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5" i="2"/>
  <c r="B18" i="2"/>
  <c r="C6" i="77" s="1"/>
  <c r="C7" i="77" s="1"/>
  <c r="C8" i="77" s="1"/>
  <c r="E9" i="2"/>
  <c r="E10" i="2"/>
  <c r="E8" i="2"/>
  <c r="D9" i="2"/>
  <c r="D10" i="2"/>
  <c r="D8" i="2"/>
  <c r="R102" i="40"/>
  <c r="K25" i="65"/>
  <c r="A55" i="63"/>
  <c r="Y49" i="3"/>
  <c r="Z35" i="38"/>
  <c r="S35" i="38" s="1"/>
  <c r="AA28" i="3"/>
  <c r="Z26" i="38"/>
  <c r="S26" i="38" s="1"/>
  <c r="AB27" i="3"/>
  <c r="G28" i="32"/>
  <c r="Z38" i="38"/>
  <c r="S38" i="38" s="1"/>
  <c r="Z30" i="38"/>
  <c r="S30" i="38" s="1"/>
  <c r="Y36" i="38"/>
  <c r="AB31" i="3"/>
  <c r="Z25" i="38"/>
  <c r="S25" i="38" s="1"/>
  <c r="G39" i="32"/>
  <c r="C52" i="30"/>
  <c r="A5" i="32"/>
  <c r="C10" i="33"/>
  <c r="A5" i="39"/>
  <c r="A5" i="31"/>
  <c r="A5" i="38"/>
  <c r="A5" i="42"/>
  <c r="A5" i="47"/>
  <c r="A5" i="49"/>
  <c r="A5" i="50"/>
  <c r="A5" i="46"/>
  <c r="A5" i="52"/>
  <c r="A5" i="53"/>
  <c r="A5" i="48"/>
  <c r="A5" i="37"/>
  <c r="A5" i="56"/>
  <c r="A5" i="60"/>
  <c r="A5" i="64"/>
  <c r="A5" i="36"/>
  <c r="A5" i="55"/>
  <c r="A5" i="59"/>
  <c r="A5" i="63"/>
  <c r="A5" i="30"/>
  <c r="A5" i="33"/>
  <c r="A5" i="54"/>
  <c r="A5" i="58"/>
  <c r="A5" i="62"/>
  <c r="A5" i="66"/>
  <c r="A5" i="51"/>
  <c r="A5" i="57"/>
  <c r="A5" i="61"/>
  <c r="A5" i="65"/>
  <c r="Y12" i="32"/>
  <c r="C14" i="52"/>
  <c r="E14" i="52" s="1"/>
  <c r="G16" i="30"/>
  <c r="G52" i="30" s="1"/>
  <c r="K16" i="3"/>
  <c r="E54" i="44" s="1"/>
  <c r="C17" i="54"/>
  <c r="AB35" i="3"/>
  <c r="G31" i="32"/>
  <c r="K49" i="3"/>
  <c r="R54" i="40" s="1"/>
  <c r="Y32" i="38"/>
  <c r="Z29" i="38"/>
  <c r="S29" i="38" s="1"/>
  <c r="AB28" i="3"/>
  <c r="U23" i="39"/>
  <c r="U23" i="37"/>
  <c r="W23" i="37" s="1"/>
  <c r="C59" i="30"/>
  <c r="C56" i="29"/>
  <c r="R32" i="41"/>
  <c r="R66" i="40"/>
  <c r="AB24" i="3"/>
  <c r="AA32" i="3"/>
  <c r="AA27" i="3"/>
  <c r="AB32" i="3"/>
  <c r="Y28" i="38"/>
  <c r="Y34" i="38"/>
  <c r="Y37" i="38"/>
  <c r="R61" i="40"/>
  <c r="AA26" i="3"/>
  <c r="R97" i="40"/>
  <c r="R101" i="40"/>
  <c r="C57" i="30"/>
  <c r="Y39" i="38"/>
  <c r="R27" i="41"/>
  <c r="R31" i="41"/>
  <c r="Z27" i="38"/>
  <c r="S27" i="38" s="1"/>
  <c r="Y27" i="38"/>
  <c r="AA35" i="3"/>
  <c r="I37" i="32"/>
  <c r="AA31" i="3"/>
  <c r="R65" i="40"/>
  <c r="AB26" i="3"/>
  <c r="Y25" i="38"/>
  <c r="Y29" i="38"/>
  <c r="K18" i="65"/>
  <c r="U21" i="37"/>
  <c r="W21" i="37" s="1"/>
  <c r="C58" i="29"/>
  <c r="C59" i="29"/>
  <c r="C61" i="29"/>
  <c r="U24" i="38"/>
  <c r="W24" i="38" s="1"/>
  <c r="C68" i="29"/>
  <c r="C72" i="29"/>
  <c r="C73" i="29"/>
  <c r="A1" i="52"/>
  <c r="A1" i="11"/>
  <c r="A1" i="54"/>
  <c r="A1" i="61"/>
  <c r="A1" i="38"/>
  <c r="A1" i="50"/>
  <c r="A1" i="66"/>
  <c r="A1" i="14"/>
  <c r="C42" i="13"/>
  <c r="A1" i="62"/>
  <c r="A1" i="64"/>
  <c r="A1" i="53"/>
  <c r="A1" i="56"/>
  <c r="A1" i="58"/>
  <c r="C52" i="11"/>
  <c r="A1" i="15"/>
  <c r="A1" i="37"/>
  <c r="A1" i="13"/>
  <c r="A1" i="39"/>
  <c r="A1" i="60"/>
  <c r="A1" i="57"/>
  <c r="A1" i="49"/>
  <c r="A1" i="27"/>
  <c r="A1" i="46"/>
  <c r="A1" i="42"/>
  <c r="A1" i="48"/>
  <c r="A1" i="63"/>
  <c r="A1" i="36"/>
  <c r="A1" i="51"/>
  <c r="A1" i="59"/>
  <c r="A1" i="55"/>
  <c r="A1" i="47"/>
  <c r="W23" i="39" l="1"/>
  <c r="A7" i="47"/>
  <c r="A7" i="46"/>
  <c r="U11" i="10"/>
  <c r="U11" i="5"/>
  <c r="U11" i="6"/>
  <c r="U11" i="9"/>
  <c r="U11" i="7"/>
  <c r="U11" i="8"/>
  <c r="U11" i="12"/>
  <c r="C18" i="2"/>
  <c r="P11" i="14"/>
  <c r="P11" i="13"/>
  <c r="U11" i="11"/>
  <c r="AI15" i="41"/>
  <c r="AI51" i="41"/>
  <c r="AI51" i="40"/>
  <c r="AI15" i="40"/>
  <c r="AI87" i="40"/>
  <c r="C16" i="29"/>
  <c r="E16" i="29" s="1"/>
  <c r="I16" i="29" s="1"/>
  <c r="I52" i="29" s="1"/>
  <c r="B17" i="79"/>
  <c r="B23" i="79"/>
  <c r="A5" i="79"/>
  <c r="A5" i="78"/>
  <c r="A5" i="75"/>
  <c r="A5" i="76"/>
  <c r="A5" i="19"/>
  <c r="A5" i="20"/>
  <c r="A5" i="21"/>
  <c r="A5" i="22"/>
  <c r="A5" i="23"/>
  <c r="A5" i="24"/>
  <c r="A5" i="25"/>
  <c r="A5" i="26"/>
  <c r="A5" i="44"/>
  <c r="A5" i="45"/>
  <c r="A5" i="41"/>
  <c r="A5" i="43"/>
  <c r="A5" i="40"/>
  <c r="D18" i="2"/>
  <c r="C14" i="75"/>
  <c r="Q14" i="76"/>
  <c r="C14" i="76"/>
  <c r="Q14" i="75"/>
  <c r="E51" i="41"/>
  <c r="E15" i="41"/>
  <c r="E16" i="45"/>
  <c r="E15" i="44"/>
  <c r="AJ51" i="41"/>
  <c r="E51" i="44"/>
  <c r="AJ15" i="41"/>
  <c r="E87" i="43"/>
  <c r="AJ87" i="40"/>
  <c r="E51" i="40"/>
  <c r="E15" i="40"/>
  <c r="E51" i="43"/>
  <c r="E15" i="43"/>
  <c r="E87" i="40"/>
  <c r="AJ51" i="40"/>
  <c r="AJ15" i="40"/>
  <c r="P32" i="65"/>
  <c r="B11" i="79"/>
  <c r="A7" i="29"/>
  <c r="AP23" i="39"/>
  <c r="AQ10" i="56"/>
  <c r="S20" i="29"/>
  <c r="E14" i="77"/>
  <c r="S22" i="29"/>
  <c r="I14" i="77"/>
  <c r="AM27" i="41"/>
  <c r="E26" i="53"/>
  <c r="I25" i="47" s="1"/>
  <c r="R28" i="41"/>
  <c r="E31" i="53"/>
  <c r="I30" i="47" s="1"/>
  <c r="AM32" i="41"/>
  <c r="AM97" i="40"/>
  <c r="AO97" i="40" s="1"/>
  <c r="R36" i="41"/>
  <c r="V54" i="40"/>
  <c r="AM102" i="40"/>
  <c r="AO102" i="40" s="1"/>
  <c r="AM66" i="41"/>
  <c r="K76" i="44"/>
  <c r="K76" i="41"/>
  <c r="K76" i="43"/>
  <c r="K112" i="43" s="1"/>
  <c r="K76" i="40"/>
  <c r="K112" i="40" s="1"/>
  <c r="G22" i="77"/>
  <c r="S21" i="30"/>
  <c r="O22" i="77"/>
  <c r="S25" i="30"/>
  <c r="AM31" i="41"/>
  <c r="E30" i="53"/>
  <c r="I29" i="47" s="1"/>
  <c r="AM65" i="41"/>
  <c r="AM101" i="40"/>
  <c r="AO101" i="40" s="1"/>
  <c r="S24" i="29"/>
  <c r="M14" i="77"/>
  <c r="O18" i="37"/>
  <c r="C15" i="77" s="1"/>
  <c r="I16" i="49"/>
  <c r="K22" i="77"/>
  <c r="S23" i="30"/>
  <c r="A53" i="62"/>
  <c r="E36" i="53"/>
  <c r="I35" i="47" s="1"/>
  <c r="AM37" i="41"/>
  <c r="K19" i="45"/>
  <c r="K18" i="44"/>
  <c r="K18" i="41"/>
  <c r="K18" i="40"/>
  <c r="K18" i="43"/>
  <c r="M22" i="77"/>
  <c r="S24" i="30"/>
  <c r="A53" i="63"/>
  <c r="M40" i="29"/>
  <c r="M35" i="29"/>
  <c r="M26" i="29"/>
  <c r="M37" i="29"/>
  <c r="M30" i="29"/>
  <c r="M31" i="29"/>
  <c r="M34" i="29"/>
  <c r="M27" i="29"/>
  <c r="M38" i="29"/>
  <c r="M29" i="29"/>
  <c r="M33" i="29"/>
  <c r="A55" i="62"/>
  <c r="M37" i="36"/>
  <c r="K16" i="30"/>
  <c r="K52" i="30" s="1"/>
  <c r="O42" i="56"/>
  <c r="AP23" i="37"/>
  <c r="M20" i="31"/>
  <c r="M22" i="36"/>
  <c r="A5" i="29"/>
  <c r="M19" i="31"/>
  <c r="M21" i="36"/>
  <c r="M36" i="36"/>
  <c r="G16" i="59"/>
  <c r="U16" i="59" s="1"/>
  <c r="O15" i="56"/>
  <c r="M35" i="31"/>
  <c r="M14" i="71"/>
  <c r="AT20" i="37"/>
  <c r="G16" i="58"/>
  <c r="K19" i="42"/>
  <c r="G16" i="57"/>
  <c r="A98" i="55"/>
  <c r="G16" i="60"/>
  <c r="E21" i="32"/>
  <c r="AE21" i="32" s="1"/>
  <c r="AD22" i="75" s="1"/>
  <c r="C60" i="30"/>
  <c r="A5" i="27"/>
  <c r="A7" i="32"/>
  <c r="A7" i="31"/>
  <c r="A7" i="33"/>
  <c r="E10" i="32"/>
  <c r="AE16" i="3"/>
  <c r="E49" i="3"/>
  <c r="R67" i="40"/>
  <c r="O16" i="3"/>
  <c r="R64" i="40"/>
  <c r="R104" i="40"/>
  <c r="I34" i="32"/>
  <c r="G30" i="32"/>
  <c r="K17" i="65"/>
  <c r="R100" i="40"/>
  <c r="K21" i="65"/>
  <c r="AB30" i="3"/>
  <c r="AA34" i="3"/>
  <c r="K19" i="65"/>
  <c r="K23" i="65"/>
  <c r="R33" i="41"/>
  <c r="AB34" i="3"/>
  <c r="AA30" i="3"/>
  <c r="R68" i="40"/>
  <c r="K29" i="65"/>
  <c r="Z33" i="38"/>
  <c r="S33" i="38" s="1"/>
  <c r="I24" i="32"/>
  <c r="M22" i="31"/>
  <c r="M33" i="31"/>
  <c r="M34" i="31"/>
  <c r="M35" i="36"/>
  <c r="E44" i="29"/>
  <c r="E80" i="29"/>
  <c r="U19" i="39"/>
  <c r="C57" i="29"/>
  <c r="U20" i="37"/>
  <c r="W20" i="37" s="1"/>
  <c r="C55" i="30"/>
  <c r="U18" i="38"/>
  <c r="K22" i="71"/>
  <c r="AT22" i="37"/>
  <c r="A61" i="57"/>
  <c r="AI10" i="56"/>
  <c r="A18" i="39"/>
  <c r="A17" i="54"/>
  <c r="A18" i="38"/>
  <c r="A16" i="58"/>
  <c r="T16" i="58" s="1"/>
  <c r="O16" i="29"/>
  <c r="O52" i="29" s="1"/>
  <c r="W13" i="32"/>
  <c r="M15" i="37"/>
  <c r="O15" i="37" s="1"/>
  <c r="I13" i="49"/>
  <c r="C14" i="53"/>
  <c r="E14" i="53" s="1"/>
  <c r="I13" i="46"/>
  <c r="S16" i="29"/>
  <c r="S52" i="29" s="1"/>
  <c r="A8" i="71"/>
  <c r="Q13" i="33"/>
  <c r="M15" i="38"/>
  <c r="O15" i="38" s="1"/>
  <c r="I13" i="51"/>
  <c r="K13" i="65"/>
  <c r="S12" i="33"/>
  <c r="M15" i="39"/>
  <c r="O15" i="39" s="1"/>
  <c r="E16" i="42"/>
  <c r="I13" i="50"/>
  <c r="C14" i="54"/>
  <c r="E14" i="54" s="1"/>
  <c r="I13" i="48"/>
  <c r="S16" i="30"/>
  <c r="S52" i="30" s="1"/>
  <c r="C13" i="66"/>
  <c r="Y38" i="38"/>
  <c r="AA25" i="3"/>
  <c r="M19" i="36"/>
  <c r="E44" i="30"/>
  <c r="E80" i="30"/>
  <c r="M21" i="31"/>
  <c r="M37" i="31"/>
  <c r="M18" i="36"/>
  <c r="M33" i="36"/>
  <c r="AO10" i="56"/>
  <c r="C17" i="52"/>
  <c r="I32" i="32"/>
  <c r="C72" i="11"/>
  <c r="D11" i="11"/>
  <c r="U13" i="2"/>
  <c r="AK10" i="56"/>
  <c r="A61" i="58"/>
  <c r="U24" i="37"/>
  <c r="W24" i="37" s="1"/>
  <c r="AA16" i="3"/>
  <c r="G27" i="32"/>
  <c r="G55" i="29"/>
  <c r="Y26" i="38"/>
  <c r="Y30" i="38"/>
  <c r="R34" i="41"/>
  <c r="R26" i="41"/>
  <c r="R30" i="41"/>
  <c r="R99" i="40"/>
  <c r="K22" i="65"/>
  <c r="AB33" i="3"/>
  <c r="Z36" i="38"/>
  <c r="S36" i="38" s="1"/>
  <c r="K4" i="17"/>
  <c r="R63" i="40"/>
  <c r="R62" i="40"/>
  <c r="AA24" i="3"/>
  <c r="R5" i="71"/>
  <c r="G16" i="29"/>
  <c r="Q5" i="71"/>
  <c r="R39" i="41"/>
  <c r="K16" i="65"/>
  <c r="K24" i="65"/>
  <c r="A55" i="61"/>
  <c r="U24" i="39"/>
  <c r="K28" i="65"/>
  <c r="K20" i="65"/>
  <c r="U22" i="39"/>
  <c r="A53" i="61"/>
  <c r="I23" i="32"/>
  <c r="AA23" i="3"/>
  <c r="W41" i="3"/>
  <c r="G22" i="71"/>
  <c r="AA37" i="3"/>
  <c r="S41" i="3"/>
  <c r="U18" i="37"/>
  <c r="U18" i="39"/>
  <c r="C55" i="29"/>
  <c r="C56" i="30"/>
  <c r="U19" i="38"/>
  <c r="Y31" i="38"/>
  <c r="Y35" i="38"/>
  <c r="R35" i="41"/>
  <c r="R69" i="40"/>
  <c r="AA29" i="3"/>
  <c r="R103" i="40"/>
  <c r="AB29" i="3"/>
  <c r="AB25" i="3"/>
  <c r="Z32" i="38"/>
  <c r="S32" i="38" s="1"/>
  <c r="Z28" i="38"/>
  <c r="S28" i="38" s="1"/>
  <c r="A55" i="64"/>
  <c r="A53" i="64"/>
  <c r="AM10" i="56"/>
  <c r="A99" i="55"/>
  <c r="A61" i="59"/>
  <c r="AA33" i="3"/>
  <c r="AB23" i="3"/>
  <c r="Y33" i="38"/>
  <c r="O22" i="71"/>
  <c r="AT24" i="37"/>
  <c r="I14" i="71"/>
  <c r="E19" i="32"/>
  <c r="AE19" i="32" s="1"/>
  <c r="AD20" i="75" s="1"/>
  <c r="AP21" i="37"/>
  <c r="A4" i="69"/>
  <c r="B38" i="69" s="1"/>
  <c r="AA5" i="71"/>
  <c r="AA6" i="77"/>
  <c r="Q49" i="3"/>
  <c r="R90" i="40" s="1"/>
  <c r="U49" i="3"/>
  <c r="W49" i="3" s="1"/>
  <c r="C61" i="30"/>
  <c r="C13" i="15"/>
  <c r="E14" i="71"/>
  <c r="AP19" i="37"/>
  <c r="E17" i="32"/>
  <c r="AE17" i="32" s="1"/>
  <c r="AD18" i="75" s="1"/>
  <c r="U20" i="39"/>
  <c r="U21" i="39"/>
  <c r="G37" i="32"/>
  <c r="K37" i="32" s="1"/>
  <c r="U22" i="37"/>
  <c r="W22" i="37" s="1"/>
  <c r="U21" i="38"/>
  <c r="W21" i="38" s="1"/>
  <c r="C58" i="30"/>
  <c r="M22" i="71"/>
  <c r="AT23" i="37"/>
  <c r="A5" i="11"/>
  <c r="A5" i="13"/>
  <c r="Y25" i="37"/>
  <c r="C29" i="14"/>
  <c r="D11" i="14"/>
  <c r="E11" i="14" s="1"/>
  <c r="F18" i="2"/>
  <c r="B6" i="80" s="1"/>
  <c r="E18" i="2"/>
  <c r="N30" i="72" s="1"/>
  <c r="C6" i="71"/>
  <c r="C7" i="71" s="1"/>
  <c r="C8" i="71" s="1"/>
  <c r="A19" i="2"/>
  <c r="M36" i="31"/>
  <c r="M34" i="36"/>
  <c r="A7" i="60"/>
  <c r="A7" i="48"/>
  <c r="A7" i="62"/>
  <c r="A7" i="53"/>
  <c r="A7" i="63"/>
  <c r="A7" i="14"/>
  <c r="A7" i="39"/>
  <c r="A7" i="61"/>
  <c r="A7" i="64"/>
  <c r="A7" i="50"/>
  <c r="C1" i="11"/>
  <c r="A7" i="11"/>
  <c r="A7" i="38"/>
  <c r="A7" i="57"/>
  <c r="A7" i="56"/>
  <c r="A7" i="52"/>
  <c r="A7" i="49"/>
  <c r="A7" i="13"/>
  <c r="A7" i="58"/>
  <c r="A7" i="15"/>
  <c r="A7" i="54"/>
  <c r="A7" i="55"/>
  <c r="A7" i="42"/>
  <c r="A7" i="51"/>
  <c r="A8" i="27"/>
  <c r="A7" i="59"/>
  <c r="A7" i="37"/>
  <c r="C63" i="29"/>
  <c r="M20" i="36"/>
  <c r="K30" i="65"/>
  <c r="K26" i="65"/>
  <c r="AB36" i="3"/>
  <c r="Z31" i="38"/>
  <c r="S31" i="38" s="1"/>
  <c r="A1" i="18"/>
  <c r="A84" i="29"/>
  <c r="D11" i="13"/>
  <c r="E11" i="13" s="1"/>
  <c r="C60" i="13"/>
  <c r="A5" i="3"/>
  <c r="A5" i="14"/>
  <c r="A5" i="15"/>
  <c r="A7" i="3"/>
  <c r="R98" i="40"/>
  <c r="X10" i="71"/>
  <c r="Y9" i="71"/>
  <c r="W20" i="39" l="1"/>
  <c r="W24" i="39"/>
  <c r="W21" i="39"/>
  <c r="W22" i="39"/>
  <c r="F11" i="14"/>
  <c r="E29" i="14"/>
  <c r="F11" i="13"/>
  <c r="E27" i="13"/>
  <c r="C32" i="11"/>
  <c r="C60" i="11" s="1"/>
  <c r="E11" i="11"/>
  <c r="D72" i="11"/>
  <c r="E52" i="29"/>
  <c r="C3" i="71"/>
  <c r="C3" i="77"/>
  <c r="C52" i="29"/>
  <c r="E5" i="71"/>
  <c r="E5" i="77"/>
  <c r="A6" i="80"/>
  <c r="A17" i="76"/>
  <c r="AD17" i="76" s="1"/>
  <c r="A17" i="75"/>
  <c r="A18" i="41"/>
  <c r="A54" i="41" s="1"/>
  <c r="A18" i="44"/>
  <c r="A54" i="44" s="1"/>
  <c r="A19" i="45"/>
  <c r="A18" i="43"/>
  <c r="A54" i="43" s="1"/>
  <c r="A90" i="43" s="1"/>
  <c r="A18" i="40"/>
  <c r="A54" i="40" s="1"/>
  <c r="A90" i="40" s="1"/>
  <c r="A18" i="37"/>
  <c r="AM18" i="37" s="1"/>
  <c r="BA18" i="37" s="1"/>
  <c r="A19" i="42"/>
  <c r="A16" i="32"/>
  <c r="A16" i="33"/>
  <c r="Z16" i="33" s="1"/>
  <c r="A17" i="53"/>
  <c r="A15" i="56"/>
  <c r="A16" i="57"/>
  <c r="T16" i="57" s="1"/>
  <c r="A19" i="29"/>
  <c r="A55" i="29" s="1"/>
  <c r="A16" i="60"/>
  <c r="T16" i="60" s="1"/>
  <c r="A16" i="59"/>
  <c r="T16" i="59" s="1"/>
  <c r="A19" i="30"/>
  <c r="A55" i="30" s="1"/>
  <c r="A17" i="52"/>
  <c r="AP22" i="39"/>
  <c r="AP19" i="39"/>
  <c r="AP24" i="39"/>
  <c r="G14" i="77"/>
  <c r="AP20" i="39"/>
  <c r="AP18" i="39"/>
  <c r="AP21" i="39"/>
  <c r="S19" i="29"/>
  <c r="C14" i="77"/>
  <c r="E17" i="54"/>
  <c r="R18" i="40"/>
  <c r="K77" i="44"/>
  <c r="K77" i="41"/>
  <c r="K77" i="43"/>
  <c r="K113" i="43" s="1"/>
  <c r="K77" i="40"/>
  <c r="K113" i="40" s="1"/>
  <c r="K54" i="43"/>
  <c r="E22" i="77"/>
  <c r="S20" i="30"/>
  <c r="E27" i="54"/>
  <c r="R28" i="40"/>
  <c r="I22" i="77"/>
  <c r="S22" i="30"/>
  <c r="AM90" i="40"/>
  <c r="V90" i="40"/>
  <c r="AM35" i="41"/>
  <c r="E34" i="53"/>
  <c r="I33" i="47" s="1"/>
  <c r="E29" i="54"/>
  <c r="R30" i="40"/>
  <c r="AM63" i="41"/>
  <c r="AM99" i="40"/>
  <c r="AO99" i="40" s="1"/>
  <c r="R38" i="41"/>
  <c r="E25" i="54"/>
  <c r="R26" i="40"/>
  <c r="AM62" i="40" s="1"/>
  <c r="AM64" i="41"/>
  <c r="AM100" i="40"/>
  <c r="AO100" i="40" s="1"/>
  <c r="E54" i="41"/>
  <c r="E30" i="54"/>
  <c r="R31" i="40"/>
  <c r="K54" i="40"/>
  <c r="K90" i="40" s="1"/>
  <c r="E27" i="53"/>
  <c r="I26" i="47" s="1"/>
  <c r="AM28" i="41"/>
  <c r="E32" i="53"/>
  <c r="I31" i="47" s="1"/>
  <c r="AM33" i="41"/>
  <c r="AM62" i="41"/>
  <c r="AM98" i="40"/>
  <c r="AX23" i="37"/>
  <c r="C21" i="33" s="1"/>
  <c r="AM103" i="40"/>
  <c r="AM67" i="41"/>
  <c r="E33" i="54"/>
  <c r="R34" i="40"/>
  <c r="AM105" i="40"/>
  <c r="AO105" i="40" s="1"/>
  <c r="E24" i="52"/>
  <c r="R61" i="41"/>
  <c r="E26" i="54"/>
  <c r="R27" i="40"/>
  <c r="E33" i="53"/>
  <c r="I32" i="47" s="1"/>
  <c r="AM34" i="41"/>
  <c r="M55" i="29"/>
  <c r="E31" i="54"/>
  <c r="R32" i="40"/>
  <c r="AM68" i="40" s="1"/>
  <c r="E24" i="54"/>
  <c r="R25" i="40"/>
  <c r="AT18" i="37"/>
  <c r="C22" i="77"/>
  <c r="S19" i="30"/>
  <c r="U19" i="30" s="1"/>
  <c r="R29" i="41"/>
  <c r="K54" i="41"/>
  <c r="AM26" i="41"/>
  <c r="E25" i="53"/>
  <c r="I24" i="47" s="1"/>
  <c r="S23" i="29"/>
  <c r="K14" i="77"/>
  <c r="E38" i="53"/>
  <c r="I37" i="47" s="1"/>
  <c r="AM39" i="41"/>
  <c r="AM30" i="41"/>
  <c r="E29" i="53"/>
  <c r="I28" i="47" s="1"/>
  <c r="S25" i="29"/>
  <c r="O14" i="77"/>
  <c r="E32" i="54"/>
  <c r="R33" i="40"/>
  <c r="R25" i="41"/>
  <c r="AM104" i="40"/>
  <c r="AM68" i="41"/>
  <c r="E28" i="54"/>
  <c r="R29" i="40"/>
  <c r="K54" i="44"/>
  <c r="E35" i="53"/>
  <c r="I34" i="47" s="1"/>
  <c r="AM36" i="41"/>
  <c r="AP20" i="37"/>
  <c r="AX20" i="37" s="1"/>
  <c r="C18" i="33" s="1"/>
  <c r="S21" i="29"/>
  <c r="M32" i="29"/>
  <c r="M36" i="29"/>
  <c r="M39" i="29"/>
  <c r="M28" i="29"/>
  <c r="G19" i="29"/>
  <c r="AI21" i="32"/>
  <c r="C27" i="13"/>
  <c r="C49" i="13" s="1"/>
  <c r="E72" i="11"/>
  <c r="I30" i="32"/>
  <c r="K30" i="32" s="1"/>
  <c r="AR18" i="37"/>
  <c r="M71" i="30"/>
  <c r="M74" i="30"/>
  <c r="AA25" i="39"/>
  <c r="G23" i="32"/>
  <c r="K23" i="32" s="1"/>
  <c r="I29" i="32"/>
  <c r="M68" i="30"/>
  <c r="K14" i="71"/>
  <c r="O14" i="71"/>
  <c r="AF16" i="3"/>
  <c r="G14" i="71"/>
  <c r="M16" i="3"/>
  <c r="E18" i="32"/>
  <c r="AE18" i="32" s="1"/>
  <c r="AB16" i="3"/>
  <c r="E52" i="30"/>
  <c r="I16" i="30"/>
  <c r="I52" i="30" s="1"/>
  <c r="U16" i="58"/>
  <c r="M63" i="30"/>
  <c r="G34" i="32"/>
  <c r="K34" i="32" s="1"/>
  <c r="I33" i="32"/>
  <c r="M72" i="30"/>
  <c r="G39" i="33"/>
  <c r="AA18" i="39"/>
  <c r="AP24" i="37"/>
  <c r="AX24" i="37" s="1"/>
  <c r="C22" i="33" s="1"/>
  <c r="E22" i="32"/>
  <c r="AE22" i="32" s="1"/>
  <c r="AD23" i="75" s="1"/>
  <c r="AI17" i="32"/>
  <c r="M52" i="29"/>
  <c r="W18" i="38"/>
  <c r="M52" i="30"/>
  <c r="O16" i="30"/>
  <c r="O52" i="30" s="1"/>
  <c r="C22" i="71"/>
  <c r="M75" i="30"/>
  <c r="G26" i="32"/>
  <c r="K26" i="32" s="1"/>
  <c r="E20" i="32"/>
  <c r="AE20" i="32" s="1"/>
  <c r="AD21" i="75" s="1"/>
  <c r="K16" i="29"/>
  <c r="K52" i="29" s="1"/>
  <c r="G52" i="29"/>
  <c r="V13" i="2"/>
  <c r="W13" i="2" s="1"/>
  <c r="X13" i="2" s="1"/>
  <c r="I28" i="32"/>
  <c r="K28" i="32" s="1"/>
  <c r="I39" i="32"/>
  <c r="K39" i="32" s="1"/>
  <c r="C34" i="66"/>
  <c r="AP22" i="37"/>
  <c r="W18" i="39"/>
  <c r="AB18" i="39"/>
  <c r="E22" i="71"/>
  <c r="AT19" i="37"/>
  <c r="AX19" i="37" s="1"/>
  <c r="C17" i="33" s="1"/>
  <c r="C14" i="71"/>
  <c r="W18" i="37"/>
  <c r="E16" i="32"/>
  <c r="AP18" i="37"/>
  <c r="I25" i="32"/>
  <c r="G35" i="32"/>
  <c r="K35" i="32" s="1"/>
  <c r="AA41" i="39"/>
  <c r="AN41" i="39" s="1"/>
  <c r="B19" i="2"/>
  <c r="D29" i="14"/>
  <c r="I22" i="71"/>
  <c r="AT21" i="37"/>
  <c r="AX21" i="37" s="1"/>
  <c r="C19" i="33" s="1"/>
  <c r="G32" i="32"/>
  <c r="K32" i="32" s="1"/>
  <c r="AI19" i="32"/>
  <c r="K34" i="65"/>
  <c r="AA6" i="71"/>
  <c r="AA7" i="77"/>
  <c r="A5" i="69"/>
  <c r="B39" i="69" s="1"/>
  <c r="B65" i="69" s="1"/>
  <c r="B92" i="69"/>
  <c r="A16" i="3"/>
  <c r="D60" i="13"/>
  <c r="M65" i="30"/>
  <c r="I31" i="32"/>
  <c r="K31" i="32" s="1"/>
  <c r="G24" i="32"/>
  <c r="K24" i="32" s="1"/>
  <c r="U73" i="11"/>
  <c r="A3" i="15"/>
  <c r="A3" i="65"/>
  <c r="A3" i="29"/>
  <c r="A3" i="13"/>
  <c r="A3" i="59"/>
  <c r="A3" i="11"/>
  <c r="A3" i="62"/>
  <c r="A3" i="37"/>
  <c r="A3" i="56"/>
  <c r="A3" i="51"/>
  <c r="A3" i="14"/>
  <c r="A3" i="30"/>
  <c r="A3" i="54"/>
  <c r="A3" i="60"/>
  <c r="A3" i="3"/>
  <c r="A3" i="63"/>
  <c r="A3" i="66"/>
  <c r="A3" i="32"/>
  <c r="A3" i="48"/>
  <c r="A3" i="57"/>
  <c r="A3" i="64"/>
  <c r="A3" i="38"/>
  <c r="A3" i="47"/>
  <c r="A3" i="52"/>
  <c r="A3" i="50"/>
  <c r="A3" i="36"/>
  <c r="A3" i="31"/>
  <c r="A3" i="27"/>
  <c r="A3" i="53"/>
  <c r="A3" i="33"/>
  <c r="A3" i="58"/>
  <c r="A3" i="49"/>
  <c r="A3" i="61"/>
  <c r="A3" i="42"/>
  <c r="A3" i="55"/>
  <c r="A3" i="46"/>
  <c r="A3" i="39"/>
  <c r="X11" i="71"/>
  <c r="Y10" i="71"/>
  <c r="U16" i="57"/>
  <c r="M73" i="30"/>
  <c r="G11" i="14" l="1"/>
  <c r="F29" i="14"/>
  <c r="G11" i="13"/>
  <c r="F27" i="13"/>
  <c r="F11" i="11"/>
  <c r="E32" i="11" s="1"/>
  <c r="D19" i="2"/>
  <c r="E6" i="77"/>
  <c r="A16" i="51"/>
  <c r="A16" i="49"/>
  <c r="A16" i="48"/>
  <c r="A16" i="46"/>
  <c r="A16" i="50"/>
  <c r="A16" i="47"/>
  <c r="C11" i="77"/>
  <c r="C19" i="77" s="1"/>
  <c r="E7" i="77"/>
  <c r="E8" i="77" s="1"/>
  <c r="C11" i="71"/>
  <c r="C18" i="71" s="1"/>
  <c r="AM67" i="40"/>
  <c r="AM63" i="40"/>
  <c r="AO63" i="40" s="1"/>
  <c r="E60" i="13"/>
  <c r="D32" i="11"/>
  <c r="D60" i="11" s="1"/>
  <c r="AI18" i="32"/>
  <c r="AD19" i="75"/>
  <c r="E28" i="53"/>
  <c r="I27" i="47" s="1"/>
  <c r="AM29" i="41"/>
  <c r="AM61" i="41"/>
  <c r="AM69" i="40"/>
  <c r="AO69" i="40" s="1"/>
  <c r="AM66" i="40"/>
  <c r="AO66" i="40" s="1"/>
  <c r="AO90" i="40"/>
  <c r="AM54" i="40"/>
  <c r="R54" i="41"/>
  <c r="M19" i="29"/>
  <c r="AM65" i="40"/>
  <c r="AO65" i="40" s="1"/>
  <c r="E24" i="53"/>
  <c r="I23" i="47" s="1"/>
  <c r="AM25" i="41"/>
  <c r="K90" i="43"/>
  <c r="AM70" i="40"/>
  <c r="M18" i="37"/>
  <c r="I16" i="46"/>
  <c r="Z54" i="41"/>
  <c r="E37" i="53"/>
  <c r="I36" i="47" s="1"/>
  <c r="AM38" i="41"/>
  <c r="C26" i="77"/>
  <c r="AM61" i="40"/>
  <c r="AO61" i="40" s="1"/>
  <c r="AA16" i="33"/>
  <c r="C15" i="71"/>
  <c r="I16" i="32"/>
  <c r="AG16" i="32" s="1"/>
  <c r="AK16" i="32" s="1"/>
  <c r="AA25" i="37"/>
  <c r="AN25" i="39" s="1"/>
  <c r="E17" i="52"/>
  <c r="F19" i="2"/>
  <c r="Y13" i="2"/>
  <c r="Z13" i="2" s="1"/>
  <c r="AA13" i="2" s="1"/>
  <c r="AB13" i="2" s="1"/>
  <c r="AC13" i="2" s="1"/>
  <c r="AI22" i="32"/>
  <c r="M37" i="30"/>
  <c r="AI20" i="32"/>
  <c r="AP43" i="37"/>
  <c r="E19" i="2"/>
  <c r="N31" i="72" s="1"/>
  <c r="M35" i="30"/>
  <c r="AX22" i="37"/>
  <c r="C20" i="33" s="1"/>
  <c r="AE16" i="32"/>
  <c r="AD18" i="39"/>
  <c r="AX18" i="37"/>
  <c r="C16" i="33" s="1"/>
  <c r="M32" i="30"/>
  <c r="G29" i="32"/>
  <c r="K29" i="32" s="1"/>
  <c r="M66" i="30"/>
  <c r="G33" i="32"/>
  <c r="K33" i="32" s="1"/>
  <c r="G25" i="32"/>
  <c r="K25" i="32" s="1"/>
  <c r="I27" i="32"/>
  <c r="K27" i="32" s="1"/>
  <c r="M64" i="30"/>
  <c r="B93" i="69"/>
  <c r="A49" i="3"/>
  <c r="AA7" i="71"/>
  <c r="AA8" i="77"/>
  <c r="A6" i="69"/>
  <c r="B40" i="69" s="1"/>
  <c r="B66" i="69" s="1"/>
  <c r="C19" i="2"/>
  <c r="A20" i="2"/>
  <c r="G5" i="77" s="1"/>
  <c r="E6" i="71"/>
  <c r="E7" i="71" s="1"/>
  <c r="E8" i="71" s="1"/>
  <c r="M34" i="30"/>
  <c r="M26" i="30"/>
  <c r="M67" i="30"/>
  <c r="G36" i="32"/>
  <c r="K36" i="32" s="1"/>
  <c r="M62" i="30"/>
  <c r="AV25" i="37"/>
  <c r="AZ25" i="37" s="1"/>
  <c r="G23" i="33" s="1"/>
  <c r="X12" i="71"/>
  <c r="Y11" i="71"/>
  <c r="M70" i="30"/>
  <c r="M33" i="30"/>
  <c r="M69" i="30"/>
  <c r="M31" i="30"/>
  <c r="D27" i="13"/>
  <c r="D49" i="13" s="1"/>
  <c r="G29" i="14" l="1"/>
  <c r="H11" i="14"/>
  <c r="H11" i="13"/>
  <c r="G27" i="13"/>
  <c r="G11" i="11"/>
  <c r="F32" i="11"/>
  <c r="C19" i="71"/>
  <c r="C27" i="71" s="1"/>
  <c r="B7" i="80"/>
  <c r="E3" i="71"/>
  <c r="E3" i="77"/>
  <c r="A7" i="80"/>
  <c r="A18" i="75"/>
  <c r="A18" i="76"/>
  <c r="AD18" i="76" s="1"/>
  <c r="A17" i="59"/>
  <c r="T17" i="59" s="1"/>
  <c r="A19" i="44"/>
  <c r="A55" i="44" s="1"/>
  <c r="A20" i="45"/>
  <c r="A17" i="57"/>
  <c r="T17" i="57" s="1"/>
  <c r="A17" i="58"/>
  <c r="T17" i="58" s="1"/>
  <c r="A16" i="56"/>
  <c r="A18" i="54"/>
  <c r="A17" i="60"/>
  <c r="T17" i="60" s="1"/>
  <c r="A19" i="41"/>
  <c r="A55" i="41" s="1"/>
  <c r="A19" i="40"/>
  <c r="A55" i="40" s="1"/>
  <c r="A91" i="40" s="1"/>
  <c r="A19" i="43"/>
  <c r="A55" i="43" s="1"/>
  <c r="A91" i="43" s="1"/>
  <c r="C18" i="77"/>
  <c r="C27" i="77" s="1"/>
  <c r="C28" i="77" s="1"/>
  <c r="AB18" i="37"/>
  <c r="AM18" i="39"/>
  <c r="AM64" i="40"/>
  <c r="AO64" i="40" s="1"/>
  <c r="G16" i="32"/>
  <c r="K16" i="32" s="1"/>
  <c r="AA18" i="37"/>
  <c r="AQ18" i="37"/>
  <c r="E60" i="11"/>
  <c r="F72" i="11"/>
  <c r="F49" i="13"/>
  <c r="F60" i="13"/>
  <c r="E49" i="13"/>
  <c r="AI16" i="32"/>
  <c r="AD17" i="75"/>
  <c r="AO54" i="40"/>
  <c r="AM54" i="41"/>
  <c r="BB25" i="37"/>
  <c r="C26" i="71"/>
  <c r="G72" i="11"/>
  <c r="M28" i="30"/>
  <c r="A17" i="3"/>
  <c r="A50" i="3" s="1"/>
  <c r="AA34" i="38"/>
  <c r="M30" i="30"/>
  <c r="G5" i="71"/>
  <c r="B20" i="2"/>
  <c r="A7" i="69"/>
  <c r="B41" i="69" s="1"/>
  <c r="B67" i="69" s="1"/>
  <c r="AA8" i="71"/>
  <c r="AA9" i="77"/>
  <c r="A20" i="42"/>
  <c r="A17" i="32"/>
  <c r="A20" i="30"/>
  <c r="A56" i="30" s="1"/>
  <c r="A20" i="29"/>
  <c r="A56" i="29" s="1"/>
  <c r="A19" i="38"/>
  <c r="A19" i="37"/>
  <c r="AM19" i="37" s="1"/>
  <c r="BA19" i="37" s="1"/>
  <c r="A19" i="39"/>
  <c r="A18" i="52"/>
  <c r="A17" i="46" s="1"/>
  <c r="A17" i="33"/>
  <c r="Z17" i="33" s="1"/>
  <c r="A18" i="53"/>
  <c r="B94" i="69"/>
  <c r="AA30" i="38"/>
  <c r="U30" i="38"/>
  <c r="W30" i="38" s="1"/>
  <c r="X13" i="71"/>
  <c r="Y12" i="71"/>
  <c r="M76" i="30"/>
  <c r="H29" i="14" l="1"/>
  <c r="I11" i="14"/>
  <c r="I11" i="13"/>
  <c r="H27" i="13"/>
  <c r="H11" i="11"/>
  <c r="G32" i="11"/>
  <c r="C28" i="71"/>
  <c r="E11" i="71"/>
  <c r="E20" i="2"/>
  <c r="N32" i="72" s="1"/>
  <c r="G6" i="77"/>
  <c r="G7" i="77" s="1"/>
  <c r="G8" i="77" s="1"/>
  <c r="E11" i="77"/>
  <c r="M16" i="32"/>
  <c r="O16" i="32" s="1"/>
  <c r="S16" i="32" s="1"/>
  <c r="C17" i="75" s="1"/>
  <c r="AN18" i="39"/>
  <c r="AK18" i="37"/>
  <c r="AO18" i="39"/>
  <c r="AE18" i="37"/>
  <c r="AF16" i="32"/>
  <c r="AJ16" i="32" s="1"/>
  <c r="G60" i="13"/>
  <c r="AT30" i="37"/>
  <c r="AX30" i="37" s="1"/>
  <c r="C28" i="33" s="1"/>
  <c r="K28" i="33" s="1"/>
  <c r="M28" i="33" s="1"/>
  <c r="C29" i="76" s="1"/>
  <c r="S31" i="30"/>
  <c r="F60" i="11"/>
  <c r="D20" i="2"/>
  <c r="F20" i="2"/>
  <c r="B8" i="80" s="1"/>
  <c r="AA29" i="38"/>
  <c r="U29" i="38"/>
  <c r="W29" i="38" s="1"/>
  <c r="A18" i="3"/>
  <c r="AA10" i="77"/>
  <c r="A8" i="69"/>
  <c r="B42" i="69" s="1"/>
  <c r="B68" i="69" s="1"/>
  <c r="AA9" i="71"/>
  <c r="A17" i="51"/>
  <c r="A17" i="49"/>
  <c r="A17" i="47"/>
  <c r="A17" i="48"/>
  <c r="A17" i="50"/>
  <c r="B95" i="69"/>
  <c r="A21" i="2"/>
  <c r="I5" i="77" s="1"/>
  <c r="C20" i="2"/>
  <c r="G6" i="71"/>
  <c r="G7" i="71" s="1"/>
  <c r="G8" i="71" s="1"/>
  <c r="C65" i="13"/>
  <c r="M29" i="30"/>
  <c r="X14" i="71"/>
  <c r="Y13" i="71"/>
  <c r="M36" i="30"/>
  <c r="AB30" i="38"/>
  <c r="AH30" i="38" s="1"/>
  <c r="AQ18" i="39" l="1"/>
  <c r="J11" i="14"/>
  <c r="I29" i="14"/>
  <c r="J11" i="13"/>
  <c r="I27" i="13" s="1"/>
  <c r="I11" i="11"/>
  <c r="H32" i="11" s="1"/>
  <c r="G3" i="71"/>
  <c r="G11" i="71" s="1"/>
  <c r="G18" i="71" s="1"/>
  <c r="G3" i="77"/>
  <c r="A8" i="80"/>
  <c r="A19" i="75"/>
  <c r="A19" i="76"/>
  <c r="AD19" i="76" s="1"/>
  <c r="A19" i="54"/>
  <c r="A17" i="56"/>
  <c r="A18" i="57"/>
  <c r="T18" i="57" s="1"/>
  <c r="A18" i="58"/>
  <c r="T18" i="58" s="1"/>
  <c r="A20" i="41"/>
  <c r="A56" i="41" s="1"/>
  <c r="A20" i="44"/>
  <c r="A56" i="44" s="1"/>
  <c r="A18" i="59"/>
  <c r="T18" i="59" s="1"/>
  <c r="A18" i="60"/>
  <c r="T18" i="60" s="1"/>
  <c r="A21" i="45"/>
  <c r="A20" i="43"/>
  <c r="A56" i="43" s="1"/>
  <c r="A92" i="43" s="1"/>
  <c r="A20" i="40"/>
  <c r="A56" i="40" s="1"/>
  <c r="A92" i="40" s="1"/>
  <c r="E18" i="71"/>
  <c r="E18" i="77"/>
  <c r="H72" i="11"/>
  <c r="G60" i="11"/>
  <c r="H49" i="13"/>
  <c r="H60" i="13"/>
  <c r="G49" i="13"/>
  <c r="S30" i="30"/>
  <c r="AT29" i="37"/>
  <c r="AX29" i="37" s="1"/>
  <c r="C27" i="33" s="1"/>
  <c r="K27" i="33" s="1"/>
  <c r="M27" i="33" s="1"/>
  <c r="C28" i="76" s="1"/>
  <c r="I72" i="11"/>
  <c r="AB29" i="38"/>
  <c r="AH29" i="38" s="1"/>
  <c r="AA11" i="77"/>
  <c r="A9" i="69"/>
  <c r="B43" i="69" s="1"/>
  <c r="B69" i="69" s="1"/>
  <c r="AA10" i="71"/>
  <c r="B96" i="69"/>
  <c r="A21" i="29"/>
  <c r="A57" i="29" s="1"/>
  <c r="A18" i="32"/>
  <c r="A18" i="33"/>
  <c r="Z18" i="33" s="1"/>
  <c r="A20" i="38"/>
  <c r="A20" i="39"/>
  <c r="A20" i="37"/>
  <c r="AM20" i="37" s="1"/>
  <c r="BA20" i="37" s="1"/>
  <c r="A19" i="52"/>
  <c r="A18" i="46" s="1"/>
  <c r="A21" i="42"/>
  <c r="A21" i="30"/>
  <c r="A57" i="30" s="1"/>
  <c r="A19" i="53"/>
  <c r="A51" i="3"/>
  <c r="B21" i="2"/>
  <c r="I5" i="71"/>
  <c r="AD30" i="38"/>
  <c r="AC30" i="38"/>
  <c r="X15" i="71"/>
  <c r="Y14" i="71"/>
  <c r="AA28" i="38"/>
  <c r="U28" i="38"/>
  <c r="W28" i="38" s="1"/>
  <c r="J29" i="14" l="1"/>
  <c r="K11" i="14"/>
  <c r="K11" i="13"/>
  <c r="J27" i="13"/>
  <c r="J11" i="11"/>
  <c r="I32" i="11"/>
  <c r="I60" i="11" s="1"/>
  <c r="H60" i="11"/>
  <c r="G11" i="77"/>
  <c r="E21" i="2"/>
  <c r="N33" i="72" s="1"/>
  <c r="I6" i="77"/>
  <c r="I7" i="77" s="1"/>
  <c r="I8" i="77" s="1"/>
  <c r="I49" i="13"/>
  <c r="I60" i="13"/>
  <c r="AT28" i="37"/>
  <c r="AX28" i="37" s="1"/>
  <c r="C26" i="33" s="1"/>
  <c r="K26" i="33" s="1"/>
  <c r="M26" i="33" s="1"/>
  <c r="C27" i="76" s="1"/>
  <c r="S29" i="30"/>
  <c r="S55" i="30"/>
  <c r="S55" i="29"/>
  <c r="U19" i="29"/>
  <c r="AB19" i="29" s="1"/>
  <c r="J72" i="11"/>
  <c r="D21" i="2"/>
  <c r="AC29" i="38"/>
  <c r="AD29" i="38"/>
  <c r="AA11" i="71"/>
  <c r="AA12" i="77"/>
  <c r="A10" i="69"/>
  <c r="B44" i="69" s="1"/>
  <c r="B70" i="69" s="1"/>
  <c r="A18" i="47"/>
  <c r="A18" i="49"/>
  <c r="A18" i="48"/>
  <c r="A18" i="50"/>
  <c r="A18" i="51"/>
  <c r="F21" i="2"/>
  <c r="B9" i="80" s="1"/>
  <c r="C21" i="2"/>
  <c r="A22" i="2"/>
  <c r="K5" i="77" s="1"/>
  <c r="I6" i="71"/>
  <c r="I7" i="71" s="1"/>
  <c r="I8" i="71" s="1"/>
  <c r="B97" i="69"/>
  <c r="AB28" i="38"/>
  <c r="AH28" i="38" s="1"/>
  <c r="X16" i="71"/>
  <c r="Y15" i="71"/>
  <c r="K29" i="14" l="1"/>
  <c r="L11" i="14"/>
  <c r="L11" i="13"/>
  <c r="K27" i="13"/>
  <c r="K11" i="11"/>
  <c r="J32" i="11"/>
  <c r="J60" i="11" s="1"/>
  <c r="A19" i="3"/>
  <c r="I3" i="71"/>
  <c r="I11" i="71" s="1"/>
  <c r="I3" i="77"/>
  <c r="G18" i="77"/>
  <c r="A9" i="80"/>
  <c r="A20" i="75"/>
  <c r="A20" i="76"/>
  <c r="AD20" i="76" s="1"/>
  <c r="A19" i="59"/>
  <c r="T19" i="59" s="1"/>
  <c r="A19" i="60"/>
  <c r="T19" i="60" s="1"/>
  <c r="A22" i="45"/>
  <c r="A20" i="54"/>
  <c r="A21" i="41"/>
  <c r="A57" i="41" s="1"/>
  <c r="A18" i="56"/>
  <c r="A21" i="44"/>
  <c r="A57" i="44" s="1"/>
  <c r="A19" i="57"/>
  <c r="T19" i="57" s="1"/>
  <c r="A19" i="58"/>
  <c r="T19" i="58" s="1"/>
  <c r="A21" i="40"/>
  <c r="A57" i="40" s="1"/>
  <c r="A93" i="40" s="1"/>
  <c r="A21" i="43"/>
  <c r="A57" i="43" s="1"/>
  <c r="A93" i="43" s="1"/>
  <c r="J49" i="13"/>
  <c r="J60" i="13"/>
  <c r="U55" i="30"/>
  <c r="AF18" i="38"/>
  <c r="U55" i="29"/>
  <c r="AG18" i="37"/>
  <c r="S56" i="29"/>
  <c r="U20" i="29"/>
  <c r="AB20" i="29" s="1"/>
  <c r="K72" i="11"/>
  <c r="B98" i="69"/>
  <c r="K5" i="71"/>
  <c r="B22" i="2"/>
  <c r="A52" i="3"/>
  <c r="AA13" i="77"/>
  <c r="AA12" i="71"/>
  <c r="A11" i="69"/>
  <c r="B45" i="69" s="1"/>
  <c r="A19" i="32"/>
  <c r="A22" i="29"/>
  <c r="A58" i="29" s="1"/>
  <c r="A22" i="42"/>
  <c r="A19" i="33"/>
  <c r="Z19" i="33" s="1"/>
  <c r="A21" i="37"/>
  <c r="AM21" i="37" s="1"/>
  <c r="BA21" i="37" s="1"/>
  <c r="A22" i="30"/>
  <c r="A20" i="52"/>
  <c r="A19" i="46" s="1"/>
  <c r="A21" i="38"/>
  <c r="A21" i="39"/>
  <c r="A20" i="53"/>
  <c r="AD28" i="38"/>
  <c r="AC28" i="38"/>
  <c r="X17" i="71"/>
  <c r="Y16" i="71"/>
  <c r="L29" i="14" l="1"/>
  <c r="M11" i="14"/>
  <c r="M11" i="13"/>
  <c r="M60" i="13" s="1"/>
  <c r="L27" i="13"/>
  <c r="L11" i="11"/>
  <c r="K32" i="11"/>
  <c r="K60" i="11" s="1"/>
  <c r="E22" i="2"/>
  <c r="N34" i="72" s="1"/>
  <c r="K6" i="77"/>
  <c r="K7" i="77" s="1"/>
  <c r="K8" i="77" s="1"/>
  <c r="I11" i="77"/>
  <c r="K49" i="13"/>
  <c r="K60" i="13"/>
  <c r="S56" i="30"/>
  <c r="U20" i="30"/>
  <c r="U56" i="29"/>
  <c r="AG19" i="37"/>
  <c r="L72" i="11"/>
  <c r="A58" i="30"/>
  <c r="I18" i="71"/>
  <c r="D22" i="2"/>
  <c r="F22" i="2"/>
  <c r="B10" i="80" s="1"/>
  <c r="A20" i="3"/>
  <c r="AA14" i="77"/>
  <c r="A12" i="69"/>
  <c r="B46" i="69" s="1"/>
  <c r="B72" i="69" s="1"/>
  <c r="AA13" i="71"/>
  <c r="A19" i="50"/>
  <c r="A19" i="49"/>
  <c r="A19" i="47"/>
  <c r="A19" i="48"/>
  <c r="A19" i="51"/>
  <c r="B99" i="69"/>
  <c r="A23" i="2"/>
  <c r="M5" i="77" s="1"/>
  <c r="C22" i="2"/>
  <c r="K6" i="71"/>
  <c r="K7" i="71" s="1"/>
  <c r="K8" i="71" s="1"/>
  <c r="B71" i="69"/>
  <c r="X18" i="71"/>
  <c r="Y17" i="71"/>
  <c r="N11" i="14" l="1"/>
  <c r="N29" i="14" s="1"/>
  <c r="M29" i="14"/>
  <c r="N11" i="13"/>
  <c r="M27" i="13"/>
  <c r="M49" i="13" s="1"/>
  <c r="M11" i="11"/>
  <c r="L32" i="11"/>
  <c r="L60" i="11" s="1"/>
  <c r="A10" i="80"/>
  <c r="A21" i="76"/>
  <c r="AD21" i="76" s="1"/>
  <c r="A21" i="75"/>
  <c r="A19" i="56"/>
  <c r="A21" i="54"/>
  <c r="A20" i="57"/>
  <c r="T20" i="57" s="1"/>
  <c r="A20" i="58"/>
  <c r="T20" i="58" s="1"/>
  <c r="A20" i="60"/>
  <c r="T20" i="60" s="1"/>
  <c r="A22" i="41"/>
  <c r="A58" i="41" s="1"/>
  <c r="A23" i="45"/>
  <c r="A20" i="59"/>
  <c r="T20" i="59" s="1"/>
  <c r="A22" i="44"/>
  <c r="A58" i="44" s="1"/>
  <c r="A22" i="40"/>
  <c r="A58" i="40" s="1"/>
  <c r="A94" i="40" s="1"/>
  <c r="A22" i="43"/>
  <c r="A58" i="43" s="1"/>
  <c r="A94" i="43" s="1"/>
  <c r="K3" i="71"/>
  <c r="K3" i="77"/>
  <c r="I18" i="77"/>
  <c r="L49" i="13"/>
  <c r="L60" i="13"/>
  <c r="AF19" i="38"/>
  <c r="U56" i="30"/>
  <c r="U21" i="29"/>
  <c r="AB21" i="29" s="1"/>
  <c r="S57" i="29"/>
  <c r="M72" i="11"/>
  <c r="A13" i="69"/>
  <c r="B47" i="69" s="1"/>
  <c r="B101" i="69" s="1"/>
  <c r="AA14" i="71"/>
  <c r="AA15" i="77"/>
  <c r="A53" i="3"/>
  <c r="A22" i="39"/>
  <c r="A23" i="42"/>
  <c r="A23" i="30"/>
  <c r="A23" i="29"/>
  <c r="A59" i="29" s="1"/>
  <c r="A20" i="32"/>
  <c r="A21" i="52"/>
  <c r="A20" i="46" s="1"/>
  <c r="A22" i="37"/>
  <c r="AM22" i="37" s="1"/>
  <c r="BA22" i="37" s="1"/>
  <c r="A21" i="53"/>
  <c r="A22" i="38"/>
  <c r="A20" i="33"/>
  <c r="Z20" i="33" s="1"/>
  <c r="B100" i="69"/>
  <c r="B23" i="2"/>
  <c r="M6" i="77" s="1"/>
  <c r="M7" i="77" s="1"/>
  <c r="M8" i="77" s="1"/>
  <c r="M5" i="71"/>
  <c r="X19" i="71"/>
  <c r="Y18" i="71"/>
  <c r="N27" i="13" l="1"/>
  <c r="N49" i="13" s="1"/>
  <c r="N60" i="13"/>
  <c r="N11" i="11"/>
  <c r="M32" i="11" s="1"/>
  <c r="M60" i="11" s="1"/>
  <c r="K11" i="71"/>
  <c r="K11" i="77"/>
  <c r="U21" i="30"/>
  <c r="S57" i="30"/>
  <c r="AG20" i="37"/>
  <c r="U57" i="29"/>
  <c r="N72" i="11"/>
  <c r="A59" i="30"/>
  <c r="D23" i="2"/>
  <c r="M6" i="71"/>
  <c r="M7" i="71" s="1"/>
  <c r="M8" i="71" s="1"/>
  <c r="A24" i="2"/>
  <c r="O5" i="77" s="1"/>
  <c r="C23" i="2"/>
  <c r="E23" i="2"/>
  <c r="N35" i="72" s="1"/>
  <c r="A20" i="47"/>
  <c r="A20" i="50"/>
  <c r="A20" i="49"/>
  <c r="A20" i="51"/>
  <c r="A20" i="48"/>
  <c r="F23" i="2"/>
  <c r="B11" i="80" s="1"/>
  <c r="B73" i="69"/>
  <c r="AA16" i="77"/>
  <c r="A14" i="69"/>
  <c r="B48" i="69" s="1"/>
  <c r="AA15" i="71"/>
  <c r="X20" i="71"/>
  <c r="Y19" i="71"/>
  <c r="O11" i="11" l="1"/>
  <c r="N32" i="11"/>
  <c r="N60" i="11" s="1"/>
  <c r="K18" i="71"/>
  <c r="A11" i="80"/>
  <c r="A22" i="75"/>
  <c r="A22" i="76"/>
  <c r="AD22" i="76" s="1"/>
  <c r="A23" i="44"/>
  <c r="A59" i="44" s="1"/>
  <c r="A24" i="45"/>
  <c r="A21" i="57"/>
  <c r="T21" i="57" s="1"/>
  <c r="A21" i="58"/>
  <c r="T21" i="58" s="1"/>
  <c r="A21" i="60"/>
  <c r="T21" i="60" s="1"/>
  <c r="A20" i="56"/>
  <c r="A21" i="59"/>
  <c r="T21" i="59" s="1"/>
  <c r="A22" i="54"/>
  <c r="A23" i="41"/>
  <c r="A59" i="41" s="1"/>
  <c r="A23" i="40"/>
  <c r="A59" i="40" s="1"/>
  <c r="A95" i="40" s="1"/>
  <c r="A23" i="43"/>
  <c r="A59" i="43" s="1"/>
  <c r="A95" i="43" s="1"/>
  <c r="M3" i="71"/>
  <c r="M11" i="71" s="1"/>
  <c r="M3" i="77"/>
  <c r="K18" i="77"/>
  <c r="AF20" i="38"/>
  <c r="U57" i="30"/>
  <c r="O72" i="11"/>
  <c r="B74" i="69"/>
  <c r="B102" i="69"/>
  <c r="A15" i="69"/>
  <c r="B49" i="69" s="1"/>
  <c r="B103" i="69" s="1"/>
  <c r="AA16" i="71"/>
  <c r="AA17" i="77"/>
  <c r="A22" i="53"/>
  <c r="A24" i="29"/>
  <c r="A60" i="29" s="1"/>
  <c r="A23" i="38"/>
  <c r="A21" i="32"/>
  <c r="A24" i="42"/>
  <c r="A23" i="39"/>
  <c r="A23" i="37"/>
  <c r="AM23" i="37" s="1"/>
  <c r="BA23" i="37" s="1"/>
  <c r="A24" i="30"/>
  <c r="A22" i="52"/>
  <c r="A21" i="46" s="1"/>
  <c r="A21" i="33"/>
  <c r="Z21" i="33" s="1"/>
  <c r="A21" i="3"/>
  <c r="B24" i="2"/>
  <c r="O5" i="71"/>
  <c r="X21" i="71"/>
  <c r="Y20" i="71"/>
  <c r="P11" i="11" l="1"/>
  <c r="O32" i="11"/>
  <c r="O60" i="11" s="1"/>
  <c r="F24" i="2"/>
  <c r="B12" i="80" s="1"/>
  <c r="O6" i="77"/>
  <c r="O7" i="77" s="1"/>
  <c r="O8" i="77" s="1"/>
  <c r="Q7" i="77" s="1"/>
  <c r="Q8" i="77" s="1"/>
  <c r="Q9" i="77" s="1"/>
  <c r="Q10" i="77" s="1"/>
  <c r="Q11" i="77" s="1"/>
  <c r="Q12" i="77" s="1"/>
  <c r="Q13" i="77" s="1"/>
  <c r="Q14" i="77" s="1"/>
  <c r="Q15" i="77" s="1"/>
  <c r="Q16" i="77" s="1"/>
  <c r="Q17" i="77" s="1"/>
  <c r="Q18" i="77" s="1"/>
  <c r="Q19" i="77" s="1"/>
  <c r="Q20" i="77" s="1"/>
  <c r="Q21" i="77" s="1"/>
  <c r="Q22" i="77" s="1"/>
  <c r="Q23" i="77" s="1"/>
  <c r="Q24" i="77" s="1"/>
  <c r="Q25" i="77" s="1"/>
  <c r="Q26" i="77" s="1"/>
  <c r="Q27" i="77" s="1"/>
  <c r="Q28" i="77" s="1"/>
  <c r="Q29" i="77" s="1"/>
  <c r="Q30" i="77" s="1"/>
  <c r="Q31" i="77" s="1"/>
  <c r="Q32" i="77" s="1"/>
  <c r="Q33" i="77" s="1"/>
  <c r="Q34" i="77" s="1"/>
  <c r="Q35" i="77" s="1"/>
  <c r="Q36" i="77" s="1"/>
  <c r="Q37" i="77" s="1"/>
  <c r="Q38" i="77" s="1"/>
  <c r="Q39" i="77" s="1"/>
  <c r="Q40" i="77" s="1"/>
  <c r="Q41" i="77" s="1"/>
  <c r="Q42" i="77" s="1"/>
  <c r="Q43" i="77" s="1"/>
  <c r="Q44" i="77" s="1"/>
  <c r="M11" i="77"/>
  <c r="M18" i="77" s="1"/>
  <c r="U22" i="30"/>
  <c r="S58" i="30"/>
  <c r="S58" i="29"/>
  <c r="U22" i="29"/>
  <c r="AB22" i="29" s="1"/>
  <c r="P72" i="11"/>
  <c r="A60" i="30"/>
  <c r="D24" i="2"/>
  <c r="A21" i="47"/>
  <c r="A21" i="50"/>
  <c r="A21" i="51"/>
  <c r="A21" i="49"/>
  <c r="A21" i="48"/>
  <c r="M18" i="71"/>
  <c r="B75" i="69"/>
  <c r="E24" i="2"/>
  <c r="N36" i="72" s="1"/>
  <c r="C24" i="2"/>
  <c r="A25" i="2"/>
  <c r="O6" i="71"/>
  <c r="O7" i="71" s="1"/>
  <c r="O8" i="71" s="1"/>
  <c r="Q7" i="71" s="1"/>
  <c r="Q8" i="71" s="1"/>
  <c r="Q9" i="71" s="1"/>
  <c r="Q10" i="71" s="1"/>
  <c r="Q11" i="71" s="1"/>
  <c r="Q12" i="71" s="1"/>
  <c r="Q13" i="71" s="1"/>
  <c r="Q14" i="71" s="1"/>
  <c r="Q15" i="71" s="1"/>
  <c r="Q16" i="71" s="1"/>
  <c r="Q17" i="71" s="1"/>
  <c r="Q18" i="71" s="1"/>
  <c r="Q19" i="71" s="1"/>
  <c r="Q20" i="71" s="1"/>
  <c r="Q21" i="71" s="1"/>
  <c r="Q22" i="71" s="1"/>
  <c r="Q23" i="71" s="1"/>
  <c r="Q24" i="71" s="1"/>
  <c r="Q25" i="71" s="1"/>
  <c r="Q26" i="71" s="1"/>
  <c r="Q27" i="71" s="1"/>
  <c r="Q28" i="71" s="1"/>
  <c r="Q29" i="71" s="1"/>
  <c r="Q30" i="71" s="1"/>
  <c r="Q31" i="71" s="1"/>
  <c r="Q32" i="71" s="1"/>
  <c r="Q33" i="71" s="1"/>
  <c r="Q34" i="71" s="1"/>
  <c r="Q35" i="71" s="1"/>
  <c r="Q36" i="71" s="1"/>
  <c r="Q37" i="71" s="1"/>
  <c r="Q38" i="71" s="1"/>
  <c r="Q39" i="71" s="1"/>
  <c r="Q40" i="71" s="1"/>
  <c r="Q41" i="71" s="1"/>
  <c r="Q42" i="71" s="1"/>
  <c r="Q43" i="71" s="1"/>
  <c r="Q44" i="71" s="1"/>
  <c r="A54" i="3"/>
  <c r="AA18" i="77"/>
  <c r="AA17" i="71"/>
  <c r="A16" i="69"/>
  <c r="B50" i="69" s="1"/>
  <c r="X22" i="71"/>
  <c r="Y21" i="71"/>
  <c r="Q11" i="11" l="1"/>
  <c r="P32" i="11"/>
  <c r="P60" i="11" s="1"/>
  <c r="A12" i="80"/>
  <c r="A23" i="75"/>
  <c r="A23" i="76"/>
  <c r="AD23" i="76" s="1"/>
  <c r="A23" i="54"/>
  <c r="A21" i="56"/>
  <c r="A22" i="57"/>
  <c r="T22" i="57" s="1"/>
  <c r="A22" i="59"/>
  <c r="T22" i="59" s="1"/>
  <c r="A22" i="60"/>
  <c r="T22" i="60" s="1"/>
  <c r="A24" i="41"/>
  <c r="A60" i="41" s="1"/>
  <c r="A24" i="44"/>
  <c r="A60" i="44" s="1"/>
  <c r="A25" i="45"/>
  <c r="A22" i="58"/>
  <c r="T22" i="58" s="1"/>
  <c r="A24" i="43"/>
  <c r="A60" i="43" s="1"/>
  <c r="A96" i="43" s="1"/>
  <c r="A24" i="40"/>
  <c r="A60" i="40" s="1"/>
  <c r="A96" i="40" s="1"/>
  <c r="Q3" i="77"/>
  <c r="O3" i="77"/>
  <c r="U23" i="30"/>
  <c r="S59" i="30"/>
  <c r="AF21" i="38"/>
  <c r="U58" i="30"/>
  <c r="U58" i="29"/>
  <c r="AG21" i="37"/>
  <c r="U23" i="29"/>
  <c r="AB23" i="29" s="1"/>
  <c r="S59" i="29"/>
  <c r="Q72" i="11"/>
  <c r="B25" i="2"/>
  <c r="F25" i="2" s="1"/>
  <c r="B13" i="80" s="1"/>
  <c r="A25" i="42"/>
  <c r="A25" i="29"/>
  <c r="A61" i="29" s="1"/>
  <c r="A25" i="30"/>
  <c r="A23" i="53"/>
  <c r="A22" i="33"/>
  <c r="Z22" i="33" s="1"/>
  <c r="A24" i="37"/>
  <c r="AM24" i="37" s="1"/>
  <c r="BA24" i="37" s="1"/>
  <c r="A22" i="32"/>
  <c r="A24" i="38"/>
  <c r="A23" i="52"/>
  <c r="A22" i="46" s="1"/>
  <c r="A24" i="39"/>
  <c r="Q3" i="71"/>
  <c r="O3" i="71"/>
  <c r="AA18" i="71"/>
  <c r="A17" i="69"/>
  <c r="B51" i="69" s="1"/>
  <c r="A22" i="3"/>
  <c r="B76" i="69"/>
  <c r="B104" i="69"/>
  <c r="X23" i="71"/>
  <c r="Y22" i="71"/>
  <c r="R11" i="11" l="1"/>
  <c r="O11" i="77"/>
  <c r="O18" i="77" s="1"/>
  <c r="AA19" i="77"/>
  <c r="AF22" i="38"/>
  <c r="U59" i="30"/>
  <c r="U59" i="29"/>
  <c r="AG22" i="37"/>
  <c r="A61" i="30"/>
  <c r="B105" i="69"/>
  <c r="E25" i="2"/>
  <c r="N37" i="72" s="1"/>
  <c r="C25" i="2"/>
  <c r="A26" i="2"/>
  <c r="B77" i="69"/>
  <c r="Q25" i="2"/>
  <c r="A55" i="3"/>
  <c r="AA19" i="71"/>
  <c r="A18" i="69"/>
  <c r="B52" i="69" s="1"/>
  <c r="B78" i="69" s="1"/>
  <c r="O11" i="71"/>
  <c r="A22" i="50"/>
  <c r="A22" i="51"/>
  <c r="A22" i="47"/>
  <c r="A22" i="48"/>
  <c r="A22" i="49"/>
  <c r="D25" i="2"/>
  <c r="X24" i="71"/>
  <c r="Y23" i="71"/>
  <c r="AA20" i="77" l="1"/>
  <c r="Q32" i="11"/>
  <c r="Q60" i="11" s="1"/>
  <c r="R72" i="11"/>
  <c r="S11" i="11"/>
  <c r="A13" i="80"/>
  <c r="A24" i="75"/>
  <c r="A24" i="76"/>
  <c r="A26" i="45"/>
  <c r="A24" i="54"/>
  <c r="A25" i="41"/>
  <c r="A61" i="41" s="1"/>
  <c r="A22" i="56"/>
  <c r="A23" i="58"/>
  <c r="T23" i="58" s="1"/>
  <c r="A23" i="60"/>
  <c r="T23" i="60" s="1"/>
  <c r="A25" i="44"/>
  <c r="A61" i="44" s="1"/>
  <c r="A23" i="57"/>
  <c r="T23" i="57" s="1"/>
  <c r="A23" i="59"/>
  <c r="T23" i="59" s="1"/>
  <c r="A25" i="40"/>
  <c r="A61" i="40" s="1"/>
  <c r="A97" i="40" s="1"/>
  <c r="A25" i="43"/>
  <c r="A61" i="43" s="1"/>
  <c r="A97" i="43" s="1"/>
  <c r="AA25" i="2"/>
  <c r="B106" i="69"/>
  <c r="B26" i="2"/>
  <c r="E26" i="2" s="1"/>
  <c r="N38" i="72" s="1"/>
  <c r="A25" i="39"/>
  <c r="A16" i="66"/>
  <c r="L13" i="55" s="1"/>
  <c r="L41" i="55" s="1"/>
  <c r="L70" i="55" s="1"/>
  <c r="A16" i="65"/>
  <c r="A26" i="30"/>
  <c r="A25" i="37"/>
  <c r="AM25" i="37" s="1"/>
  <c r="BA25" i="37" s="1"/>
  <c r="A24" i="53"/>
  <c r="A23" i="32"/>
  <c r="A16" i="62"/>
  <c r="V16" i="62" s="1"/>
  <c r="A26" i="29"/>
  <c r="A62" i="29" s="1"/>
  <c r="A25" i="38"/>
  <c r="A23" i="33"/>
  <c r="A16" i="64"/>
  <c r="V16" i="64" s="1"/>
  <c r="A26" i="42"/>
  <c r="A16" i="63"/>
  <c r="V16" i="63" s="1"/>
  <c r="A24" i="52"/>
  <c r="A23" i="46" s="1"/>
  <c r="A16" i="61"/>
  <c r="V16" i="61" s="1"/>
  <c r="O18" i="71"/>
  <c r="AA20" i="71"/>
  <c r="A19" i="69"/>
  <c r="B53" i="69" s="1"/>
  <c r="B107" i="69" s="1"/>
  <c r="AA21" i="77"/>
  <c r="A23" i="3"/>
  <c r="A13" i="11"/>
  <c r="A34" i="11" s="1"/>
  <c r="X25" i="71"/>
  <c r="Y24" i="71"/>
  <c r="R32" i="11" l="1"/>
  <c r="R60" i="11" s="1"/>
  <c r="S72" i="11"/>
  <c r="S32" i="11"/>
  <c r="S60" i="11" s="1"/>
  <c r="S23" i="33"/>
  <c r="Y23" i="32"/>
  <c r="U24" i="30"/>
  <c r="S60" i="30"/>
  <c r="S60" i="29"/>
  <c r="U24" i="29"/>
  <c r="AB24" i="29" s="1"/>
  <c r="A62" i="30"/>
  <c r="F26" i="2"/>
  <c r="B14" i="80" s="1"/>
  <c r="AA22" i="77"/>
  <c r="AA21" i="71"/>
  <c r="A20" i="69"/>
  <c r="B54" i="69" s="1"/>
  <c r="A14" i="11"/>
  <c r="A35" i="11" s="1"/>
  <c r="A24" i="3"/>
  <c r="B79" i="69"/>
  <c r="A56" i="3"/>
  <c r="A23" i="49"/>
  <c r="A23" i="48"/>
  <c r="A23" i="51"/>
  <c r="A23" i="50"/>
  <c r="A23" i="47"/>
  <c r="D26" i="2"/>
  <c r="A27" i="2"/>
  <c r="C26" i="2"/>
  <c r="X26" i="71"/>
  <c r="Y25" i="71"/>
  <c r="Q26" i="2" l="1"/>
  <c r="A14" i="80"/>
  <c r="A25" i="76"/>
  <c r="A25" i="75"/>
  <c r="A23" i="56"/>
  <c r="A24" i="60"/>
  <c r="T24" i="60" s="1"/>
  <c r="A24" i="58"/>
  <c r="T24" i="58" s="1"/>
  <c r="A26" i="37"/>
  <c r="AM26" i="37" s="1"/>
  <c r="BA26" i="37" s="1"/>
  <c r="A25" i="54"/>
  <c r="A24" i="57"/>
  <c r="T24" i="57" s="1"/>
  <c r="A24" i="59"/>
  <c r="T24" i="59" s="1"/>
  <c r="A26" i="41"/>
  <c r="A62" i="41" s="1"/>
  <c r="A27" i="45"/>
  <c r="A17" i="61"/>
  <c r="V17" i="61" s="1"/>
  <c r="A17" i="62"/>
  <c r="V17" i="62" s="1"/>
  <c r="A26" i="44"/>
  <c r="A62" i="44" s="1"/>
  <c r="A26" i="40"/>
  <c r="A62" i="40" s="1"/>
  <c r="A98" i="40" s="1"/>
  <c r="A26" i="43"/>
  <c r="A62" i="43" s="1"/>
  <c r="A98" i="43" s="1"/>
  <c r="U25" i="30"/>
  <c r="S61" i="30"/>
  <c r="U60" i="30"/>
  <c r="AF23" i="38"/>
  <c r="U60" i="29"/>
  <c r="AG23" i="37"/>
  <c r="S61" i="29"/>
  <c r="U25" i="29"/>
  <c r="AB25" i="29" s="1"/>
  <c r="AA23" i="77"/>
  <c r="AA22" i="71"/>
  <c r="A21" i="69"/>
  <c r="B55" i="69" s="1"/>
  <c r="AA26" i="2"/>
  <c r="A57" i="3"/>
  <c r="A26" i="39"/>
  <c r="A17" i="63"/>
  <c r="V17" i="63" s="1"/>
  <c r="A24" i="32"/>
  <c r="A25" i="53"/>
  <c r="A25" i="52"/>
  <c r="A24" i="46" s="1"/>
  <c r="A17" i="65"/>
  <c r="A27" i="42"/>
  <c r="A17" i="66"/>
  <c r="L14" i="55" s="1"/>
  <c r="L42" i="55" s="1"/>
  <c r="L71" i="55" s="1"/>
  <c r="A27" i="30"/>
  <c r="A17" i="64"/>
  <c r="V17" i="64" s="1"/>
  <c r="A27" i="29"/>
  <c r="A63" i="29" s="1"/>
  <c r="A24" i="33"/>
  <c r="A26" i="38"/>
  <c r="B27" i="2"/>
  <c r="E27" i="2" s="1"/>
  <c r="N39" i="72" s="1"/>
  <c r="B80" i="69"/>
  <c r="B108" i="69"/>
  <c r="X27" i="71"/>
  <c r="Y26" i="71"/>
  <c r="Y24" i="32" l="1"/>
  <c r="S24" i="33"/>
  <c r="U61" i="30"/>
  <c r="AF24" i="38"/>
  <c r="U61" i="29"/>
  <c r="AG24" i="37"/>
  <c r="A63" i="30"/>
  <c r="A15" i="11"/>
  <c r="A36" i="11" s="1"/>
  <c r="A25" i="3"/>
  <c r="A24" i="51"/>
  <c r="A24" i="47"/>
  <c r="A24" i="50"/>
  <c r="A24" i="49"/>
  <c r="A24" i="48"/>
  <c r="B109" i="69"/>
  <c r="F27" i="2"/>
  <c r="B15" i="80" s="1"/>
  <c r="A28" i="2"/>
  <c r="C27" i="2"/>
  <c r="B81" i="69"/>
  <c r="D27" i="2"/>
  <c r="AA23" i="71"/>
  <c r="AA24" i="77"/>
  <c r="A22" i="69"/>
  <c r="B56" i="69" s="1"/>
  <c r="B110" i="69" s="1"/>
  <c r="X28" i="71"/>
  <c r="Y27" i="71"/>
  <c r="A15" i="80" l="1"/>
  <c r="A26" i="75"/>
  <c r="A26" i="76"/>
  <c r="A25" i="58"/>
  <c r="T25" i="58" s="1"/>
  <c r="A27" i="44"/>
  <c r="A63" i="44" s="1"/>
  <c r="A27" i="37"/>
  <c r="AM27" i="37" s="1"/>
  <c r="BA27" i="37" s="1"/>
  <c r="A28" i="45"/>
  <c r="A25" i="57"/>
  <c r="T25" i="57" s="1"/>
  <c r="A25" i="59"/>
  <c r="T25" i="59" s="1"/>
  <c r="A24" i="56"/>
  <c r="A18" i="61"/>
  <c r="V18" i="61" s="1"/>
  <c r="A18" i="62"/>
  <c r="V18" i="62" s="1"/>
  <c r="A26" i="54"/>
  <c r="A25" i="60"/>
  <c r="T25" i="60" s="1"/>
  <c r="A27" i="41"/>
  <c r="A63" i="41" s="1"/>
  <c r="A27" i="40"/>
  <c r="A63" i="40" s="1"/>
  <c r="A99" i="40" s="1"/>
  <c r="A27" i="43"/>
  <c r="A63" i="43" s="1"/>
  <c r="A99" i="43" s="1"/>
  <c r="A18" i="66"/>
  <c r="L15" i="55" s="1"/>
  <c r="L43" i="55" s="1"/>
  <c r="L72" i="55" s="1"/>
  <c r="B82" i="69"/>
  <c r="A58" i="3"/>
  <c r="A25" i="32"/>
  <c r="A18" i="65"/>
  <c r="A18" i="63"/>
  <c r="V18" i="63" s="1"/>
  <c r="A28" i="42"/>
  <c r="A26" i="52"/>
  <c r="A25" i="46" s="1"/>
  <c r="A27" i="38"/>
  <c r="A28" i="29"/>
  <c r="A64" i="29" s="1"/>
  <c r="A25" i="33"/>
  <c r="A27" i="39"/>
  <c r="A26" i="53"/>
  <c r="A28" i="30"/>
  <c r="A18" i="64"/>
  <c r="V18" i="64" s="1"/>
  <c r="B28" i="2"/>
  <c r="F28" i="2" s="1"/>
  <c r="B16" i="80" s="1"/>
  <c r="D28" i="2"/>
  <c r="AA25" i="77"/>
  <c r="A23" i="69"/>
  <c r="B57" i="69" s="1"/>
  <c r="AA24" i="71"/>
  <c r="Q27" i="2"/>
  <c r="X29" i="71"/>
  <c r="Y28" i="71"/>
  <c r="A64" i="30" l="1"/>
  <c r="B83" i="69"/>
  <c r="B111" i="69"/>
  <c r="AA27" i="2"/>
  <c r="A24" i="69"/>
  <c r="B58" i="69" s="1"/>
  <c r="B84" i="69" s="1"/>
  <c r="AA25" i="71"/>
  <c r="AA26" i="77"/>
  <c r="C28" i="2"/>
  <c r="A29" i="2"/>
  <c r="Q28" i="2"/>
  <c r="E28" i="2"/>
  <c r="N40" i="72" s="1"/>
  <c r="A25" i="51"/>
  <c r="A25" i="49"/>
  <c r="A25" i="48"/>
  <c r="A25" i="47"/>
  <c r="A25" i="50"/>
  <c r="X30" i="71"/>
  <c r="Y29" i="71"/>
  <c r="Y25" i="32" l="1"/>
  <c r="S25" i="33"/>
  <c r="A16" i="80"/>
  <c r="A27" i="75"/>
  <c r="A27" i="76"/>
  <c r="A28" i="37"/>
  <c r="AM28" i="37" s="1"/>
  <c r="BA28" i="37" s="1"/>
  <c r="A27" i="54"/>
  <c r="A25" i="56"/>
  <c r="A26" i="57"/>
  <c r="T26" i="57" s="1"/>
  <c r="A26" i="59"/>
  <c r="T26" i="59" s="1"/>
  <c r="A28" i="41"/>
  <c r="A64" i="41" s="1"/>
  <c r="A19" i="61"/>
  <c r="V19" i="61" s="1"/>
  <c r="A19" i="62"/>
  <c r="V19" i="62" s="1"/>
  <c r="A28" i="44"/>
  <c r="A64" i="44" s="1"/>
  <c r="A26" i="60"/>
  <c r="T26" i="60" s="1"/>
  <c r="A29" i="45"/>
  <c r="A26" i="58"/>
  <c r="T26" i="58" s="1"/>
  <c r="A28" i="43"/>
  <c r="A64" i="43" s="1"/>
  <c r="A100" i="43" s="1"/>
  <c r="A28" i="40"/>
  <c r="A64" i="40" s="1"/>
  <c r="A100" i="40" s="1"/>
  <c r="A19" i="66"/>
  <c r="L16" i="55" s="1"/>
  <c r="L44" i="55" s="1"/>
  <c r="L73" i="55" s="1"/>
  <c r="AA26" i="71"/>
  <c r="AA27" i="77"/>
  <c r="AA28" i="77" s="1"/>
  <c r="AA29" i="77" s="1"/>
  <c r="AA30" i="77" s="1"/>
  <c r="AA31" i="77" s="1"/>
  <c r="AA32" i="77" s="1"/>
  <c r="AA33" i="77" s="1"/>
  <c r="AA34" i="77" s="1"/>
  <c r="AA35" i="77" s="1"/>
  <c r="AA36" i="77" s="1"/>
  <c r="AA37" i="77" s="1"/>
  <c r="AA38" i="77" s="1"/>
  <c r="AA39" i="77" s="1"/>
  <c r="AA40" i="77" s="1"/>
  <c r="AA41" i="77" s="1"/>
  <c r="AA42" i="77" s="1"/>
  <c r="AA43" i="77" s="1"/>
  <c r="AA44" i="77" s="1"/>
  <c r="AA45" i="77" s="1"/>
  <c r="AA46" i="77" s="1"/>
  <c r="AA47" i="77" s="1"/>
  <c r="AA48" i="77" s="1"/>
  <c r="AA49" i="77" s="1"/>
  <c r="AA50" i="77" s="1"/>
  <c r="AA51" i="77" s="1"/>
  <c r="AA52" i="77" s="1"/>
  <c r="AA53" i="77" s="1"/>
  <c r="AA54" i="77" s="1"/>
  <c r="AA55" i="77" s="1"/>
  <c r="AA56" i="77" s="1"/>
  <c r="AA57" i="77" s="1"/>
  <c r="AA58" i="77" s="1"/>
  <c r="A25" i="69"/>
  <c r="B59" i="69" s="1"/>
  <c r="B85" i="69" s="1"/>
  <c r="B29" i="2"/>
  <c r="E29" i="2" s="1"/>
  <c r="N41" i="72" s="1"/>
  <c r="B112" i="69"/>
  <c r="A16" i="11"/>
  <c r="A37" i="11" s="1"/>
  <c r="A26" i="3"/>
  <c r="AA28" i="2"/>
  <c r="A26" i="32"/>
  <c r="A26" i="33"/>
  <c r="A19" i="64"/>
  <c r="V19" i="64" s="1"/>
  <c r="A27" i="52"/>
  <c r="A26" i="46" s="1"/>
  <c r="A19" i="65"/>
  <c r="A19" i="63"/>
  <c r="V19" i="63" s="1"/>
  <c r="A27" i="53"/>
  <c r="A29" i="29"/>
  <c r="A65" i="29" s="1"/>
  <c r="A28" i="38"/>
  <c r="A29" i="42"/>
  <c r="A29" i="30"/>
  <c r="A28" i="39"/>
  <c r="X31" i="71"/>
  <c r="Y30" i="71"/>
  <c r="Y26" i="32" l="1"/>
  <c r="S26" i="33"/>
  <c r="A65" i="30"/>
  <c r="A27" i="3"/>
  <c r="A17" i="11"/>
  <c r="A38" i="11" s="1"/>
  <c r="A59" i="3"/>
  <c r="A26" i="48"/>
  <c r="A26" i="49"/>
  <c r="A26" i="51"/>
  <c r="A26" i="50"/>
  <c r="A26" i="47"/>
  <c r="B113" i="69"/>
  <c r="D29" i="2"/>
  <c r="A30" i="2"/>
  <c r="C29" i="2"/>
  <c r="F29" i="2"/>
  <c r="B17" i="80" s="1"/>
  <c r="AA27" i="71"/>
  <c r="AA28" i="71" s="1"/>
  <c r="AA29" i="71" s="1"/>
  <c r="AA30" i="71" s="1"/>
  <c r="AA31" i="71" s="1"/>
  <c r="AA32" i="71" s="1"/>
  <c r="AA33" i="71" s="1"/>
  <c r="AA34" i="71" s="1"/>
  <c r="AA35" i="71" s="1"/>
  <c r="AA36" i="71" s="1"/>
  <c r="AA37" i="71" s="1"/>
  <c r="AA38" i="71" s="1"/>
  <c r="AA39" i="71" s="1"/>
  <c r="AA40" i="71" s="1"/>
  <c r="AA41" i="71" s="1"/>
  <c r="AA42" i="71" s="1"/>
  <c r="AA43" i="71" s="1"/>
  <c r="AA44" i="71" s="1"/>
  <c r="AA45" i="71" s="1"/>
  <c r="AA46" i="71" s="1"/>
  <c r="AA47" i="71" s="1"/>
  <c r="AA48" i="71" s="1"/>
  <c r="AA49" i="71" s="1"/>
  <c r="AA50" i="71" s="1"/>
  <c r="AA51" i="71" s="1"/>
  <c r="AA52" i="71" s="1"/>
  <c r="AA53" i="71" s="1"/>
  <c r="AA54" i="71" s="1"/>
  <c r="AA55" i="71" s="1"/>
  <c r="AA56" i="71" s="1"/>
  <c r="AA57" i="71" s="1"/>
  <c r="AA58" i="71" s="1"/>
  <c r="A26" i="69"/>
  <c r="B60" i="69" s="1"/>
  <c r="B86" i="69" s="1"/>
  <c r="X32" i="71"/>
  <c r="Y31" i="71"/>
  <c r="A17" i="80" l="1"/>
  <c r="A28" i="75"/>
  <c r="A28" i="76"/>
  <c r="A27" i="60"/>
  <c r="T27" i="60" s="1"/>
  <c r="A20" i="61"/>
  <c r="V20" i="61" s="1"/>
  <c r="A20" i="62"/>
  <c r="V20" i="62" s="1"/>
  <c r="A30" i="45"/>
  <c r="A28" i="54"/>
  <c r="A29" i="41"/>
  <c r="A65" i="41" s="1"/>
  <c r="A26" i="56"/>
  <c r="A27" i="58"/>
  <c r="T27" i="58" s="1"/>
  <c r="A29" i="44"/>
  <c r="A65" i="44" s="1"/>
  <c r="A29" i="37"/>
  <c r="AM29" i="37" s="1"/>
  <c r="BA29" i="37" s="1"/>
  <c r="A27" i="57"/>
  <c r="T27" i="57" s="1"/>
  <c r="A27" i="59"/>
  <c r="T27" i="59" s="1"/>
  <c r="A29" i="40"/>
  <c r="A65" i="40" s="1"/>
  <c r="A101" i="40" s="1"/>
  <c r="A29" i="43"/>
  <c r="A65" i="43" s="1"/>
  <c r="A101" i="43" s="1"/>
  <c r="A20" i="66"/>
  <c r="Q29" i="2"/>
  <c r="A60" i="3"/>
  <c r="A27" i="32"/>
  <c r="L17" i="55"/>
  <c r="L45" i="55" s="1"/>
  <c r="L74" i="55" s="1"/>
  <c r="A30" i="42"/>
  <c r="A20" i="63"/>
  <c r="V20" i="63" s="1"/>
  <c r="A20" i="64"/>
  <c r="V20" i="64" s="1"/>
  <c r="A30" i="30"/>
  <c r="A29" i="39"/>
  <c r="A30" i="29"/>
  <c r="A66" i="29" s="1"/>
  <c r="A28" i="52"/>
  <c r="A27" i="46" s="1"/>
  <c r="A29" i="38"/>
  <c r="A20" i="65"/>
  <c r="A27" i="33"/>
  <c r="A28" i="53"/>
  <c r="B87" i="69"/>
  <c r="B114" i="69"/>
  <c r="B30" i="2"/>
  <c r="E30" i="2" s="1"/>
  <c r="N42" i="72" s="1"/>
  <c r="X33" i="71"/>
  <c r="Y32" i="71"/>
  <c r="A66" i="30" l="1"/>
  <c r="A31" i="2"/>
  <c r="C30" i="2"/>
  <c r="A28" i="3"/>
  <c r="A13" i="13"/>
  <c r="A29" i="13" s="1"/>
  <c r="A13" i="14"/>
  <c r="A31" i="14" s="1"/>
  <c r="A13" i="15"/>
  <c r="A18" i="11"/>
  <c r="A39" i="11" s="1"/>
  <c r="F30" i="2"/>
  <c r="B18" i="80" s="1"/>
  <c r="D30" i="2"/>
  <c r="A27" i="48"/>
  <c r="A27" i="47"/>
  <c r="A27" i="51"/>
  <c r="A27" i="49"/>
  <c r="A27" i="50"/>
  <c r="AA29" i="2"/>
  <c r="X34" i="71"/>
  <c r="Y33" i="71"/>
  <c r="Y27" i="32" l="1"/>
  <c r="S27" i="33"/>
  <c r="A18" i="80"/>
  <c r="A29" i="76"/>
  <c r="A29" i="75"/>
  <c r="A27" i="56"/>
  <c r="A28" i="58"/>
  <c r="T28" i="58" s="1"/>
  <c r="A30" i="37"/>
  <c r="AM30" i="37" s="1"/>
  <c r="BA30" i="37" s="1"/>
  <c r="A29" i="54"/>
  <c r="A28" i="57"/>
  <c r="T28" i="57" s="1"/>
  <c r="A28" i="59"/>
  <c r="T28" i="59" s="1"/>
  <c r="A28" i="60"/>
  <c r="T28" i="60" s="1"/>
  <c r="A30" i="41"/>
  <c r="A66" i="41" s="1"/>
  <c r="A31" i="45"/>
  <c r="A21" i="61"/>
  <c r="V21" i="61" s="1"/>
  <c r="A21" i="62"/>
  <c r="V21" i="62" s="1"/>
  <c r="A30" i="44"/>
  <c r="A66" i="44" s="1"/>
  <c r="A30" i="40"/>
  <c r="A66" i="40" s="1"/>
  <c r="A102" i="40" s="1"/>
  <c r="A30" i="43"/>
  <c r="A66" i="43" s="1"/>
  <c r="A102" i="43" s="1"/>
  <c r="A21" i="66"/>
  <c r="L18" i="55" s="1"/>
  <c r="L46" i="55" s="1"/>
  <c r="L75" i="55" s="1"/>
  <c r="S65" i="30"/>
  <c r="A61" i="3"/>
  <c r="B31" i="2"/>
  <c r="F31" i="2" s="1"/>
  <c r="B19" i="80" s="1"/>
  <c r="Q30" i="2"/>
  <c r="A21" i="64"/>
  <c r="V21" i="64" s="1"/>
  <c r="A31" i="30"/>
  <c r="A29" i="53"/>
  <c r="A30" i="39"/>
  <c r="A31" i="42"/>
  <c r="A28" i="32"/>
  <c r="A30" i="38"/>
  <c r="A21" i="63"/>
  <c r="V21" i="63" s="1"/>
  <c r="A31" i="29"/>
  <c r="A67" i="29" s="1"/>
  <c r="A29" i="52"/>
  <c r="A28" i="46" s="1"/>
  <c r="A21" i="65"/>
  <c r="A28" i="33"/>
  <c r="X35" i="71"/>
  <c r="Y34" i="71"/>
  <c r="A67" i="30" l="1"/>
  <c r="D31" i="2"/>
  <c r="Q31" i="2"/>
  <c r="C31" i="2"/>
  <c r="A32" i="2"/>
  <c r="A28" i="51"/>
  <c r="A28" i="48"/>
  <c r="A28" i="47"/>
  <c r="A28" i="50"/>
  <c r="A28" i="49"/>
  <c r="AA30" i="2"/>
  <c r="E31" i="2"/>
  <c r="N43" i="72" s="1"/>
  <c r="X36" i="71"/>
  <c r="Y35" i="71"/>
  <c r="Y28" i="32" l="1"/>
  <c r="S28" i="33"/>
  <c r="A19" i="80"/>
  <c r="A30" i="75"/>
  <c r="A30" i="76"/>
  <c r="A29" i="58"/>
  <c r="T29" i="58" s="1"/>
  <c r="A31" i="44"/>
  <c r="A67" i="44" s="1"/>
  <c r="A31" i="37"/>
  <c r="AM31" i="37" s="1"/>
  <c r="BA31" i="37" s="1"/>
  <c r="A32" i="45"/>
  <c r="A29" i="57"/>
  <c r="T29" i="57" s="1"/>
  <c r="A29" i="59"/>
  <c r="T29" i="59" s="1"/>
  <c r="A29" i="60"/>
  <c r="T29" i="60" s="1"/>
  <c r="A28" i="56"/>
  <c r="A22" i="61"/>
  <c r="V22" i="61" s="1"/>
  <c r="A22" i="62"/>
  <c r="V22" i="62" s="1"/>
  <c r="A30" i="54"/>
  <c r="A31" i="41"/>
  <c r="A67" i="41" s="1"/>
  <c r="A31" i="40"/>
  <c r="A67" i="40" s="1"/>
  <c r="A103" i="40" s="1"/>
  <c r="A31" i="43"/>
  <c r="A67" i="43" s="1"/>
  <c r="A103" i="43" s="1"/>
  <c r="A22" i="66"/>
  <c r="L19" i="55" s="1"/>
  <c r="L47" i="55" s="1"/>
  <c r="L76" i="55" s="1"/>
  <c r="A14" i="14"/>
  <c r="A32" i="14" s="1"/>
  <c r="A19" i="11"/>
  <c r="A40" i="11" s="1"/>
  <c r="A14" i="15"/>
  <c r="A14" i="13"/>
  <c r="A30" i="13" s="1"/>
  <c r="A29" i="3"/>
  <c r="B32" i="2"/>
  <c r="F32" i="2" s="1"/>
  <c r="B20" i="80" s="1"/>
  <c r="A22" i="64"/>
  <c r="V22" i="64" s="1"/>
  <c r="A30" i="52"/>
  <c r="A29" i="46" s="1"/>
  <c r="A30" i="53"/>
  <c r="A22" i="65"/>
  <c r="A32" i="42"/>
  <c r="A29" i="32"/>
  <c r="A31" i="38"/>
  <c r="A32" i="30"/>
  <c r="A32" i="29"/>
  <c r="A68" i="29" s="1"/>
  <c r="A22" i="63"/>
  <c r="V22" i="63" s="1"/>
  <c r="A31" i="39"/>
  <c r="A29" i="33"/>
  <c r="AA31" i="2"/>
  <c r="X37" i="71"/>
  <c r="Y36" i="71"/>
  <c r="Y29" i="32" l="1"/>
  <c r="S29" i="33"/>
  <c r="S66" i="30"/>
  <c r="A68" i="30"/>
  <c r="Q32" i="2"/>
  <c r="E32" i="2"/>
  <c r="A33" i="2"/>
  <c r="C32" i="2"/>
  <c r="A29" i="48"/>
  <c r="A29" i="51"/>
  <c r="A29" i="49"/>
  <c r="A29" i="50"/>
  <c r="A29" i="47"/>
  <c r="D32" i="2"/>
  <c r="A62" i="3"/>
  <c r="X38" i="71"/>
  <c r="Y37" i="71"/>
  <c r="A20" i="80" l="1"/>
  <c r="A31" i="75"/>
  <c r="A31" i="76"/>
  <c r="A32" i="37"/>
  <c r="AM32" i="37" s="1"/>
  <c r="BA32" i="37" s="1"/>
  <c r="A31" i="54"/>
  <c r="A29" i="56"/>
  <c r="A30" i="57"/>
  <c r="T30" i="57" s="1"/>
  <c r="A30" i="59"/>
  <c r="T30" i="59" s="1"/>
  <c r="A30" i="60"/>
  <c r="T30" i="60" s="1"/>
  <c r="A32" i="41"/>
  <c r="A68" i="41" s="1"/>
  <c r="A23" i="61"/>
  <c r="V23" i="61" s="1"/>
  <c r="A23" i="62"/>
  <c r="V23" i="62" s="1"/>
  <c r="A32" i="44"/>
  <c r="A68" i="44" s="1"/>
  <c r="A33" i="45"/>
  <c r="A30" i="58"/>
  <c r="T30" i="58" s="1"/>
  <c r="A32" i="43"/>
  <c r="A68" i="43" s="1"/>
  <c r="A104" i="43" s="1"/>
  <c r="A32" i="40"/>
  <c r="A68" i="40" s="1"/>
  <c r="A104" i="40" s="1"/>
  <c r="A23" i="66"/>
  <c r="N44" i="72"/>
  <c r="A15" i="15"/>
  <c r="A23" i="64"/>
  <c r="V23" i="64" s="1"/>
  <c r="A32" i="39"/>
  <c r="A23" i="65"/>
  <c r="A30" i="33"/>
  <c r="A33" i="42"/>
  <c r="A31" i="53"/>
  <c r="L20" i="55"/>
  <c r="L48" i="55" s="1"/>
  <c r="L77" i="55" s="1"/>
  <c r="A31" i="52"/>
  <c r="A30" i="46" s="1"/>
  <c r="A32" i="38"/>
  <c r="A23" i="63"/>
  <c r="V23" i="63" s="1"/>
  <c r="A33" i="30"/>
  <c r="A30" i="32"/>
  <c r="A33" i="29"/>
  <c r="A69" i="29" s="1"/>
  <c r="B33" i="2"/>
  <c r="F33" i="2" s="1"/>
  <c r="B21" i="80" s="1"/>
  <c r="A15" i="14"/>
  <c r="A33" i="14" s="1"/>
  <c r="A30" i="3"/>
  <c r="A20" i="11"/>
  <c r="A41" i="11" s="1"/>
  <c r="A15" i="13"/>
  <c r="A31" i="13" s="1"/>
  <c r="AA32" i="2"/>
  <c r="X39" i="71"/>
  <c r="Y38" i="71"/>
  <c r="Y30" i="32" l="1"/>
  <c r="S30" i="33"/>
  <c r="S67" i="30"/>
  <c r="A69" i="30"/>
  <c r="E33" i="2"/>
  <c r="Q33" i="2"/>
  <c r="D33" i="2"/>
  <c r="A30" i="50"/>
  <c r="A30" i="47"/>
  <c r="A30" i="49"/>
  <c r="A30" i="48"/>
  <c r="A30" i="51"/>
  <c r="A63" i="3"/>
  <c r="C33" i="2"/>
  <c r="A34" i="2"/>
  <c r="X40" i="71"/>
  <c r="Y39" i="71"/>
  <c r="A21" i="80" l="1"/>
  <c r="A32" i="75"/>
  <c r="A32" i="76"/>
  <c r="A24" i="61"/>
  <c r="V24" i="61" s="1"/>
  <c r="A24" i="62"/>
  <c r="V24" i="62" s="1"/>
  <c r="A34" i="45"/>
  <c r="A32" i="54"/>
  <c r="A33" i="41"/>
  <c r="A69" i="41" s="1"/>
  <c r="A30" i="56"/>
  <c r="A31" i="58"/>
  <c r="T31" i="58" s="1"/>
  <c r="A31" i="60"/>
  <c r="T31" i="60" s="1"/>
  <c r="A33" i="44"/>
  <c r="A69" i="44" s="1"/>
  <c r="A33" i="37"/>
  <c r="AM33" i="37" s="1"/>
  <c r="BA33" i="37" s="1"/>
  <c r="A31" i="57"/>
  <c r="T31" i="57" s="1"/>
  <c r="A31" i="59"/>
  <c r="T31" i="59" s="1"/>
  <c r="A33" i="40"/>
  <c r="A69" i="40" s="1"/>
  <c r="A105" i="40" s="1"/>
  <c r="A33" i="43"/>
  <c r="A69" i="43" s="1"/>
  <c r="A105" i="43" s="1"/>
  <c r="A24" i="66"/>
  <c r="N45" i="72"/>
  <c r="A16" i="15"/>
  <c r="A21" i="11"/>
  <c r="A42" i="11" s="1"/>
  <c r="A16" i="14"/>
  <c r="A34" i="14" s="1"/>
  <c r="A16" i="13"/>
  <c r="A31" i="3"/>
  <c r="A64" i="3" s="1"/>
  <c r="B34" i="2"/>
  <c r="D34" i="2" s="1"/>
  <c r="A32" i="53"/>
  <c r="A34" i="30"/>
  <c r="L21" i="55"/>
  <c r="L49" i="55" s="1"/>
  <c r="L78" i="55" s="1"/>
  <c r="A33" i="39"/>
  <c r="A34" i="42"/>
  <c r="A34" i="29"/>
  <c r="A70" i="29" s="1"/>
  <c r="A24" i="65"/>
  <c r="A24" i="64"/>
  <c r="V24" i="64" s="1"/>
  <c r="A31" i="32"/>
  <c r="A33" i="38"/>
  <c r="A31" i="33"/>
  <c r="A24" i="63"/>
  <c r="V24" i="63" s="1"/>
  <c r="A32" i="52"/>
  <c r="A31" i="46" s="1"/>
  <c r="AA33" i="2"/>
  <c r="X41" i="71"/>
  <c r="Y40" i="71"/>
  <c r="Y31" i="32" l="1"/>
  <c r="S31" i="33"/>
  <c r="A32" i="13"/>
  <c r="A70" i="30"/>
  <c r="F34" i="2"/>
  <c r="B22" i="80" s="1"/>
  <c r="E34" i="2"/>
  <c r="C34" i="2"/>
  <c r="A35" i="2"/>
  <c r="Q34" i="2"/>
  <c r="A31" i="50"/>
  <c r="A31" i="51"/>
  <c r="A31" i="49"/>
  <c r="A31" i="47"/>
  <c r="A31" i="48"/>
  <c r="X42" i="71"/>
  <c r="Y41" i="71"/>
  <c r="A22" i="80" l="1"/>
  <c r="A33" i="76"/>
  <c r="A33" i="75"/>
  <c r="A31" i="56"/>
  <c r="A32" i="60"/>
  <c r="T32" i="60" s="1"/>
  <c r="A32" i="58"/>
  <c r="T32" i="58" s="1"/>
  <c r="A34" i="37"/>
  <c r="AM34" i="37" s="1"/>
  <c r="BA34" i="37" s="1"/>
  <c r="A33" i="54"/>
  <c r="A32" i="57"/>
  <c r="T32" i="57" s="1"/>
  <c r="A32" i="59"/>
  <c r="T32" i="59" s="1"/>
  <c r="A34" i="41"/>
  <c r="A70" i="41" s="1"/>
  <c r="A35" i="45"/>
  <c r="A25" i="61"/>
  <c r="V25" i="61" s="1"/>
  <c r="A25" i="62"/>
  <c r="V25" i="62" s="1"/>
  <c r="A34" i="44"/>
  <c r="A70" i="44" s="1"/>
  <c r="A34" i="40"/>
  <c r="A70" i="40" s="1"/>
  <c r="A106" i="40" s="1"/>
  <c r="A34" i="43"/>
  <c r="A70" i="43" s="1"/>
  <c r="A106" i="43" s="1"/>
  <c r="A25" i="66"/>
  <c r="L22" i="55" s="1"/>
  <c r="L50" i="55" s="1"/>
  <c r="L79" i="55" s="1"/>
  <c r="N46" i="72"/>
  <c r="A17" i="15"/>
  <c r="A17" i="13"/>
  <c r="A33" i="13" s="1"/>
  <c r="A32" i="3"/>
  <c r="A65" i="3" s="1"/>
  <c r="A22" i="11"/>
  <c r="A43" i="11" s="1"/>
  <c r="A17" i="14"/>
  <c r="A35" i="14" s="1"/>
  <c r="A25" i="65"/>
  <c r="A35" i="29"/>
  <c r="A71" i="29" s="1"/>
  <c r="A32" i="32"/>
  <c r="A34" i="39"/>
  <c r="A35" i="42"/>
  <c r="A32" i="33"/>
  <c r="A35" i="30"/>
  <c r="A25" i="64"/>
  <c r="V25" i="64" s="1"/>
  <c r="A33" i="52"/>
  <c r="A32" i="46" s="1"/>
  <c r="A33" i="53"/>
  <c r="A34" i="38"/>
  <c r="A25" i="63"/>
  <c r="V25" i="63" s="1"/>
  <c r="AA34" i="2"/>
  <c r="B35" i="2"/>
  <c r="F35" i="2" s="1"/>
  <c r="B23" i="80" s="1"/>
  <c r="X43" i="71"/>
  <c r="Y42" i="71"/>
  <c r="Y32" i="32" l="1"/>
  <c r="S32" i="33"/>
  <c r="A71" i="30"/>
  <c r="A36" i="2"/>
  <c r="C35" i="2"/>
  <c r="D35" i="2"/>
  <c r="E35" i="2"/>
  <c r="Q35" i="2"/>
  <c r="A32" i="48"/>
  <c r="A32" i="47"/>
  <c r="A32" i="51"/>
  <c r="A32" i="50"/>
  <c r="A32" i="49"/>
  <c r="X44" i="71"/>
  <c r="Y44" i="71" s="1"/>
  <c r="Y43" i="71"/>
  <c r="N47" i="72" l="1"/>
  <c r="A18" i="15"/>
  <c r="A23" i="80"/>
  <c r="A34" i="75"/>
  <c r="A34" i="76"/>
  <c r="A33" i="58"/>
  <c r="T33" i="58" s="1"/>
  <c r="A35" i="44"/>
  <c r="A71" i="44" s="1"/>
  <c r="A35" i="37"/>
  <c r="AM35" i="37" s="1"/>
  <c r="BA35" i="37" s="1"/>
  <c r="A36" i="45"/>
  <c r="A33" i="57"/>
  <c r="T33" i="57" s="1"/>
  <c r="A33" i="59"/>
  <c r="T33" i="59" s="1"/>
  <c r="A32" i="56"/>
  <c r="A26" i="61"/>
  <c r="V26" i="61" s="1"/>
  <c r="A26" i="62"/>
  <c r="V26" i="62" s="1"/>
  <c r="A34" i="54"/>
  <c r="A33" i="60"/>
  <c r="T33" i="60" s="1"/>
  <c r="A35" i="41"/>
  <c r="A71" i="41" s="1"/>
  <c r="A35" i="40"/>
  <c r="A71" i="40" s="1"/>
  <c r="A107" i="40" s="1"/>
  <c r="A35" i="43"/>
  <c r="A71" i="43" s="1"/>
  <c r="A107" i="43" s="1"/>
  <c r="A26" i="66"/>
  <c r="L23" i="55" s="1"/>
  <c r="L51" i="55" s="1"/>
  <c r="L80" i="55" s="1"/>
  <c r="A33" i="32"/>
  <c r="A35" i="38"/>
  <c r="A36" i="29"/>
  <c r="A72" i="29" s="1"/>
  <c r="A34" i="52"/>
  <c r="A33" i="46" s="1"/>
  <c r="A33" i="33"/>
  <c r="A26" i="63"/>
  <c r="V26" i="63" s="1"/>
  <c r="A35" i="39"/>
  <c r="A36" i="42"/>
  <c r="A26" i="64"/>
  <c r="V26" i="64" s="1"/>
  <c r="A36" i="30"/>
  <c r="A26" i="65"/>
  <c r="A34" i="53"/>
  <c r="AA35" i="2"/>
  <c r="A18" i="14"/>
  <c r="A36" i="14" s="1"/>
  <c r="A18" i="13"/>
  <c r="A34" i="13" s="1"/>
  <c r="A33" i="3"/>
  <c r="A23" i="11"/>
  <c r="A44" i="11" s="1"/>
  <c r="B36" i="2"/>
  <c r="D36" i="2" s="1"/>
  <c r="Y33" i="32" l="1"/>
  <c r="S33" i="33"/>
  <c r="E36" i="2"/>
  <c r="N48" i="72" s="1"/>
  <c r="A72" i="30"/>
  <c r="A33" i="51"/>
  <c r="A33" i="49"/>
  <c r="A33" i="47"/>
  <c r="A33" i="48"/>
  <c r="A33" i="50"/>
  <c r="C36" i="2"/>
  <c r="A37" i="2"/>
  <c r="F36" i="2"/>
  <c r="B24" i="80" s="1"/>
  <c r="A66" i="3"/>
  <c r="A19" i="14" l="1"/>
  <c r="A37" i="14" s="1"/>
  <c r="A19" i="13"/>
  <c r="A35" i="13" s="1"/>
  <c r="A24" i="11"/>
  <c r="A45" i="11" s="1"/>
  <c r="A34" i="3"/>
  <c r="A19" i="15"/>
  <c r="A24" i="80"/>
  <c r="A35" i="75"/>
  <c r="A35" i="76"/>
  <c r="A36" i="37"/>
  <c r="AM36" i="37" s="1"/>
  <c r="BA36" i="37" s="1"/>
  <c r="A35" i="54"/>
  <c r="A33" i="56"/>
  <c r="A34" i="57"/>
  <c r="T34" i="57" s="1"/>
  <c r="A34" i="59"/>
  <c r="T34" i="59" s="1"/>
  <c r="A36" i="41"/>
  <c r="A72" i="41" s="1"/>
  <c r="A27" i="61"/>
  <c r="V27" i="61" s="1"/>
  <c r="A27" i="62"/>
  <c r="V27" i="62" s="1"/>
  <c r="A36" i="44"/>
  <c r="A72" i="44" s="1"/>
  <c r="A34" i="60"/>
  <c r="T34" i="60" s="1"/>
  <c r="A37" i="45"/>
  <c r="A34" i="58"/>
  <c r="T34" i="58" s="1"/>
  <c r="A36" i="43"/>
  <c r="A72" i="43" s="1"/>
  <c r="A108" i="43" s="1"/>
  <c r="A36" i="40"/>
  <c r="A72" i="40" s="1"/>
  <c r="A108" i="40" s="1"/>
  <c r="A27" i="66"/>
  <c r="A67" i="3"/>
  <c r="B37" i="2"/>
  <c r="E37" i="2" s="1"/>
  <c r="Q36" i="2"/>
  <c r="A27" i="65"/>
  <c r="A36" i="38"/>
  <c r="A35" i="52"/>
  <c r="A34" i="46" s="1"/>
  <c r="A27" i="63"/>
  <c r="V27" i="63" s="1"/>
  <c r="A34" i="33"/>
  <c r="L24" i="55"/>
  <c r="L52" i="55" s="1"/>
  <c r="L81" i="55" s="1"/>
  <c r="A27" i="64"/>
  <c r="V27" i="64" s="1"/>
  <c r="A36" i="39"/>
  <c r="A35" i="53"/>
  <c r="A34" i="32"/>
  <c r="A37" i="42"/>
  <c r="A37" i="29"/>
  <c r="A73" i="29" s="1"/>
  <c r="A37" i="30"/>
  <c r="N49" i="72" l="1"/>
  <c r="A20" i="15"/>
  <c r="A73" i="30"/>
  <c r="F37" i="2"/>
  <c r="B25" i="80" s="1"/>
  <c r="D37" i="2"/>
  <c r="A25" i="11"/>
  <c r="A46" i="11" s="1"/>
  <c r="A20" i="13"/>
  <c r="A36" i="13" s="1"/>
  <c r="A35" i="3"/>
  <c r="A20" i="14"/>
  <c r="A38" i="14" s="1"/>
  <c r="Q37" i="2"/>
  <c r="AA36" i="2"/>
  <c r="A34" i="48"/>
  <c r="A34" i="47"/>
  <c r="A34" i="51"/>
  <c r="A34" i="49"/>
  <c r="A34" i="50"/>
  <c r="A38" i="2"/>
  <c r="C37" i="2"/>
  <c r="Y34" i="32" l="1"/>
  <c r="S34" i="33"/>
  <c r="A25" i="80"/>
  <c r="A36" i="75"/>
  <c r="A36" i="76"/>
  <c r="A35" i="60"/>
  <c r="T35" i="60" s="1"/>
  <c r="A28" i="61"/>
  <c r="V28" i="61" s="1"/>
  <c r="A28" i="62"/>
  <c r="V28" i="62" s="1"/>
  <c r="A38" i="45"/>
  <c r="A36" i="54"/>
  <c r="A37" i="41"/>
  <c r="A73" i="41" s="1"/>
  <c r="A34" i="56"/>
  <c r="A35" i="58"/>
  <c r="T35" i="58" s="1"/>
  <c r="A35" i="59"/>
  <c r="T35" i="59" s="1"/>
  <c r="A37" i="44"/>
  <c r="A73" i="44" s="1"/>
  <c r="A37" i="37"/>
  <c r="AM37" i="37" s="1"/>
  <c r="BA37" i="37" s="1"/>
  <c r="A35" i="57"/>
  <c r="T35" i="57" s="1"/>
  <c r="A37" i="40"/>
  <c r="A73" i="40" s="1"/>
  <c r="A109" i="40" s="1"/>
  <c r="A37" i="43"/>
  <c r="A73" i="43" s="1"/>
  <c r="A109" i="43" s="1"/>
  <c r="A28" i="66"/>
  <c r="L25" i="55" s="1"/>
  <c r="L53" i="55" s="1"/>
  <c r="L82" i="55" s="1"/>
  <c r="A68" i="3"/>
  <c r="A37" i="39"/>
  <c r="A38" i="30"/>
  <c r="A37" i="38"/>
  <c r="A35" i="32"/>
  <c r="A38" i="42"/>
  <c r="A38" i="29"/>
  <c r="A74" i="29" s="1"/>
  <c r="A36" i="53"/>
  <c r="A28" i="64"/>
  <c r="V28" i="64" s="1"/>
  <c r="A36" i="52"/>
  <c r="A35" i="46" s="1"/>
  <c r="A35" i="33"/>
  <c r="A28" i="65"/>
  <c r="A28" i="63"/>
  <c r="V28" i="63" s="1"/>
  <c r="AA37" i="2"/>
  <c r="B38" i="2"/>
  <c r="F38" i="2" s="1"/>
  <c r="B26" i="80" s="1"/>
  <c r="Y35" i="32" l="1"/>
  <c r="S35" i="33"/>
  <c r="A74" i="30"/>
  <c r="Q38" i="2"/>
  <c r="E38" i="2"/>
  <c r="D38" i="2"/>
  <c r="A35" i="47"/>
  <c r="A35" i="50"/>
  <c r="A35" i="49"/>
  <c r="A35" i="51"/>
  <c r="A35" i="48"/>
  <c r="C38" i="2"/>
  <c r="A39" i="2"/>
  <c r="A26" i="80" l="1"/>
  <c r="A37" i="76"/>
  <c r="A37" i="75"/>
  <c r="A35" i="56"/>
  <c r="A36" i="58"/>
  <c r="T36" i="58" s="1"/>
  <c r="A36" i="59"/>
  <c r="T36" i="59" s="1"/>
  <c r="A38" i="37"/>
  <c r="AM38" i="37" s="1"/>
  <c r="BA38" i="37" s="1"/>
  <c r="A37" i="54"/>
  <c r="A36" i="57"/>
  <c r="T36" i="57" s="1"/>
  <c r="A36" i="60"/>
  <c r="T36" i="60" s="1"/>
  <c r="A38" i="41"/>
  <c r="A74" i="41" s="1"/>
  <c r="A39" i="45"/>
  <c r="A29" i="61"/>
  <c r="V29" i="61" s="1"/>
  <c r="A29" i="62"/>
  <c r="V29" i="62" s="1"/>
  <c r="A38" i="44"/>
  <c r="A74" i="44" s="1"/>
  <c r="A38" i="40"/>
  <c r="A74" i="40" s="1"/>
  <c r="A110" i="40" s="1"/>
  <c r="A38" i="43"/>
  <c r="A74" i="43" s="1"/>
  <c r="A110" i="43" s="1"/>
  <c r="A29" i="66"/>
  <c r="L26" i="55" s="1"/>
  <c r="L54" i="55" s="1"/>
  <c r="L83" i="55" s="1"/>
  <c r="N50" i="72"/>
  <c r="A21" i="15"/>
  <c r="B39" i="2"/>
  <c r="E39" i="2" s="1"/>
  <c r="A36" i="33"/>
  <c r="A39" i="42"/>
  <c r="A39" i="30"/>
  <c r="A29" i="65"/>
  <c r="A38" i="39"/>
  <c r="A37" i="53"/>
  <c r="A39" i="29"/>
  <c r="A75" i="29" s="1"/>
  <c r="A29" i="64"/>
  <c r="V29" i="64" s="1"/>
  <c r="A29" i="63"/>
  <c r="V29" i="63" s="1"/>
  <c r="A36" i="32"/>
  <c r="A38" i="38"/>
  <c r="A37" i="52"/>
  <c r="A36" i="46" s="1"/>
  <c r="A21" i="13"/>
  <c r="A37" i="13" s="1"/>
  <c r="A36" i="3"/>
  <c r="A21" i="14"/>
  <c r="A39" i="14" s="1"/>
  <c r="A26" i="11"/>
  <c r="A47" i="11" s="1"/>
  <c r="AA38" i="2"/>
  <c r="Y36" i="32" l="1"/>
  <c r="S36" i="33"/>
  <c r="N51" i="72"/>
  <c r="A22" i="14"/>
  <c r="A40" i="14" s="1"/>
  <c r="A22" i="15"/>
  <c r="A22" i="13"/>
  <c r="A38" i="13" s="1"/>
  <c r="A27" i="11"/>
  <c r="A48" i="11" s="1"/>
  <c r="A75" i="30"/>
  <c r="A37" i="3"/>
  <c r="A36" i="51"/>
  <c r="A36" i="48"/>
  <c r="A36" i="49"/>
  <c r="A36" i="47"/>
  <c r="A36" i="50"/>
  <c r="D39" i="2"/>
  <c r="A69" i="3"/>
  <c r="F39" i="2"/>
  <c r="B27" i="80" s="1"/>
  <c r="A40" i="2"/>
  <c r="C39" i="2"/>
  <c r="A27" i="80" l="1"/>
  <c r="A38" i="75"/>
  <c r="A38" i="76"/>
  <c r="A37" i="58"/>
  <c r="T37" i="58" s="1"/>
  <c r="A37" i="59"/>
  <c r="T37" i="59" s="1"/>
  <c r="A39" i="44"/>
  <c r="A75" i="44" s="1"/>
  <c r="A39" i="37"/>
  <c r="AM39" i="37" s="1"/>
  <c r="BA39" i="37" s="1"/>
  <c r="A40" i="45"/>
  <c r="A37" i="57"/>
  <c r="T37" i="57" s="1"/>
  <c r="A37" i="60"/>
  <c r="T37" i="60" s="1"/>
  <c r="A36" i="56"/>
  <c r="A30" i="61"/>
  <c r="V30" i="61" s="1"/>
  <c r="A30" i="62"/>
  <c r="V30" i="62" s="1"/>
  <c r="A38" i="54"/>
  <c r="A39" i="41"/>
  <c r="A75" i="41" s="1"/>
  <c r="A39" i="40"/>
  <c r="A75" i="40" s="1"/>
  <c r="A111" i="40" s="1"/>
  <c r="A39" i="43"/>
  <c r="A75" i="43" s="1"/>
  <c r="A111" i="43" s="1"/>
  <c r="A30" i="66"/>
  <c r="B40" i="2"/>
  <c r="Q39" i="2"/>
  <c r="A30" i="63"/>
  <c r="V30" i="63" s="1"/>
  <c r="A30" i="65"/>
  <c r="A39" i="39"/>
  <c r="A40" i="30"/>
  <c r="A37" i="33"/>
  <c r="L27" i="55"/>
  <c r="L55" i="55" s="1"/>
  <c r="L84" i="55" s="1"/>
  <c r="A40" i="42"/>
  <c r="A40" i="29"/>
  <c r="A76" i="29" s="1"/>
  <c r="A39" i="38"/>
  <c r="A30" i="64"/>
  <c r="V30" i="64" s="1"/>
  <c r="A37" i="32"/>
  <c r="A38" i="52"/>
  <c r="A37" i="46" s="1"/>
  <c r="A38" i="53"/>
  <c r="A70" i="3"/>
  <c r="D40" i="2" l="1"/>
  <c r="A41" i="2"/>
  <c r="A76" i="30"/>
  <c r="A37" i="47"/>
  <c r="A37" i="50"/>
  <c r="A37" i="48"/>
  <c r="A37" i="51"/>
  <c r="A37" i="49"/>
  <c r="AA39" i="2"/>
  <c r="E40" i="2"/>
  <c r="C40" i="2"/>
  <c r="F40" i="2"/>
  <c r="B28" i="80" s="1"/>
  <c r="Y37" i="32" l="1"/>
  <c r="S37" i="33"/>
  <c r="B41" i="2"/>
  <c r="F41" i="2"/>
  <c r="A28" i="80"/>
  <c r="A39" i="75"/>
  <c r="A39" i="76"/>
  <c r="A38" i="33"/>
  <c r="A38" i="32"/>
  <c r="A40" i="37"/>
  <c r="AM40" i="37" s="1"/>
  <c r="BA40" i="37" s="1"/>
  <c r="A39" i="53"/>
  <c r="A39" i="54"/>
  <c r="A37" i="56"/>
  <c r="A38" i="57"/>
  <c r="T38" i="57" s="1"/>
  <c r="A38" i="60"/>
  <c r="T38" i="60" s="1"/>
  <c r="A31" i="63"/>
  <c r="V31" i="63" s="1"/>
  <c r="A39" i="52"/>
  <c r="A31" i="61"/>
  <c r="V31" i="61" s="1"/>
  <c r="A31" i="62"/>
  <c r="V31" i="62" s="1"/>
  <c r="A40" i="41"/>
  <c r="A76" i="41" s="1"/>
  <c r="A41" i="42"/>
  <c r="A40" i="44"/>
  <c r="A76" i="44" s="1"/>
  <c r="A40" i="38"/>
  <c r="A40" i="39"/>
  <c r="A41" i="45"/>
  <c r="A38" i="58"/>
  <c r="T38" i="58" s="1"/>
  <c r="A38" i="59"/>
  <c r="T38" i="59" s="1"/>
  <c r="A40" i="43"/>
  <c r="A76" i="43" s="1"/>
  <c r="A112" i="43" s="1"/>
  <c r="A40" i="40"/>
  <c r="A76" i="40" s="1"/>
  <c r="A112" i="40" s="1"/>
  <c r="A31" i="65"/>
  <c r="A31" i="64"/>
  <c r="V31" i="64" s="1"/>
  <c r="A31" i="66"/>
  <c r="L28" i="55" s="1"/>
  <c r="L56" i="55" s="1"/>
  <c r="L85" i="55" s="1"/>
  <c r="A38" i="3"/>
  <c r="A71" i="3" s="1"/>
  <c r="A41" i="30"/>
  <c r="A41" i="29"/>
  <c r="A77" i="29" s="1"/>
  <c r="N52" i="72"/>
  <c r="Q40" i="2"/>
  <c r="C41" i="2" l="1"/>
  <c r="A42" i="2"/>
  <c r="E41" i="2"/>
  <c r="D41" i="2"/>
  <c r="D47" i="2" s="1"/>
  <c r="D48" i="2" s="1"/>
  <c r="A54" i="76" s="1"/>
  <c r="A38" i="46"/>
  <c r="A38" i="49"/>
  <c r="A38" i="50"/>
  <c r="A38" i="47"/>
  <c r="A38" i="48"/>
  <c r="A38" i="51"/>
  <c r="A77" i="30"/>
  <c r="AA40" i="2"/>
  <c r="A55" i="75" l="1"/>
  <c r="A96" i="55"/>
  <c r="Y38" i="32"/>
  <c r="S38" i="33"/>
  <c r="B42" i="2"/>
  <c r="C42" i="2" s="1"/>
  <c r="S45" i="75"/>
  <c r="P47" i="2"/>
  <c r="I51" i="2"/>
  <c r="P51" i="2"/>
  <c r="A47" i="2"/>
  <c r="B47" i="2"/>
  <c r="A51" i="2" s="1"/>
  <c r="B51" i="2" s="1"/>
  <c r="C51" i="2" s="1"/>
  <c r="K47" i="2"/>
  <c r="O51" i="2"/>
  <c r="H51" i="2"/>
  <c r="C47" i="2"/>
  <c r="N51" i="2"/>
  <c r="O47" i="2"/>
  <c r="I47" i="2"/>
  <c r="N47" i="2"/>
  <c r="L5" i="72"/>
  <c r="A44" i="66"/>
  <c r="E11" i="63"/>
  <c r="K11" i="63" s="1"/>
  <c r="A44" i="60"/>
  <c r="A46" i="56"/>
  <c r="A37" i="61"/>
  <c r="E11" i="64"/>
  <c r="K11" i="64" s="1"/>
  <c r="A51" i="57"/>
  <c r="A44" i="57"/>
  <c r="A44" i="58"/>
  <c r="A53" i="66"/>
  <c r="A54" i="32"/>
  <c r="A54" i="33" s="1"/>
  <c r="A44" i="62"/>
  <c r="E11" i="59"/>
  <c r="I12" i="59" s="1"/>
  <c r="O12" i="59" s="1"/>
  <c r="A44" i="59"/>
  <c r="L11" i="36"/>
  <c r="A51" i="58"/>
  <c r="A37" i="66"/>
  <c r="A100" i="55"/>
  <c r="A44" i="64"/>
  <c r="F47" i="2"/>
  <c r="A54" i="64"/>
  <c r="A51" i="59"/>
  <c r="E11" i="61"/>
  <c r="K11" i="61" s="1"/>
  <c r="E11" i="62"/>
  <c r="K11" i="62" s="1"/>
  <c r="A37" i="62"/>
  <c r="A44" i="61"/>
  <c r="A51" i="60"/>
  <c r="A54" i="61"/>
  <c r="A44" i="63"/>
  <c r="E47" i="2"/>
  <c r="A70" i="56"/>
  <c r="E11" i="57"/>
  <c r="I12" i="57" s="1"/>
  <c r="O12" i="57" s="1"/>
  <c r="E11" i="60"/>
  <c r="I12" i="60" s="1"/>
  <c r="O12" i="60" s="1"/>
  <c r="A54" i="62"/>
  <c r="A37" i="64"/>
  <c r="M12" i="66"/>
  <c r="E11" i="58"/>
  <c r="I12" i="58" s="1"/>
  <c r="O12" i="58" s="1"/>
  <c r="A37" i="63"/>
  <c r="A54" i="63"/>
  <c r="S45" i="64" l="1"/>
  <c r="S45" i="63"/>
  <c r="S45" i="62"/>
  <c r="S45" i="61"/>
  <c r="S45" i="66"/>
  <c r="F51" i="2"/>
  <c r="D51" i="2"/>
  <c r="D52" i="2" s="1"/>
  <c r="A41" i="36" s="1"/>
  <c r="E51" i="2"/>
  <c r="A43" i="33"/>
  <c r="V32" i="62"/>
  <c r="V32" i="63"/>
  <c r="T39" i="59"/>
  <c r="T39" i="57"/>
  <c r="A77" i="43"/>
  <c r="A113" i="43" s="1"/>
  <c r="L29" i="55"/>
  <c r="L57" i="55" s="1"/>
  <c r="L86" i="55" s="1"/>
  <c r="A78" i="29"/>
  <c r="V32" i="61"/>
  <c r="T39" i="58"/>
  <c r="A78" i="30"/>
  <c r="A45" i="38"/>
  <c r="T39" i="60"/>
  <c r="A77" i="40"/>
  <c r="A113" i="40" s="1"/>
  <c r="V32" i="64"/>
  <c r="A42" i="56"/>
  <c r="A77" i="44"/>
  <c r="E42" i="2"/>
  <c r="F42" i="2"/>
  <c r="G41" i="2"/>
  <c r="G42" i="2"/>
  <c r="D42" i="2"/>
  <c r="J45" i="2" s="1"/>
  <c r="G51" i="2"/>
  <c r="G24" i="2"/>
  <c r="G30" i="2"/>
  <c r="G32" i="2"/>
  <c r="G34" i="2"/>
  <c r="G22" i="2"/>
  <c r="G19" i="2"/>
  <c r="G38" i="2"/>
  <c r="G37" i="2"/>
  <c r="G25" i="2"/>
  <c r="G35" i="2"/>
  <c r="G28" i="2"/>
  <c r="G31" i="2"/>
  <c r="G26" i="2"/>
  <c r="G21" i="2"/>
  <c r="G39" i="2"/>
  <c r="G18" i="2"/>
  <c r="G20" i="2"/>
  <c r="G40" i="2"/>
  <c r="G29" i="2"/>
  <c r="G33" i="2"/>
  <c r="G23" i="2"/>
  <c r="G27" i="2"/>
  <c r="G36" i="2"/>
  <c r="Q47" i="2"/>
  <c r="S17" i="66" l="1"/>
  <c r="Q24" i="58"/>
  <c r="S17" i="64"/>
  <c r="T17" i="64" s="1"/>
  <c r="Q24" i="60"/>
  <c r="R24" i="60" s="1"/>
  <c r="AG23" i="56"/>
  <c r="Q24" i="57"/>
  <c r="S17" i="63"/>
  <c r="T17" i="63" s="1"/>
  <c r="S17" i="62"/>
  <c r="T17" i="62" s="1"/>
  <c r="S17" i="61"/>
  <c r="Q24" i="59"/>
  <c r="Q20" i="58"/>
  <c r="R20" i="58" s="1"/>
  <c r="Q20" i="60"/>
  <c r="R20" i="60" s="1"/>
  <c r="AG19" i="56"/>
  <c r="Q20" i="57"/>
  <c r="Q20" i="59"/>
  <c r="R20" i="59" s="1"/>
  <c r="Q39" i="58"/>
  <c r="R39" i="58" s="1"/>
  <c r="S32" i="64"/>
  <c r="Q39" i="60"/>
  <c r="AG38" i="56"/>
  <c r="AG42" i="56" s="1"/>
  <c r="AK42" i="56" s="1"/>
  <c r="Q39" i="57"/>
  <c r="R39" i="57" s="1"/>
  <c r="S32" i="63"/>
  <c r="S32" i="62"/>
  <c r="S32" i="61"/>
  <c r="Q39" i="59"/>
  <c r="R39" i="59" s="1"/>
  <c r="S24" i="66"/>
  <c r="Q31" i="58"/>
  <c r="S24" i="64"/>
  <c r="T24" i="64" s="1"/>
  <c r="Q31" i="60"/>
  <c r="R31" i="60" s="1"/>
  <c r="AG30" i="56"/>
  <c r="Q31" i="57"/>
  <c r="S24" i="63"/>
  <c r="T24" i="63" s="1"/>
  <c r="S24" i="62"/>
  <c r="T24" i="62" s="1"/>
  <c r="S24" i="61"/>
  <c r="Q31" i="59"/>
  <c r="S22" i="66"/>
  <c r="AG28" i="56"/>
  <c r="Q29" i="57"/>
  <c r="S22" i="63"/>
  <c r="S22" i="62"/>
  <c r="T22" i="62" s="1"/>
  <c r="S22" i="61"/>
  <c r="T22" i="61" s="1"/>
  <c r="Q29" i="59"/>
  <c r="Q29" i="58"/>
  <c r="S22" i="64"/>
  <c r="T22" i="64" s="1"/>
  <c r="Q29" i="60"/>
  <c r="R29" i="60" s="1"/>
  <c r="S25" i="66"/>
  <c r="Q32" i="58"/>
  <c r="S25" i="64"/>
  <c r="T25" i="64" s="1"/>
  <c r="Q32" i="60"/>
  <c r="R32" i="60" s="1"/>
  <c r="AG31" i="56"/>
  <c r="Q32" i="57"/>
  <c r="S25" i="63"/>
  <c r="T25" i="63" s="1"/>
  <c r="S25" i="62"/>
  <c r="T25" i="62" s="1"/>
  <c r="S25" i="61"/>
  <c r="Q32" i="59"/>
  <c r="S18" i="66"/>
  <c r="AG24" i="56"/>
  <c r="Q25" i="57"/>
  <c r="S18" i="63"/>
  <c r="S18" i="62"/>
  <c r="T18" i="62" s="1"/>
  <c r="S18" i="61"/>
  <c r="T18" i="61" s="1"/>
  <c r="Q25" i="59"/>
  <c r="Q25" i="58"/>
  <c r="S18" i="64"/>
  <c r="T18" i="64" s="1"/>
  <c r="Q25" i="60"/>
  <c r="R25" i="60" s="1"/>
  <c r="S31" i="66"/>
  <c r="Q38" i="58"/>
  <c r="S31" i="64"/>
  <c r="T31" i="64" s="1"/>
  <c r="Q38" i="60"/>
  <c r="R38" i="60" s="1"/>
  <c r="AG37" i="56"/>
  <c r="Q38" i="57"/>
  <c r="S31" i="63"/>
  <c r="T31" i="63" s="1"/>
  <c r="S31" i="62"/>
  <c r="T31" i="62" s="1"/>
  <c r="S31" i="61"/>
  <c r="Q38" i="59"/>
  <c r="Q19" i="58"/>
  <c r="R19" i="58" s="1"/>
  <c r="Q19" i="60"/>
  <c r="R19" i="60" s="1"/>
  <c r="AG18" i="56"/>
  <c r="Q19" i="57"/>
  <c r="Q19" i="59"/>
  <c r="R19" i="59" s="1"/>
  <c r="S26" i="66"/>
  <c r="T26" i="66" s="1"/>
  <c r="AG32" i="56"/>
  <c r="Q33" i="57"/>
  <c r="S26" i="63"/>
  <c r="T26" i="63" s="1"/>
  <c r="S26" i="62"/>
  <c r="T26" i="62" s="1"/>
  <c r="S26" i="61"/>
  <c r="Q33" i="59"/>
  <c r="Q33" i="58"/>
  <c r="R33" i="58" s="1"/>
  <c r="S26" i="64"/>
  <c r="T26" i="64" s="1"/>
  <c r="Q33" i="60"/>
  <c r="AG16" i="56"/>
  <c r="Q17" i="57"/>
  <c r="R17" i="57" s="1"/>
  <c r="Q17" i="59"/>
  <c r="R17" i="59" s="1"/>
  <c r="Q17" i="58"/>
  <c r="Q17" i="60"/>
  <c r="S21" i="66"/>
  <c r="T21" i="66" s="1"/>
  <c r="Q28" i="58"/>
  <c r="R28" i="58" s="1"/>
  <c r="S21" i="64"/>
  <c r="Q28" i="60"/>
  <c r="AG27" i="56"/>
  <c r="Q28" i="57"/>
  <c r="R28" i="57" s="1"/>
  <c r="S21" i="63"/>
  <c r="S21" i="62"/>
  <c r="S21" i="61"/>
  <c r="T21" i="61" s="1"/>
  <c r="Q28" i="59"/>
  <c r="R28" i="59" s="1"/>
  <c r="AG20" i="56"/>
  <c r="Q21" i="57"/>
  <c r="Q21" i="59"/>
  <c r="R21" i="59" s="1"/>
  <c r="Q21" i="58"/>
  <c r="R21" i="58" s="1"/>
  <c r="Q21" i="60"/>
  <c r="Q18" i="58"/>
  <c r="Q18" i="60"/>
  <c r="R18" i="60" s="1"/>
  <c r="AG17" i="56"/>
  <c r="Q18" i="57"/>
  <c r="Q18" i="59"/>
  <c r="Q23" i="58"/>
  <c r="Q23" i="60"/>
  <c r="R23" i="60" s="1"/>
  <c r="AG22" i="56"/>
  <c r="Q23" i="57"/>
  <c r="Q23" i="59"/>
  <c r="R23" i="59" s="1"/>
  <c r="Q22" i="58"/>
  <c r="R22" i="58" s="1"/>
  <c r="Q22" i="60"/>
  <c r="AG21" i="56"/>
  <c r="Q22" i="57"/>
  <c r="R22" i="57" s="1"/>
  <c r="Q22" i="59"/>
  <c r="R22" i="59" s="1"/>
  <c r="S28" i="66"/>
  <c r="Q35" i="58"/>
  <c r="S28" i="64"/>
  <c r="T28" i="64" s="1"/>
  <c r="Q35" i="60"/>
  <c r="R35" i="60" s="1"/>
  <c r="AG34" i="56"/>
  <c r="Q35" i="57"/>
  <c r="S28" i="63"/>
  <c r="T28" i="63" s="1"/>
  <c r="S28" i="62"/>
  <c r="T28" i="62" s="1"/>
  <c r="S28" i="61"/>
  <c r="Q35" i="59"/>
  <c r="S27" i="66"/>
  <c r="T27" i="66" s="1"/>
  <c r="Q34" i="58"/>
  <c r="R34" i="58" s="1"/>
  <c r="S27" i="64"/>
  <c r="Q34" i="60"/>
  <c r="AG33" i="56"/>
  <c r="Q34" i="57"/>
  <c r="R34" i="57" s="1"/>
  <c r="S27" i="63"/>
  <c r="S27" i="62"/>
  <c r="S27" i="61"/>
  <c r="T27" i="61" s="1"/>
  <c r="Q34" i="59"/>
  <c r="R34" i="59" s="1"/>
  <c r="S20" i="66"/>
  <c r="Q27" i="58"/>
  <c r="S20" i="64"/>
  <c r="T20" i="64" s="1"/>
  <c r="Q27" i="60"/>
  <c r="R27" i="60" s="1"/>
  <c r="AG26" i="56"/>
  <c r="Q27" i="57"/>
  <c r="S20" i="63"/>
  <c r="T20" i="63" s="1"/>
  <c r="S20" i="62"/>
  <c r="T20" i="62" s="1"/>
  <c r="S20" i="61"/>
  <c r="Q27" i="59"/>
  <c r="S30" i="66"/>
  <c r="T30" i="66" s="1"/>
  <c r="AG36" i="56"/>
  <c r="Q37" i="57"/>
  <c r="S30" i="63"/>
  <c r="S30" i="62"/>
  <c r="T30" i="62" s="1"/>
  <c r="S30" i="61"/>
  <c r="T30" i="61" s="1"/>
  <c r="Q37" i="59"/>
  <c r="Q37" i="58"/>
  <c r="S30" i="64"/>
  <c r="T30" i="64" s="1"/>
  <c r="Q37" i="60"/>
  <c r="R37" i="60" s="1"/>
  <c r="S19" i="66"/>
  <c r="Q26" i="58"/>
  <c r="S19" i="64"/>
  <c r="T19" i="64" s="1"/>
  <c r="Q26" i="60"/>
  <c r="R26" i="60" s="1"/>
  <c r="AG25" i="56"/>
  <c r="Q26" i="57"/>
  <c r="S19" i="63"/>
  <c r="T19" i="63" s="1"/>
  <c r="S19" i="62"/>
  <c r="T19" i="62" s="1"/>
  <c r="S19" i="61"/>
  <c r="Q26" i="59"/>
  <c r="S29" i="66"/>
  <c r="T29" i="66" s="1"/>
  <c r="Q36" i="58"/>
  <c r="R36" i="58" s="1"/>
  <c r="S29" i="64"/>
  <c r="Q36" i="60"/>
  <c r="AG35" i="56"/>
  <c r="Q36" i="57"/>
  <c r="R36" i="57" s="1"/>
  <c r="S29" i="63"/>
  <c r="S29" i="62"/>
  <c r="S29" i="61"/>
  <c r="T29" i="61" s="1"/>
  <c r="Q36" i="59"/>
  <c r="R36" i="59" s="1"/>
  <c r="S23" i="66"/>
  <c r="Q30" i="58"/>
  <c r="S23" i="64"/>
  <c r="T23" i="64" s="1"/>
  <c r="Q30" i="60"/>
  <c r="R30" i="60" s="1"/>
  <c r="AG29" i="56"/>
  <c r="Q30" i="57"/>
  <c r="S23" i="63"/>
  <c r="T23" i="63" s="1"/>
  <c r="S23" i="62"/>
  <c r="T23" i="62" s="1"/>
  <c r="S23" i="61"/>
  <c r="Q30" i="59"/>
  <c r="G47" i="2"/>
  <c r="S32" i="66"/>
  <c r="T32" i="66" s="1"/>
  <c r="A7" i="36"/>
  <c r="T32" i="63"/>
  <c r="T32" i="61"/>
  <c r="T32" i="62"/>
  <c r="T32" i="64"/>
  <c r="R39" i="60"/>
  <c r="AM41" i="37"/>
  <c r="BA41" i="37" s="1"/>
  <c r="A45" i="37"/>
  <c r="AM45" i="37" s="1"/>
  <c r="R34" i="60"/>
  <c r="T27" i="63"/>
  <c r="T27" i="62"/>
  <c r="T27" i="64"/>
  <c r="R27" i="57"/>
  <c r="R27" i="58"/>
  <c r="R27" i="59"/>
  <c r="T20" i="61"/>
  <c r="R37" i="58"/>
  <c r="R37" i="57"/>
  <c r="R37" i="59"/>
  <c r="T30" i="63"/>
  <c r="R26" i="57"/>
  <c r="R26" i="59"/>
  <c r="R26" i="58"/>
  <c r="T19" i="61"/>
  <c r="R36" i="60"/>
  <c r="T29" i="63"/>
  <c r="T29" i="62"/>
  <c r="T29" i="64"/>
  <c r="R30" i="57"/>
  <c r="R30" i="59"/>
  <c r="R30" i="58"/>
  <c r="T23" i="61"/>
  <c r="R31" i="57"/>
  <c r="R31" i="58"/>
  <c r="R31" i="59"/>
  <c r="T24" i="61"/>
  <c r="R35" i="57"/>
  <c r="R35" i="58"/>
  <c r="R35" i="59"/>
  <c r="T28" i="61"/>
  <c r="R32" i="57"/>
  <c r="R32" i="58"/>
  <c r="R32" i="59"/>
  <c r="T25" i="61"/>
  <c r="R25" i="57"/>
  <c r="R25" i="58"/>
  <c r="R25" i="59"/>
  <c r="T18" i="63"/>
  <c r="T31" i="66"/>
  <c r="R38" i="57"/>
  <c r="R38" i="58"/>
  <c r="R38" i="59"/>
  <c r="T31" i="61"/>
  <c r="R19" i="57"/>
  <c r="R33" i="57"/>
  <c r="R33" i="59"/>
  <c r="R33" i="60"/>
  <c r="T26" i="61"/>
  <c r="R17" i="60"/>
  <c r="R17" i="58"/>
  <c r="R28" i="60"/>
  <c r="T21" i="63"/>
  <c r="T21" i="62"/>
  <c r="T21" i="64"/>
  <c r="R29" i="57"/>
  <c r="R29" i="58"/>
  <c r="R29" i="59"/>
  <c r="T22" i="63"/>
  <c r="R21" i="57"/>
  <c r="R21" i="60"/>
  <c r="R18" i="57"/>
  <c r="R18" i="58"/>
  <c r="R18" i="59"/>
  <c r="R24" i="57"/>
  <c r="R24" i="58"/>
  <c r="R24" i="59"/>
  <c r="T17" i="61"/>
  <c r="R23" i="57"/>
  <c r="R23" i="58"/>
  <c r="R20" i="57"/>
  <c r="R22" i="60"/>
  <c r="AM38" i="56"/>
  <c r="T18" i="66"/>
  <c r="T20" i="66"/>
  <c r="T23" i="66"/>
  <c r="T17" i="66"/>
  <c r="S16" i="63"/>
  <c r="T16" i="63" s="1"/>
  <c r="S16" i="61"/>
  <c r="T16" i="61" s="1"/>
  <c r="S16" i="64"/>
  <c r="T16" i="64" s="1"/>
  <c r="S16" i="62"/>
  <c r="T16" i="62" s="1"/>
  <c r="S16" i="66"/>
  <c r="T16" i="66" s="1"/>
  <c r="T19" i="66"/>
  <c r="Q16" i="57"/>
  <c r="R16" i="57" s="1"/>
  <c r="Q16" i="58"/>
  <c r="R16" i="58" s="1"/>
  <c r="Q16" i="60"/>
  <c r="R16" i="60" s="1"/>
  <c r="Q16" i="59"/>
  <c r="R16" i="59" s="1"/>
  <c r="AG15" i="56"/>
  <c r="T25" i="66"/>
  <c r="AI38" i="56" l="1"/>
  <c r="AK38" i="56"/>
  <c r="AQ38" i="56"/>
  <c r="AO38" i="56"/>
  <c r="Q51" i="2"/>
  <c r="AQ42" i="56"/>
  <c r="AM42" i="56"/>
  <c r="AO42" i="56"/>
  <c r="AI42" i="56"/>
  <c r="AQ27" i="56"/>
  <c r="AI27" i="56"/>
  <c r="AM27" i="56"/>
  <c r="AO27" i="56"/>
  <c r="AK27" i="56"/>
  <c r="AQ16" i="56"/>
  <c r="AK16" i="56"/>
  <c r="AI16" i="56"/>
  <c r="AO16" i="56"/>
  <c r="AM16" i="56"/>
  <c r="AQ34" i="56"/>
  <c r="AM34" i="56"/>
  <c r="AI34" i="56"/>
  <c r="AO34" i="56"/>
  <c r="AK34" i="56"/>
  <c r="AQ23" i="56"/>
  <c r="AK23" i="56"/>
  <c r="AI23" i="56"/>
  <c r="AM23" i="56"/>
  <c r="AO23" i="56"/>
  <c r="AQ32" i="56"/>
  <c r="AK32" i="56"/>
  <c r="AI32" i="56"/>
  <c r="AO32" i="56"/>
  <c r="AM32" i="56"/>
  <c r="AQ24" i="56"/>
  <c r="AI24" i="56"/>
  <c r="AO24" i="56"/>
  <c r="AM24" i="56"/>
  <c r="AK24" i="56"/>
  <c r="AQ30" i="56"/>
  <c r="AK30" i="56"/>
  <c r="AM30" i="56"/>
  <c r="AI30" i="56"/>
  <c r="AO30" i="56"/>
  <c r="AQ22" i="56"/>
  <c r="AM22" i="56"/>
  <c r="AI22" i="56"/>
  <c r="AO22" i="56"/>
  <c r="AK22" i="56"/>
  <c r="AQ25" i="56"/>
  <c r="AK25" i="56"/>
  <c r="AM25" i="56"/>
  <c r="AI25" i="56"/>
  <c r="AO25" i="56"/>
  <c r="AQ21" i="56"/>
  <c r="AK21" i="56"/>
  <c r="AM21" i="56"/>
  <c r="AI21" i="56"/>
  <c r="AO21" i="56"/>
  <c r="AQ19" i="56"/>
  <c r="AM19" i="56"/>
  <c r="AO19" i="56"/>
  <c r="AK19" i="56"/>
  <c r="AI19" i="56"/>
  <c r="AQ17" i="56"/>
  <c r="AM17" i="56"/>
  <c r="AI17" i="56"/>
  <c r="AO17" i="56"/>
  <c r="AK17" i="56"/>
  <c r="AQ20" i="56"/>
  <c r="AI20" i="56"/>
  <c r="AO20" i="56"/>
  <c r="AM20" i="56"/>
  <c r="AK20" i="56"/>
  <c r="AQ31" i="56"/>
  <c r="AI31" i="56"/>
  <c r="AM31" i="56"/>
  <c r="AO31" i="56"/>
  <c r="AK31" i="56"/>
  <c r="AQ29" i="56"/>
  <c r="AM29" i="56"/>
  <c r="AI29" i="56"/>
  <c r="AO29" i="56"/>
  <c r="AK29" i="56"/>
  <c r="AQ26" i="56"/>
  <c r="AM26" i="56"/>
  <c r="AI26" i="56"/>
  <c r="AO26" i="56"/>
  <c r="AK26" i="56"/>
  <c r="AQ37" i="56"/>
  <c r="AK37" i="56"/>
  <c r="AM37" i="56"/>
  <c r="AI37" i="56"/>
  <c r="AO37" i="56"/>
  <c r="AQ28" i="56"/>
  <c r="AM28" i="56"/>
  <c r="AK28" i="56"/>
  <c r="AI28" i="56"/>
  <c r="AO28" i="56"/>
  <c r="AQ18" i="56"/>
  <c r="AM18" i="56"/>
  <c r="AI18" i="56"/>
  <c r="AO18" i="56"/>
  <c r="AK18" i="56"/>
  <c r="AQ35" i="56"/>
  <c r="AM35" i="56"/>
  <c r="AO35" i="56"/>
  <c r="AK35" i="56"/>
  <c r="AI35" i="56"/>
  <c r="AQ36" i="56"/>
  <c r="AI36" i="56"/>
  <c r="AO36" i="56"/>
  <c r="AM36" i="56"/>
  <c r="AK36" i="56"/>
  <c r="AQ33" i="56"/>
  <c r="AM33" i="56"/>
  <c r="AI33" i="56"/>
  <c r="AO33" i="56"/>
  <c r="AK33" i="56"/>
  <c r="U39" i="63"/>
  <c r="V39" i="63" s="1"/>
  <c r="U38" i="63"/>
  <c r="V38" i="63" s="1"/>
  <c r="U40" i="63"/>
  <c r="V40" i="63" s="1"/>
  <c r="U41" i="64"/>
  <c r="V41" i="64" s="1"/>
  <c r="S48" i="57"/>
  <c r="T48" i="57" s="1"/>
  <c r="S49" i="58"/>
  <c r="T49" i="58" s="1"/>
  <c r="U42" i="61"/>
  <c r="V42" i="61" s="1"/>
  <c r="U40" i="61"/>
  <c r="V40" i="61" s="1"/>
  <c r="U39" i="61"/>
  <c r="V39" i="61" s="1"/>
  <c r="U38" i="61"/>
  <c r="V38" i="61" s="1"/>
  <c r="S47" i="60"/>
  <c r="T47" i="60" s="1"/>
  <c r="S46" i="60"/>
  <c r="T46" i="60" s="1"/>
  <c r="S45" i="60"/>
  <c r="T45" i="60" s="1"/>
  <c r="T24" i="66"/>
  <c r="U41" i="66"/>
  <c r="V41" i="66" s="1"/>
  <c r="U41" i="61"/>
  <c r="V41" i="61" s="1"/>
  <c r="S49" i="59"/>
  <c r="T49" i="59" s="1"/>
  <c r="S49" i="57"/>
  <c r="T49" i="57" s="1"/>
  <c r="U42" i="62"/>
  <c r="V42" i="62" s="1"/>
  <c r="U41" i="63"/>
  <c r="V41" i="63" s="1"/>
  <c r="U42" i="63"/>
  <c r="V42" i="63" s="1"/>
  <c r="U42" i="64"/>
  <c r="V42" i="64" s="1"/>
  <c r="U42" i="66"/>
  <c r="V42" i="66" s="1"/>
  <c r="T28" i="66"/>
  <c r="U38" i="62"/>
  <c r="V38" i="62" s="1"/>
  <c r="U40" i="62"/>
  <c r="V40" i="62" s="1"/>
  <c r="U39" i="62"/>
  <c r="V39" i="62" s="1"/>
  <c r="S46" i="58"/>
  <c r="T46" i="58" s="1"/>
  <c r="S47" i="58"/>
  <c r="T47" i="58" s="1"/>
  <c r="S45" i="58"/>
  <c r="T45" i="58" s="1"/>
  <c r="U40" i="66"/>
  <c r="V40" i="66" s="1"/>
  <c r="U38" i="66"/>
  <c r="V38" i="66" s="1"/>
  <c r="U39" i="66"/>
  <c r="V39" i="66" s="1"/>
  <c r="T22" i="66"/>
  <c r="S48" i="60"/>
  <c r="T48" i="60" s="1"/>
  <c r="S48" i="59"/>
  <c r="T48" i="59" s="1"/>
  <c r="S49" i="60"/>
  <c r="T49" i="60" s="1"/>
  <c r="S45" i="59"/>
  <c r="T45" i="59" s="1"/>
  <c r="S46" i="59"/>
  <c r="T46" i="59" s="1"/>
  <c r="S47" i="59"/>
  <c r="T47" i="59" s="1"/>
  <c r="S47" i="57"/>
  <c r="T47" i="57" s="1"/>
  <c r="S46" i="57"/>
  <c r="T46" i="57" s="1"/>
  <c r="S45" i="57"/>
  <c r="T45" i="57" s="1"/>
  <c r="U38" i="64"/>
  <c r="V38" i="64" s="1"/>
  <c r="U39" i="64"/>
  <c r="V39" i="64" s="1"/>
  <c r="U40" i="64"/>
  <c r="V40" i="64" s="1"/>
  <c r="AK15" i="56"/>
  <c r="AI15" i="56"/>
  <c r="AQ15" i="56"/>
  <c r="AM15" i="56"/>
  <c r="AO15" i="56"/>
  <c r="U41" i="62"/>
  <c r="V41" i="62" s="1"/>
  <c r="S48" i="58"/>
  <c r="T48" i="58" s="1"/>
  <c r="AS38" i="56" l="1"/>
  <c r="AS33" i="56"/>
  <c r="AS37" i="56"/>
  <c r="AS31" i="56"/>
  <c r="AS19" i="56"/>
  <c r="AS25" i="56"/>
  <c r="AS32" i="56"/>
  <c r="AS24" i="56"/>
  <c r="AS36" i="56"/>
  <c r="AS20" i="56"/>
  <c r="AS23" i="56"/>
  <c r="AS27" i="56"/>
  <c r="AS28" i="56"/>
  <c r="AS26" i="56"/>
  <c r="AS17" i="56"/>
  <c r="AS22" i="56"/>
  <c r="AS30" i="56"/>
  <c r="AS15" i="56"/>
  <c r="AS35" i="56"/>
  <c r="AS18" i="56"/>
  <c r="AS29" i="56"/>
  <c r="AS21" i="56"/>
  <c r="AS34" i="56"/>
  <c r="AS16" i="56"/>
  <c r="AU61" i="41" l="1"/>
  <c r="M27" i="30" l="1"/>
  <c r="AU63" i="41"/>
  <c r="AV63" i="41"/>
  <c r="AA26" i="38" l="1"/>
  <c r="AU69" i="41"/>
  <c r="AU72" i="41"/>
  <c r="AV72" i="41"/>
  <c r="AV69" i="41" l="1"/>
  <c r="AA36" i="38"/>
  <c r="AV61" i="41" l="1"/>
  <c r="AA27" i="38"/>
  <c r="U27" i="38"/>
  <c r="W27" i="38" s="1"/>
  <c r="AA25" i="38"/>
  <c r="U25" i="38"/>
  <c r="AU25" i="37"/>
  <c r="AY25" i="37" s="1"/>
  <c r="E23" i="33" s="1"/>
  <c r="I23" i="33" s="1"/>
  <c r="S26" i="30" l="1"/>
  <c r="W25" i="38"/>
  <c r="AT27" i="37"/>
  <c r="AX27" i="37" s="1"/>
  <c r="C25" i="33" s="1"/>
  <c r="K25" i="33" s="1"/>
  <c r="M25" i="33" s="1"/>
  <c r="C26" i="76" s="1"/>
  <c r="S28" i="30"/>
  <c r="S62" i="30"/>
  <c r="AB27" i="38"/>
  <c r="AH27" i="38" s="1"/>
  <c r="AT25" i="37"/>
  <c r="AX25" i="37" s="1"/>
  <c r="C23" i="33" s="1"/>
  <c r="K23" i="33" s="1"/>
  <c r="M23" i="33" s="1"/>
  <c r="C24" i="76" s="1"/>
  <c r="AB25" i="38"/>
  <c r="AH25" i="38" s="1"/>
  <c r="S64" i="30" l="1"/>
  <c r="AC27" i="38"/>
  <c r="AD27" i="38"/>
  <c r="AC25" i="38"/>
  <c r="AD25" i="38"/>
  <c r="AA31" i="38" l="1"/>
  <c r="U31" i="38"/>
  <c r="W31" i="38" s="1"/>
  <c r="AT31" i="37" l="1"/>
  <c r="AX31" i="37" s="1"/>
  <c r="C29" i="33" s="1"/>
  <c r="K29" i="33" s="1"/>
  <c r="M29" i="33" s="1"/>
  <c r="C30" i="76" s="1"/>
  <c r="S32" i="30"/>
  <c r="AB31" i="38"/>
  <c r="AH31" i="38" s="1"/>
  <c r="AA37" i="38"/>
  <c r="AA39" i="38"/>
  <c r="U32" i="38"/>
  <c r="W32" i="38" s="1"/>
  <c r="AA32" i="38"/>
  <c r="M39" i="30"/>
  <c r="S33" i="30" l="1"/>
  <c r="AT32" i="37"/>
  <c r="AX32" i="37" s="1"/>
  <c r="C30" i="33" s="1"/>
  <c r="K30" i="33" s="1"/>
  <c r="M30" i="33" s="1"/>
  <c r="C31" i="76" s="1"/>
  <c r="S68" i="30"/>
  <c r="AD31" i="38"/>
  <c r="AC31" i="38"/>
  <c r="E39" i="33"/>
  <c r="I39" i="33" s="1"/>
  <c r="AB32" i="38"/>
  <c r="AH32" i="38" s="1"/>
  <c r="AA38" i="38"/>
  <c r="S69" i="30" l="1"/>
  <c r="AA33" i="38"/>
  <c r="U33" i="38"/>
  <c r="W33" i="38" s="1"/>
  <c r="AD32" i="38"/>
  <c r="AC32" i="38"/>
  <c r="S34" i="30" l="1"/>
  <c r="AT33" i="37"/>
  <c r="AX33" i="37" s="1"/>
  <c r="C31" i="33" s="1"/>
  <c r="K31" i="33" s="1"/>
  <c r="M31" i="33" s="1"/>
  <c r="C32" i="76" s="1"/>
  <c r="AB33" i="38"/>
  <c r="AH33" i="38" s="1"/>
  <c r="S70" i="30" l="1"/>
  <c r="AC33" i="38"/>
  <c r="AD33" i="38"/>
  <c r="AA35" i="38"/>
  <c r="S37" i="30" l="1"/>
  <c r="S73" i="30" s="1"/>
  <c r="S35" i="30"/>
  <c r="AB36" i="38"/>
  <c r="AH36" i="38" s="1"/>
  <c r="AB34" i="38"/>
  <c r="AH34" i="38" s="1"/>
  <c r="S71" i="30" l="1"/>
  <c r="AD34" i="38"/>
  <c r="AC34" i="38"/>
  <c r="AD36" i="38"/>
  <c r="AC36" i="38"/>
  <c r="L51" i="2" l="1"/>
  <c r="L47" i="2"/>
  <c r="V42" i="56"/>
  <c r="L23" i="2"/>
  <c r="I21" i="57" l="1"/>
  <c r="K21" i="57" s="1"/>
  <c r="I21" i="58"/>
  <c r="K21" i="58" s="1"/>
  <c r="I21" i="59"/>
  <c r="K21" i="59" s="1"/>
  <c r="I21" i="60"/>
  <c r="K21" i="60" s="1"/>
  <c r="V20" i="56"/>
  <c r="M23" i="2"/>
  <c r="W54" i="56"/>
  <c r="W57" i="56"/>
  <c r="L22" i="2"/>
  <c r="M51" i="2"/>
  <c r="M47" i="2"/>
  <c r="I20" i="60" l="1"/>
  <c r="K20" i="60" s="1"/>
  <c r="I20" i="57"/>
  <c r="K20" i="57" s="1"/>
  <c r="I20" i="58"/>
  <c r="K20" i="58" s="1"/>
  <c r="I20" i="59"/>
  <c r="K20" i="59" s="1"/>
  <c r="V19" i="56"/>
  <c r="M22" i="2"/>
  <c r="W55" i="56"/>
  <c r="L21" i="2"/>
  <c r="W56" i="56"/>
  <c r="I19" i="60" l="1"/>
  <c r="K19" i="60" s="1"/>
  <c r="I19" i="57"/>
  <c r="K19" i="57" s="1"/>
  <c r="I19" i="58"/>
  <c r="K19" i="58" s="1"/>
  <c r="I19" i="59"/>
  <c r="K19" i="59" s="1"/>
  <c r="V18" i="56"/>
  <c r="M21" i="2"/>
  <c r="L20" i="2"/>
  <c r="I18" i="57" l="1"/>
  <c r="K18" i="57" s="1"/>
  <c r="I18" i="58"/>
  <c r="K18" i="58" s="1"/>
  <c r="I18" i="59"/>
  <c r="K18" i="59" s="1"/>
  <c r="I18" i="60"/>
  <c r="K18" i="60" s="1"/>
  <c r="V17" i="56"/>
  <c r="M20" i="2"/>
  <c r="L19" i="2"/>
  <c r="I17" i="58" l="1"/>
  <c r="I17" i="59"/>
  <c r="I17" i="60"/>
  <c r="V16" i="56"/>
  <c r="I17" i="57"/>
  <c r="L18" i="2"/>
  <c r="I16" i="59" l="1"/>
  <c r="K16" i="59" s="1"/>
  <c r="V15" i="56"/>
  <c r="I16" i="60"/>
  <c r="K16" i="60" s="1"/>
  <c r="M18" i="2"/>
  <c r="I16" i="57"/>
  <c r="K16" i="57" s="1"/>
  <c r="I16" i="58"/>
  <c r="K16" i="58" s="1"/>
  <c r="AF18" i="2" l="1"/>
  <c r="O6" i="17" l="1"/>
  <c r="O7" i="17"/>
  <c r="O8" i="17" l="1"/>
  <c r="O9" i="17" l="1"/>
  <c r="O10" i="17" l="1"/>
  <c r="O11" i="17"/>
  <c r="O12" i="17" l="1"/>
  <c r="O13" i="17" l="1"/>
  <c r="O14" i="17" l="1"/>
  <c r="O15" i="17" l="1"/>
  <c r="O16" i="17" l="1"/>
  <c r="O17" i="17" l="1"/>
  <c r="O18" i="17" l="1"/>
  <c r="O19" i="17" l="1"/>
  <c r="O20" i="17" l="1"/>
  <c r="O21" i="17" l="1"/>
  <c r="O22" i="17" l="1"/>
  <c r="O23" i="17" l="1"/>
  <c r="O24" i="17" l="1"/>
  <c r="O25" i="17" l="1"/>
  <c r="A26" i="17"/>
  <c r="O26" i="17" l="1"/>
  <c r="A27" i="17"/>
  <c r="O27" i="17" l="1"/>
  <c r="A28" i="17"/>
  <c r="O28" i="17" s="1"/>
  <c r="U42" i="56" l="1"/>
  <c r="J51" i="2"/>
  <c r="J47" i="2"/>
  <c r="AJ23" i="2"/>
  <c r="AJ38" i="2"/>
  <c r="AJ28" i="2"/>
  <c r="AJ19" i="2"/>
  <c r="AJ36" i="2"/>
  <c r="U15" i="56"/>
  <c r="E16" i="59"/>
  <c r="M16" i="59" s="1"/>
  <c r="E16" i="58"/>
  <c r="M16" i="58" s="1"/>
  <c r="AJ18" i="2"/>
  <c r="E16" i="60"/>
  <c r="E16" i="57"/>
  <c r="M16" i="57" s="1"/>
  <c r="AJ37" i="2"/>
  <c r="AJ20" i="2"/>
  <c r="AJ31" i="2"/>
  <c r="AJ29" i="2"/>
  <c r="AJ32" i="2"/>
  <c r="AJ33" i="2"/>
  <c r="AJ34" i="2"/>
  <c r="AJ22" i="2"/>
  <c r="AJ21" i="2"/>
  <c r="AJ40" i="2"/>
  <c r="AJ39" i="2"/>
  <c r="AJ26" i="2"/>
  <c r="AJ30" i="2"/>
  <c r="AJ27" i="2"/>
  <c r="E16" i="62"/>
  <c r="E16" i="61"/>
  <c r="AJ25" i="2"/>
  <c r="E16" i="64"/>
  <c r="E16" i="63"/>
  <c r="AJ35" i="2"/>
  <c r="AJ24" i="2"/>
  <c r="O16" i="58" l="1"/>
  <c r="V6" i="80"/>
  <c r="AD6" i="80" s="1"/>
  <c r="W16" i="58"/>
  <c r="W16" i="57"/>
  <c r="U6" i="80"/>
  <c r="AC6" i="80" s="1"/>
  <c r="O16" i="57"/>
  <c r="W6" i="80"/>
  <c r="AE6" i="80" s="1"/>
  <c r="W16" i="59"/>
  <c r="O16" i="59"/>
  <c r="F73" i="11" l="1"/>
  <c r="C73" i="11"/>
  <c r="D73" i="11"/>
  <c r="E73" i="11"/>
  <c r="G73" i="11"/>
  <c r="F57" i="11" l="1"/>
  <c r="E57" i="11"/>
  <c r="D57" i="11"/>
  <c r="C57" i="11"/>
  <c r="I73" i="11"/>
  <c r="K73" i="11"/>
  <c r="M73" i="11"/>
  <c r="J73" i="11"/>
  <c r="L73" i="11"/>
  <c r="H73" i="11"/>
  <c r="G57" i="11" s="1"/>
  <c r="K57" i="11" l="1"/>
  <c r="J57" i="11"/>
  <c r="H57" i="11"/>
  <c r="L57" i="11"/>
  <c r="I57" i="11"/>
  <c r="N73" i="11"/>
  <c r="M57" i="11" l="1"/>
  <c r="O73" i="11"/>
  <c r="N57" i="11" l="1"/>
  <c r="P73" i="11"/>
  <c r="O57" i="11" l="1"/>
  <c r="Q73" i="11"/>
  <c r="P57" i="11" l="1"/>
  <c r="B32" i="17" l="1"/>
  <c r="B31" i="17"/>
  <c r="S73" i="11"/>
  <c r="S57" i="11" l="1"/>
  <c r="B33" i="17"/>
  <c r="D73" i="12" l="1"/>
  <c r="C73" i="5"/>
  <c r="D73" i="10"/>
  <c r="C73" i="12"/>
  <c r="M32" i="17"/>
  <c r="E73" i="10"/>
  <c r="D73" i="6"/>
  <c r="E73" i="5"/>
  <c r="E73" i="6"/>
  <c r="F73" i="9"/>
  <c r="K17" i="17"/>
  <c r="H32" i="17"/>
  <c r="F73" i="10"/>
  <c r="F73" i="6"/>
  <c r="H33" i="17"/>
  <c r="Q17" i="17"/>
  <c r="K8" i="17"/>
  <c r="E73" i="8" s="1"/>
  <c r="Q19" i="17"/>
  <c r="G73" i="9"/>
  <c r="P19" i="17"/>
  <c r="C73" i="10"/>
  <c r="E16" i="17"/>
  <c r="E73" i="9"/>
  <c r="D73" i="5"/>
  <c r="E15" i="17"/>
  <c r="C73" i="9"/>
  <c r="P16" i="17"/>
  <c r="Q8" i="17"/>
  <c r="K12" i="17"/>
  <c r="E73" i="12"/>
  <c r="D57" i="12" s="1"/>
  <c r="C73" i="6"/>
  <c r="Q9" i="17"/>
  <c r="D73" i="9"/>
  <c r="C57" i="5" l="1"/>
  <c r="F57" i="9"/>
  <c r="C57" i="9"/>
  <c r="E57" i="10"/>
  <c r="D57" i="6"/>
  <c r="E57" i="6"/>
  <c r="D57" i="10"/>
  <c r="D57" i="9"/>
  <c r="E19" i="17"/>
  <c r="C57" i="6"/>
  <c r="E57" i="9"/>
  <c r="C57" i="10"/>
  <c r="C57" i="12"/>
  <c r="D57" i="5"/>
  <c r="E8" i="17"/>
  <c r="E73" i="7" s="1"/>
  <c r="G33" i="17"/>
  <c r="E18" i="17"/>
  <c r="Q14" i="17"/>
  <c r="K16" i="17"/>
  <c r="P18" i="17"/>
  <c r="E7" i="17"/>
  <c r="D73" i="7" s="1"/>
  <c r="K19" i="17"/>
  <c r="P12" i="17"/>
  <c r="E12" i="17"/>
  <c r="J32" i="17"/>
  <c r="P8" i="17"/>
  <c r="Q16" i="17"/>
  <c r="P15" i="17"/>
  <c r="Q13" i="17"/>
  <c r="K13" i="17"/>
  <c r="Q20" i="17"/>
  <c r="J26" i="17"/>
  <c r="J27" i="17" s="1"/>
  <c r="J28" i="17" s="1"/>
  <c r="J35" i="17"/>
  <c r="D34" i="17"/>
  <c r="Q23" i="17"/>
  <c r="I33" i="17"/>
  <c r="P13" i="17"/>
  <c r="G31" i="17"/>
  <c r="E17" i="17"/>
  <c r="H34" i="17"/>
  <c r="Q11" i="17"/>
  <c r="F33" i="17"/>
  <c r="E23" i="17"/>
  <c r="J34" i="17"/>
  <c r="K18" i="17"/>
  <c r="I31" i="17"/>
  <c r="Q21" i="17"/>
  <c r="C33" i="17"/>
  <c r="P23" i="17"/>
  <c r="Q15" i="17"/>
  <c r="K6" i="17"/>
  <c r="C73" i="8" s="1"/>
  <c r="E11" i="17"/>
  <c r="I32" i="17"/>
  <c r="Q22" i="17"/>
  <c r="P6" i="17"/>
  <c r="K11" i="17"/>
  <c r="G34" i="17"/>
  <c r="P11" i="17"/>
  <c r="K20" i="17"/>
  <c r="J33" i="17"/>
  <c r="F26" i="17"/>
  <c r="F27" i="17" s="1"/>
  <c r="F28" i="17" s="1"/>
  <c r="F35" i="17"/>
  <c r="E25" i="17"/>
  <c r="D35" i="17"/>
  <c r="D26" i="17"/>
  <c r="D27" i="17" s="1"/>
  <c r="D28" i="17" s="1"/>
  <c r="K21" i="17"/>
  <c r="L31" i="17"/>
  <c r="P14" i="17"/>
  <c r="E9" i="17"/>
  <c r="F73" i="7" s="1"/>
  <c r="C32" i="17"/>
  <c r="P22" i="17"/>
  <c r="K7" i="17"/>
  <c r="D73" i="8" s="1"/>
  <c r="D57" i="8" s="1"/>
  <c r="C26" i="17"/>
  <c r="C35" i="17"/>
  <c r="P25" i="17"/>
  <c r="P9" i="17"/>
  <c r="Q7" i="17"/>
  <c r="G26" i="17"/>
  <c r="G27" i="17" s="1"/>
  <c r="G28" i="17" s="1"/>
  <c r="G35" i="17"/>
  <c r="D31" i="17"/>
  <c r="L34" i="17"/>
  <c r="K24" i="17"/>
  <c r="P7" i="17"/>
  <c r="E6" i="17"/>
  <c r="C73" i="7" s="1"/>
  <c r="G32" i="17"/>
  <c r="Q6" i="17"/>
  <c r="M35" i="17"/>
  <c r="M26" i="17"/>
  <c r="M27" i="17" s="1"/>
  <c r="M28" i="17" s="1"/>
  <c r="E13" i="17"/>
  <c r="J31" i="17"/>
  <c r="D33" i="17"/>
  <c r="K10" i="17"/>
  <c r="M33" i="17"/>
  <c r="K14" i="17"/>
  <c r="C34" i="17"/>
  <c r="P24" i="17"/>
  <c r="K15" i="17"/>
  <c r="H35" i="17"/>
  <c r="H26" i="17"/>
  <c r="H27" i="17" s="1"/>
  <c r="H28" i="17" s="1"/>
  <c r="L33" i="17"/>
  <c r="K23" i="17"/>
  <c r="L35" i="17"/>
  <c r="L26" i="17"/>
  <c r="L27" i="17" s="1"/>
  <c r="L28" i="17" s="1"/>
  <c r="K25" i="17"/>
  <c r="I34" i="17"/>
  <c r="Q24" i="17"/>
  <c r="C31" i="17"/>
  <c r="P21" i="17"/>
  <c r="E22" i="17"/>
  <c r="F32" i="17"/>
  <c r="E10" i="17"/>
  <c r="L32" i="17"/>
  <c r="K22" i="17"/>
  <c r="P17" i="17"/>
  <c r="E20" i="17"/>
  <c r="Q12" i="17"/>
  <c r="F34" i="17"/>
  <c r="E24" i="17"/>
  <c r="Q18" i="17"/>
  <c r="P20" i="17"/>
  <c r="I26" i="17"/>
  <c r="Q25" i="17"/>
  <c r="I35" i="17"/>
  <c r="P10" i="17"/>
  <c r="E14" i="17"/>
  <c r="H31" i="17"/>
  <c r="Q10" i="17"/>
  <c r="E21" i="17"/>
  <c r="F31" i="17"/>
  <c r="B35" i="17"/>
  <c r="B26" i="17"/>
  <c r="B27" i="17" s="1"/>
  <c r="B28" i="17" s="1"/>
  <c r="K9" i="17"/>
  <c r="F73" i="8" s="1"/>
  <c r="E57" i="8" s="1"/>
  <c r="M34" i="17"/>
  <c r="D32" i="17"/>
  <c r="B34" i="17"/>
  <c r="M31" i="17"/>
  <c r="E57" i="7" l="1"/>
  <c r="C57" i="7"/>
  <c r="C57" i="8"/>
  <c r="S73" i="10"/>
  <c r="I73" i="12"/>
  <c r="N73" i="9"/>
  <c r="K73" i="12"/>
  <c r="N73" i="10"/>
  <c r="S73" i="5"/>
  <c r="K73" i="7"/>
  <c r="M73" i="7"/>
  <c r="F73" i="12"/>
  <c r="E57" i="12" s="1"/>
  <c r="O73" i="8"/>
  <c r="R73" i="6"/>
  <c r="K73" i="5"/>
  <c r="K73" i="8"/>
  <c r="P73" i="9"/>
  <c r="P73" i="10"/>
  <c r="Q73" i="6"/>
  <c r="P73" i="6"/>
  <c r="L73" i="9"/>
  <c r="Q73" i="5"/>
  <c r="J73" i="5"/>
  <c r="F73" i="5"/>
  <c r="E57" i="5" s="1"/>
  <c r="G73" i="5"/>
  <c r="H73" i="7"/>
  <c r="G73" i="12"/>
  <c r="S73" i="8"/>
  <c r="L73" i="7"/>
  <c r="P73" i="12"/>
  <c r="R73" i="10"/>
  <c r="I73" i="7"/>
  <c r="M73" i="6"/>
  <c r="H73" i="8"/>
  <c r="O73" i="7"/>
  <c r="R73" i="8"/>
  <c r="S73" i="12"/>
  <c r="O73" i="9"/>
  <c r="R73" i="9"/>
  <c r="S73" i="6"/>
  <c r="H73" i="9"/>
  <c r="G57" i="9" s="1"/>
  <c r="M73" i="10"/>
  <c r="L73" i="12"/>
  <c r="O73" i="10"/>
  <c r="I73" i="9"/>
  <c r="H57" i="9" s="1"/>
  <c r="J73" i="10"/>
  <c r="Q73" i="7"/>
  <c r="I73" i="8"/>
  <c r="H73" i="5"/>
  <c r="G57" i="5" s="1"/>
  <c r="Q73" i="9"/>
  <c r="M73" i="8"/>
  <c r="H73" i="12"/>
  <c r="M73" i="12"/>
  <c r="L73" i="8"/>
  <c r="M73" i="9"/>
  <c r="L73" i="6"/>
  <c r="G73" i="10"/>
  <c r="F57" i="10" s="1"/>
  <c r="G73" i="7"/>
  <c r="F57" i="7" s="1"/>
  <c r="I73" i="10"/>
  <c r="R73" i="7"/>
  <c r="I73" i="5"/>
  <c r="H57" i="5" s="1"/>
  <c r="K73" i="6"/>
  <c r="Q73" i="10"/>
  <c r="H73" i="6"/>
  <c r="J73" i="7"/>
  <c r="P73" i="8"/>
  <c r="H73" i="10"/>
  <c r="M73" i="5"/>
  <c r="G73" i="6"/>
  <c r="F57" i="6" s="1"/>
  <c r="G73" i="8"/>
  <c r="F57" i="8" s="1"/>
  <c r="Q73" i="8"/>
  <c r="P73" i="5"/>
  <c r="R73" i="12"/>
  <c r="N73" i="12"/>
  <c r="S73" i="7"/>
  <c r="K73" i="9"/>
  <c r="N73" i="7"/>
  <c r="S73" i="9"/>
  <c r="L73" i="10"/>
  <c r="J73" i="6"/>
  <c r="J73" i="12"/>
  <c r="N73" i="5"/>
  <c r="O73" i="5"/>
  <c r="L73" i="5"/>
  <c r="J73" i="9"/>
  <c r="O73" i="6"/>
  <c r="J73" i="8"/>
  <c r="R73" i="11"/>
  <c r="N73" i="6"/>
  <c r="K73" i="10"/>
  <c r="R73" i="5"/>
  <c r="P73" i="7"/>
  <c r="Q73" i="12"/>
  <c r="N73" i="8"/>
  <c r="O73" i="12"/>
  <c r="I73" i="6"/>
  <c r="H57" i="6" s="1"/>
  <c r="D57" i="7"/>
  <c r="J40" i="17"/>
  <c r="M40" i="17"/>
  <c r="F40" i="17"/>
  <c r="C37" i="17"/>
  <c r="I37" i="17"/>
  <c r="M37" i="17"/>
  <c r="E33" i="17"/>
  <c r="B37" i="17"/>
  <c r="K31" i="17"/>
  <c r="E34" i="17"/>
  <c r="G40" i="17"/>
  <c r="G37" i="17"/>
  <c r="Q26" i="17"/>
  <c r="I27" i="17"/>
  <c r="F37" i="17"/>
  <c r="H37" i="17"/>
  <c r="K33" i="17"/>
  <c r="J37" i="17"/>
  <c r="L40" i="17"/>
  <c r="D37" i="17"/>
  <c r="C40" i="17"/>
  <c r="C27" i="17"/>
  <c r="P26" i="17"/>
  <c r="D40" i="17"/>
  <c r="I40" i="17"/>
  <c r="B40" i="17"/>
  <c r="E31" i="17"/>
  <c r="K32" i="17"/>
  <c r="E32" i="17"/>
  <c r="K35" i="17"/>
  <c r="K26" i="17"/>
  <c r="K27" i="17" s="1"/>
  <c r="K28" i="17" s="1"/>
  <c r="K34" i="17"/>
  <c r="L37" i="17"/>
  <c r="E35" i="17"/>
  <c r="E26" i="17"/>
  <c r="E27" i="17" s="1"/>
  <c r="E28" i="17" s="1"/>
  <c r="H40" i="17"/>
  <c r="H57" i="8" l="1"/>
  <c r="H57" i="7"/>
  <c r="G57" i="12"/>
  <c r="F57" i="5"/>
  <c r="F57" i="12"/>
  <c r="G57" i="10"/>
  <c r="P57" i="12"/>
  <c r="M57" i="6"/>
  <c r="I57" i="9"/>
  <c r="I57" i="12"/>
  <c r="M57" i="7"/>
  <c r="Q57" i="12"/>
  <c r="I57" i="7"/>
  <c r="L57" i="12"/>
  <c r="S57" i="12"/>
  <c r="R57" i="12"/>
  <c r="L57" i="6"/>
  <c r="K57" i="7"/>
  <c r="K57" i="9"/>
  <c r="O57" i="9"/>
  <c r="N57" i="8"/>
  <c r="S57" i="5"/>
  <c r="R57" i="5"/>
  <c r="H57" i="12"/>
  <c r="O57" i="7"/>
  <c r="Q57" i="11"/>
  <c r="R57" i="11"/>
  <c r="K57" i="5"/>
  <c r="I57" i="6"/>
  <c r="J57" i="9"/>
  <c r="O57" i="5"/>
  <c r="L57" i="5"/>
  <c r="G57" i="6"/>
  <c r="Q57" i="7"/>
  <c r="K57" i="6"/>
  <c r="N57" i="10"/>
  <c r="S57" i="6"/>
  <c r="R57" i="6"/>
  <c r="Q57" i="8"/>
  <c r="S57" i="8"/>
  <c r="R57" i="8"/>
  <c r="O57" i="6"/>
  <c r="J57" i="8"/>
  <c r="M57" i="10"/>
  <c r="S57" i="10"/>
  <c r="R57" i="10"/>
  <c r="N57" i="12"/>
  <c r="Q57" i="5"/>
  <c r="I57" i="8"/>
  <c r="N57" i="5"/>
  <c r="K57" i="10"/>
  <c r="S57" i="7"/>
  <c r="R57" i="7"/>
  <c r="P57" i="8"/>
  <c r="P57" i="10"/>
  <c r="H57" i="10"/>
  <c r="L57" i="9"/>
  <c r="L57" i="8"/>
  <c r="P57" i="7"/>
  <c r="K57" i="12"/>
  <c r="Q57" i="9"/>
  <c r="N57" i="7"/>
  <c r="Q57" i="10"/>
  <c r="I57" i="5"/>
  <c r="P57" i="6"/>
  <c r="J57" i="5"/>
  <c r="L57" i="7"/>
  <c r="J57" i="12"/>
  <c r="M57" i="8"/>
  <c r="J57" i="10"/>
  <c r="N57" i="6"/>
  <c r="M57" i="5"/>
  <c r="S57" i="9"/>
  <c r="R57" i="9"/>
  <c r="M57" i="12"/>
  <c r="O57" i="8"/>
  <c r="J57" i="6"/>
  <c r="K57" i="8"/>
  <c r="P57" i="9"/>
  <c r="I57" i="10"/>
  <c r="L57" i="10"/>
  <c r="N57" i="9"/>
  <c r="G57" i="8"/>
  <c r="O57" i="12"/>
  <c r="G57" i="7"/>
  <c r="P57" i="5"/>
  <c r="O57" i="10"/>
  <c r="Q57" i="6"/>
  <c r="J57" i="7"/>
  <c r="M57" i="9"/>
  <c r="K40" i="17"/>
  <c r="E40" i="17"/>
  <c r="C28" i="17"/>
  <c r="P28" i="17" s="1"/>
  <c r="P27" i="17"/>
  <c r="K37" i="17"/>
  <c r="I28" i="17"/>
  <c r="Q28" i="17" s="1"/>
  <c r="Q27" i="17"/>
  <c r="E37" i="17"/>
  <c r="I20" i="38" l="1"/>
  <c r="I19" i="38"/>
  <c r="G20" i="38" l="1"/>
  <c r="G19" i="38"/>
  <c r="I18" i="38"/>
  <c r="G18" i="38" l="1"/>
  <c r="W16" i="56" l="1"/>
  <c r="C21" i="42" l="1"/>
  <c r="C21" i="45"/>
  <c r="C56" i="41"/>
  <c r="C56" i="44"/>
  <c r="C60" i="41"/>
  <c r="C25" i="42"/>
  <c r="C25" i="45"/>
  <c r="C60" i="44"/>
  <c r="C29" i="42"/>
  <c r="C29" i="45"/>
  <c r="C64" i="41"/>
  <c r="C64" i="44"/>
  <c r="C33" i="42"/>
  <c r="C33" i="45"/>
  <c r="C68" i="41"/>
  <c r="C68" i="44"/>
  <c r="C72" i="41"/>
  <c r="C37" i="42"/>
  <c r="C37" i="45"/>
  <c r="C72" i="44"/>
  <c r="C38" i="3"/>
  <c r="C41" i="42"/>
  <c r="C41" i="45"/>
  <c r="C76" i="41"/>
  <c r="C76" i="44"/>
  <c r="C57" i="41"/>
  <c r="C57" i="44"/>
  <c r="C22" i="42"/>
  <c r="C22" i="45"/>
  <c r="C61" i="41"/>
  <c r="C61" i="44"/>
  <c r="C26" i="42"/>
  <c r="C26" i="45"/>
  <c r="C65" i="41"/>
  <c r="C65" i="44"/>
  <c r="C30" i="45"/>
  <c r="C30" i="42"/>
  <c r="C69" i="41"/>
  <c r="C69" i="44"/>
  <c r="C34" i="42"/>
  <c r="C34" i="45"/>
  <c r="C73" i="41"/>
  <c r="C73" i="44"/>
  <c r="C38" i="42"/>
  <c r="C38" i="45"/>
  <c r="C58" i="41"/>
  <c r="C58" i="44"/>
  <c r="C23" i="42"/>
  <c r="C23" i="45"/>
  <c r="C27" i="42"/>
  <c r="C62" i="41"/>
  <c r="C62" i="44"/>
  <c r="C27" i="45"/>
  <c r="C66" i="41"/>
  <c r="C66" i="44"/>
  <c r="C31" i="42"/>
  <c r="C31" i="45"/>
  <c r="C70" i="41"/>
  <c r="C70" i="44"/>
  <c r="C35" i="42"/>
  <c r="C35" i="45"/>
  <c r="C39" i="42"/>
  <c r="C74" i="41"/>
  <c r="C74" i="44"/>
  <c r="C36" i="3"/>
  <c r="C39" i="45"/>
  <c r="C24" i="42"/>
  <c r="C24" i="45"/>
  <c r="C59" i="44"/>
  <c r="C59" i="41"/>
  <c r="C28" i="42"/>
  <c r="C28" i="45"/>
  <c r="C63" i="41"/>
  <c r="C63" i="44"/>
  <c r="C32" i="42"/>
  <c r="C32" i="45"/>
  <c r="C67" i="41"/>
  <c r="C67" i="44"/>
  <c r="C36" i="42"/>
  <c r="C36" i="45"/>
  <c r="C71" i="44"/>
  <c r="C71" i="41"/>
  <c r="C40" i="42"/>
  <c r="C40" i="45"/>
  <c r="C75" i="41"/>
  <c r="C75" i="44"/>
  <c r="C37" i="3"/>
  <c r="W17" i="56"/>
  <c r="W21" i="56"/>
  <c r="W25" i="56"/>
  <c r="W29" i="56"/>
  <c r="W33" i="56"/>
  <c r="W37" i="56"/>
  <c r="W18" i="56"/>
  <c r="W22" i="56"/>
  <c r="W26" i="56"/>
  <c r="W30" i="56"/>
  <c r="W34" i="56"/>
  <c r="W19" i="56"/>
  <c r="W23" i="56"/>
  <c r="W27" i="56"/>
  <c r="W31" i="56"/>
  <c r="W35" i="56"/>
  <c r="W20" i="56"/>
  <c r="W24" i="56"/>
  <c r="W28" i="56"/>
  <c r="W32" i="56"/>
  <c r="W36" i="56"/>
  <c r="P38" i="72"/>
  <c r="C24" i="3"/>
  <c r="AL26" i="2"/>
  <c r="P46" i="72"/>
  <c r="C32" i="3"/>
  <c r="AL34" i="2"/>
  <c r="P34" i="72"/>
  <c r="C20" i="3"/>
  <c r="AL22" i="2"/>
  <c r="K10" i="71"/>
  <c r="K10" i="77"/>
  <c r="Q66" i="41"/>
  <c r="P42" i="72"/>
  <c r="C28" i="3"/>
  <c r="AL30" i="2"/>
  <c r="P50" i="72"/>
  <c r="AL38" i="2"/>
  <c r="Z36" i="32" s="1"/>
  <c r="C55" i="44"/>
  <c r="C20" i="42"/>
  <c r="C20" i="45"/>
  <c r="C55" i="41"/>
  <c r="P31" i="72"/>
  <c r="C17" i="3"/>
  <c r="AL19" i="2"/>
  <c r="E10" i="77"/>
  <c r="E10" i="71"/>
  <c r="P35" i="72"/>
  <c r="C21" i="3"/>
  <c r="AL23" i="2"/>
  <c r="M10" i="77"/>
  <c r="M10" i="71"/>
  <c r="Q63" i="41"/>
  <c r="P39" i="72"/>
  <c r="C25" i="3"/>
  <c r="AL27" i="2"/>
  <c r="P43" i="72"/>
  <c r="C29" i="3"/>
  <c r="AL31" i="2"/>
  <c r="P47" i="72"/>
  <c r="C33" i="3"/>
  <c r="AL35" i="2"/>
  <c r="P51" i="72"/>
  <c r="AL39" i="2"/>
  <c r="C19" i="45"/>
  <c r="C54" i="41"/>
  <c r="Q54" i="41" s="1"/>
  <c r="C54" i="44"/>
  <c r="P30" i="72"/>
  <c r="C19" i="42"/>
  <c r="W15" i="56"/>
  <c r="C16" i="3"/>
  <c r="AL18" i="2"/>
  <c r="C10" i="71"/>
  <c r="C10" i="77"/>
  <c r="P36" i="72"/>
  <c r="C22" i="3"/>
  <c r="AL24" i="2"/>
  <c r="O10" i="71"/>
  <c r="O10" i="77"/>
  <c r="Q72" i="41"/>
  <c r="P48" i="72"/>
  <c r="C34" i="3"/>
  <c r="AL36" i="2"/>
  <c r="P32" i="72"/>
  <c r="C18" i="3"/>
  <c r="AL20" i="2"/>
  <c r="G10" i="71"/>
  <c r="G10" i="77"/>
  <c r="Q64" i="41"/>
  <c r="P40" i="72"/>
  <c r="C26" i="3"/>
  <c r="AL28" i="2"/>
  <c r="P44" i="72"/>
  <c r="C30" i="3"/>
  <c r="AL32" i="2"/>
  <c r="W38" i="56"/>
  <c r="P52" i="72"/>
  <c r="AL40" i="2"/>
  <c r="P33" i="72"/>
  <c r="C19" i="3"/>
  <c r="AL21" i="2"/>
  <c r="I10" i="71"/>
  <c r="I10" i="77"/>
  <c r="Q61" i="41"/>
  <c r="P37" i="72"/>
  <c r="C23" i="3"/>
  <c r="AL25" i="2"/>
  <c r="Q65" i="41"/>
  <c r="P41" i="72"/>
  <c r="C27" i="3"/>
  <c r="AL29" i="2"/>
  <c r="Q69" i="41"/>
  <c r="P45" i="72"/>
  <c r="C31" i="3"/>
  <c r="AL33" i="2"/>
  <c r="P49" i="72"/>
  <c r="C35" i="3"/>
  <c r="AL37" i="2"/>
  <c r="Z37" i="32" l="1"/>
  <c r="X38" i="76"/>
  <c r="X39" i="76"/>
  <c r="Z38" i="32"/>
  <c r="H47" i="2"/>
  <c r="AL41" i="2"/>
  <c r="AC54" i="41"/>
  <c r="T54" i="41"/>
  <c r="T66" i="41"/>
  <c r="AQ30" i="41"/>
  <c r="X21" i="75"/>
  <c r="Z20" i="32"/>
  <c r="AA20" i="32" s="1"/>
  <c r="Y21" i="75" s="1"/>
  <c r="T20" i="33"/>
  <c r="U20" i="33" s="1"/>
  <c r="Y21" i="76" s="1"/>
  <c r="X21" i="76"/>
  <c r="X33" i="76"/>
  <c r="T32" i="33"/>
  <c r="U32" i="33" s="1"/>
  <c r="Y33" i="76" s="1"/>
  <c r="X33" i="75"/>
  <c r="Z32" i="32"/>
  <c r="AA32" i="32" s="1"/>
  <c r="Y33" i="75" s="1"/>
  <c r="Z24" i="32"/>
  <c r="AA24" i="32" s="1"/>
  <c r="Y25" i="75" s="1"/>
  <c r="X25" i="76"/>
  <c r="X25" i="75"/>
  <c r="T24" i="33"/>
  <c r="U24" i="33" s="1"/>
  <c r="Y25" i="76" s="1"/>
  <c r="Z35" i="32"/>
  <c r="AA35" i="32" s="1"/>
  <c r="Y36" i="75" s="1"/>
  <c r="T35" i="33"/>
  <c r="U35" i="33" s="1"/>
  <c r="Y36" i="76" s="1"/>
  <c r="X36" i="75"/>
  <c r="X36" i="76"/>
  <c r="Z31" i="32"/>
  <c r="AA31" i="32" s="1"/>
  <c r="Y32" i="75" s="1"/>
  <c r="X32" i="76"/>
  <c r="T31" i="33"/>
  <c r="U31" i="33" s="1"/>
  <c r="Y32" i="76" s="1"/>
  <c r="X32" i="75"/>
  <c r="Z27" i="32"/>
  <c r="AA27" i="32" s="1"/>
  <c r="Y28" i="75" s="1"/>
  <c r="T27" i="33"/>
  <c r="U27" i="33" s="1"/>
  <c r="Y28" i="76" s="1"/>
  <c r="X28" i="75"/>
  <c r="X28" i="76"/>
  <c r="Z23" i="32"/>
  <c r="AA23" i="32" s="1"/>
  <c r="Y24" i="75" s="1"/>
  <c r="X24" i="76"/>
  <c r="T23" i="33"/>
  <c r="U23" i="33" s="1"/>
  <c r="Y24" i="76" s="1"/>
  <c r="X24" i="75"/>
  <c r="AQ27" i="41"/>
  <c r="T63" i="41"/>
  <c r="Z26" i="32"/>
  <c r="AA26" i="32" s="1"/>
  <c r="Y27" i="75" s="1"/>
  <c r="T26" i="33"/>
  <c r="U26" i="33" s="1"/>
  <c r="Y27" i="76" s="1"/>
  <c r="X27" i="76"/>
  <c r="X27" i="75"/>
  <c r="T65" i="41"/>
  <c r="AQ29" i="41"/>
  <c r="AQ25" i="41"/>
  <c r="T61" i="41"/>
  <c r="Z18" i="32"/>
  <c r="AA18" i="32" s="1"/>
  <c r="Y19" i="75" s="1"/>
  <c r="T18" i="33"/>
  <c r="U18" i="33" s="1"/>
  <c r="Y19" i="76" s="1"/>
  <c r="X19" i="76"/>
  <c r="X19" i="75"/>
  <c r="Z34" i="32"/>
  <c r="AA34" i="32" s="1"/>
  <c r="Y35" i="75" s="1"/>
  <c r="X35" i="76"/>
  <c r="T34" i="33"/>
  <c r="U34" i="33" s="1"/>
  <c r="Y35" i="76" s="1"/>
  <c r="X35" i="75"/>
  <c r="T72" i="41"/>
  <c r="AQ36" i="41"/>
  <c r="Z16" i="32"/>
  <c r="AA16" i="32" s="1"/>
  <c r="Y17" i="75" s="1"/>
  <c r="X17" i="76"/>
  <c r="T16" i="33"/>
  <c r="U16" i="33" s="1"/>
  <c r="Y17" i="76" s="1"/>
  <c r="X17" i="75"/>
  <c r="T37" i="33"/>
  <c r="U37" i="33" s="1"/>
  <c r="Y38" i="76" s="1"/>
  <c r="AA37" i="32"/>
  <c r="Y38" i="75" s="1"/>
  <c r="X38" i="75"/>
  <c r="Z33" i="32"/>
  <c r="AA33" i="32" s="1"/>
  <c r="Y34" i="75" s="1"/>
  <c r="X34" i="76"/>
  <c r="T33" i="33"/>
  <c r="U33" i="33" s="1"/>
  <c r="Y34" i="76" s="1"/>
  <c r="X34" i="75"/>
  <c r="Z29" i="32"/>
  <c r="AA29" i="32" s="1"/>
  <c r="Y30" i="75" s="1"/>
  <c r="X30" i="75"/>
  <c r="X30" i="76"/>
  <c r="T29" i="33"/>
  <c r="U29" i="33" s="1"/>
  <c r="Y30" i="76" s="1"/>
  <c r="X26" i="75"/>
  <c r="X26" i="76"/>
  <c r="T25" i="33"/>
  <c r="U25" i="33" s="1"/>
  <c r="Y26" i="76" s="1"/>
  <c r="Z25" i="32"/>
  <c r="AA25" i="32" s="1"/>
  <c r="Y26" i="75" s="1"/>
  <c r="Z17" i="32"/>
  <c r="AA17" i="32" s="1"/>
  <c r="Y18" i="75" s="1"/>
  <c r="X18" i="75"/>
  <c r="X18" i="76"/>
  <c r="T17" i="33"/>
  <c r="U17" i="33" s="1"/>
  <c r="Y18" i="76" s="1"/>
  <c r="X37" i="76"/>
  <c r="X37" i="75"/>
  <c r="T36" i="33"/>
  <c r="U36" i="33" s="1"/>
  <c r="Y37" i="76" s="1"/>
  <c r="AA36" i="32"/>
  <c r="Y37" i="75" s="1"/>
  <c r="X29" i="75"/>
  <c r="T28" i="33"/>
  <c r="U28" i="33" s="1"/>
  <c r="Y29" i="76" s="1"/>
  <c r="X29" i="76"/>
  <c r="Z28" i="32"/>
  <c r="AA28" i="32" s="1"/>
  <c r="Y29" i="75" s="1"/>
  <c r="Z30" i="32"/>
  <c r="AA30" i="32" s="1"/>
  <c r="Y31" i="75" s="1"/>
  <c r="T30" i="33"/>
  <c r="U30" i="33" s="1"/>
  <c r="Y31" i="76" s="1"/>
  <c r="X31" i="76"/>
  <c r="X31" i="75"/>
  <c r="T64" i="41"/>
  <c r="AQ28" i="41"/>
  <c r="Z22" i="32"/>
  <c r="AA22" i="32" s="1"/>
  <c r="Y23" i="75" s="1"/>
  <c r="T22" i="33"/>
  <c r="U22" i="33" s="1"/>
  <c r="Y23" i="76" s="1"/>
  <c r="X23" i="76"/>
  <c r="X23" i="75"/>
  <c r="X22" i="76"/>
  <c r="T21" i="33"/>
  <c r="U21" i="33" s="1"/>
  <c r="Y22" i="76" s="1"/>
  <c r="X22" i="75"/>
  <c r="Z21" i="32"/>
  <c r="AA21" i="32" s="1"/>
  <c r="Y22" i="75" s="1"/>
  <c r="AQ33" i="41"/>
  <c r="T69" i="41"/>
  <c r="Z19" i="32"/>
  <c r="AA19" i="32" s="1"/>
  <c r="Y20" i="75" s="1"/>
  <c r="X20" i="75"/>
  <c r="T19" i="33"/>
  <c r="U19" i="33" s="1"/>
  <c r="Y20" i="76" s="1"/>
  <c r="X20" i="76"/>
  <c r="T39" i="33"/>
  <c r="U39" i="33" s="1"/>
  <c r="Y40" i="76" s="1"/>
  <c r="X39" i="75"/>
  <c r="X40" i="75"/>
  <c r="T38" i="33"/>
  <c r="U38" i="33" s="1"/>
  <c r="Y39" i="76" s="1"/>
  <c r="AA38" i="32"/>
  <c r="Y39" i="75" s="1"/>
  <c r="X40" i="76" l="1"/>
  <c r="Z39" i="32"/>
  <c r="AA39" i="32" s="1"/>
  <c r="Y40" i="75" s="1"/>
  <c r="AN27" i="41"/>
  <c r="AO27" i="41" s="1"/>
  <c r="AG63" i="41"/>
  <c r="AN63" i="41"/>
  <c r="AO63" i="41" s="1"/>
  <c r="AN54" i="41"/>
  <c r="AO54" i="41" s="1"/>
  <c r="U54" i="41"/>
  <c r="V54" i="41"/>
  <c r="AN64" i="41"/>
  <c r="AO64" i="41" s="1"/>
  <c r="AG64" i="41"/>
  <c r="AN28" i="41"/>
  <c r="AO28" i="41" s="1"/>
  <c r="AN36" i="41"/>
  <c r="AO36" i="41" s="1"/>
  <c r="AN72" i="41"/>
  <c r="AO72" i="41" s="1"/>
  <c r="AG72" i="41"/>
  <c r="AN66" i="41"/>
  <c r="AO66" i="41" s="1"/>
  <c r="AG66" i="41"/>
  <c r="AN30" i="41"/>
  <c r="AO30" i="41" s="1"/>
  <c r="AN33" i="41"/>
  <c r="AO33" i="41" s="1"/>
  <c r="AG69" i="41"/>
  <c r="AN69" i="41"/>
  <c r="AO69" i="41" s="1"/>
  <c r="AN61" i="41"/>
  <c r="AO61" i="41" s="1"/>
  <c r="AN25" i="41"/>
  <c r="AO25" i="41" s="1"/>
  <c r="AG61" i="41"/>
  <c r="AN29" i="41"/>
  <c r="AO29" i="41" s="1"/>
  <c r="AN65" i="41"/>
  <c r="AO65" i="41" s="1"/>
  <c r="AG65" i="41"/>
  <c r="K58" i="43" l="1"/>
  <c r="K94" i="43" s="1"/>
  <c r="K58" i="44"/>
  <c r="K58" i="41"/>
  <c r="K58" i="40"/>
  <c r="K94" i="40" s="1"/>
  <c r="K74" i="43"/>
  <c r="K110" i="43" s="1"/>
  <c r="K74" i="44"/>
  <c r="K74" i="41"/>
  <c r="K74" i="40"/>
  <c r="K110" i="40" s="1"/>
  <c r="K59" i="41"/>
  <c r="K59" i="43"/>
  <c r="K95" i="43" s="1"/>
  <c r="K59" i="40"/>
  <c r="K95" i="40" s="1"/>
  <c r="K59" i="44"/>
  <c r="K63" i="43"/>
  <c r="K99" i="43" s="1"/>
  <c r="K63" i="40"/>
  <c r="K99" i="40" s="1"/>
  <c r="K63" i="44"/>
  <c r="K63" i="41"/>
  <c r="K67" i="40"/>
  <c r="K103" i="40" s="1"/>
  <c r="K67" i="44"/>
  <c r="K67" i="41"/>
  <c r="P32" i="14"/>
  <c r="K67" i="43"/>
  <c r="K103" i="43" s="1"/>
  <c r="K71" i="44"/>
  <c r="P36" i="14"/>
  <c r="K71" i="41"/>
  <c r="K71" i="43"/>
  <c r="K107" i="43" s="1"/>
  <c r="K71" i="40"/>
  <c r="K107" i="40" s="1"/>
  <c r="K75" i="44"/>
  <c r="K75" i="41"/>
  <c r="K75" i="43"/>
  <c r="K111" i="43" s="1"/>
  <c r="K75" i="40"/>
  <c r="K111" i="40" s="1"/>
  <c r="K62" i="44"/>
  <c r="K62" i="41"/>
  <c r="K62" i="40"/>
  <c r="K98" i="40" s="1"/>
  <c r="K62" i="43"/>
  <c r="K98" i="43" s="1"/>
  <c r="K70" i="40"/>
  <c r="K106" i="40" s="1"/>
  <c r="K70" i="43"/>
  <c r="K106" i="43" s="1"/>
  <c r="K70" i="44"/>
  <c r="K70" i="41"/>
  <c r="P35" i="14"/>
  <c r="K56" i="44"/>
  <c r="K21" i="45"/>
  <c r="K56" i="41"/>
  <c r="K56" i="43"/>
  <c r="K92" i="43" s="1"/>
  <c r="K56" i="40"/>
  <c r="K92" i="40" s="1"/>
  <c r="K60" i="41"/>
  <c r="K60" i="43"/>
  <c r="K96" i="43" s="1"/>
  <c r="K60" i="40"/>
  <c r="K96" i="40" s="1"/>
  <c r="K60" i="44"/>
  <c r="K64" i="43"/>
  <c r="K100" i="43" s="1"/>
  <c r="K64" i="40"/>
  <c r="K100" i="40" s="1"/>
  <c r="K64" i="44"/>
  <c r="K64" i="41"/>
  <c r="K68" i="43"/>
  <c r="K104" i="43" s="1"/>
  <c r="K68" i="40"/>
  <c r="K104" i="40" s="1"/>
  <c r="P33" i="14"/>
  <c r="K68" i="44"/>
  <c r="K68" i="41"/>
  <c r="K72" i="40"/>
  <c r="K108" i="40" s="1"/>
  <c r="K72" i="44"/>
  <c r="K72" i="41"/>
  <c r="P37" i="14"/>
  <c r="K72" i="43"/>
  <c r="K108" i="43" s="1"/>
  <c r="K66" i="41"/>
  <c r="K66" i="40"/>
  <c r="K102" i="40" s="1"/>
  <c r="P31" i="14"/>
  <c r="K66" i="43"/>
  <c r="K102" i="43" s="1"/>
  <c r="K66" i="44"/>
  <c r="O16" i="56"/>
  <c r="K19" i="44"/>
  <c r="K20" i="42"/>
  <c r="G17" i="58"/>
  <c r="K19" i="41"/>
  <c r="K20" i="45"/>
  <c r="G17" i="59"/>
  <c r="K19" i="43"/>
  <c r="W19" i="37"/>
  <c r="G17" i="57"/>
  <c r="G17" i="60"/>
  <c r="W19" i="38"/>
  <c r="W19" i="39"/>
  <c r="K44" i="2"/>
  <c r="K45" i="2" s="1"/>
  <c r="M19" i="2"/>
  <c r="K57" i="41"/>
  <c r="K57" i="43"/>
  <c r="K93" i="43" s="1"/>
  <c r="K57" i="40"/>
  <c r="K93" i="40" s="1"/>
  <c r="K57" i="44"/>
  <c r="K61" i="43"/>
  <c r="K97" i="43" s="1"/>
  <c r="K61" i="40"/>
  <c r="K97" i="40" s="1"/>
  <c r="K61" i="44"/>
  <c r="K61" i="41"/>
  <c r="I16" i="66"/>
  <c r="K65" i="40"/>
  <c r="K101" i="40" s="1"/>
  <c r="K65" i="44"/>
  <c r="K65" i="41"/>
  <c r="K65" i="43"/>
  <c r="K101" i="43" s="1"/>
  <c r="K69" i="40"/>
  <c r="K105" i="40" s="1"/>
  <c r="P34" i="14"/>
  <c r="K69" i="44"/>
  <c r="K69" i="41"/>
  <c r="K69" i="43"/>
  <c r="K105" i="43" s="1"/>
  <c r="K73" i="40"/>
  <c r="K109" i="40" s="1"/>
  <c r="K73" i="44"/>
  <c r="K73" i="41"/>
  <c r="K73" i="43"/>
  <c r="K109" i="43" s="1"/>
  <c r="J33" i="14" l="1"/>
  <c r="F33" i="14"/>
  <c r="G33" i="14"/>
  <c r="I33" i="14"/>
  <c r="E33" i="14"/>
  <c r="L33" i="14"/>
  <c r="H33" i="14"/>
  <c r="D33" i="14"/>
  <c r="K33" i="14"/>
  <c r="J32" i="14"/>
  <c r="F32" i="14"/>
  <c r="G32" i="14"/>
  <c r="M32" i="14"/>
  <c r="I32" i="14"/>
  <c r="E32" i="14"/>
  <c r="L32" i="14"/>
  <c r="H32" i="14"/>
  <c r="K32" i="14"/>
  <c r="F37" i="14"/>
  <c r="G37" i="14"/>
  <c r="E37" i="14"/>
  <c r="H37" i="14"/>
  <c r="D37" i="14"/>
  <c r="C37" i="14"/>
  <c r="F36" i="14"/>
  <c r="C36" i="14"/>
  <c r="I36" i="14"/>
  <c r="E36" i="14"/>
  <c r="H36" i="14"/>
  <c r="D36" i="14"/>
  <c r="G36" i="14"/>
  <c r="J34" i="14"/>
  <c r="F34" i="14"/>
  <c r="C34" i="14"/>
  <c r="I34" i="14"/>
  <c r="E34" i="14"/>
  <c r="G34" i="14"/>
  <c r="H34" i="14"/>
  <c r="D34" i="14"/>
  <c r="K34" i="14"/>
  <c r="N31" i="14"/>
  <c r="J31" i="14"/>
  <c r="F31" i="14"/>
  <c r="G31" i="14"/>
  <c r="M31" i="14"/>
  <c r="I31" i="14"/>
  <c r="L31" i="14"/>
  <c r="H31" i="14"/>
  <c r="K31" i="14"/>
  <c r="J35" i="14"/>
  <c r="F35" i="14"/>
  <c r="C35" i="14"/>
  <c r="I35" i="14"/>
  <c r="E35" i="14"/>
  <c r="H35" i="14"/>
  <c r="D35" i="14"/>
  <c r="G35" i="14"/>
  <c r="K44" i="45"/>
  <c r="M44" i="2"/>
  <c r="M45" i="2" s="1"/>
  <c r="U31" i="57"/>
  <c r="M31" i="57"/>
  <c r="U27" i="59"/>
  <c r="M27" i="59"/>
  <c r="K55" i="44"/>
  <c r="K79" i="44" s="1"/>
  <c r="K43" i="44"/>
  <c r="U29" i="57"/>
  <c r="M29" i="57"/>
  <c r="U25" i="57"/>
  <c r="M25" i="57"/>
  <c r="U31" i="60"/>
  <c r="M31" i="60"/>
  <c r="K55" i="41"/>
  <c r="K79" i="41" s="1"/>
  <c r="K43" i="41"/>
  <c r="O40" i="56"/>
  <c r="U34" i="57"/>
  <c r="M34" i="57"/>
  <c r="AG28" i="2"/>
  <c r="U26" i="59"/>
  <c r="M26" i="59"/>
  <c r="AG35" i="2"/>
  <c r="AG31" i="2"/>
  <c r="AG27" i="2"/>
  <c r="U25" i="58"/>
  <c r="M25" i="58"/>
  <c r="AG22" i="2"/>
  <c r="G41" i="57"/>
  <c r="K17" i="57"/>
  <c r="U28" i="60"/>
  <c r="M28" i="60"/>
  <c r="U28" i="58"/>
  <c r="M28" i="58"/>
  <c r="AG23" i="2"/>
  <c r="AG33" i="2"/>
  <c r="AG29" i="2"/>
  <c r="U27" i="60"/>
  <c r="M27" i="60"/>
  <c r="U23" i="59"/>
  <c r="M23" i="59"/>
  <c r="U23" i="60"/>
  <c r="M23" i="60"/>
  <c r="U27" i="58"/>
  <c r="M27" i="58"/>
  <c r="U23" i="58"/>
  <c r="M23" i="58"/>
  <c r="AG19" i="2"/>
  <c r="K55" i="40"/>
  <c r="K43" i="40"/>
  <c r="K55" i="43"/>
  <c r="K43" i="43"/>
  <c r="G41" i="58"/>
  <c r="K17" i="58"/>
  <c r="AG30" i="2"/>
  <c r="U28" i="57"/>
  <c r="M28" i="57"/>
  <c r="U34" i="59"/>
  <c r="M34" i="59"/>
  <c r="AG32" i="2"/>
  <c r="U26" i="60"/>
  <c r="M26" i="60"/>
  <c r="U26" i="58"/>
  <c r="M26" i="58"/>
  <c r="AG34" i="2"/>
  <c r="U32" i="57"/>
  <c r="M32" i="57"/>
  <c r="AG26" i="2"/>
  <c r="U25" i="59"/>
  <c r="M25" i="59"/>
  <c r="U25" i="60"/>
  <c r="M25" i="60"/>
  <c r="AG25" i="2"/>
  <c r="U23" i="57"/>
  <c r="M23" i="57"/>
  <c r="U28" i="59"/>
  <c r="M28" i="59"/>
  <c r="U34" i="60"/>
  <c r="M34" i="60"/>
  <c r="U26" i="57"/>
  <c r="M26" i="57"/>
  <c r="AG24" i="2"/>
  <c r="U31" i="58"/>
  <c r="M31" i="58"/>
  <c r="AG37" i="2"/>
  <c r="U31" i="59"/>
  <c r="M31" i="59"/>
  <c r="U27" i="57"/>
  <c r="M27" i="57"/>
  <c r="I34" i="66"/>
  <c r="AG21" i="2"/>
  <c r="G41" i="60"/>
  <c r="K17" i="60"/>
  <c r="G41" i="59"/>
  <c r="K17" i="59"/>
  <c r="K44" i="42"/>
  <c r="AG36" i="2"/>
  <c r="U34" i="58"/>
  <c r="M34" i="58"/>
  <c r="AG20" i="2"/>
  <c r="AG39" i="2"/>
  <c r="AG38" i="2"/>
  <c r="K41" i="59" l="1"/>
  <c r="K41" i="60"/>
  <c r="K41" i="57"/>
  <c r="K41" i="58"/>
  <c r="X17" i="80"/>
  <c r="AF17" i="80" s="1"/>
  <c r="O27" i="60"/>
  <c r="W27" i="60"/>
  <c r="O28" i="60"/>
  <c r="X18" i="80"/>
  <c r="AF18" i="80" s="1"/>
  <c r="W28" i="60"/>
  <c r="X21" i="80"/>
  <c r="AF21" i="80" s="1"/>
  <c r="W31" i="60"/>
  <c r="O31" i="60"/>
  <c r="U17" i="80"/>
  <c r="AC17" i="80" s="1"/>
  <c r="W27" i="57"/>
  <c r="O27" i="57"/>
  <c r="W34" i="60"/>
  <c r="O34" i="60"/>
  <c r="X24" i="80"/>
  <c r="AF24" i="80" s="1"/>
  <c r="O23" i="57"/>
  <c r="U13" i="80"/>
  <c r="AC13" i="80" s="1"/>
  <c r="W23" i="57"/>
  <c r="W25" i="60"/>
  <c r="O25" i="60"/>
  <c r="X15" i="80"/>
  <c r="AF15" i="80" s="1"/>
  <c r="W32" i="57"/>
  <c r="U22" i="80"/>
  <c r="AC22" i="80" s="1"/>
  <c r="O32" i="57"/>
  <c r="V16" i="80"/>
  <c r="AD16" i="80" s="1"/>
  <c r="W26" i="58"/>
  <c r="O26" i="58"/>
  <c r="K91" i="40"/>
  <c r="K115" i="40" s="1"/>
  <c r="K79" i="40"/>
  <c r="O25" i="58"/>
  <c r="W25" i="58"/>
  <c r="V15" i="80"/>
  <c r="AD15" i="80" s="1"/>
  <c r="O28" i="57"/>
  <c r="U18" i="80"/>
  <c r="AC18" i="80" s="1"/>
  <c r="W28" i="57"/>
  <c r="W23" i="60"/>
  <c r="O23" i="60"/>
  <c r="X13" i="80"/>
  <c r="AF13" i="80" s="1"/>
  <c r="W34" i="57"/>
  <c r="O34" i="57"/>
  <c r="U24" i="80"/>
  <c r="AC24" i="80" s="1"/>
  <c r="W27" i="59"/>
  <c r="M74" i="55" s="1"/>
  <c r="O27" i="59"/>
  <c r="W17" i="80"/>
  <c r="AE17" i="80" s="1"/>
  <c r="W27" i="58"/>
  <c r="O27" i="58"/>
  <c r="V17" i="80"/>
  <c r="AD17" i="80" s="1"/>
  <c r="W13" i="80"/>
  <c r="AE13" i="80" s="1"/>
  <c r="W23" i="59"/>
  <c r="M70" i="55" s="1"/>
  <c r="O23" i="59"/>
  <c r="W28" i="58"/>
  <c r="V18" i="80"/>
  <c r="AD18" i="80" s="1"/>
  <c r="O28" i="58"/>
  <c r="U15" i="80"/>
  <c r="AC15" i="80" s="1"/>
  <c r="O25" i="57"/>
  <c r="W25" i="57"/>
  <c r="O31" i="57"/>
  <c r="W31" i="57"/>
  <c r="U21" i="80"/>
  <c r="AC21" i="80" s="1"/>
  <c r="O34" i="58"/>
  <c r="V24" i="80"/>
  <c r="AD24" i="80" s="1"/>
  <c r="W34" i="58"/>
  <c r="W23" i="58"/>
  <c r="V13" i="80"/>
  <c r="AD13" i="80" s="1"/>
  <c r="O23" i="58"/>
  <c r="W16" i="80"/>
  <c r="AE16" i="80" s="1"/>
  <c r="W26" i="59"/>
  <c r="M73" i="55" s="1"/>
  <c r="O26" i="59"/>
  <c r="O29" i="57"/>
  <c r="W29" i="57"/>
  <c r="U19" i="80"/>
  <c r="AC19" i="80" s="1"/>
  <c r="W31" i="59"/>
  <c r="M78" i="55" s="1"/>
  <c r="W21" i="80"/>
  <c r="AE21" i="80" s="1"/>
  <c r="O31" i="59"/>
  <c r="V21" i="80"/>
  <c r="AD21" i="80" s="1"/>
  <c r="O31" i="58"/>
  <c r="W31" i="58"/>
  <c r="U16" i="80"/>
  <c r="AC16" i="80" s="1"/>
  <c r="O26" i="57"/>
  <c r="W26" i="57"/>
  <c r="W28" i="59"/>
  <c r="M75" i="55" s="1"/>
  <c r="W18" i="80"/>
  <c r="AE18" i="80" s="1"/>
  <c r="O28" i="59"/>
  <c r="W25" i="59"/>
  <c r="M72" i="55" s="1"/>
  <c r="O25" i="59"/>
  <c r="W15" i="80"/>
  <c r="AE15" i="80" s="1"/>
  <c r="W26" i="60"/>
  <c r="X16" i="80"/>
  <c r="AF16" i="80" s="1"/>
  <c r="O26" i="60"/>
  <c r="O34" i="59"/>
  <c r="W34" i="59"/>
  <c r="M81" i="55" s="1"/>
  <c r="W24" i="80"/>
  <c r="AE24" i="80" s="1"/>
  <c r="K91" i="43"/>
  <c r="K115" i="43" s="1"/>
  <c r="K79" i="43"/>
  <c r="U18" i="40" l="1"/>
  <c r="V18" i="40"/>
  <c r="AC100" i="40" l="1"/>
  <c r="P22" i="2" l="1"/>
  <c r="Q22" i="2" s="1"/>
  <c r="AA22" i="2" s="1"/>
  <c r="P19" i="2"/>
  <c r="Q19" i="2" s="1"/>
  <c r="AA19" i="2" s="1"/>
  <c r="P23" i="2"/>
  <c r="Q23" i="2" s="1"/>
  <c r="AA23" i="2" s="1"/>
  <c r="E7" i="2"/>
  <c r="A81" i="3" s="1"/>
  <c r="A53" i="76" s="1"/>
  <c r="P20" i="2"/>
  <c r="Q20" i="2" s="1"/>
  <c r="AA20" i="2" s="1"/>
  <c r="P24" i="2"/>
  <c r="Q24" i="2" s="1"/>
  <c r="AA24" i="2" s="1"/>
  <c r="D7" i="2"/>
  <c r="S17" i="2"/>
  <c r="P21" i="2"/>
  <c r="Q21" i="2" s="1"/>
  <c r="AA21" i="2" s="1"/>
  <c r="P18" i="2"/>
  <c r="Q18" i="2" s="1"/>
  <c r="AA18" i="2" s="1"/>
  <c r="T17" i="2"/>
  <c r="T41" i="2" s="1"/>
  <c r="Y41" i="2" s="1"/>
  <c r="U17" i="2"/>
  <c r="U41" i="2" s="1"/>
  <c r="Z41" i="2" s="1"/>
  <c r="X17" i="2"/>
  <c r="X41" i="2" s="1"/>
  <c r="AB41" i="2" s="1"/>
  <c r="W17" i="2"/>
  <c r="W41" i="2" s="1"/>
  <c r="V17" i="2"/>
  <c r="V41" i="2" s="1"/>
  <c r="W40" i="75" l="1"/>
  <c r="W40" i="76"/>
  <c r="U18" i="2"/>
  <c r="U19" i="2"/>
  <c r="U20" i="2"/>
  <c r="U21" i="2"/>
  <c r="U22" i="2"/>
  <c r="U23" i="2"/>
  <c r="U24" i="2"/>
  <c r="U25" i="2"/>
  <c r="Z25" i="2" s="1"/>
  <c r="U26" i="2"/>
  <c r="Z26" i="2" s="1"/>
  <c r="U27" i="2"/>
  <c r="Z27" i="2" s="1"/>
  <c r="U28" i="2"/>
  <c r="Z28" i="2" s="1"/>
  <c r="U29" i="2"/>
  <c r="Z29" i="2" s="1"/>
  <c r="U30" i="2"/>
  <c r="Z30" i="2" s="1"/>
  <c r="U31" i="2"/>
  <c r="Z31" i="2" s="1"/>
  <c r="U32" i="2"/>
  <c r="Z32" i="2" s="1"/>
  <c r="U33" i="2"/>
  <c r="Z33" i="2" s="1"/>
  <c r="U34" i="2"/>
  <c r="Z34" i="2" s="1"/>
  <c r="U35" i="2"/>
  <c r="Z35" i="2" s="1"/>
  <c r="U36" i="2"/>
  <c r="Z36" i="2" s="1"/>
  <c r="U37" i="2"/>
  <c r="Z37" i="2" s="1"/>
  <c r="U38" i="2"/>
  <c r="Z38" i="2" s="1"/>
  <c r="U39" i="2"/>
  <c r="Z39" i="2" s="1"/>
  <c r="U40" i="2"/>
  <c r="Z40" i="2" s="1"/>
  <c r="S18" i="2"/>
  <c r="S19" i="2"/>
  <c r="Y19" i="2" s="1"/>
  <c r="Z19" i="2" s="1"/>
  <c r="S20" i="2"/>
  <c r="Y20" i="2" s="1"/>
  <c r="Z20" i="2" s="1"/>
  <c r="S21" i="2"/>
  <c r="Y21" i="2" s="1"/>
  <c r="Z21" i="2" s="1"/>
  <c r="S22" i="2"/>
  <c r="Y22" i="2" s="1"/>
  <c r="Z22" i="2" s="1"/>
  <c r="S23" i="2"/>
  <c r="Y23" i="2" s="1"/>
  <c r="Z23" i="2" s="1"/>
  <c r="S24" i="2"/>
  <c r="Y24" i="2" s="1"/>
  <c r="Z24" i="2" s="1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V19" i="2"/>
  <c r="V18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W19" i="2"/>
  <c r="S17" i="33" s="1"/>
  <c r="W18" i="2"/>
  <c r="S16" i="33" s="1"/>
  <c r="W20" i="2"/>
  <c r="S18" i="33" s="1"/>
  <c r="W21" i="2"/>
  <c r="S19" i="33" s="1"/>
  <c r="W22" i="2"/>
  <c r="S20" i="33" s="1"/>
  <c r="Y20" i="32" s="1"/>
  <c r="W23" i="2"/>
  <c r="S21" i="33" s="1"/>
  <c r="Y21" i="32" s="1"/>
  <c r="W24" i="2"/>
  <c r="S22" i="33" s="1"/>
  <c r="Y22" i="32" s="1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AA43" i="2"/>
  <c r="T18" i="2"/>
  <c r="T19" i="2"/>
  <c r="T20" i="2"/>
  <c r="T21" i="2"/>
  <c r="T22" i="2"/>
  <c r="T23" i="2"/>
  <c r="T24" i="2"/>
  <c r="T25" i="2"/>
  <c r="Y25" i="2" s="1"/>
  <c r="T26" i="2"/>
  <c r="Y26" i="2" s="1"/>
  <c r="T27" i="2"/>
  <c r="Y27" i="2" s="1"/>
  <c r="T28" i="2"/>
  <c r="Y28" i="2" s="1"/>
  <c r="T29" i="2"/>
  <c r="Y29" i="2" s="1"/>
  <c r="T30" i="2"/>
  <c r="Y30" i="2" s="1"/>
  <c r="T31" i="2"/>
  <c r="Y31" i="2" s="1"/>
  <c r="T32" i="2"/>
  <c r="Y32" i="2" s="1"/>
  <c r="T33" i="2"/>
  <c r="Y33" i="2" s="1"/>
  <c r="T34" i="2"/>
  <c r="Y34" i="2" s="1"/>
  <c r="T35" i="2"/>
  <c r="Y35" i="2" s="1"/>
  <c r="T36" i="2"/>
  <c r="Y36" i="2" s="1"/>
  <c r="T37" i="2"/>
  <c r="Y37" i="2" s="1"/>
  <c r="T38" i="2"/>
  <c r="Y38" i="2" s="1"/>
  <c r="T39" i="2"/>
  <c r="Y39" i="2" s="1"/>
  <c r="T40" i="2"/>
  <c r="Y40" i="2" s="1"/>
  <c r="X19" i="2"/>
  <c r="AB19" i="2" s="1"/>
  <c r="X18" i="2"/>
  <c r="X20" i="2"/>
  <c r="AB20" i="2" s="1"/>
  <c r="X21" i="2"/>
  <c r="AB21" i="2" s="1"/>
  <c r="X22" i="2"/>
  <c r="AB22" i="2" s="1"/>
  <c r="X23" i="2"/>
  <c r="AB23" i="2" s="1"/>
  <c r="X24" i="2"/>
  <c r="AB24" i="2" s="1"/>
  <c r="X25" i="2"/>
  <c r="AB25" i="2" s="1"/>
  <c r="X26" i="2"/>
  <c r="AB26" i="2" s="1"/>
  <c r="X27" i="2"/>
  <c r="AB27" i="2" s="1"/>
  <c r="X28" i="2"/>
  <c r="AB28" i="2" s="1"/>
  <c r="X29" i="2"/>
  <c r="AB29" i="2" s="1"/>
  <c r="X30" i="2"/>
  <c r="AB30" i="2" s="1"/>
  <c r="X31" i="2"/>
  <c r="AB31" i="2" s="1"/>
  <c r="X32" i="2"/>
  <c r="AB32" i="2" s="1"/>
  <c r="X33" i="2"/>
  <c r="AB33" i="2" s="1"/>
  <c r="X34" i="2"/>
  <c r="AB34" i="2" s="1"/>
  <c r="X35" i="2"/>
  <c r="AB35" i="2" s="1"/>
  <c r="X36" i="2"/>
  <c r="AB36" i="2" s="1"/>
  <c r="X37" i="2"/>
  <c r="AB37" i="2" s="1"/>
  <c r="X38" i="2"/>
  <c r="AB38" i="2" s="1"/>
  <c r="X39" i="2"/>
  <c r="AB39" i="2" s="1"/>
  <c r="X40" i="2"/>
  <c r="AB40" i="2" s="1"/>
  <c r="W43" i="2" l="1"/>
  <c r="W32" i="76"/>
  <c r="W32" i="75"/>
  <c r="W20" i="76"/>
  <c r="W20" i="75"/>
  <c r="W39" i="76"/>
  <c r="W39" i="75"/>
  <c r="W35" i="76"/>
  <c r="W35" i="75"/>
  <c r="W31" i="75"/>
  <c r="W31" i="76"/>
  <c r="W27" i="75"/>
  <c r="W27" i="76"/>
  <c r="W23" i="76"/>
  <c r="W23" i="75"/>
  <c r="W19" i="75"/>
  <c r="W19" i="76"/>
  <c r="Y18" i="32"/>
  <c r="V43" i="2"/>
  <c r="W24" i="76"/>
  <c r="W24" i="75"/>
  <c r="W38" i="75"/>
  <c r="W38" i="76"/>
  <c r="W34" i="76"/>
  <c r="W34" i="75"/>
  <c r="W30" i="75"/>
  <c r="W30" i="76"/>
  <c r="W26" i="75"/>
  <c r="W26" i="76"/>
  <c r="W22" i="75"/>
  <c r="W22" i="76"/>
  <c r="AB18" i="2"/>
  <c r="X43" i="2"/>
  <c r="T43" i="2"/>
  <c r="Y16" i="32"/>
  <c r="W36" i="76"/>
  <c r="W36" i="75"/>
  <c r="W28" i="75"/>
  <c r="W28" i="76"/>
  <c r="Y19" i="32"/>
  <c r="Y18" i="2"/>
  <c r="S43" i="2"/>
  <c r="W37" i="75"/>
  <c r="W37" i="76"/>
  <c r="W33" i="75"/>
  <c r="W33" i="76"/>
  <c r="W29" i="76"/>
  <c r="W29" i="75"/>
  <c r="W25" i="76"/>
  <c r="W25" i="75"/>
  <c r="W21" i="75"/>
  <c r="W21" i="76"/>
  <c r="W18" i="75"/>
  <c r="W18" i="76"/>
  <c r="Y17" i="32"/>
  <c r="U43" i="2"/>
  <c r="W17" i="75" l="1"/>
  <c r="W17" i="76"/>
  <c r="AB43" i="2"/>
  <c r="Z18" i="2"/>
  <c r="Z43" i="2" l="1"/>
  <c r="AC64" i="41"/>
  <c r="Y18" i="37" l="1"/>
  <c r="Y18" i="39"/>
  <c r="Y18" i="38"/>
  <c r="Z19" i="37"/>
  <c r="Z19" i="39"/>
  <c r="Z19" i="38"/>
  <c r="S19" i="38" s="1"/>
  <c r="C22" i="54"/>
  <c r="E23" i="43"/>
  <c r="K21" i="3"/>
  <c r="Z20" i="37"/>
  <c r="Z20" i="39"/>
  <c r="Z20" i="38"/>
  <c r="S20" i="38" s="1"/>
  <c r="E24" i="43"/>
  <c r="C23" i="54"/>
  <c r="K22" i="3"/>
  <c r="Z98" i="40"/>
  <c r="Z24" i="39"/>
  <c r="Z24" i="38"/>
  <c r="S24" i="38" s="1"/>
  <c r="Z24" i="37"/>
  <c r="Z21" i="37"/>
  <c r="Z21" i="39"/>
  <c r="Z21" i="38"/>
  <c r="S21" i="38" s="1"/>
  <c r="E21" i="43"/>
  <c r="C20" i="54"/>
  <c r="K19" i="3"/>
  <c r="E59" i="43"/>
  <c r="Z61" i="40"/>
  <c r="Z18" i="37"/>
  <c r="Z18" i="38"/>
  <c r="Z18" i="39"/>
  <c r="Z23" i="39"/>
  <c r="Z23" i="38"/>
  <c r="S23" i="38" s="1"/>
  <c r="Z23" i="37"/>
  <c r="C21" i="54"/>
  <c r="E22" i="43"/>
  <c r="K20" i="3"/>
  <c r="AC18" i="40"/>
  <c r="AC66" i="41"/>
  <c r="AC65" i="41"/>
  <c r="E56" i="43" l="1"/>
  <c r="S74" i="3"/>
  <c r="S18" i="38"/>
  <c r="E22" i="41"/>
  <c r="G20" i="3"/>
  <c r="R22" i="41" s="1"/>
  <c r="E94" i="43"/>
  <c r="U53" i="3"/>
  <c r="E60" i="44"/>
  <c r="AE22" i="3"/>
  <c r="AG22" i="3" s="1"/>
  <c r="AA22" i="3"/>
  <c r="C23" i="52"/>
  <c r="G61" i="29"/>
  <c r="Y23" i="39"/>
  <c r="Q23" i="39" s="1"/>
  <c r="Y23" i="38"/>
  <c r="Y23" i="37"/>
  <c r="E22" i="44"/>
  <c r="G59" i="30"/>
  <c r="M59" i="30" s="1"/>
  <c r="E93" i="43"/>
  <c r="U52" i="3"/>
  <c r="E59" i="44"/>
  <c r="AE21" i="3"/>
  <c r="AG21" i="3" s="1"/>
  <c r="C22" i="52"/>
  <c r="G60" i="29"/>
  <c r="AA21" i="3"/>
  <c r="E57" i="43"/>
  <c r="Z22" i="39"/>
  <c r="Z22" i="37"/>
  <c r="Z22" i="38"/>
  <c r="S22" i="38" s="1"/>
  <c r="E95" i="40"/>
  <c r="Q54" i="3"/>
  <c r="R95" i="40" s="1"/>
  <c r="Y54" i="3"/>
  <c r="E92" i="43"/>
  <c r="U51" i="3"/>
  <c r="E24" i="40"/>
  <c r="O22" i="3"/>
  <c r="G25" i="29" s="1"/>
  <c r="E55" i="3"/>
  <c r="E58" i="44"/>
  <c r="AA20" i="3"/>
  <c r="G59" i="29"/>
  <c r="C21" i="52"/>
  <c r="AE20" i="3"/>
  <c r="AG20" i="3" s="1"/>
  <c r="Y41" i="3"/>
  <c r="E21" i="41"/>
  <c r="G19" i="3"/>
  <c r="R21" i="41" s="1"/>
  <c r="E20" i="44"/>
  <c r="E95" i="43"/>
  <c r="U54" i="3"/>
  <c r="E19" i="40"/>
  <c r="O17" i="3"/>
  <c r="G20" i="29" s="1"/>
  <c r="G74" i="3"/>
  <c r="E50" i="3"/>
  <c r="O21" i="39"/>
  <c r="I19" i="51"/>
  <c r="Y24" i="39"/>
  <c r="Q24" i="39" s="1"/>
  <c r="S24" i="39" s="1"/>
  <c r="Y24" i="38"/>
  <c r="Y24" i="37"/>
  <c r="Q24" i="37" s="1"/>
  <c r="Q24" i="38" s="1"/>
  <c r="E24" i="41"/>
  <c r="G22" i="3"/>
  <c r="R24" i="41" s="1"/>
  <c r="E23" i="44"/>
  <c r="G60" i="30"/>
  <c r="M60" i="30" s="1"/>
  <c r="E21" i="40"/>
  <c r="E52" i="3"/>
  <c r="O19" i="3"/>
  <c r="G22" i="30" s="1"/>
  <c r="O23" i="39"/>
  <c r="I21" i="51"/>
  <c r="Q18" i="37"/>
  <c r="BB18" i="37"/>
  <c r="AC18" i="37"/>
  <c r="C19" i="54"/>
  <c r="E20" i="43"/>
  <c r="K18" i="3"/>
  <c r="G57" i="30" s="1"/>
  <c r="M57" i="30" s="1"/>
  <c r="E55" i="43"/>
  <c r="E23" i="41"/>
  <c r="G21" i="3"/>
  <c r="R23" i="41" s="1"/>
  <c r="I20" i="51"/>
  <c r="O22" i="39"/>
  <c r="S23" i="39"/>
  <c r="Z43" i="37"/>
  <c r="Y43" i="40"/>
  <c r="Z18" i="40"/>
  <c r="Y22" i="39"/>
  <c r="Q22" i="39" s="1"/>
  <c r="Y22" i="38"/>
  <c r="Y22" i="37"/>
  <c r="E18" i="41"/>
  <c r="I41" i="3"/>
  <c r="G16" i="3"/>
  <c r="G19" i="30"/>
  <c r="AH16" i="3"/>
  <c r="E91" i="40"/>
  <c r="Y50" i="3"/>
  <c r="E58" i="40"/>
  <c r="E22" i="40"/>
  <c r="E53" i="3"/>
  <c r="O20" i="3"/>
  <c r="G23" i="29" s="1"/>
  <c r="O24" i="39"/>
  <c r="I22" i="51"/>
  <c r="Y19" i="39"/>
  <c r="Q19" i="39" s="1"/>
  <c r="S19" i="39" s="1"/>
  <c r="Y19" i="38"/>
  <c r="Y19" i="37"/>
  <c r="E19" i="41"/>
  <c r="G17" i="3"/>
  <c r="R19" i="41" s="1"/>
  <c r="E18" i="44"/>
  <c r="E41" i="3"/>
  <c r="G55" i="30"/>
  <c r="AG16" i="3"/>
  <c r="E96" i="40"/>
  <c r="Z96" i="40" s="1"/>
  <c r="Y55" i="3"/>
  <c r="Q55" i="3"/>
  <c r="R96" i="40" s="1"/>
  <c r="E57" i="40"/>
  <c r="K52" i="3"/>
  <c r="R57" i="40" s="1"/>
  <c r="U41" i="3"/>
  <c r="E21" i="44"/>
  <c r="G58" i="30"/>
  <c r="M58" i="30" s="1"/>
  <c r="Q18" i="39"/>
  <c r="S18" i="39" s="1"/>
  <c r="AC18" i="39" s="1"/>
  <c r="E60" i="43"/>
  <c r="Q41" i="3"/>
  <c r="E58" i="43"/>
  <c r="E96" i="43"/>
  <c r="U55" i="3"/>
  <c r="E56" i="40"/>
  <c r="Z56" i="40" s="1"/>
  <c r="K51" i="3"/>
  <c r="R56" i="40" s="1"/>
  <c r="E20" i="40"/>
  <c r="E51" i="3"/>
  <c r="O18" i="3"/>
  <c r="G21" i="29" s="1"/>
  <c r="Z43" i="39"/>
  <c r="Y21" i="39"/>
  <c r="Q21" i="39" s="1"/>
  <c r="Y21" i="37"/>
  <c r="Y21" i="38"/>
  <c r="E24" i="44"/>
  <c r="G61" i="30"/>
  <c r="M61" i="30" s="1"/>
  <c r="E92" i="40"/>
  <c r="Z92" i="40" s="1"/>
  <c r="Y51" i="3"/>
  <c r="Q51" i="3"/>
  <c r="R92" i="40" s="1"/>
  <c r="E23" i="40"/>
  <c r="O21" i="3"/>
  <c r="G24" i="29" s="1"/>
  <c r="E54" i="3"/>
  <c r="C20" i="52"/>
  <c r="E57" i="44"/>
  <c r="AE19" i="3"/>
  <c r="AG19" i="3" s="1"/>
  <c r="G58" i="29"/>
  <c r="AA19" i="3"/>
  <c r="S21" i="39"/>
  <c r="Y20" i="39"/>
  <c r="Q20" i="39" s="1"/>
  <c r="S20" i="39" s="1"/>
  <c r="Y20" i="37"/>
  <c r="Y20" i="38"/>
  <c r="E20" i="41"/>
  <c r="G18" i="3"/>
  <c r="R20" i="41" s="1"/>
  <c r="E19" i="44"/>
  <c r="Y43" i="41"/>
  <c r="C18" i="54"/>
  <c r="C42" i="54" s="1"/>
  <c r="E19" i="43"/>
  <c r="K17" i="3"/>
  <c r="G56" i="30" s="1"/>
  <c r="M56" i="30" s="1"/>
  <c r="C74" i="3"/>
  <c r="Z97" i="40"/>
  <c r="G21" i="30" l="1"/>
  <c r="M21" i="30" s="1"/>
  <c r="G20" i="30"/>
  <c r="M20" i="30" s="1"/>
  <c r="G23" i="30"/>
  <c r="M23" i="30" s="1"/>
  <c r="G24" i="30"/>
  <c r="M24" i="30" s="1"/>
  <c r="G25" i="30"/>
  <c r="M25" i="30" s="1"/>
  <c r="M22" i="30"/>
  <c r="G22" i="29"/>
  <c r="S24" i="37"/>
  <c r="Y43" i="37"/>
  <c r="Y43" i="38"/>
  <c r="Z58" i="40"/>
  <c r="W51" i="3"/>
  <c r="R20" i="40"/>
  <c r="AM56" i="40" s="1"/>
  <c r="E19" i="54"/>
  <c r="M55" i="30"/>
  <c r="G80" i="30"/>
  <c r="M61" i="29"/>
  <c r="O24" i="37"/>
  <c r="I22" i="49"/>
  <c r="AM92" i="40"/>
  <c r="C23" i="53"/>
  <c r="I22" i="50" s="1"/>
  <c r="E25" i="45"/>
  <c r="O24" i="38" s="1"/>
  <c r="I18" i="48"/>
  <c r="Z20" i="40"/>
  <c r="M20" i="39"/>
  <c r="E94" i="40"/>
  <c r="Y53" i="3"/>
  <c r="W53" i="3" s="1"/>
  <c r="Q53" i="3"/>
  <c r="R94" i="40" s="1"/>
  <c r="E91" i="43"/>
  <c r="E115" i="43" s="1"/>
  <c r="U50" i="3"/>
  <c r="U74" i="3" s="1"/>
  <c r="O74" i="3"/>
  <c r="E60" i="40"/>
  <c r="K55" i="3"/>
  <c r="R60" i="40" s="1"/>
  <c r="AM96" i="40" s="1"/>
  <c r="W55" i="3"/>
  <c r="Q19" i="41"/>
  <c r="Z19" i="41"/>
  <c r="R22" i="40"/>
  <c r="E21" i="54"/>
  <c r="Q18" i="41"/>
  <c r="E43" i="41"/>
  <c r="Z18" i="41"/>
  <c r="E19" i="42"/>
  <c r="Z23" i="41"/>
  <c r="I18" i="51"/>
  <c r="O20" i="39"/>
  <c r="M21" i="39"/>
  <c r="I19" i="48"/>
  <c r="Z21" i="40"/>
  <c r="E23" i="54"/>
  <c r="R24" i="40"/>
  <c r="M60" i="29"/>
  <c r="Q23" i="37"/>
  <c r="Z22" i="41"/>
  <c r="Z23" i="40"/>
  <c r="M23" i="39"/>
  <c r="I21" i="48"/>
  <c r="E58" i="41"/>
  <c r="E23" i="42" s="1"/>
  <c r="AB20" i="3"/>
  <c r="M20" i="3"/>
  <c r="AF20" i="3"/>
  <c r="AH20" i="3" s="1"/>
  <c r="Z91" i="40"/>
  <c r="Q91" i="40"/>
  <c r="R19" i="40"/>
  <c r="E74" i="3"/>
  <c r="E18" i="54"/>
  <c r="E59" i="40"/>
  <c r="Z59" i="40" s="1"/>
  <c r="K54" i="3"/>
  <c r="R59" i="40" s="1"/>
  <c r="AM95" i="40" s="1"/>
  <c r="C21" i="53"/>
  <c r="I20" i="50" s="1"/>
  <c r="E23" i="45"/>
  <c r="O22" i="38" s="1"/>
  <c r="E93" i="40"/>
  <c r="Z93" i="40" s="1"/>
  <c r="Y52" i="3"/>
  <c r="W52" i="3" s="1"/>
  <c r="Q52" i="3"/>
  <c r="R93" i="40" s="1"/>
  <c r="Q20" i="37"/>
  <c r="M58" i="29"/>
  <c r="E22" i="54"/>
  <c r="R23" i="40"/>
  <c r="Z95" i="40"/>
  <c r="Y79" i="40"/>
  <c r="E43" i="44"/>
  <c r="E19" i="45"/>
  <c r="C17" i="53"/>
  <c r="BB19" i="37"/>
  <c r="Q19" i="37"/>
  <c r="Z22" i="40"/>
  <c r="M22" i="39"/>
  <c r="I20" i="48"/>
  <c r="Q50" i="3"/>
  <c r="M19" i="30"/>
  <c r="Q22" i="37"/>
  <c r="Q22" i="38" s="1"/>
  <c r="I74" i="3"/>
  <c r="S18" i="37"/>
  <c r="AD18" i="37" s="1"/>
  <c r="Q18" i="38"/>
  <c r="Z24" i="41"/>
  <c r="E55" i="41"/>
  <c r="E20" i="42" s="1"/>
  <c r="O41" i="3"/>
  <c r="AF17" i="3"/>
  <c r="AH17" i="3" s="1"/>
  <c r="M17" i="3"/>
  <c r="AB17" i="3"/>
  <c r="Z21" i="41"/>
  <c r="M59" i="29"/>
  <c r="E60" i="41"/>
  <c r="AB22" i="3"/>
  <c r="AF22" i="3"/>
  <c r="AH22" i="3" s="1"/>
  <c r="M22" i="3"/>
  <c r="W54" i="3"/>
  <c r="S22" i="37"/>
  <c r="Z43" i="38"/>
  <c r="E43" i="43"/>
  <c r="O19" i="39"/>
  <c r="O43" i="39" s="1"/>
  <c r="I17" i="51"/>
  <c r="Z20" i="41"/>
  <c r="O21" i="37"/>
  <c r="I19" i="49"/>
  <c r="C20" i="53"/>
  <c r="I19" i="50" s="1"/>
  <c r="E22" i="45"/>
  <c r="O21" i="38" s="1"/>
  <c r="E55" i="40"/>
  <c r="K50" i="3"/>
  <c r="M74" i="3"/>
  <c r="G57" i="29"/>
  <c r="C19" i="52"/>
  <c r="E56" i="44"/>
  <c r="AA18" i="3"/>
  <c r="AE18" i="3"/>
  <c r="AG18" i="3" s="1"/>
  <c r="E20" i="54"/>
  <c r="R21" i="40"/>
  <c r="AM57" i="40" s="1"/>
  <c r="O22" i="37"/>
  <c r="I20" i="49"/>
  <c r="O23" i="37"/>
  <c r="I21" i="49"/>
  <c r="AA17" i="3"/>
  <c r="G56" i="29"/>
  <c r="AE17" i="3"/>
  <c r="AG17" i="3" s="1"/>
  <c r="C18" i="52"/>
  <c r="E55" i="44"/>
  <c r="E20" i="45" s="1"/>
  <c r="O19" i="38" s="1"/>
  <c r="K41" i="3"/>
  <c r="AF21" i="3"/>
  <c r="AH21" i="3" s="1"/>
  <c r="E59" i="41"/>
  <c r="E24" i="42" s="1"/>
  <c r="M21" i="3"/>
  <c r="AB21" i="3"/>
  <c r="Q21" i="37"/>
  <c r="E56" i="41"/>
  <c r="M18" i="3"/>
  <c r="AF18" i="3"/>
  <c r="AH18" i="3" s="1"/>
  <c r="AB18" i="3"/>
  <c r="Y43" i="39"/>
  <c r="Z57" i="40"/>
  <c r="K53" i="3"/>
  <c r="R58" i="40" s="1"/>
  <c r="R18" i="41"/>
  <c r="G41" i="3"/>
  <c r="E79" i="43"/>
  <c r="AF19" i="3"/>
  <c r="AH19" i="3" s="1"/>
  <c r="M19" i="3"/>
  <c r="E57" i="41"/>
  <c r="E22" i="42" s="1"/>
  <c r="AB19" i="3"/>
  <c r="E24" i="45"/>
  <c r="O23" i="38" s="1"/>
  <c r="C22" i="53"/>
  <c r="I21" i="50" s="1"/>
  <c r="Q19" i="40"/>
  <c r="Z19" i="40"/>
  <c r="M19" i="39"/>
  <c r="E43" i="40"/>
  <c r="I17" i="48"/>
  <c r="E21" i="45"/>
  <c r="O20" i="38" s="1"/>
  <c r="Z24" i="40"/>
  <c r="M24" i="39"/>
  <c r="I22" i="48"/>
  <c r="S22" i="39"/>
  <c r="S43" i="38"/>
  <c r="Y74" i="3" l="1"/>
  <c r="W50" i="3"/>
  <c r="M19" i="38"/>
  <c r="AB19" i="38" s="1"/>
  <c r="AH19" i="38" s="1"/>
  <c r="E25" i="42"/>
  <c r="M24" i="38" s="1"/>
  <c r="M21" i="38"/>
  <c r="AA21" i="38" s="1"/>
  <c r="E21" i="42"/>
  <c r="M20" i="38" s="1"/>
  <c r="I41" i="51"/>
  <c r="AM59" i="40"/>
  <c r="Z43" i="40"/>
  <c r="G23" i="71"/>
  <c r="G29" i="71" s="1"/>
  <c r="AV20" i="37"/>
  <c r="AC18" i="33" s="1"/>
  <c r="R59" i="41"/>
  <c r="E22" i="52"/>
  <c r="O20" i="37"/>
  <c r="I18" i="49"/>
  <c r="I15" i="77"/>
  <c r="AR21" i="37"/>
  <c r="I19" i="32"/>
  <c r="I15" i="71"/>
  <c r="Q23" i="38"/>
  <c r="S23" i="37"/>
  <c r="C19" i="53"/>
  <c r="M22" i="29"/>
  <c r="R43" i="41"/>
  <c r="E17" i="53"/>
  <c r="AM18" i="41"/>
  <c r="E19" i="52"/>
  <c r="R56" i="41"/>
  <c r="Q21" i="38"/>
  <c r="S21" i="37"/>
  <c r="M23" i="37"/>
  <c r="I21" i="46"/>
  <c r="M56" i="29"/>
  <c r="G80" i="29"/>
  <c r="I21" i="32"/>
  <c r="M15" i="71"/>
  <c r="AR23" i="37"/>
  <c r="Z55" i="40"/>
  <c r="Q55" i="40"/>
  <c r="E79" i="40"/>
  <c r="I23" i="71"/>
  <c r="I29" i="71" s="1"/>
  <c r="AV21" i="37"/>
  <c r="AC19" i="33" s="1"/>
  <c r="E23" i="52"/>
  <c r="R60" i="41"/>
  <c r="I22" i="46"/>
  <c r="M24" i="37"/>
  <c r="R91" i="40"/>
  <c r="Q74" i="3"/>
  <c r="Q19" i="38"/>
  <c r="S19" i="37"/>
  <c r="AM93" i="40"/>
  <c r="E42" i="54"/>
  <c r="M22" i="37"/>
  <c r="I20" i="46"/>
  <c r="M22" i="38"/>
  <c r="AM60" i="40"/>
  <c r="AC18" i="41"/>
  <c r="C16" i="60"/>
  <c r="T18" i="41"/>
  <c r="AQ18" i="41"/>
  <c r="Z60" i="40"/>
  <c r="AM94" i="40"/>
  <c r="M80" i="30"/>
  <c r="M23" i="71"/>
  <c r="M29" i="71" s="1"/>
  <c r="AV23" i="37"/>
  <c r="AC21" i="33" s="1"/>
  <c r="O18" i="38"/>
  <c r="E44" i="45"/>
  <c r="K23" i="71"/>
  <c r="K29" i="71" s="1"/>
  <c r="AV22" i="37"/>
  <c r="AC20" i="33" s="1"/>
  <c r="AA23" i="39"/>
  <c r="AB23" i="39"/>
  <c r="AB20" i="39"/>
  <c r="AA20" i="39"/>
  <c r="E23" i="71"/>
  <c r="E29" i="71" s="1"/>
  <c r="AV19" i="37"/>
  <c r="AC17" i="33" s="1"/>
  <c r="AA24" i="39"/>
  <c r="AB24" i="39"/>
  <c r="I41" i="48"/>
  <c r="AC19" i="40"/>
  <c r="T19" i="40"/>
  <c r="U19" i="40" s="1"/>
  <c r="C17" i="57"/>
  <c r="AQ55" i="41"/>
  <c r="Q55" i="41" s="1"/>
  <c r="AQ19" i="41" s="1"/>
  <c r="M21" i="37"/>
  <c r="I19" i="46"/>
  <c r="M21" i="29"/>
  <c r="O19" i="37"/>
  <c r="I17" i="49"/>
  <c r="E79" i="44"/>
  <c r="M57" i="29"/>
  <c r="I41" i="50"/>
  <c r="M25" i="29"/>
  <c r="M20" i="29"/>
  <c r="G44" i="29"/>
  <c r="E115" i="40"/>
  <c r="R58" i="41"/>
  <c r="E21" i="52"/>
  <c r="M23" i="38"/>
  <c r="T19" i="41"/>
  <c r="C17" i="60"/>
  <c r="AC19" i="41"/>
  <c r="AA19" i="39"/>
  <c r="AB19" i="39"/>
  <c r="M43" i="39"/>
  <c r="R55" i="40"/>
  <c r="K74" i="3"/>
  <c r="R55" i="41"/>
  <c r="M41" i="3"/>
  <c r="E18" i="52"/>
  <c r="M44" i="30"/>
  <c r="M23" i="29"/>
  <c r="AA19" i="38"/>
  <c r="E20" i="52"/>
  <c r="R57" i="41"/>
  <c r="W74" i="3"/>
  <c r="M20" i="37"/>
  <c r="I18" i="46"/>
  <c r="M24" i="29"/>
  <c r="C42" i="52"/>
  <c r="K15" i="77"/>
  <c r="AR22" i="37"/>
  <c r="I20" i="32"/>
  <c r="K15" i="71"/>
  <c r="M19" i="37"/>
  <c r="I17" i="46"/>
  <c r="E79" i="41"/>
  <c r="G44" i="30"/>
  <c r="AA22" i="39"/>
  <c r="AB22" i="39"/>
  <c r="Q20" i="38"/>
  <c r="S20" i="37"/>
  <c r="V19" i="40"/>
  <c r="R43" i="40"/>
  <c r="T91" i="40"/>
  <c r="AC91" i="40"/>
  <c r="C17" i="59"/>
  <c r="AS55" i="41"/>
  <c r="Y115" i="40"/>
  <c r="AA21" i="39"/>
  <c r="AB21" i="39"/>
  <c r="Z43" i="41"/>
  <c r="AM58" i="40"/>
  <c r="Z94" i="40"/>
  <c r="Z115" i="40" s="1"/>
  <c r="O23" i="71"/>
  <c r="O29" i="71" s="1"/>
  <c r="AV24" i="37"/>
  <c r="AC22" i="33" s="1"/>
  <c r="C18" i="53"/>
  <c r="C42" i="53" s="1"/>
  <c r="I22" i="32"/>
  <c r="BB24" i="37" s="1"/>
  <c r="O15" i="71"/>
  <c r="AR24" i="37"/>
  <c r="AU19" i="37" l="1"/>
  <c r="AU21" i="37"/>
  <c r="AB21" i="38"/>
  <c r="AA20" i="38"/>
  <c r="AB20" i="38"/>
  <c r="AU20" i="37"/>
  <c r="AA24" i="38"/>
  <c r="AU24" i="37"/>
  <c r="AB24" i="38"/>
  <c r="AH24" i="38" s="1"/>
  <c r="I41" i="49"/>
  <c r="I41" i="46"/>
  <c r="AD19" i="38"/>
  <c r="AC19" i="38"/>
  <c r="AC24" i="39"/>
  <c r="AD24" i="39"/>
  <c r="C23" i="71"/>
  <c r="C29" i="71" s="1"/>
  <c r="AV18" i="37"/>
  <c r="O43" i="38"/>
  <c r="AG21" i="32"/>
  <c r="AK21" i="32" s="1"/>
  <c r="BB23" i="37"/>
  <c r="G15" i="77"/>
  <c r="G15" i="71"/>
  <c r="AR20" i="37"/>
  <c r="I18" i="32"/>
  <c r="AG22" i="32"/>
  <c r="AK22" i="32" s="1"/>
  <c r="AA20" i="33"/>
  <c r="AZ22" i="37"/>
  <c r="G20" i="33" s="1"/>
  <c r="R79" i="41"/>
  <c r="AM19" i="41"/>
  <c r="E18" i="53"/>
  <c r="AA43" i="39"/>
  <c r="U19" i="41"/>
  <c r="V19" i="41"/>
  <c r="E21" i="53"/>
  <c r="I20" i="47" s="1"/>
  <c r="AM22" i="41"/>
  <c r="E15" i="77"/>
  <c r="E15" i="71"/>
  <c r="AR19" i="37"/>
  <c r="I17" i="32"/>
  <c r="O43" i="37"/>
  <c r="AC20" i="39"/>
  <c r="AD20" i="39"/>
  <c r="AM58" i="41"/>
  <c r="U18" i="41"/>
  <c r="AN18" i="41"/>
  <c r="AO18" i="41" s="1"/>
  <c r="AU22" i="37"/>
  <c r="AB22" i="38"/>
  <c r="AH22" i="38" s="1"/>
  <c r="AA22" i="38"/>
  <c r="Z79" i="40"/>
  <c r="AM20" i="41"/>
  <c r="E19" i="53"/>
  <c r="AM56" i="41"/>
  <c r="M18" i="38"/>
  <c r="AA19" i="33"/>
  <c r="AZ21" i="37"/>
  <c r="G19" i="33" s="1"/>
  <c r="U17" i="59"/>
  <c r="M17" i="59"/>
  <c r="AC22" i="39"/>
  <c r="AD22" i="39"/>
  <c r="AM20" i="39"/>
  <c r="G18" i="32"/>
  <c r="AB20" i="37"/>
  <c r="AQ20" i="37"/>
  <c r="AA20" i="37"/>
  <c r="AF18" i="32"/>
  <c r="M17" i="60"/>
  <c r="U17" i="60"/>
  <c r="M44" i="29"/>
  <c r="U17" i="57"/>
  <c r="M17" i="57"/>
  <c r="AM22" i="39"/>
  <c r="AB22" i="37"/>
  <c r="AA22" i="37"/>
  <c r="AQ22" i="37"/>
  <c r="G20" i="32"/>
  <c r="AM24" i="39"/>
  <c r="AQ24" i="37"/>
  <c r="AY24" i="37" s="1"/>
  <c r="E22" i="33" s="1"/>
  <c r="AB24" i="37"/>
  <c r="G22" i="32"/>
  <c r="AF22" i="32" s="1"/>
  <c r="AC55" i="40"/>
  <c r="T55" i="40"/>
  <c r="V55" i="40" s="1"/>
  <c r="C17" i="58"/>
  <c r="AR55" i="41"/>
  <c r="AU55" i="41" s="1"/>
  <c r="AG19" i="32"/>
  <c r="AK19" i="32" s="1"/>
  <c r="BB21" i="37"/>
  <c r="AA24" i="37"/>
  <c r="AA22" i="33"/>
  <c r="AZ24" i="37"/>
  <c r="G22" i="33" s="1"/>
  <c r="U91" i="40"/>
  <c r="AM19" i="39"/>
  <c r="AQ19" i="37"/>
  <c r="AB19" i="37"/>
  <c r="G17" i="32"/>
  <c r="M43" i="37"/>
  <c r="AA19" i="37"/>
  <c r="K26" i="77"/>
  <c r="K19" i="77"/>
  <c r="K27" i="77" s="1"/>
  <c r="E20" i="53"/>
  <c r="I19" i="47" s="1"/>
  <c r="AM21" i="41"/>
  <c r="R79" i="40"/>
  <c r="AM55" i="40"/>
  <c r="E44" i="42"/>
  <c r="AM21" i="39"/>
  <c r="G19" i="32"/>
  <c r="AF19" i="32" s="1"/>
  <c r="AQ21" i="37"/>
  <c r="AY21" i="37" s="1"/>
  <c r="E19" i="33" s="1"/>
  <c r="AA21" i="37"/>
  <c r="AB21" i="37"/>
  <c r="AC23" i="39"/>
  <c r="AD23" i="39"/>
  <c r="U16" i="60"/>
  <c r="M16" i="60"/>
  <c r="AM57" i="41"/>
  <c r="AA21" i="33"/>
  <c r="AZ23" i="37"/>
  <c r="G21" i="33" s="1"/>
  <c r="AQ23" i="37"/>
  <c r="G21" i="32"/>
  <c r="AF21" i="32" s="1"/>
  <c r="AA23" i="37"/>
  <c r="AM23" i="39"/>
  <c r="AB23" i="37"/>
  <c r="I26" i="77"/>
  <c r="I19" i="77"/>
  <c r="I27" i="77" s="1"/>
  <c r="AM59" i="41"/>
  <c r="AM23" i="41"/>
  <c r="E22" i="53"/>
  <c r="I21" i="47" s="1"/>
  <c r="AD21" i="39"/>
  <c r="AC21" i="39"/>
  <c r="AG20" i="32"/>
  <c r="AK20" i="32" s="1"/>
  <c r="BB22" i="37"/>
  <c r="AC19" i="39"/>
  <c r="AD19" i="39"/>
  <c r="O26" i="71"/>
  <c r="T2" i="71" s="1"/>
  <c r="U2" i="71"/>
  <c r="O19" i="71"/>
  <c r="O27" i="71" s="1"/>
  <c r="K26" i="71"/>
  <c r="K19" i="71"/>
  <c r="K27" i="71" s="1"/>
  <c r="E42" i="52"/>
  <c r="AU23" i="37"/>
  <c r="AA23" i="38"/>
  <c r="AB23" i="38"/>
  <c r="AH23" i="38" s="1"/>
  <c r="AC55" i="41"/>
  <c r="T55" i="41"/>
  <c r="U55" i="41" s="1"/>
  <c r="R115" i="40"/>
  <c r="AM91" i="40"/>
  <c r="V91" i="40"/>
  <c r="AM55" i="41"/>
  <c r="AM60" i="41"/>
  <c r="E23" i="53"/>
  <c r="I22" i="47" s="1"/>
  <c r="AM24" i="41"/>
  <c r="M26" i="71"/>
  <c r="M19" i="71"/>
  <c r="M27" i="71" s="1"/>
  <c r="M80" i="29"/>
  <c r="V18" i="41"/>
  <c r="I26" i="71"/>
  <c r="I19" i="71"/>
  <c r="I27" i="71" s="1"/>
  <c r="AD21" i="38" l="1"/>
  <c r="AH21" i="38"/>
  <c r="AC21" i="38"/>
  <c r="AC20" i="38"/>
  <c r="AH20" i="38"/>
  <c r="AV55" i="41"/>
  <c r="AD24" i="38"/>
  <c r="AY23" i="37"/>
  <c r="E21" i="33" s="1"/>
  <c r="AD20" i="38"/>
  <c r="AC24" i="38"/>
  <c r="AY20" i="37"/>
  <c r="E18" i="33" s="1"/>
  <c r="K18" i="33" s="1"/>
  <c r="AY22" i="37"/>
  <c r="E20" i="33" s="1"/>
  <c r="I28" i="71"/>
  <c r="M28" i="71"/>
  <c r="K28" i="77"/>
  <c r="AJ21" i="32"/>
  <c r="K28" i="71"/>
  <c r="E42" i="53"/>
  <c r="O28" i="71"/>
  <c r="AC23" i="38"/>
  <c r="AD23" i="38"/>
  <c r="G26" i="71"/>
  <c r="G19" i="71"/>
  <c r="G27" i="71" s="1"/>
  <c r="AM115" i="40"/>
  <c r="K19" i="33"/>
  <c r="I19" i="33"/>
  <c r="M20" i="32"/>
  <c r="K20" i="32"/>
  <c r="E26" i="77"/>
  <c r="E19" i="77"/>
  <c r="E27" i="77" s="1"/>
  <c r="I22" i="33"/>
  <c r="K22" i="33"/>
  <c r="AC23" i="37"/>
  <c r="AN23" i="39"/>
  <c r="W16" i="60"/>
  <c r="O16" i="60"/>
  <c r="X6" i="80"/>
  <c r="AF6" i="80" s="1"/>
  <c r="AJ19" i="32"/>
  <c r="K19" i="32"/>
  <c r="M19" i="32"/>
  <c r="AM79" i="40"/>
  <c r="K20" i="33"/>
  <c r="I20" i="33"/>
  <c r="U7" i="80"/>
  <c r="AC7" i="80" s="1"/>
  <c r="W17" i="57"/>
  <c r="O17" i="57"/>
  <c r="O17" i="60"/>
  <c r="X7" i="80"/>
  <c r="AF7" i="80" s="1"/>
  <c r="W17" i="60"/>
  <c r="AO20" i="39"/>
  <c r="AD20" i="37"/>
  <c r="AE20" i="37"/>
  <c r="AK20" i="37"/>
  <c r="AG17" i="32"/>
  <c r="AK17" i="32" s="1"/>
  <c r="I41" i="32"/>
  <c r="G26" i="77"/>
  <c r="G19" i="77"/>
  <c r="G27" i="77" s="1"/>
  <c r="I41" i="47"/>
  <c r="AQ43" i="37"/>
  <c r="AY19" i="37"/>
  <c r="E17" i="33" s="1"/>
  <c r="AO24" i="39"/>
  <c r="AE24" i="37"/>
  <c r="AD24" i="37"/>
  <c r="AK24" i="37"/>
  <c r="AC22" i="38"/>
  <c r="AD22" i="38"/>
  <c r="AM79" i="41"/>
  <c r="I21" i="33"/>
  <c r="K21" i="33"/>
  <c r="AO21" i="39"/>
  <c r="AD21" i="37"/>
  <c r="AE21" i="37"/>
  <c r="AK21" i="37"/>
  <c r="K17" i="32"/>
  <c r="M17" i="32"/>
  <c r="G41" i="32"/>
  <c r="AN55" i="41"/>
  <c r="AO55" i="41" s="1"/>
  <c r="AJ22" i="32"/>
  <c r="AN22" i="39"/>
  <c r="AC22" i="37"/>
  <c r="AJ18" i="32"/>
  <c r="M18" i="32"/>
  <c r="K18" i="32"/>
  <c r="W7" i="80"/>
  <c r="AE7" i="80" s="1"/>
  <c r="O17" i="59"/>
  <c r="W17" i="59"/>
  <c r="AA18" i="38"/>
  <c r="AA43" i="38" s="1"/>
  <c r="AU18" i="37"/>
  <c r="AB18" i="38"/>
  <c r="AH18" i="38" s="1"/>
  <c r="M43" i="38"/>
  <c r="AZ19" i="37"/>
  <c r="G17" i="33" s="1"/>
  <c r="AA17" i="33"/>
  <c r="AR43" i="37"/>
  <c r="AN19" i="41"/>
  <c r="AO19" i="41" s="1"/>
  <c r="AG18" i="32"/>
  <c r="AK18" i="32" s="1"/>
  <c r="BB20" i="37"/>
  <c r="AC16" i="33"/>
  <c r="AZ18" i="37"/>
  <c r="AV43" i="37"/>
  <c r="AN19" i="39"/>
  <c r="AC19" i="37"/>
  <c r="AA43" i="37"/>
  <c r="U55" i="40"/>
  <c r="AN55" i="40"/>
  <c r="AO55" i="40" s="1"/>
  <c r="M21" i="32"/>
  <c r="K21" i="32"/>
  <c r="I28" i="77"/>
  <c r="AE23" i="37"/>
  <c r="AD23" i="37"/>
  <c r="AO23" i="39"/>
  <c r="AK23" i="37"/>
  <c r="AN21" i="39"/>
  <c r="AC21" i="37"/>
  <c r="AF17" i="32"/>
  <c r="AJ17" i="32" s="1"/>
  <c r="AO19" i="39"/>
  <c r="AE19" i="37"/>
  <c r="AD19" i="37"/>
  <c r="AK19" i="37"/>
  <c r="AN91" i="40"/>
  <c r="AO91" i="40" s="1"/>
  <c r="AN24" i="39"/>
  <c r="AC24" i="37"/>
  <c r="U17" i="58"/>
  <c r="M17" i="58"/>
  <c r="M22" i="32"/>
  <c r="K22" i="32"/>
  <c r="AF20" i="32"/>
  <c r="AJ20" i="32" s="1"/>
  <c r="AO22" i="39"/>
  <c r="AE22" i="37"/>
  <c r="AD22" i="37"/>
  <c r="AK22" i="37"/>
  <c r="AN20" i="39"/>
  <c r="AC20" i="37"/>
  <c r="E26" i="71"/>
  <c r="E19" i="71"/>
  <c r="E27" i="71" s="1"/>
  <c r="V55" i="41"/>
  <c r="AA18" i="33"/>
  <c r="AZ20" i="37"/>
  <c r="G18" i="33" s="1"/>
  <c r="I18" i="33" l="1"/>
  <c r="AQ21" i="39"/>
  <c r="AQ20" i="39"/>
  <c r="AQ24" i="39"/>
  <c r="O18" i="32"/>
  <c r="S18" i="32" s="1"/>
  <c r="C19" i="75" s="1"/>
  <c r="O17" i="32"/>
  <c r="S17" i="32" s="1"/>
  <c r="C18" i="75" s="1"/>
  <c r="AQ23" i="39"/>
  <c r="AQ22" i="39"/>
  <c r="AQ19" i="39"/>
  <c r="E28" i="71"/>
  <c r="O21" i="32"/>
  <c r="S21" i="32" s="1"/>
  <c r="C22" i="75" s="1"/>
  <c r="G28" i="71"/>
  <c r="O19" i="32"/>
  <c r="S19" i="32" s="1"/>
  <c r="C20" i="75" s="1"/>
  <c r="E28" i="77"/>
  <c r="M22" i="33"/>
  <c r="C23" i="76" s="1"/>
  <c r="O22" i="32"/>
  <c r="S22" i="32" s="1"/>
  <c r="C23" i="75" s="1"/>
  <c r="G28" i="77"/>
  <c r="W17" i="58"/>
  <c r="V7" i="80"/>
  <c r="AD7" i="80" s="1"/>
  <c r="O17" i="58"/>
  <c r="AY18" i="37"/>
  <c r="AU43" i="37"/>
  <c r="I17" i="33"/>
  <c r="K17" i="33"/>
  <c r="O20" i="32"/>
  <c r="S20" i="32" s="1"/>
  <c r="C21" i="75" s="1"/>
  <c r="G16" i="33"/>
  <c r="G41" i="33" s="1"/>
  <c r="AZ43" i="37"/>
  <c r="K41" i="32"/>
  <c r="AD18" i="38"/>
  <c r="AC18" i="38"/>
  <c r="M21" i="33"/>
  <c r="C22" i="76" s="1"/>
  <c r="M20" i="33"/>
  <c r="C21" i="76" s="1"/>
  <c r="M19" i="33"/>
  <c r="C20" i="76" s="1"/>
  <c r="M18" i="33"/>
  <c r="C19" i="76" s="1"/>
  <c r="E16" i="33" l="1"/>
  <c r="AY43" i="37"/>
  <c r="M17" i="33"/>
  <c r="C18" i="76" s="1"/>
  <c r="Z61" i="41"/>
  <c r="K16" i="33" l="1"/>
  <c r="I16" i="33"/>
  <c r="E41" i="33"/>
  <c r="Z60" i="41"/>
  <c r="Z56" i="41"/>
  <c r="Z57" i="41"/>
  <c r="Z59" i="41"/>
  <c r="M16" i="33" l="1"/>
  <c r="C17" i="76" s="1"/>
  <c r="I41" i="33"/>
  <c r="Z58" i="41"/>
  <c r="Y79" i="41" l="1"/>
  <c r="Z55" i="41"/>
  <c r="Z79" i="41" s="1"/>
  <c r="AG19" i="39" l="1"/>
  <c r="AG18" i="39"/>
  <c r="AG20" i="39" l="1"/>
  <c r="AG21" i="39" l="1"/>
  <c r="AG23" i="39" l="1"/>
  <c r="AG24" i="39" l="1"/>
  <c r="Y43" i="2" l="1"/>
  <c r="L4" i="70" l="1"/>
  <c r="L5" i="70" l="1"/>
  <c r="L6" i="70" l="1"/>
  <c r="L10" i="18" l="1"/>
  <c r="L7" i="70"/>
  <c r="N10" i="18" l="1"/>
  <c r="P10" i="18"/>
  <c r="O10" i="18"/>
  <c r="M10" i="18"/>
  <c r="F10" i="18"/>
  <c r="B10" i="18"/>
  <c r="C10" i="18"/>
  <c r="E10" i="18"/>
  <c r="D10" i="18"/>
  <c r="Q10" i="18"/>
  <c r="H10" i="18"/>
  <c r="J10" i="18"/>
  <c r="T10" i="18"/>
  <c r="K10" i="18"/>
  <c r="G10" i="18"/>
  <c r="R10" i="18"/>
  <c r="I10" i="18"/>
  <c r="S10" i="18"/>
  <c r="L8" i="70" l="1"/>
  <c r="L9" i="70" l="1"/>
  <c r="L10" i="70" l="1"/>
  <c r="L11" i="70" l="1"/>
  <c r="L12" i="70" l="1"/>
  <c r="L16" i="18" l="1"/>
  <c r="L13" i="70"/>
  <c r="S16" i="18" l="1"/>
  <c r="J16" i="18"/>
  <c r="I16" i="18"/>
  <c r="Q16" i="18"/>
  <c r="G16" i="18"/>
  <c r="R16" i="18"/>
  <c r="T16" i="18"/>
  <c r="K16" i="18"/>
  <c r="H16" i="18"/>
  <c r="M16" i="18"/>
  <c r="D16" i="18"/>
  <c r="B16" i="18"/>
  <c r="P16" i="18"/>
  <c r="C16" i="18"/>
  <c r="F16" i="18"/>
  <c r="N16" i="18"/>
  <c r="E16" i="18"/>
  <c r="O16" i="18"/>
  <c r="L14" i="70"/>
  <c r="L15" i="70" l="1"/>
  <c r="L16" i="70"/>
  <c r="L17" i="70"/>
  <c r="L18" i="70" l="1"/>
  <c r="L19" i="70" l="1"/>
  <c r="L20" i="70" l="1"/>
  <c r="L21" i="70" l="1"/>
  <c r="L22" i="70" l="1"/>
  <c r="L23" i="70" l="1"/>
  <c r="L24" i="70" l="1"/>
  <c r="L25" i="70" l="1"/>
  <c r="L26" i="70" l="1"/>
  <c r="L27" i="70" l="1"/>
  <c r="L28" i="70" l="1"/>
  <c r="L29" i="70" l="1"/>
  <c r="L30" i="70" l="1"/>
  <c r="L31" i="70" l="1"/>
  <c r="L32" i="70" l="1"/>
  <c r="L33" i="70" l="1"/>
  <c r="L34" i="70" l="1"/>
  <c r="L35" i="70" l="1"/>
  <c r="L36" i="70" l="1"/>
  <c r="L37" i="70" l="1"/>
  <c r="L38" i="70" l="1"/>
  <c r="L39" i="70" l="1"/>
  <c r="L40" i="70" l="1"/>
  <c r="L41" i="70" l="1"/>
  <c r="L42" i="70" l="1"/>
  <c r="L43" i="70" l="1"/>
  <c r="L44" i="70" l="1"/>
  <c r="L45" i="70" l="1"/>
  <c r="L46" i="70" l="1"/>
  <c r="L47" i="70" l="1"/>
  <c r="L48" i="70" l="1"/>
  <c r="L49" i="70" l="1"/>
  <c r="L50" i="70" l="1"/>
  <c r="L51" i="70" l="1"/>
  <c r="L52" i="70" l="1"/>
  <c r="L53" i="70" l="1"/>
  <c r="L54" i="70" l="1"/>
  <c r="L55" i="70" l="1"/>
  <c r="L56" i="70" l="1"/>
  <c r="L57" i="70" l="1"/>
  <c r="L58" i="70" l="1"/>
  <c r="L59" i="70" l="1"/>
  <c r="L60" i="70" l="1"/>
  <c r="L61" i="70" l="1"/>
  <c r="L62" i="70" l="1"/>
  <c r="L63" i="70" l="1"/>
  <c r="L64" i="70" l="1"/>
  <c r="L65" i="70" l="1"/>
  <c r="L66" i="70" l="1"/>
  <c r="L67" i="70" l="1"/>
  <c r="L68" i="70" l="1"/>
  <c r="L69" i="70" l="1"/>
  <c r="L70" i="70" l="1"/>
  <c r="L71" i="70" l="1"/>
  <c r="L72" i="70" l="1"/>
  <c r="L73" i="70" l="1"/>
  <c r="L74" i="70" l="1"/>
  <c r="L75" i="70" l="1"/>
  <c r="L76" i="70" l="1"/>
  <c r="L77" i="70" l="1"/>
  <c r="L78" i="70" l="1"/>
  <c r="L79" i="70" l="1"/>
  <c r="L80" i="70" l="1"/>
  <c r="L81" i="70" l="1"/>
  <c r="L82" i="70" l="1"/>
  <c r="L83" i="70" l="1"/>
  <c r="L84" i="70" l="1"/>
  <c r="L85" i="70" l="1"/>
  <c r="L86" i="70" l="1"/>
  <c r="L87" i="70" l="1"/>
  <c r="L88" i="70" l="1"/>
  <c r="L89" i="70" l="1"/>
  <c r="L90" i="70" l="1"/>
  <c r="L91" i="70" l="1"/>
  <c r="L92" i="70" l="1"/>
  <c r="L93" i="70" l="1"/>
  <c r="L94" i="70" l="1"/>
  <c r="L95" i="70" l="1"/>
  <c r="L96" i="70" l="1"/>
  <c r="L97" i="70" l="1"/>
  <c r="L98" i="70" l="1"/>
  <c r="L99" i="70" l="1"/>
  <c r="L100" i="70" l="1"/>
  <c r="L101" i="70" l="1"/>
  <c r="L102" i="70" l="1"/>
  <c r="L103" i="70" l="1"/>
  <c r="L104" i="70" l="1"/>
  <c r="L105" i="70" l="1"/>
  <c r="L106" i="70" l="1"/>
  <c r="L107" i="70" l="1"/>
  <c r="L108" i="70" l="1"/>
  <c r="L109" i="70" l="1"/>
  <c r="L110" i="70" l="1"/>
  <c r="L111" i="70" l="1"/>
  <c r="L112" i="70" l="1"/>
  <c r="L113" i="70" l="1"/>
  <c r="L114" i="70" l="1"/>
  <c r="L115" i="70" l="1"/>
  <c r="L116" i="70" l="1"/>
  <c r="L117" i="70" l="1"/>
  <c r="L118" i="70" l="1"/>
  <c r="L119" i="70" l="1"/>
  <c r="L120" i="70" l="1"/>
  <c r="L121" i="70" l="1"/>
  <c r="L122" i="70"/>
  <c r="L123" i="70" l="1"/>
  <c r="L124" i="70" l="1"/>
  <c r="L125" i="70" l="1"/>
  <c r="L126" i="70" l="1"/>
  <c r="L127" i="70" l="1"/>
  <c r="L128" i="70" l="1"/>
  <c r="L129" i="70" l="1"/>
  <c r="L130" i="70" l="1"/>
  <c r="AG22" i="39"/>
  <c r="L131" i="70" l="1"/>
  <c r="L132" i="70" l="1"/>
  <c r="L133" i="70" l="1"/>
  <c r="L134" i="70" l="1"/>
  <c r="L135" i="70" l="1"/>
  <c r="L136" i="70" l="1"/>
  <c r="L137" i="70" l="1"/>
  <c r="L138" i="70" l="1"/>
  <c r="L139" i="70" l="1"/>
  <c r="L140" i="70" l="1"/>
  <c r="L141" i="70" l="1"/>
  <c r="L142" i="70" l="1"/>
  <c r="L144" i="70" l="1"/>
  <c r="L143" i="70"/>
  <c r="AF27" i="2" l="1"/>
  <c r="AF38" i="2"/>
  <c r="AF36" i="2"/>
  <c r="AF33" i="2"/>
  <c r="AF34" i="2"/>
  <c r="AF39" i="2"/>
  <c r="AF32" i="2"/>
  <c r="AF26" i="2"/>
  <c r="AF35" i="2"/>
  <c r="AF31" i="2"/>
  <c r="AF28" i="2"/>
  <c r="AF29" i="2"/>
  <c r="AF37" i="2"/>
  <c r="AF30" i="2"/>
  <c r="AF25" i="2" l="1"/>
  <c r="AF24" i="2"/>
  <c r="AF23" i="2" l="1"/>
  <c r="AF22" i="2" l="1"/>
  <c r="AF21" i="2"/>
  <c r="AF20" i="2" l="1"/>
  <c r="AF19" i="2" l="1"/>
  <c r="G74" i="6"/>
  <c r="E74" i="8"/>
  <c r="K61" i="29"/>
  <c r="O74" i="6"/>
  <c r="K60" i="29"/>
  <c r="I74" i="6"/>
  <c r="I56" i="29"/>
  <c r="I57" i="29"/>
  <c r="R74" i="8"/>
  <c r="J74" i="8"/>
  <c r="K62" i="29"/>
  <c r="Q74" i="6"/>
  <c r="L74" i="6"/>
  <c r="F74" i="8"/>
  <c r="R74" i="6"/>
  <c r="M74" i="6"/>
  <c r="P74" i="8"/>
  <c r="K74" i="6"/>
  <c r="I58" i="29"/>
  <c r="I74" i="8"/>
  <c r="G74" i="8"/>
  <c r="S74" i="8"/>
  <c r="I61" i="29"/>
  <c r="E74" i="6"/>
  <c r="I63" i="29"/>
  <c r="L74" i="8"/>
  <c r="S74" i="6"/>
  <c r="I59" i="29"/>
  <c r="K57" i="29"/>
  <c r="K58" i="29"/>
  <c r="H74" i="8"/>
  <c r="I62" i="29"/>
  <c r="K74" i="8"/>
  <c r="F74" i="6"/>
  <c r="K59" i="29"/>
  <c r="N74" i="8"/>
  <c r="M74" i="8"/>
  <c r="C74" i="8"/>
  <c r="D74" i="6"/>
  <c r="N74" i="6"/>
  <c r="J74" i="6"/>
  <c r="D74" i="8"/>
  <c r="I66" i="29"/>
  <c r="H74" i="6"/>
  <c r="K66" i="29"/>
  <c r="K64" i="29"/>
  <c r="K56" i="29"/>
  <c r="C74" i="6"/>
  <c r="P74" i="6"/>
  <c r="K65" i="29"/>
  <c r="I65" i="29"/>
  <c r="Q74" i="8"/>
  <c r="I60" i="29"/>
  <c r="O74" i="8"/>
  <c r="K63" i="29"/>
  <c r="I64" i="29"/>
  <c r="T28" i="52" l="1"/>
  <c r="T26" i="52"/>
  <c r="T21" i="52"/>
  <c r="T23" i="52"/>
  <c r="T27" i="52"/>
  <c r="T22" i="52"/>
  <c r="T20" i="52"/>
  <c r="T19" i="52"/>
  <c r="T18" i="52"/>
  <c r="T25" i="52"/>
  <c r="T24" i="52"/>
  <c r="N58" i="8"/>
  <c r="N61" i="8" s="1"/>
  <c r="J58" i="8"/>
  <c r="J61" i="8" s="1"/>
  <c r="F58" i="8"/>
  <c r="F61" i="8" s="1"/>
  <c r="G58" i="8"/>
  <c r="G61" i="8" s="1"/>
  <c r="Q58" i="8"/>
  <c r="Q61" i="8" s="1"/>
  <c r="M58" i="8"/>
  <c r="M61" i="8" s="1"/>
  <c r="I58" i="8"/>
  <c r="I61" i="8" s="1"/>
  <c r="E58" i="8"/>
  <c r="E61" i="8" s="1"/>
  <c r="K58" i="8"/>
  <c r="K61" i="8" s="1"/>
  <c r="P58" i="8"/>
  <c r="P61" i="8" s="1"/>
  <c r="L58" i="8"/>
  <c r="L61" i="8" s="1"/>
  <c r="H58" i="8"/>
  <c r="H61" i="8" s="1"/>
  <c r="D58" i="8"/>
  <c r="D61" i="8" s="1"/>
  <c r="O58" i="8"/>
  <c r="O61" i="8" s="1"/>
  <c r="S58" i="8"/>
  <c r="S61" i="8" s="1"/>
  <c r="R58" i="8"/>
  <c r="R61" i="8" s="1"/>
  <c r="N58" i="6"/>
  <c r="N61" i="6" s="1"/>
  <c r="J58" i="6"/>
  <c r="J61" i="6" s="1"/>
  <c r="F58" i="6"/>
  <c r="F61" i="6" s="1"/>
  <c r="L58" i="6"/>
  <c r="L61" i="6" s="1"/>
  <c r="H58" i="6"/>
  <c r="H61" i="6" s="1"/>
  <c r="K58" i="6"/>
  <c r="K61" i="6" s="1"/>
  <c r="Q58" i="6"/>
  <c r="Q61" i="6" s="1"/>
  <c r="M58" i="6"/>
  <c r="M61" i="6" s="1"/>
  <c r="I58" i="6"/>
  <c r="I61" i="6" s="1"/>
  <c r="E58" i="6"/>
  <c r="E61" i="6" s="1"/>
  <c r="P58" i="6"/>
  <c r="P61" i="6" s="1"/>
  <c r="D58" i="6"/>
  <c r="D61" i="6" s="1"/>
  <c r="O58" i="6"/>
  <c r="O61" i="6" s="1"/>
  <c r="G58" i="6"/>
  <c r="G61" i="6" s="1"/>
  <c r="S58" i="6"/>
  <c r="S61" i="6" s="1"/>
  <c r="R58" i="6"/>
  <c r="R61" i="6" s="1"/>
  <c r="O62" i="6" l="1"/>
  <c r="K17" i="28" s="1"/>
  <c r="O78" i="6"/>
  <c r="O80" i="6"/>
  <c r="I62" i="6"/>
  <c r="K11" i="28" s="1"/>
  <c r="I80" i="6"/>
  <c r="I78" i="6"/>
  <c r="N62" i="6"/>
  <c r="K16" i="28" s="1"/>
  <c r="N78" i="6"/>
  <c r="N80" i="6"/>
  <c r="K62" i="8"/>
  <c r="J13" i="28" s="1"/>
  <c r="K78" i="8"/>
  <c r="Q78" i="8"/>
  <c r="Q62" i="8"/>
  <c r="J19" i="28" s="1"/>
  <c r="N78" i="8"/>
  <c r="N62" i="8"/>
  <c r="J16" i="28" s="1"/>
  <c r="R80" i="6"/>
  <c r="R62" i="6"/>
  <c r="K20" i="28" s="1"/>
  <c r="M80" i="6"/>
  <c r="M62" i="6"/>
  <c r="K15" i="28" s="1"/>
  <c r="M78" i="6"/>
  <c r="L78" i="6"/>
  <c r="L80" i="6"/>
  <c r="L62" i="6"/>
  <c r="K14" i="28" s="1"/>
  <c r="R62" i="8"/>
  <c r="J20" i="28" s="1"/>
  <c r="S62" i="6"/>
  <c r="K21" i="28" s="1"/>
  <c r="S80" i="6"/>
  <c r="P80" i="6"/>
  <c r="P78" i="6"/>
  <c r="P62" i="6"/>
  <c r="K18" i="28" s="1"/>
  <c r="Q78" i="6"/>
  <c r="Q62" i="6"/>
  <c r="K19" i="28" s="1"/>
  <c r="Q80" i="6"/>
  <c r="S62" i="8"/>
  <c r="J21" i="28" s="1"/>
  <c r="L78" i="8"/>
  <c r="L62" i="8"/>
  <c r="J14" i="28" s="1"/>
  <c r="I78" i="8"/>
  <c r="I62" i="8"/>
  <c r="J11" i="28" s="1"/>
  <c r="K78" i="6"/>
  <c r="K62" i="6"/>
  <c r="K13" i="28" s="1"/>
  <c r="K80" i="6"/>
  <c r="J80" i="6"/>
  <c r="J78" i="6"/>
  <c r="J62" i="6"/>
  <c r="K12" i="28" s="1"/>
  <c r="O78" i="8"/>
  <c r="O62" i="8"/>
  <c r="J17" i="28" s="1"/>
  <c r="P78" i="8"/>
  <c r="P62" i="8"/>
  <c r="J18" i="28" s="1"/>
  <c r="M78" i="8"/>
  <c r="M62" i="8"/>
  <c r="J15" i="28" s="1"/>
  <c r="J78" i="8"/>
  <c r="J62" i="8"/>
  <c r="J12" i="28" s="1"/>
  <c r="I77" i="29"/>
  <c r="K67" i="29"/>
  <c r="I70" i="29"/>
  <c r="N74" i="10"/>
  <c r="G74" i="10"/>
  <c r="D74" i="10"/>
  <c r="K69" i="29"/>
  <c r="Q74" i="10"/>
  <c r="R74" i="10"/>
  <c r="I74" i="29"/>
  <c r="L74" i="10"/>
  <c r="K74" i="29"/>
  <c r="O74" i="10"/>
  <c r="I69" i="29"/>
  <c r="J74" i="10"/>
  <c r="K77" i="29"/>
  <c r="I71" i="29"/>
  <c r="K68" i="29"/>
  <c r="K73" i="29"/>
  <c r="I78" i="29"/>
  <c r="K70" i="29"/>
  <c r="I74" i="10"/>
  <c r="K74" i="10"/>
  <c r="K71" i="29"/>
  <c r="H74" i="10"/>
  <c r="S74" i="10"/>
  <c r="P74" i="10"/>
  <c r="F74" i="10"/>
  <c r="K78" i="29"/>
  <c r="I67" i="29"/>
  <c r="M74" i="10"/>
  <c r="K72" i="29"/>
  <c r="I68" i="29"/>
  <c r="E74" i="10"/>
  <c r="C74" i="10"/>
  <c r="I73" i="29"/>
  <c r="I72" i="29"/>
  <c r="K35" i="28" l="1"/>
  <c r="J31" i="28"/>
  <c r="J32" i="28"/>
  <c r="K34" i="28"/>
  <c r="J34" i="28"/>
  <c r="J37" i="28"/>
  <c r="J35" i="28"/>
  <c r="K30" i="28"/>
  <c r="K36" i="28"/>
  <c r="K32" i="28"/>
  <c r="J33" i="28"/>
  <c r="K33" i="28"/>
  <c r="K31" i="28"/>
  <c r="J30" i="28"/>
  <c r="J38" i="28"/>
  <c r="K38" i="28"/>
  <c r="K37" i="28"/>
  <c r="J36" i="28"/>
  <c r="AA44" i="29"/>
  <c r="T33" i="52"/>
  <c r="T29" i="52"/>
  <c r="T40" i="52"/>
  <c r="T35" i="52"/>
  <c r="T36" i="52"/>
  <c r="T32" i="52"/>
  <c r="T31" i="52"/>
  <c r="T34" i="52"/>
  <c r="T30" i="52"/>
  <c r="T39" i="52"/>
  <c r="S58" i="10"/>
  <c r="S61" i="10" s="1"/>
  <c r="R58" i="10"/>
  <c r="R61" i="10" s="1"/>
  <c r="N58" i="10"/>
  <c r="N61" i="10" s="1"/>
  <c r="J58" i="10"/>
  <c r="J61" i="10" s="1"/>
  <c r="F58" i="10"/>
  <c r="F61" i="10" s="1"/>
  <c r="Q58" i="10"/>
  <c r="Q61" i="10" s="1"/>
  <c r="M58" i="10"/>
  <c r="M61" i="10" s="1"/>
  <c r="I58" i="10"/>
  <c r="I61" i="10" s="1"/>
  <c r="E58" i="10"/>
  <c r="E61" i="10" s="1"/>
  <c r="P58" i="10"/>
  <c r="P61" i="10" s="1"/>
  <c r="L58" i="10"/>
  <c r="L61" i="10" s="1"/>
  <c r="H58" i="10"/>
  <c r="H61" i="10" s="1"/>
  <c r="D58" i="10"/>
  <c r="D61" i="10" s="1"/>
  <c r="O58" i="10"/>
  <c r="O61" i="10" s="1"/>
  <c r="K58" i="10"/>
  <c r="K61" i="10" s="1"/>
  <c r="G58" i="10"/>
  <c r="G61" i="10" s="1"/>
  <c r="J40" i="28" l="1"/>
  <c r="J41" i="28" s="1"/>
  <c r="J22" i="28" s="1"/>
  <c r="J23" i="28" s="1"/>
  <c r="J24" i="28" s="1"/>
  <c r="J25" i="28" s="1"/>
  <c r="J26" i="28" s="1"/>
  <c r="J27" i="28" s="1"/>
  <c r="K40" i="28"/>
  <c r="K41" i="28" s="1"/>
  <c r="K22" i="28" s="1"/>
  <c r="K23" i="28" s="1"/>
  <c r="K24" i="28" s="1"/>
  <c r="K25" i="28" s="1"/>
  <c r="K26" i="28" s="1"/>
  <c r="K27" i="28" s="1"/>
  <c r="K78" i="10"/>
  <c r="K62" i="10"/>
  <c r="I13" i="28" s="1"/>
  <c r="K80" i="10"/>
  <c r="K80" i="8"/>
  <c r="M78" i="10"/>
  <c r="M62" i="10"/>
  <c r="I15" i="28" s="1"/>
  <c r="M80" i="10"/>
  <c r="M80" i="8"/>
  <c r="O78" i="10"/>
  <c r="O80" i="10"/>
  <c r="O62" i="10"/>
  <c r="I17" i="28" s="1"/>
  <c r="O80" i="8"/>
  <c r="Q80" i="10"/>
  <c r="Q78" i="10"/>
  <c r="Q62" i="10"/>
  <c r="I19" i="28" s="1"/>
  <c r="Q80" i="8"/>
  <c r="S62" i="10"/>
  <c r="I21" i="28" s="1"/>
  <c r="S80" i="10"/>
  <c r="S80" i="8"/>
  <c r="L80" i="10"/>
  <c r="L78" i="10"/>
  <c r="L62" i="10"/>
  <c r="I14" i="28" s="1"/>
  <c r="L80" i="8"/>
  <c r="N78" i="10"/>
  <c r="N62" i="10"/>
  <c r="I16" i="28" s="1"/>
  <c r="N80" i="10"/>
  <c r="N80" i="8"/>
  <c r="P78" i="10"/>
  <c r="P62" i="10"/>
  <c r="I18" i="28" s="1"/>
  <c r="P80" i="10"/>
  <c r="P80" i="8"/>
  <c r="R80" i="10"/>
  <c r="R62" i="10"/>
  <c r="I20" i="28" s="1"/>
  <c r="R80" i="8"/>
  <c r="I80" i="10"/>
  <c r="I78" i="10"/>
  <c r="I62" i="10"/>
  <c r="I11" i="28" s="1"/>
  <c r="I80" i="8"/>
  <c r="J62" i="10"/>
  <c r="I12" i="28" s="1"/>
  <c r="J78" i="10"/>
  <c r="J80" i="10"/>
  <c r="J80" i="8"/>
  <c r="I31" i="28" l="1"/>
  <c r="I36" i="28"/>
  <c r="I34" i="28"/>
  <c r="I32" i="28"/>
  <c r="I30" i="28"/>
  <c r="I37" i="28"/>
  <c r="I33" i="28"/>
  <c r="I38" i="28"/>
  <c r="I35" i="28"/>
  <c r="M83" i="10"/>
  <c r="R83" i="10"/>
  <c r="S83" i="10"/>
  <c r="L83" i="10"/>
  <c r="I83" i="10"/>
  <c r="N83" i="10"/>
  <c r="Q83" i="10"/>
  <c r="O83" i="10"/>
  <c r="K83" i="10"/>
  <c r="J83" i="10"/>
  <c r="P83" i="10"/>
  <c r="AJ38" i="41"/>
  <c r="E74" i="11"/>
  <c r="AJ22" i="41"/>
  <c r="G74" i="11"/>
  <c r="K74" i="12"/>
  <c r="L74" i="12"/>
  <c r="AI20" i="41"/>
  <c r="AJ23" i="41"/>
  <c r="E74" i="12"/>
  <c r="AI34" i="41"/>
  <c r="J74" i="12"/>
  <c r="AI37" i="41"/>
  <c r="P74" i="11"/>
  <c r="AJ33" i="41"/>
  <c r="AJ31" i="41"/>
  <c r="S74" i="12"/>
  <c r="Q74" i="12"/>
  <c r="AI29" i="41"/>
  <c r="O74" i="12"/>
  <c r="AI40" i="41"/>
  <c r="D74" i="12"/>
  <c r="AJ20" i="41"/>
  <c r="H74" i="12"/>
  <c r="AJ37" i="41"/>
  <c r="M74" i="11"/>
  <c r="O74" i="11"/>
  <c r="K74" i="11"/>
  <c r="AJ21" i="41"/>
  <c r="F74" i="12"/>
  <c r="R74" i="12"/>
  <c r="AI33" i="41"/>
  <c r="G74" i="12"/>
  <c r="AJ24" i="41"/>
  <c r="AI38" i="41"/>
  <c r="H74" i="11"/>
  <c r="Q74" i="11"/>
  <c r="F74" i="11"/>
  <c r="AJ40" i="41"/>
  <c r="AJ32" i="41"/>
  <c r="S74" i="11"/>
  <c r="N74" i="11"/>
  <c r="AI39" i="41"/>
  <c r="AI26" i="41"/>
  <c r="AI24" i="41"/>
  <c r="AI35" i="41"/>
  <c r="R74" i="11"/>
  <c r="N74" i="12"/>
  <c r="AI19" i="41"/>
  <c r="AJ27" i="41"/>
  <c r="AJ19" i="41"/>
  <c r="AI28" i="41"/>
  <c r="AI27" i="41"/>
  <c r="AI25" i="41"/>
  <c r="AI22" i="41"/>
  <c r="AI32" i="41"/>
  <c r="AJ41" i="41"/>
  <c r="AJ26" i="41"/>
  <c r="AI36" i="41"/>
  <c r="AI41" i="41"/>
  <c r="AJ39" i="41"/>
  <c r="J74" i="11"/>
  <c r="AI30" i="41"/>
  <c r="AJ28" i="41"/>
  <c r="M74" i="12"/>
  <c r="D74" i="11"/>
  <c r="AJ35" i="41"/>
  <c r="I74" i="11"/>
  <c r="AJ25" i="41"/>
  <c r="P74" i="12"/>
  <c r="I74" i="12"/>
  <c r="AI21" i="41"/>
  <c r="AJ30" i="41"/>
  <c r="AJ34" i="41"/>
  <c r="C74" i="12"/>
  <c r="AJ29" i="41"/>
  <c r="AJ36" i="41"/>
  <c r="L74" i="11"/>
  <c r="AI23" i="41"/>
  <c r="C74" i="11"/>
  <c r="AI31" i="41"/>
  <c r="I40" i="28" l="1"/>
  <c r="I41" i="28" s="1"/>
  <c r="I22" i="28" s="1"/>
  <c r="I23" i="28" s="1"/>
  <c r="I24" i="28" s="1"/>
  <c r="I25" i="28" s="1"/>
  <c r="I26" i="28" s="1"/>
  <c r="I27" i="28" s="1"/>
  <c r="N58" i="12"/>
  <c r="N61" i="12" s="1"/>
  <c r="N84" i="10" s="1"/>
  <c r="J58" i="12"/>
  <c r="J61" i="12" s="1"/>
  <c r="F58" i="12"/>
  <c r="F61" i="12" s="1"/>
  <c r="O58" i="12"/>
  <c r="O61" i="12" s="1"/>
  <c r="O84" i="10" s="1"/>
  <c r="G58" i="12"/>
  <c r="G61" i="12" s="1"/>
  <c r="Q58" i="12"/>
  <c r="Q61" i="12" s="1"/>
  <c r="M58" i="12"/>
  <c r="M61" i="12" s="1"/>
  <c r="M84" i="10" s="1"/>
  <c r="I58" i="12"/>
  <c r="I61" i="12" s="1"/>
  <c r="E58" i="12"/>
  <c r="E61" i="12" s="1"/>
  <c r="P58" i="12"/>
  <c r="P61" i="12" s="1"/>
  <c r="L58" i="12"/>
  <c r="L61" i="12" s="1"/>
  <c r="L84" i="10" s="1"/>
  <c r="H58" i="12"/>
  <c r="H61" i="12" s="1"/>
  <c r="D58" i="12"/>
  <c r="D61" i="12" s="1"/>
  <c r="K58" i="12"/>
  <c r="K61" i="12" s="1"/>
  <c r="S58" i="12"/>
  <c r="S61" i="12" s="1"/>
  <c r="S84" i="10" s="1"/>
  <c r="R58" i="12"/>
  <c r="R61" i="12" s="1"/>
  <c r="R84" i="10" s="1"/>
  <c r="AI57" i="41"/>
  <c r="AJ24" i="40"/>
  <c r="AJ61" i="41"/>
  <c r="AJ19" i="40"/>
  <c r="AJ34" i="40"/>
  <c r="AJ20" i="40"/>
  <c r="AI32" i="40"/>
  <c r="AI29" i="40"/>
  <c r="L74" i="5"/>
  <c r="AI21" i="40"/>
  <c r="AJ29" i="40"/>
  <c r="AJ39" i="40"/>
  <c r="K26" i="29"/>
  <c r="AJ28" i="40"/>
  <c r="AI61" i="41"/>
  <c r="AJ37" i="40"/>
  <c r="AI22" i="40"/>
  <c r="K22" i="29"/>
  <c r="E74" i="5"/>
  <c r="K75" i="29"/>
  <c r="D74" i="5"/>
  <c r="K25" i="29"/>
  <c r="AI56" i="41"/>
  <c r="K76" i="29"/>
  <c r="O74" i="5"/>
  <c r="AI33" i="40"/>
  <c r="AJ59" i="41"/>
  <c r="Q74" i="5"/>
  <c r="I75" i="29"/>
  <c r="AJ26" i="40"/>
  <c r="AJ33" i="40"/>
  <c r="AJ60" i="41"/>
  <c r="AJ21" i="40"/>
  <c r="K24" i="29"/>
  <c r="K20" i="29"/>
  <c r="AJ32" i="40"/>
  <c r="AI55" i="41"/>
  <c r="AJ41" i="40"/>
  <c r="G74" i="5"/>
  <c r="AJ38" i="40"/>
  <c r="AI28" i="40"/>
  <c r="AI35" i="40"/>
  <c r="AI31" i="40"/>
  <c r="AI37" i="40"/>
  <c r="AJ31" i="40"/>
  <c r="AI25" i="40"/>
  <c r="H74" i="5"/>
  <c r="J74" i="5"/>
  <c r="AJ22" i="40"/>
  <c r="AJ40" i="40"/>
  <c r="AI41" i="40"/>
  <c r="I74" i="5"/>
  <c r="R74" i="5"/>
  <c r="M74" i="5"/>
  <c r="C74" i="5"/>
  <c r="AI27" i="40"/>
  <c r="P74" i="5"/>
  <c r="AJ35" i="40"/>
  <c r="AI40" i="40"/>
  <c r="AI20" i="40"/>
  <c r="AJ58" i="41"/>
  <c r="AJ27" i="40"/>
  <c r="K21" i="29"/>
  <c r="AJ30" i="40"/>
  <c r="AI24" i="40"/>
  <c r="AI23" i="40"/>
  <c r="AJ55" i="41"/>
  <c r="AI30" i="40"/>
  <c r="AI36" i="40"/>
  <c r="AI60" i="41"/>
  <c r="AI59" i="41"/>
  <c r="AJ36" i="40"/>
  <c r="AJ57" i="41"/>
  <c r="K74" i="5"/>
  <c r="AJ56" i="41"/>
  <c r="F74" i="5"/>
  <c r="I76" i="29"/>
  <c r="AI34" i="40"/>
  <c r="AI58" i="41"/>
  <c r="AJ25" i="40"/>
  <c r="AJ23" i="40"/>
  <c r="K23" i="29"/>
  <c r="S74" i="5"/>
  <c r="AI26" i="40"/>
  <c r="AI39" i="40"/>
  <c r="AI19" i="40"/>
  <c r="AI38" i="40"/>
  <c r="N74" i="5"/>
  <c r="T37" i="52" l="1"/>
  <c r="T38" i="52"/>
  <c r="Q23" i="52"/>
  <c r="Q19" i="52"/>
  <c r="Q22" i="52"/>
  <c r="Q21" i="52"/>
  <c r="Q18" i="52"/>
  <c r="Q24" i="52"/>
  <c r="Q20" i="52"/>
  <c r="K80" i="12"/>
  <c r="K62" i="12"/>
  <c r="G13" i="28" s="1"/>
  <c r="K78" i="12"/>
  <c r="P78" i="12"/>
  <c r="P80" i="12"/>
  <c r="P62" i="12"/>
  <c r="G18" i="28" s="1"/>
  <c r="Q80" i="12"/>
  <c r="Q78" i="12"/>
  <c r="Q62" i="12"/>
  <c r="G19" i="28" s="1"/>
  <c r="J62" i="12"/>
  <c r="G12" i="28" s="1"/>
  <c r="J78" i="12"/>
  <c r="J80" i="12"/>
  <c r="N89" i="10"/>
  <c r="N87" i="10"/>
  <c r="P84" i="10"/>
  <c r="R89" i="10"/>
  <c r="R85" i="10"/>
  <c r="H20" i="28" s="1"/>
  <c r="N80" i="12"/>
  <c r="N78" i="12"/>
  <c r="N62" i="12"/>
  <c r="G16" i="28" s="1"/>
  <c r="K84" i="10"/>
  <c r="O89" i="10"/>
  <c r="S85" i="10"/>
  <c r="H21" i="28" s="1"/>
  <c r="S89" i="10"/>
  <c r="R62" i="12"/>
  <c r="G20" i="28" s="1"/>
  <c r="R80" i="12"/>
  <c r="I62" i="12"/>
  <c r="G11" i="28" s="1"/>
  <c r="I80" i="12"/>
  <c r="I78" i="12"/>
  <c r="O78" i="12"/>
  <c r="O62" i="12"/>
  <c r="G17" i="28" s="1"/>
  <c r="O80" i="12"/>
  <c r="L89" i="10"/>
  <c r="L87" i="10"/>
  <c r="M89" i="10"/>
  <c r="M87" i="10"/>
  <c r="Q84" i="10"/>
  <c r="S62" i="12"/>
  <c r="G21" i="28" s="1"/>
  <c r="S80" i="12"/>
  <c r="L78" i="12"/>
  <c r="L62" i="12"/>
  <c r="G14" i="28" s="1"/>
  <c r="L80" i="12"/>
  <c r="M80" i="12"/>
  <c r="M78" i="12"/>
  <c r="M62" i="12"/>
  <c r="G15" i="28" s="1"/>
  <c r="I84" i="10"/>
  <c r="J84" i="10"/>
  <c r="AK56" i="41"/>
  <c r="AK60" i="41"/>
  <c r="AK55" i="41"/>
  <c r="AK59" i="41"/>
  <c r="AK57" i="41"/>
  <c r="AK58" i="41"/>
  <c r="AK61" i="41"/>
  <c r="AK20" i="40"/>
  <c r="AK24" i="40"/>
  <c r="AK28" i="40"/>
  <c r="AK32" i="40"/>
  <c r="AK36" i="40"/>
  <c r="AK40" i="40"/>
  <c r="AK21" i="40"/>
  <c r="AK25" i="40"/>
  <c r="AK37" i="40"/>
  <c r="AK19" i="40"/>
  <c r="AK23" i="40"/>
  <c r="AK27" i="40"/>
  <c r="AK31" i="40"/>
  <c r="AK35" i="40"/>
  <c r="AK39" i="40"/>
  <c r="AK29" i="40"/>
  <c r="AK33" i="40"/>
  <c r="AK22" i="40"/>
  <c r="AK26" i="40"/>
  <c r="AK30" i="40"/>
  <c r="AK34" i="40"/>
  <c r="AK38" i="40"/>
  <c r="AK41" i="40"/>
  <c r="N58" i="5"/>
  <c r="N61" i="5" s="1"/>
  <c r="J58" i="5"/>
  <c r="J61" i="5" s="1"/>
  <c r="F58" i="5"/>
  <c r="Q58" i="5"/>
  <c r="Q61" i="5" s="1"/>
  <c r="M58" i="5"/>
  <c r="M61" i="5" s="1"/>
  <c r="I58" i="5"/>
  <c r="I61" i="5" s="1"/>
  <c r="E58" i="5"/>
  <c r="E61" i="5" s="1"/>
  <c r="P58" i="5"/>
  <c r="P61" i="5" s="1"/>
  <c r="L58" i="5"/>
  <c r="L61" i="5" s="1"/>
  <c r="H58" i="5"/>
  <c r="H61" i="5" s="1"/>
  <c r="D58" i="5"/>
  <c r="O58" i="5"/>
  <c r="O61" i="5" s="1"/>
  <c r="K58" i="5"/>
  <c r="K61" i="5" s="1"/>
  <c r="G58" i="5"/>
  <c r="G61" i="5" s="1"/>
  <c r="S58" i="5"/>
  <c r="S61" i="5" s="1"/>
  <c r="R58" i="5"/>
  <c r="R61" i="5" s="1"/>
  <c r="AI103" i="40"/>
  <c r="AI110" i="40"/>
  <c r="J74" i="9"/>
  <c r="AI93" i="40"/>
  <c r="AI66" i="40"/>
  <c r="AJ57" i="40"/>
  <c r="AI69" i="41"/>
  <c r="AJ94" i="40"/>
  <c r="E74" i="7"/>
  <c r="AI57" i="40"/>
  <c r="AJ65" i="41"/>
  <c r="AI64" i="41"/>
  <c r="S74" i="9"/>
  <c r="AI64" i="40"/>
  <c r="O74" i="9"/>
  <c r="AJ72" i="40"/>
  <c r="I74" i="7"/>
  <c r="AJ56" i="40"/>
  <c r="J74" i="7"/>
  <c r="K28" i="29"/>
  <c r="AI61" i="40"/>
  <c r="AJ63" i="41"/>
  <c r="C74" i="7"/>
  <c r="AI68" i="40"/>
  <c r="AI108" i="40"/>
  <c r="O74" i="7"/>
  <c r="AJ110" i="40"/>
  <c r="AI67" i="40"/>
  <c r="AJ68" i="40"/>
  <c r="R74" i="9"/>
  <c r="AI109" i="40"/>
  <c r="AI76" i="40"/>
  <c r="AJ97" i="40"/>
  <c r="AI65" i="40"/>
  <c r="AI70" i="41"/>
  <c r="AJ69" i="40"/>
  <c r="AJ77" i="40"/>
  <c r="K30" i="29"/>
  <c r="AJ92" i="40"/>
  <c r="K31" i="29"/>
  <c r="AI113" i="40"/>
  <c r="AI77" i="41"/>
  <c r="AI63" i="41"/>
  <c r="AJ71" i="40"/>
  <c r="AJ64" i="41"/>
  <c r="AJ74" i="40"/>
  <c r="AI66" i="41"/>
  <c r="H74" i="7"/>
  <c r="AJ73" i="40"/>
  <c r="AJ71" i="41"/>
  <c r="K74" i="7"/>
  <c r="AJ66" i="41"/>
  <c r="P74" i="9"/>
  <c r="AJ101" i="40"/>
  <c r="K41" i="29"/>
  <c r="N74" i="9"/>
  <c r="AJ76" i="40"/>
  <c r="K34" i="29"/>
  <c r="L74" i="9"/>
  <c r="AI63" i="40"/>
  <c r="R74" i="7"/>
  <c r="M74" i="9"/>
  <c r="AJ103" i="40"/>
  <c r="AJ64" i="40"/>
  <c r="AJ72" i="41"/>
  <c r="AJ104" i="40"/>
  <c r="I74" i="9"/>
  <c r="AJ58" i="40"/>
  <c r="AJ95" i="40"/>
  <c r="AJ67" i="40"/>
  <c r="AJ105" i="40"/>
  <c r="AI56" i="40"/>
  <c r="Q74" i="7"/>
  <c r="AJ100" i="40"/>
  <c r="AI71" i="41"/>
  <c r="K38" i="29"/>
  <c r="L74" i="7"/>
  <c r="K33" i="29"/>
  <c r="AI106" i="40"/>
  <c r="AJ69" i="41"/>
  <c r="AI112" i="40"/>
  <c r="AJ60" i="40"/>
  <c r="G74" i="9"/>
  <c r="AJ70" i="40"/>
  <c r="AJ107" i="40"/>
  <c r="AJ91" i="40"/>
  <c r="F74" i="9"/>
  <c r="AI100" i="40"/>
  <c r="AJ62" i="41"/>
  <c r="AI98" i="40"/>
  <c r="AI62" i="40"/>
  <c r="H74" i="9"/>
  <c r="AJ67" i="41"/>
  <c r="AJ66" i="40"/>
  <c r="AJ98" i="40"/>
  <c r="G74" i="7"/>
  <c r="D74" i="9"/>
  <c r="Q74" i="9"/>
  <c r="P74" i="7"/>
  <c r="AJ70" i="41"/>
  <c r="K36" i="29"/>
  <c r="K32" i="29"/>
  <c r="AI69" i="40"/>
  <c r="S74" i="7"/>
  <c r="AI55" i="40"/>
  <c r="AI73" i="40"/>
  <c r="AI102" i="40"/>
  <c r="AI72" i="40"/>
  <c r="AJ109" i="40"/>
  <c r="D74" i="7"/>
  <c r="AJ93" i="40"/>
  <c r="K37" i="29"/>
  <c r="AJ102" i="40"/>
  <c r="AJ76" i="41"/>
  <c r="AJ108" i="40"/>
  <c r="K42" i="29"/>
  <c r="E74" i="9"/>
  <c r="AI72" i="41"/>
  <c r="AI95" i="40"/>
  <c r="K74" i="9"/>
  <c r="AI75" i="40"/>
  <c r="AI107" i="40"/>
  <c r="AI74" i="40"/>
  <c r="AI92" i="40"/>
  <c r="AI77" i="40"/>
  <c r="AI70" i="40"/>
  <c r="AJ61" i="40"/>
  <c r="AJ73" i="41"/>
  <c r="AJ75" i="40"/>
  <c r="AI71" i="40"/>
  <c r="AI96" i="40"/>
  <c r="AI105" i="40"/>
  <c r="AI62" i="41"/>
  <c r="AJ63" i="40"/>
  <c r="AI73" i="41"/>
  <c r="AJ77" i="41"/>
  <c r="F74" i="7"/>
  <c r="AJ55" i="40"/>
  <c r="AI97" i="40"/>
  <c r="I42" i="29"/>
  <c r="AI101" i="40"/>
  <c r="AJ106" i="40"/>
  <c r="AI58" i="40"/>
  <c r="AI104" i="40"/>
  <c r="AJ59" i="40"/>
  <c r="K35" i="29"/>
  <c r="AI68" i="41"/>
  <c r="AI99" i="40"/>
  <c r="AJ112" i="40"/>
  <c r="AJ99" i="40"/>
  <c r="K27" i="29"/>
  <c r="AI65" i="41"/>
  <c r="K29" i="29"/>
  <c r="AI59" i="40"/>
  <c r="AJ62" i="40"/>
  <c r="AI67" i="41"/>
  <c r="N74" i="7"/>
  <c r="AI111" i="40"/>
  <c r="AI94" i="40"/>
  <c r="M74" i="7"/>
  <c r="AJ65" i="40"/>
  <c r="AJ113" i="40"/>
  <c r="C74" i="9"/>
  <c r="AJ111" i="40"/>
  <c r="AI60" i="40"/>
  <c r="AJ96" i="40"/>
  <c r="AI76" i="41"/>
  <c r="AJ68" i="41"/>
  <c r="AI91" i="40"/>
  <c r="G32" i="28" l="1"/>
  <c r="G37" i="28"/>
  <c r="G34" i="28"/>
  <c r="G31" i="28"/>
  <c r="G35" i="28"/>
  <c r="G30" i="28"/>
  <c r="G36" i="28"/>
  <c r="G33" i="28"/>
  <c r="G38" i="28"/>
  <c r="H38" i="28"/>
  <c r="AA43" i="29"/>
  <c r="AA45" i="29" s="1"/>
  <c r="AA46" i="29" s="1"/>
  <c r="Q26" i="52"/>
  <c r="Q40" i="52"/>
  <c r="Q28" i="52"/>
  <c r="Q31" i="52"/>
  <c r="Q35" i="52"/>
  <c r="Q29" i="52"/>
  <c r="Q39" i="52"/>
  <c r="Q36" i="52"/>
  <c r="Q27" i="52"/>
  <c r="Q33" i="52"/>
  <c r="Q34" i="52"/>
  <c r="Q25" i="52"/>
  <c r="Q32" i="52"/>
  <c r="Q30" i="52"/>
  <c r="O85" i="10"/>
  <c r="H17" i="28" s="1"/>
  <c r="K62" i="5"/>
  <c r="F13" i="28" s="1"/>
  <c r="K78" i="5"/>
  <c r="K79" i="5"/>
  <c r="K79" i="6" s="1"/>
  <c r="M79" i="5"/>
  <c r="M79" i="6" s="1"/>
  <c r="M78" i="5"/>
  <c r="M62" i="5"/>
  <c r="F15" i="28" s="1"/>
  <c r="O87" i="10"/>
  <c r="P89" i="10"/>
  <c r="P87" i="10"/>
  <c r="P85" i="10"/>
  <c r="H18" i="28" s="1"/>
  <c r="R62" i="5"/>
  <c r="F20" i="28" s="1"/>
  <c r="R79" i="5"/>
  <c r="R79" i="6" s="1"/>
  <c r="O79" i="5"/>
  <c r="O79" i="6" s="1"/>
  <c r="O78" i="5"/>
  <c r="O62" i="5"/>
  <c r="F17" i="28" s="1"/>
  <c r="P79" i="5"/>
  <c r="P79" i="6" s="1"/>
  <c r="P62" i="5"/>
  <c r="F18" i="28" s="1"/>
  <c r="P78" i="5"/>
  <c r="Q79" i="5"/>
  <c r="Q79" i="6" s="1"/>
  <c r="Q62" i="5"/>
  <c r="F19" i="28" s="1"/>
  <c r="Q78" i="5"/>
  <c r="J89" i="10"/>
  <c r="J87" i="10"/>
  <c r="J85" i="10"/>
  <c r="H12" i="28" s="1"/>
  <c r="N85" i="10"/>
  <c r="H16" i="28" s="1"/>
  <c r="N62" i="5"/>
  <c r="F16" i="28" s="1"/>
  <c r="N78" i="5"/>
  <c r="N79" i="5"/>
  <c r="N79" i="6" s="1"/>
  <c r="S62" i="5"/>
  <c r="F21" i="28" s="1"/>
  <c r="S79" i="5"/>
  <c r="S79" i="6" s="1"/>
  <c r="I85" i="10"/>
  <c r="H11" i="28" s="1"/>
  <c r="I87" i="10"/>
  <c r="I89" i="10"/>
  <c r="M85" i="10"/>
  <c r="H15" i="28" s="1"/>
  <c r="K89" i="10"/>
  <c r="K87" i="10"/>
  <c r="K85" i="10"/>
  <c r="H13" i="28" s="1"/>
  <c r="L79" i="5"/>
  <c r="L79" i="6" s="1"/>
  <c r="L78" i="5"/>
  <c r="L62" i="5"/>
  <c r="F14" i="28" s="1"/>
  <c r="I79" i="5"/>
  <c r="I79" i="6" s="1"/>
  <c r="I62" i="5"/>
  <c r="I78" i="5"/>
  <c r="J79" i="5"/>
  <c r="J79" i="6" s="1"/>
  <c r="J62" i="5"/>
  <c r="J78" i="5"/>
  <c r="Q85" i="10"/>
  <c r="H19" i="28" s="1"/>
  <c r="Q89" i="10"/>
  <c r="Q87" i="10"/>
  <c r="L85" i="10"/>
  <c r="H14" i="28" s="1"/>
  <c r="AK64" i="41"/>
  <c r="AK63" i="41"/>
  <c r="AK62" i="41"/>
  <c r="AK65" i="41"/>
  <c r="AK68" i="41"/>
  <c r="AK72" i="41"/>
  <c r="AK76" i="41"/>
  <c r="AK69" i="41"/>
  <c r="AK67" i="41"/>
  <c r="AK71" i="41"/>
  <c r="AK73" i="41"/>
  <c r="AK66" i="41"/>
  <c r="AK70" i="41"/>
  <c r="AK77" i="41"/>
  <c r="AK92" i="40"/>
  <c r="AK96" i="40"/>
  <c r="AK100" i="40"/>
  <c r="AK104" i="40"/>
  <c r="AK108" i="40"/>
  <c r="AK112" i="40"/>
  <c r="AK93" i="40"/>
  <c r="AK109" i="40"/>
  <c r="AK91" i="40"/>
  <c r="AK95" i="40"/>
  <c r="AK99" i="40"/>
  <c r="AK103" i="40"/>
  <c r="AK107" i="40"/>
  <c r="AK111" i="40"/>
  <c r="AK101" i="40"/>
  <c r="AK113" i="40"/>
  <c r="AK94" i="40"/>
  <c r="AK98" i="40"/>
  <c r="AK102" i="40"/>
  <c r="AK106" i="40"/>
  <c r="AK110" i="40"/>
  <c r="AK97" i="40"/>
  <c r="AK105" i="40"/>
  <c r="AK56" i="40"/>
  <c r="AK60" i="40"/>
  <c r="AK64" i="40"/>
  <c r="AK68" i="40"/>
  <c r="AK72" i="40"/>
  <c r="AK76" i="40"/>
  <c r="AK62" i="40"/>
  <c r="AK57" i="40"/>
  <c r="AK61" i="40"/>
  <c r="AK55" i="40"/>
  <c r="AK59" i="40"/>
  <c r="AK63" i="40"/>
  <c r="AK67" i="40"/>
  <c r="AK71" i="40"/>
  <c r="AK75" i="40"/>
  <c r="AK58" i="40"/>
  <c r="AK66" i="40"/>
  <c r="AK70" i="40"/>
  <c r="AK74" i="40"/>
  <c r="AK65" i="40"/>
  <c r="AK69" i="40"/>
  <c r="AK73" i="40"/>
  <c r="AK77" i="40"/>
  <c r="N58" i="9"/>
  <c r="N61" i="9" s="1"/>
  <c r="J58" i="9"/>
  <c r="J61" i="9" s="1"/>
  <c r="F58" i="9"/>
  <c r="L58" i="9"/>
  <c r="L61" i="9" s="1"/>
  <c r="H58" i="9"/>
  <c r="H61" i="9" s="1"/>
  <c r="K58" i="9"/>
  <c r="K61" i="9" s="1"/>
  <c r="G58" i="9"/>
  <c r="G61" i="9" s="1"/>
  <c r="Q58" i="9"/>
  <c r="Q61" i="9" s="1"/>
  <c r="M58" i="9"/>
  <c r="M61" i="9" s="1"/>
  <c r="I58" i="9"/>
  <c r="I61" i="9" s="1"/>
  <c r="E58" i="9"/>
  <c r="E61" i="9" s="1"/>
  <c r="P58" i="9"/>
  <c r="P61" i="9" s="1"/>
  <c r="D58" i="9"/>
  <c r="O58" i="9"/>
  <c r="O61" i="9" s="1"/>
  <c r="S58" i="9"/>
  <c r="S61" i="9" s="1"/>
  <c r="R58" i="9"/>
  <c r="R61" i="9" s="1"/>
  <c r="S58" i="7"/>
  <c r="S61" i="7" s="1"/>
  <c r="R58" i="7"/>
  <c r="R61" i="7" s="1"/>
  <c r="N58" i="7"/>
  <c r="N61" i="7" s="1"/>
  <c r="J58" i="7"/>
  <c r="J61" i="7" s="1"/>
  <c r="F58" i="7"/>
  <c r="G58" i="7"/>
  <c r="G61" i="7" s="1"/>
  <c r="Q58" i="7"/>
  <c r="Q61" i="7" s="1"/>
  <c r="M58" i="7"/>
  <c r="M61" i="7" s="1"/>
  <c r="I58" i="7"/>
  <c r="I61" i="7" s="1"/>
  <c r="E58" i="7"/>
  <c r="E61" i="7" s="1"/>
  <c r="K58" i="7"/>
  <c r="K61" i="7" s="1"/>
  <c r="P58" i="7"/>
  <c r="P61" i="7" s="1"/>
  <c r="P80" i="5" s="1"/>
  <c r="L58" i="7"/>
  <c r="L61" i="7" s="1"/>
  <c r="H58" i="7"/>
  <c r="H61" i="7" s="1"/>
  <c r="D58" i="7"/>
  <c r="O58" i="7"/>
  <c r="O61" i="7" s="1"/>
  <c r="O80" i="5" s="1"/>
  <c r="X43" i="40"/>
  <c r="AC61" i="40"/>
  <c r="Q98" i="40"/>
  <c r="AC63" i="40"/>
  <c r="AC61" i="41"/>
  <c r="F31" i="28" l="1"/>
  <c r="H35" i="28"/>
  <c r="F33" i="28"/>
  <c r="H30" i="28"/>
  <c r="H33" i="28"/>
  <c r="H36" i="28"/>
  <c r="F34" i="28"/>
  <c r="F37" i="28"/>
  <c r="H31" i="28"/>
  <c r="H32" i="28"/>
  <c r="F32" i="28"/>
  <c r="H37" i="28"/>
  <c r="F35" i="28"/>
  <c r="G40" i="28"/>
  <c r="G41" i="28" s="1"/>
  <c r="G22" i="28" s="1"/>
  <c r="G23" i="28" s="1"/>
  <c r="G24" i="28" s="1"/>
  <c r="G25" i="28" s="1"/>
  <c r="G26" i="28" s="1"/>
  <c r="G27" i="28" s="1"/>
  <c r="F36" i="28"/>
  <c r="H34" i="28"/>
  <c r="F12" i="28"/>
  <c r="F30" i="28" s="1"/>
  <c r="F11" i="28"/>
  <c r="F10" i="69" s="1"/>
  <c r="F38" i="28"/>
  <c r="K78" i="7"/>
  <c r="K62" i="7"/>
  <c r="E13" i="28" s="1"/>
  <c r="K80" i="7"/>
  <c r="K79" i="7"/>
  <c r="K79" i="8" s="1"/>
  <c r="F15" i="69"/>
  <c r="R79" i="7"/>
  <c r="R79" i="8" s="1"/>
  <c r="R80" i="7"/>
  <c r="R62" i="7"/>
  <c r="E20" i="28" s="1"/>
  <c r="O62" i="9"/>
  <c r="D17" i="28" s="1"/>
  <c r="O79" i="9"/>
  <c r="O78" i="9"/>
  <c r="O79" i="10"/>
  <c r="I62" i="9"/>
  <c r="D11" i="28" s="1"/>
  <c r="I79" i="9"/>
  <c r="I78" i="9"/>
  <c r="I79" i="10"/>
  <c r="K79" i="9"/>
  <c r="K62" i="9"/>
  <c r="D13" i="28" s="1"/>
  <c r="K78" i="9"/>
  <c r="K79" i="10"/>
  <c r="J62" i="9"/>
  <c r="D12" i="28" s="1"/>
  <c r="J78" i="9"/>
  <c r="J79" i="9"/>
  <c r="J79" i="10"/>
  <c r="F16" i="69"/>
  <c r="R80" i="5"/>
  <c r="N79" i="7"/>
  <c r="N79" i="8" s="1"/>
  <c r="N80" i="7"/>
  <c r="N78" i="7"/>
  <c r="N62" i="7"/>
  <c r="E16" i="28" s="1"/>
  <c r="L78" i="7"/>
  <c r="L79" i="7"/>
  <c r="L79" i="8" s="1"/>
  <c r="L62" i="7"/>
  <c r="E14" i="28" s="1"/>
  <c r="L80" i="7"/>
  <c r="I79" i="7"/>
  <c r="I79" i="8" s="1"/>
  <c r="I78" i="7"/>
  <c r="I80" i="7"/>
  <c r="I62" i="7"/>
  <c r="S62" i="7"/>
  <c r="E21" i="28" s="1"/>
  <c r="S80" i="7"/>
  <c r="S79" i="7"/>
  <c r="S79" i="8" s="1"/>
  <c r="M79" i="9"/>
  <c r="M78" i="9"/>
  <c r="M62" i="9"/>
  <c r="D15" i="28" s="1"/>
  <c r="M79" i="10"/>
  <c r="N78" i="9"/>
  <c r="N79" i="9"/>
  <c r="N62" i="9"/>
  <c r="D16" i="28" s="1"/>
  <c r="N79" i="10"/>
  <c r="L80" i="5"/>
  <c r="S80" i="5"/>
  <c r="F18" i="69"/>
  <c r="F17" i="69"/>
  <c r="F12" i="69"/>
  <c r="Q80" i="7"/>
  <c r="Q78" i="7"/>
  <c r="Q79" i="7"/>
  <c r="Q79" i="8" s="1"/>
  <c r="Q62" i="7"/>
  <c r="E19" i="28" s="1"/>
  <c r="S62" i="9"/>
  <c r="D21" i="28" s="1"/>
  <c r="S79" i="9"/>
  <c r="S79" i="10"/>
  <c r="F20" i="69"/>
  <c r="Q80" i="5"/>
  <c r="F14" i="69"/>
  <c r="O78" i="7"/>
  <c r="O62" i="7"/>
  <c r="E17" i="28" s="1"/>
  <c r="O79" i="7"/>
  <c r="O79" i="8" s="1"/>
  <c r="O80" i="7"/>
  <c r="P80" i="7"/>
  <c r="P62" i="7"/>
  <c r="E18" i="28" s="1"/>
  <c r="P78" i="7"/>
  <c r="P79" i="7"/>
  <c r="P79" i="8" s="1"/>
  <c r="M62" i="7"/>
  <c r="E15" i="28" s="1"/>
  <c r="M79" i="7"/>
  <c r="M79" i="8" s="1"/>
  <c r="M80" i="7"/>
  <c r="M78" i="7"/>
  <c r="J79" i="7"/>
  <c r="J79" i="8" s="1"/>
  <c r="J62" i="7"/>
  <c r="J80" i="7"/>
  <c r="J78" i="7"/>
  <c r="R62" i="9"/>
  <c r="D20" i="28" s="1"/>
  <c r="R79" i="9"/>
  <c r="R79" i="10"/>
  <c r="P79" i="9"/>
  <c r="P62" i="9"/>
  <c r="D18" i="28" s="1"/>
  <c r="P78" i="9"/>
  <c r="P79" i="10"/>
  <c r="Q79" i="9"/>
  <c r="Q78" i="9"/>
  <c r="Q62" i="9"/>
  <c r="D19" i="28" s="1"/>
  <c r="Q79" i="10"/>
  <c r="L79" i="9"/>
  <c r="L78" i="9"/>
  <c r="L62" i="9"/>
  <c r="D14" i="28" s="1"/>
  <c r="L79" i="10"/>
  <c r="J80" i="5"/>
  <c r="I80" i="5"/>
  <c r="F13" i="69"/>
  <c r="N80" i="5"/>
  <c r="F19" i="69"/>
  <c r="M80" i="5"/>
  <c r="K80" i="5"/>
  <c r="C17" i="63"/>
  <c r="C24" i="59"/>
  <c r="AS62" i="41"/>
  <c r="T98" i="40"/>
  <c r="AC98" i="40"/>
  <c r="AC72" i="40"/>
  <c r="AC69" i="40"/>
  <c r="AJ74" i="41"/>
  <c r="AJ75" i="41"/>
  <c r="K39" i="29"/>
  <c r="K40" i="29"/>
  <c r="AI75" i="41"/>
  <c r="AI74" i="41"/>
  <c r="E34" i="28" l="1"/>
  <c r="D35" i="28"/>
  <c r="E32" i="28"/>
  <c r="D33" i="28"/>
  <c r="E31" i="28"/>
  <c r="D31" i="28"/>
  <c r="E35" i="28"/>
  <c r="D37" i="28"/>
  <c r="H40" i="28"/>
  <c r="H41" i="28" s="1"/>
  <c r="H22" i="28" s="1"/>
  <c r="H23" i="28" s="1"/>
  <c r="H24" i="28" s="1"/>
  <c r="H25" i="28" s="1"/>
  <c r="H26" i="28" s="1"/>
  <c r="H27" i="28" s="1"/>
  <c r="E37" i="28"/>
  <c r="F40" i="28"/>
  <c r="F41" i="28" s="1"/>
  <c r="F22" i="28" s="1"/>
  <c r="F23" i="28" s="1"/>
  <c r="F24" i="28" s="1"/>
  <c r="F25" i="28" s="1"/>
  <c r="F26" i="28" s="1"/>
  <c r="F27" i="28" s="1"/>
  <c r="D32" i="28"/>
  <c r="F11" i="69"/>
  <c r="D36" i="28"/>
  <c r="E36" i="28"/>
  <c r="E33" i="28"/>
  <c r="D30" i="28"/>
  <c r="D34" i="28"/>
  <c r="E12" i="28"/>
  <c r="E11" i="69" s="1"/>
  <c r="D38" i="28"/>
  <c r="E38" i="28"/>
  <c r="E11" i="28"/>
  <c r="E10" i="69" s="1"/>
  <c r="Q37" i="52"/>
  <c r="Q38" i="52"/>
  <c r="Q83" i="9"/>
  <c r="E18" i="69"/>
  <c r="E15" i="69"/>
  <c r="D10" i="69"/>
  <c r="I83" i="9"/>
  <c r="S83" i="9"/>
  <c r="K83" i="9"/>
  <c r="P83" i="9"/>
  <c r="E17" i="69"/>
  <c r="E16" i="69"/>
  <c r="N83" i="9"/>
  <c r="E13" i="69"/>
  <c r="O83" i="9"/>
  <c r="E12" i="69"/>
  <c r="E20" i="69"/>
  <c r="D11" i="69"/>
  <c r="J83" i="9"/>
  <c r="L83" i="9"/>
  <c r="R83" i="9"/>
  <c r="E14" i="69"/>
  <c r="M83" i="9"/>
  <c r="E19" i="69"/>
  <c r="AK75" i="41"/>
  <c r="AK74" i="41"/>
  <c r="C62" i="30"/>
  <c r="U26" i="30"/>
  <c r="X79" i="40"/>
  <c r="AG98" i="40"/>
  <c r="U24" i="59"/>
  <c r="M24" i="59"/>
  <c r="AC63" i="41"/>
  <c r="AC105" i="40"/>
  <c r="E30" i="28" l="1"/>
  <c r="E40" i="28" s="1"/>
  <c r="E41" i="28" s="1"/>
  <c r="E22" i="28" s="1"/>
  <c r="E23" i="28" s="1"/>
  <c r="E24" i="28" s="1"/>
  <c r="E25" i="28" s="1"/>
  <c r="E26" i="28" s="1"/>
  <c r="E27" i="28" s="1"/>
  <c r="D40" i="28"/>
  <c r="D41" i="28" s="1"/>
  <c r="D22" i="28" s="1"/>
  <c r="D23" i="28" s="1"/>
  <c r="D24" i="28" s="1"/>
  <c r="D25" i="28" s="1"/>
  <c r="D26" i="28" s="1"/>
  <c r="D27" i="28" s="1"/>
  <c r="D14" i="69"/>
  <c r="D19" i="69"/>
  <c r="D17" i="69"/>
  <c r="D15" i="69"/>
  <c r="D20" i="69"/>
  <c r="D18" i="69"/>
  <c r="D13" i="69"/>
  <c r="D16" i="69"/>
  <c r="D12" i="69"/>
  <c r="F21" i="69"/>
  <c r="C64" i="30"/>
  <c r="U28" i="30"/>
  <c r="C67" i="30"/>
  <c r="U31" i="30"/>
  <c r="C66" i="30"/>
  <c r="U30" i="30"/>
  <c r="C70" i="30"/>
  <c r="U34" i="30"/>
  <c r="AF25" i="38"/>
  <c r="U62" i="30"/>
  <c r="C65" i="30"/>
  <c r="U29" i="30"/>
  <c r="C73" i="30"/>
  <c r="U37" i="30"/>
  <c r="O24" i="59"/>
  <c r="W14" i="80"/>
  <c r="AE14" i="80" s="1"/>
  <c r="W24" i="59"/>
  <c r="M71" i="55" s="1"/>
  <c r="AC97" i="40"/>
  <c r="E21" i="69" l="1"/>
  <c r="F22" i="69"/>
  <c r="C69" i="30"/>
  <c r="U33" i="30"/>
  <c r="U73" i="30"/>
  <c r="AF36" i="38"/>
  <c r="U66" i="30"/>
  <c r="AF29" i="38"/>
  <c r="AF30" i="38"/>
  <c r="U67" i="30"/>
  <c r="U70" i="30"/>
  <c r="AF33" i="38"/>
  <c r="U65" i="30"/>
  <c r="AF28" i="38"/>
  <c r="AF27" i="38"/>
  <c r="U64" i="30"/>
  <c r="X115" i="40"/>
  <c r="F23" i="69" l="1"/>
  <c r="E22" i="69"/>
  <c r="D21" i="69"/>
  <c r="C68" i="30"/>
  <c r="U32" i="30"/>
  <c r="AF32" i="38"/>
  <c r="U69" i="30"/>
  <c r="AC72" i="41"/>
  <c r="AC69" i="41"/>
  <c r="D22" i="69" l="1"/>
  <c r="E23" i="69"/>
  <c r="F24" i="69"/>
  <c r="U68" i="30"/>
  <c r="AF31" i="38"/>
  <c r="X79" i="41"/>
  <c r="E24" i="69" l="1"/>
  <c r="F25" i="69"/>
  <c r="F26" i="69"/>
  <c r="D23" i="69"/>
  <c r="X43" i="41"/>
  <c r="D24" i="69" l="1"/>
  <c r="E26" i="69"/>
  <c r="E25" i="69"/>
  <c r="D25" i="69" l="1"/>
  <c r="D26" i="69"/>
  <c r="C71" i="30" l="1"/>
  <c r="U35" i="30"/>
  <c r="U71" i="30" l="1"/>
  <c r="AF34" i="38"/>
  <c r="M61" i="13"/>
  <c r="I55" i="29"/>
  <c r="L61" i="13"/>
  <c r="AI18" i="40"/>
  <c r="C61" i="13"/>
  <c r="G61" i="13"/>
  <c r="I61" i="13"/>
  <c r="AI54" i="40"/>
  <c r="I24" i="29"/>
  <c r="I39" i="29"/>
  <c r="K55" i="29"/>
  <c r="E61" i="13"/>
  <c r="F61" i="13"/>
  <c r="I22" i="29"/>
  <c r="AJ18" i="40"/>
  <c r="AJ54" i="41"/>
  <c r="N61" i="13"/>
  <c r="I35" i="29"/>
  <c r="I23" i="29"/>
  <c r="I38" i="29"/>
  <c r="K19" i="29"/>
  <c r="I31" i="29"/>
  <c r="I20" i="29"/>
  <c r="I19" i="29"/>
  <c r="I34" i="29"/>
  <c r="I30" i="29"/>
  <c r="I25" i="29"/>
  <c r="I26" i="29"/>
  <c r="I29" i="29"/>
  <c r="I37" i="29"/>
  <c r="AJ54" i="40"/>
  <c r="I27" i="29"/>
  <c r="I21" i="29"/>
  <c r="I40" i="29"/>
  <c r="AJ90" i="40"/>
  <c r="J61" i="13"/>
  <c r="I41" i="29"/>
  <c r="I36" i="29"/>
  <c r="I32" i="29"/>
  <c r="D61" i="13"/>
  <c r="H61" i="13"/>
  <c r="I28" i="29"/>
  <c r="AI54" i="41"/>
  <c r="I33" i="29"/>
  <c r="K61" i="13"/>
  <c r="AI90" i="40"/>
  <c r="T17" i="52" l="1"/>
  <c r="Q17" i="52"/>
  <c r="K47" i="13"/>
  <c r="K50" i="13" s="1"/>
  <c r="E47" i="13"/>
  <c r="D47" i="13"/>
  <c r="F47" i="13"/>
  <c r="F50" i="13" s="1"/>
  <c r="G47" i="13"/>
  <c r="G50" i="13" s="1"/>
  <c r="I47" i="13"/>
  <c r="I50" i="13" s="1"/>
  <c r="J47" i="13"/>
  <c r="J50" i="13" s="1"/>
  <c r="H47" i="13"/>
  <c r="H50" i="13" s="1"/>
  <c r="L47" i="13"/>
  <c r="L50" i="13" s="1"/>
  <c r="N47" i="13"/>
  <c r="N50" i="13" s="1"/>
  <c r="N51" i="13" s="1"/>
  <c r="M47" i="13"/>
  <c r="M50" i="13" s="1"/>
  <c r="AA77" i="40"/>
  <c r="AB77" i="40" s="1"/>
  <c r="AA113" i="40"/>
  <c r="AB113" i="40" s="1"/>
  <c r="AA41" i="40"/>
  <c r="AB41" i="40" s="1"/>
  <c r="AI41" i="39" s="1"/>
  <c r="AA77" i="41"/>
  <c r="AB77" i="41" s="1"/>
  <c r="AA112" i="40"/>
  <c r="AB112" i="40" s="1"/>
  <c r="AA76" i="40"/>
  <c r="AB76" i="40" s="1"/>
  <c r="AA76" i="41"/>
  <c r="AB76" i="41" s="1"/>
  <c r="AA40" i="40"/>
  <c r="AB40" i="40" s="1"/>
  <c r="AI40" i="39" s="1"/>
  <c r="AA111" i="40"/>
  <c r="AB111" i="40" s="1"/>
  <c r="AA39" i="40"/>
  <c r="AB39" i="40" s="1"/>
  <c r="AI39" i="39" s="1"/>
  <c r="AA75" i="41"/>
  <c r="AB75" i="41" s="1"/>
  <c r="AA75" i="40"/>
  <c r="AB75" i="40" s="1"/>
  <c r="AA38" i="40"/>
  <c r="AB38" i="40" s="1"/>
  <c r="AI38" i="39" s="1"/>
  <c r="AA110" i="40"/>
  <c r="AB110" i="40" s="1"/>
  <c r="AA74" i="41"/>
  <c r="AB74" i="41" s="1"/>
  <c r="AA74" i="40"/>
  <c r="AB74" i="40" s="1"/>
  <c r="AA73" i="41"/>
  <c r="AB73" i="41" s="1"/>
  <c r="AA73" i="40"/>
  <c r="AB73" i="40" s="1"/>
  <c r="AA37" i="40"/>
  <c r="AB37" i="40" s="1"/>
  <c r="AI37" i="39" s="1"/>
  <c r="AA109" i="40"/>
  <c r="AB109" i="40" s="1"/>
  <c r="AA108" i="40"/>
  <c r="AB108" i="40" s="1"/>
  <c r="AD108" i="40" s="1"/>
  <c r="AA72" i="41"/>
  <c r="AB72" i="41" s="1"/>
  <c r="AD72" i="41" s="1"/>
  <c r="AA72" i="40"/>
  <c r="AB72" i="40" s="1"/>
  <c r="AD72" i="40" s="1"/>
  <c r="AA36" i="40"/>
  <c r="AB36" i="40" s="1"/>
  <c r="AA71" i="41"/>
  <c r="AB71" i="41" s="1"/>
  <c r="AA71" i="40"/>
  <c r="AB71" i="40" s="1"/>
  <c r="AA35" i="40"/>
  <c r="AB35" i="40" s="1"/>
  <c r="AI35" i="39" s="1"/>
  <c r="AA107" i="40"/>
  <c r="AB107" i="40" s="1"/>
  <c r="AA70" i="40"/>
  <c r="AB70" i="40" s="1"/>
  <c r="AA34" i="40"/>
  <c r="AB34" i="40" s="1"/>
  <c r="AA70" i="41"/>
  <c r="AB70" i="41" s="1"/>
  <c r="AA106" i="40"/>
  <c r="AB106" i="40" s="1"/>
  <c r="AA105" i="40"/>
  <c r="AB105" i="40" s="1"/>
  <c r="AD105" i="40" s="1"/>
  <c r="AA69" i="41"/>
  <c r="AB69" i="41" s="1"/>
  <c r="AD69" i="41" s="1"/>
  <c r="AA69" i="40"/>
  <c r="AB69" i="40" s="1"/>
  <c r="AD69" i="40" s="1"/>
  <c r="AA33" i="40"/>
  <c r="AB33" i="40" s="1"/>
  <c r="AA32" i="40"/>
  <c r="AB32" i="40" s="1"/>
  <c r="AI32" i="39" s="1"/>
  <c r="AA68" i="40"/>
  <c r="AB68" i="40" s="1"/>
  <c r="AA104" i="40"/>
  <c r="AB104" i="40" s="1"/>
  <c r="AA68" i="41"/>
  <c r="AB68" i="41" s="1"/>
  <c r="AA31" i="40"/>
  <c r="AB31" i="40" s="1"/>
  <c r="AA67" i="41"/>
  <c r="AB67" i="41" s="1"/>
  <c r="AA103" i="40"/>
  <c r="AB103" i="40" s="1"/>
  <c r="AA67" i="40"/>
  <c r="AB67" i="40" s="1"/>
  <c r="AA102" i="40"/>
  <c r="AB102" i="40" s="1"/>
  <c r="AD102" i="40" s="1"/>
  <c r="AA66" i="40"/>
  <c r="AB66" i="40" s="1"/>
  <c r="AD66" i="40" s="1"/>
  <c r="AA30" i="40"/>
  <c r="AB30" i="40" s="1"/>
  <c r="AA66" i="41"/>
  <c r="AB66" i="41" s="1"/>
  <c r="AD66" i="41" s="1"/>
  <c r="AA65" i="41"/>
  <c r="AB65" i="41" s="1"/>
  <c r="AD65" i="41" s="1"/>
  <c r="AA29" i="40"/>
  <c r="AB29" i="40" s="1"/>
  <c r="AA65" i="40"/>
  <c r="AB65" i="40" s="1"/>
  <c r="AD65" i="40" s="1"/>
  <c r="AA101" i="40"/>
  <c r="AB101" i="40" s="1"/>
  <c r="AD101" i="40" s="1"/>
  <c r="AA28" i="40"/>
  <c r="AB28" i="40" s="1"/>
  <c r="AA64" i="40"/>
  <c r="AB64" i="40" s="1"/>
  <c r="AD64" i="40" s="1"/>
  <c r="AA100" i="40"/>
  <c r="AB100" i="40" s="1"/>
  <c r="AD100" i="40" s="1"/>
  <c r="AA64" i="41"/>
  <c r="AB64" i="41" s="1"/>
  <c r="AD64" i="41" s="1"/>
  <c r="AA63" i="41"/>
  <c r="AB63" i="41" s="1"/>
  <c r="AD63" i="41" s="1"/>
  <c r="AA63" i="40"/>
  <c r="AB63" i="40" s="1"/>
  <c r="AD63" i="40" s="1"/>
  <c r="AA27" i="40"/>
  <c r="AB27" i="40" s="1"/>
  <c r="AA99" i="40"/>
  <c r="AB99" i="40" s="1"/>
  <c r="AD99" i="40" s="1"/>
  <c r="AA62" i="41"/>
  <c r="AB62" i="41" s="1"/>
  <c r="AA62" i="40"/>
  <c r="AB62" i="40" s="1"/>
  <c r="AA26" i="40"/>
  <c r="AB26" i="40" s="1"/>
  <c r="AI26" i="39" s="1"/>
  <c r="AA98" i="40"/>
  <c r="AB98" i="40" s="1"/>
  <c r="AD98" i="40" s="1"/>
  <c r="AA25" i="40"/>
  <c r="AB25" i="40" s="1"/>
  <c r="AA97" i="40"/>
  <c r="AB97" i="40" s="1"/>
  <c r="AD97" i="40" s="1"/>
  <c r="AA61" i="40"/>
  <c r="AB61" i="40" s="1"/>
  <c r="AD61" i="40" s="1"/>
  <c r="AA61" i="41"/>
  <c r="AB61" i="41" s="1"/>
  <c r="AD61" i="41" s="1"/>
  <c r="AA60" i="40"/>
  <c r="AB60" i="40" s="1"/>
  <c r="AA96" i="40"/>
  <c r="AB96" i="40" s="1"/>
  <c r="AA24" i="40"/>
  <c r="AB24" i="40" s="1"/>
  <c r="AI24" i="39" s="1"/>
  <c r="AK24" i="39" s="1"/>
  <c r="AA60" i="41"/>
  <c r="AB60" i="41" s="1"/>
  <c r="O61" i="29"/>
  <c r="Q61" i="29" s="1"/>
  <c r="O25" i="29"/>
  <c r="Q25" i="29" s="1"/>
  <c r="AF24" i="37" s="1"/>
  <c r="AH24" i="37" s="1"/>
  <c r="AA23" i="40"/>
  <c r="AB23" i="40" s="1"/>
  <c r="AI23" i="39" s="1"/>
  <c r="AK23" i="39" s="1"/>
  <c r="AA59" i="41"/>
  <c r="AB59" i="41" s="1"/>
  <c r="O24" i="29"/>
  <c r="Q24" i="29" s="1"/>
  <c r="AF23" i="37" s="1"/>
  <c r="AH23" i="37" s="1"/>
  <c r="AA95" i="40"/>
  <c r="AB95" i="40" s="1"/>
  <c r="O60" i="29"/>
  <c r="Q60" i="29" s="1"/>
  <c r="AA59" i="40"/>
  <c r="AB59" i="40" s="1"/>
  <c r="AA58" i="41"/>
  <c r="AB58" i="41" s="1"/>
  <c r="AA94" i="40"/>
  <c r="AB94" i="40" s="1"/>
  <c r="AA22" i="40"/>
  <c r="AB22" i="40" s="1"/>
  <c r="AI22" i="39" s="1"/>
  <c r="AK22" i="39" s="1"/>
  <c r="AA58" i="40"/>
  <c r="AB58" i="40" s="1"/>
  <c r="O20" i="29"/>
  <c r="Q20" i="29" s="1"/>
  <c r="AF19" i="37" s="1"/>
  <c r="AH19" i="37" s="1"/>
  <c r="O59" i="29"/>
  <c r="Q59" i="29" s="1"/>
  <c r="O23" i="29"/>
  <c r="Q23" i="29" s="1"/>
  <c r="AF22" i="37" s="1"/>
  <c r="AH22" i="37" s="1"/>
  <c r="AA57" i="40"/>
  <c r="AB57" i="40" s="1"/>
  <c r="O22" i="29"/>
  <c r="Q22" i="29" s="1"/>
  <c r="AF21" i="37" s="1"/>
  <c r="AH21" i="37" s="1"/>
  <c r="AA55" i="41"/>
  <c r="AB55" i="41" s="1"/>
  <c r="AD55" i="41" s="1"/>
  <c r="AK90" i="40"/>
  <c r="AA90" i="40" s="1"/>
  <c r="O55" i="29"/>
  <c r="AA91" i="40"/>
  <c r="AB91" i="40" s="1"/>
  <c r="AD91" i="40" s="1"/>
  <c r="AA21" i="40"/>
  <c r="AB21" i="40" s="1"/>
  <c r="AI21" i="39" s="1"/>
  <c r="AK21" i="39" s="1"/>
  <c r="O57" i="29"/>
  <c r="Q57" i="29" s="1"/>
  <c r="C47" i="13"/>
  <c r="AA20" i="40"/>
  <c r="AB20" i="40" s="1"/>
  <c r="AA93" i="40"/>
  <c r="AB93" i="40" s="1"/>
  <c r="AK18" i="40"/>
  <c r="AA18" i="40" s="1"/>
  <c r="O21" i="29"/>
  <c r="Q21" i="29" s="1"/>
  <c r="AF20" i="37" s="1"/>
  <c r="AH20" i="37" s="1"/>
  <c r="AA56" i="40"/>
  <c r="AB56" i="40" s="1"/>
  <c r="AA56" i="41"/>
  <c r="AB56" i="41" s="1"/>
  <c r="AA57" i="41"/>
  <c r="AB57" i="41" s="1"/>
  <c r="O19" i="29"/>
  <c r="AK54" i="40"/>
  <c r="AA54" i="40" s="1"/>
  <c r="O56" i="29"/>
  <c r="Q56" i="29" s="1"/>
  <c r="AK54" i="41"/>
  <c r="AA54" i="41" s="1"/>
  <c r="AA92" i="40"/>
  <c r="AB92" i="40" s="1"/>
  <c r="AA19" i="40"/>
  <c r="AB19" i="40" s="1"/>
  <c r="O58" i="29"/>
  <c r="Q58" i="29" s="1"/>
  <c r="AA55" i="40"/>
  <c r="AB55" i="40" s="1"/>
  <c r="AD55" i="40" s="1"/>
  <c r="O64" i="29"/>
  <c r="Q64" i="29" s="1"/>
  <c r="O68" i="29"/>
  <c r="Q68" i="29" s="1"/>
  <c r="O62" i="29"/>
  <c r="Q62" i="29" s="1"/>
  <c r="O34" i="29"/>
  <c r="Q34" i="29" s="1"/>
  <c r="AF33" i="37" s="1"/>
  <c r="O66" i="29"/>
  <c r="Q66" i="29" s="1"/>
  <c r="O69" i="29"/>
  <c r="Q69" i="29" s="1"/>
  <c r="O33" i="29"/>
  <c r="Q33" i="29" s="1"/>
  <c r="AF32" i="37" s="1"/>
  <c r="O32" i="29"/>
  <c r="Q32" i="29" s="1"/>
  <c r="AF31" i="37" s="1"/>
  <c r="O37" i="29"/>
  <c r="Q37" i="29" s="1"/>
  <c r="AF36" i="37" s="1"/>
  <c r="O67" i="29"/>
  <c r="Q67" i="29" s="1"/>
  <c r="O26" i="29"/>
  <c r="Q26" i="29" s="1"/>
  <c r="AF25" i="37" s="1"/>
  <c r="O73" i="29"/>
  <c r="Q73" i="29" s="1"/>
  <c r="O31" i="29"/>
  <c r="Q31" i="29" s="1"/>
  <c r="AF30" i="37" s="1"/>
  <c r="O29" i="29"/>
  <c r="Q29" i="29" s="1"/>
  <c r="AF28" i="37" s="1"/>
  <c r="O70" i="29"/>
  <c r="Q70" i="29" s="1"/>
  <c r="O65" i="29"/>
  <c r="Q65" i="29" s="1"/>
  <c r="O27" i="29"/>
  <c r="Q27" i="29" s="1"/>
  <c r="AF26" i="37" s="1"/>
  <c r="O28" i="29"/>
  <c r="Q28" i="29" s="1"/>
  <c r="AF27" i="37" s="1"/>
  <c r="O63" i="29"/>
  <c r="Q63" i="29" s="1"/>
  <c r="O30" i="29"/>
  <c r="Q30" i="29" s="1"/>
  <c r="AF29" i="37" s="1"/>
  <c r="O36" i="29"/>
  <c r="Q36" i="29" s="1"/>
  <c r="AF35" i="37" s="1"/>
  <c r="O72" i="29"/>
  <c r="Q72" i="29" s="1"/>
  <c r="AJ18" i="41"/>
  <c r="AI18" i="41"/>
  <c r="H65" i="13" l="1"/>
  <c r="J58" i="11"/>
  <c r="J61" i="11" s="1"/>
  <c r="D58" i="11"/>
  <c r="K58" i="11"/>
  <c r="K61" i="11" s="1"/>
  <c r="H58" i="11"/>
  <c r="H61" i="11" s="1"/>
  <c r="E58" i="11"/>
  <c r="E61" i="11" s="1"/>
  <c r="G58" i="11"/>
  <c r="G61" i="11" s="1"/>
  <c r="I58" i="11"/>
  <c r="I61" i="11" s="1"/>
  <c r="F58" i="11"/>
  <c r="L58" i="11"/>
  <c r="L61" i="11" s="1"/>
  <c r="M58" i="11"/>
  <c r="M61" i="11" s="1"/>
  <c r="N58" i="11"/>
  <c r="N61" i="11" s="1"/>
  <c r="O58" i="11"/>
  <c r="O61" i="11" s="1"/>
  <c r="P58" i="11"/>
  <c r="P61" i="11" s="1"/>
  <c r="S58" i="11"/>
  <c r="S61" i="11" s="1"/>
  <c r="R58" i="11"/>
  <c r="R61" i="11" s="1"/>
  <c r="Q58" i="11"/>
  <c r="Q61" i="11" s="1"/>
  <c r="J65" i="13"/>
  <c r="K65" i="13"/>
  <c r="L65" i="13"/>
  <c r="G65" i="13"/>
  <c r="I65" i="13"/>
  <c r="M65" i="13"/>
  <c r="E65" i="13"/>
  <c r="F65" i="13"/>
  <c r="M51" i="13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C58" i="5"/>
  <c r="C61" i="5" s="1"/>
  <c r="C58" i="6"/>
  <c r="C61" i="6" s="1"/>
  <c r="C58" i="8"/>
  <c r="C61" i="8" s="1"/>
  <c r="E80" i="8"/>
  <c r="C58" i="7"/>
  <c r="C61" i="7" s="1"/>
  <c r="C58" i="9"/>
  <c r="C61" i="9" s="1"/>
  <c r="C58" i="10"/>
  <c r="C61" i="10" s="1"/>
  <c r="C58" i="12"/>
  <c r="C61" i="12" s="1"/>
  <c r="C58" i="11"/>
  <c r="C61" i="11" s="1"/>
  <c r="AK21" i="41"/>
  <c r="AA21" i="41" s="1"/>
  <c r="AB21" i="41" s="1"/>
  <c r="AK19" i="41"/>
  <c r="AA19" i="41" s="1"/>
  <c r="AB19" i="41" s="1"/>
  <c r="AD19" i="41" s="1"/>
  <c r="AK20" i="41"/>
  <c r="AA20" i="41" s="1"/>
  <c r="AB20" i="41" s="1"/>
  <c r="AK18" i="41"/>
  <c r="AA18" i="41" s="1"/>
  <c r="AK22" i="41"/>
  <c r="AA22" i="41" s="1"/>
  <c r="AB22" i="41" s="1"/>
  <c r="AK23" i="41"/>
  <c r="AA23" i="41" s="1"/>
  <c r="AB23" i="41" s="1"/>
  <c r="AK24" i="41"/>
  <c r="AA24" i="41" s="1"/>
  <c r="AB24" i="41" s="1"/>
  <c r="AK25" i="41"/>
  <c r="AA25" i="41" s="1"/>
  <c r="AB25" i="41" s="1"/>
  <c r="AD25" i="41" s="1"/>
  <c r="AK26" i="41"/>
  <c r="AA26" i="41" s="1"/>
  <c r="AB26" i="41" s="1"/>
  <c r="AK27" i="41"/>
  <c r="AA27" i="41" s="1"/>
  <c r="AB27" i="41" s="1"/>
  <c r="AD27" i="41" s="1"/>
  <c r="AK28" i="41"/>
  <c r="AA28" i="41" s="1"/>
  <c r="AB28" i="41" s="1"/>
  <c r="AD28" i="41" s="1"/>
  <c r="AK29" i="41"/>
  <c r="AA29" i="41" s="1"/>
  <c r="AB29" i="41" s="1"/>
  <c r="AD29" i="41" s="1"/>
  <c r="AK30" i="41"/>
  <c r="AA30" i="41" s="1"/>
  <c r="AB30" i="41" s="1"/>
  <c r="AD30" i="41" s="1"/>
  <c r="AK31" i="41"/>
  <c r="AA31" i="41" s="1"/>
  <c r="AB31" i="41" s="1"/>
  <c r="AK32" i="41"/>
  <c r="AA32" i="41" s="1"/>
  <c r="AB32" i="41" s="1"/>
  <c r="AK33" i="41"/>
  <c r="AA33" i="41" s="1"/>
  <c r="AB33" i="41" s="1"/>
  <c r="AD33" i="41" s="1"/>
  <c r="AK34" i="41"/>
  <c r="AA34" i="41" s="1"/>
  <c r="AB34" i="41" s="1"/>
  <c r="AK35" i="41"/>
  <c r="AA35" i="41" s="1"/>
  <c r="AB35" i="41" s="1"/>
  <c r="AK36" i="41"/>
  <c r="AA36" i="41" s="1"/>
  <c r="AB36" i="41" s="1"/>
  <c r="AD36" i="41" s="1"/>
  <c r="AK37" i="41"/>
  <c r="AA37" i="41" s="1"/>
  <c r="AB37" i="41" s="1"/>
  <c r="AK38" i="41"/>
  <c r="AA38" i="41" s="1"/>
  <c r="AB38" i="41" s="1"/>
  <c r="AK39" i="41"/>
  <c r="AA39" i="41" s="1"/>
  <c r="AB39" i="41" s="1"/>
  <c r="AK40" i="41"/>
  <c r="AA40" i="41" s="1"/>
  <c r="AB40" i="41" s="1"/>
  <c r="AK41" i="41"/>
  <c r="AA41" i="41" s="1"/>
  <c r="AB41" i="41" s="1"/>
  <c r="J11" i="69"/>
  <c r="D51" i="13"/>
  <c r="L6" i="28" s="1"/>
  <c r="C51" i="13"/>
  <c r="L5" i="28" s="1"/>
  <c r="F51" i="13"/>
  <c r="L8" i="28" s="1"/>
  <c r="E51" i="13"/>
  <c r="L7" i="28" s="1"/>
  <c r="AD33" i="40"/>
  <c r="AI33" i="39"/>
  <c r="H51" i="13"/>
  <c r="L10" i="28" s="1"/>
  <c r="AI19" i="39"/>
  <c r="AK19" i="39" s="1"/>
  <c r="AD19" i="40"/>
  <c r="G51" i="13"/>
  <c r="L9" i="28" s="1"/>
  <c r="AB90" i="40"/>
  <c r="AD90" i="40" s="1"/>
  <c r="AA115" i="40"/>
  <c r="G11" i="69"/>
  <c r="AD25" i="40"/>
  <c r="AI25" i="39"/>
  <c r="AD27" i="40"/>
  <c r="AI27" i="39"/>
  <c r="AI30" i="39"/>
  <c r="AD30" i="40"/>
  <c r="AB54" i="40"/>
  <c r="AD54" i="40" s="1"/>
  <c r="AA79" i="40"/>
  <c r="AB18" i="40"/>
  <c r="AA43" i="40"/>
  <c r="AI36" i="39"/>
  <c r="AD36" i="40"/>
  <c r="G10" i="69"/>
  <c r="J51" i="13"/>
  <c r="L12" i="28" s="1"/>
  <c r="J10" i="69"/>
  <c r="I51" i="13"/>
  <c r="L11" i="28" s="1"/>
  <c r="K51" i="13"/>
  <c r="L13" i="28" s="1"/>
  <c r="AD29" i="40"/>
  <c r="AI29" i="39"/>
  <c r="AD34" i="40"/>
  <c r="AI34" i="39"/>
  <c r="AI20" i="39"/>
  <c r="AK20" i="39" s="1"/>
  <c r="L51" i="13"/>
  <c r="L14" i="28" s="1"/>
  <c r="AB54" i="41"/>
  <c r="AD54" i="41" s="1"/>
  <c r="AA79" i="41"/>
  <c r="Q19" i="29"/>
  <c r="Q55" i="29"/>
  <c r="AD28" i="40"/>
  <c r="AI28" i="39"/>
  <c r="AD31" i="40"/>
  <c r="AI31" i="39"/>
  <c r="AH66" i="28"/>
  <c r="AH101" i="28"/>
  <c r="AH40" i="28"/>
  <c r="AH131" i="28"/>
  <c r="AH122" i="28"/>
  <c r="AH48" i="28"/>
  <c r="AH109" i="28"/>
  <c r="AH143" i="28"/>
  <c r="AH68" i="28"/>
  <c r="AH46" i="28"/>
  <c r="AH21" i="28"/>
  <c r="AH89" i="28"/>
  <c r="AH110" i="28"/>
  <c r="AH119" i="28"/>
  <c r="AH127" i="28"/>
  <c r="AH42" i="28"/>
  <c r="AH128" i="28"/>
  <c r="AH95" i="28"/>
  <c r="AH107" i="28"/>
  <c r="AH104" i="28"/>
  <c r="AH45" i="28"/>
  <c r="AH139" i="28"/>
  <c r="AH77" i="28"/>
  <c r="AH26" i="28"/>
  <c r="AH47" i="28"/>
  <c r="AH98" i="28"/>
  <c r="AH71" i="28"/>
  <c r="AH85" i="28"/>
  <c r="AH59" i="28"/>
  <c r="AH43" i="28"/>
  <c r="AH20" i="28"/>
  <c r="AH56" i="28"/>
  <c r="AH49" i="28"/>
  <c r="AH130" i="28"/>
  <c r="AH36" i="28"/>
  <c r="AH108" i="28"/>
  <c r="AH103" i="28"/>
  <c r="AH53" i="28"/>
  <c r="AH135" i="28"/>
  <c r="AH23" i="28"/>
  <c r="AH86" i="28"/>
  <c r="AH35" i="28"/>
  <c r="AH73" i="28"/>
  <c r="AH140" i="28"/>
  <c r="AH65" i="28"/>
  <c r="AH141" i="28"/>
  <c r="AH91" i="28"/>
  <c r="AH62" i="28"/>
  <c r="AH41" i="28"/>
  <c r="AH137" i="28"/>
  <c r="AH57" i="28"/>
  <c r="AH39" i="28"/>
  <c r="AH138" i="28"/>
  <c r="AH136" i="28"/>
  <c r="AH123" i="28"/>
  <c r="AH30" i="28"/>
  <c r="AH74" i="28"/>
  <c r="AH92" i="28"/>
  <c r="AH61" i="28"/>
  <c r="AH44" i="28"/>
  <c r="AH142" i="28"/>
  <c r="AH129" i="28"/>
  <c r="AH90" i="28"/>
  <c r="AH22" i="28"/>
  <c r="AH117" i="28"/>
  <c r="AH116" i="28"/>
  <c r="AH96" i="28"/>
  <c r="AH83" i="28"/>
  <c r="AH126" i="28"/>
  <c r="AH124" i="28"/>
  <c r="AH111" i="28"/>
  <c r="AH25" i="28"/>
  <c r="AH31" i="28"/>
  <c r="AH55" i="28"/>
  <c r="AH114" i="28"/>
  <c r="AH112" i="28"/>
  <c r="AH99" i="28"/>
  <c r="AH63" i="28"/>
  <c r="AH50" i="28"/>
  <c r="AH79" i="28"/>
  <c r="AH37" i="28"/>
  <c r="AH54" i="28"/>
  <c r="AH118" i="28"/>
  <c r="AH105" i="28"/>
  <c r="AH145" i="28"/>
  <c r="AH102" i="28"/>
  <c r="AH100" i="28"/>
  <c r="AH87" i="28"/>
  <c r="AH80" i="28"/>
  <c r="AH38" i="28"/>
  <c r="AH78" i="28"/>
  <c r="AH17" i="28"/>
  <c r="AH144" i="28"/>
  <c r="AH106" i="28"/>
  <c r="AH93" i="28"/>
  <c r="AH76" i="28"/>
  <c r="AH82" i="28"/>
  <c r="AH64" i="28"/>
  <c r="AH81" i="28"/>
  <c r="AH24" i="28"/>
  <c r="AH88" i="28"/>
  <c r="AH75" i="28"/>
  <c r="AH115" i="28"/>
  <c r="AH16" i="28"/>
  <c r="AH29" i="28"/>
  <c r="AH132" i="28"/>
  <c r="AH84" i="28"/>
  <c r="AH94" i="28"/>
  <c r="AH69" i="28"/>
  <c r="AH51" i="28"/>
  <c r="AH32" i="28"/>
  <c r="AH60" i="28"/>
  <c r="AH120" i="28"/>
  <c r="AH125" i="28"/>
  <c r="AH70" i="28"/>
  <c r="AH67" i="28"/>
  <c r="AH113" i="28"/>
  <c r="AH52" i="28"/>
  <c r="AH27" i="28"/>
  <c r="AH134" i="28"/>
  <c r="AH72" i="28"/>
  <c r="AH121" i="28"/>
  <c r="AH18" i="28"/>
  <c r="AH19" i="28"/>
  <c r="AH58" i="28"/>
  <c r="AH33" i="28"/>
  <c r="AH28" i="28"/>
  <c r="AH97" i="28"/>
  <c r="AH34" i="28"/>
  <c r="AH133" i="28"/>
  <c r="AH5" i="28" l="1"/>
  <c r="AH6" i="28"/>
  <c r="AH7" i="28"/>
  <c r="AH8" i="28"/>
  <c r="AH9" i="28"/>
  <c r="AH10" i="28"/>
  <c r="AH11" i="28"/>
  <c r="AH12" i="28"/>
  <c r="AH13" i="28"/>
  <c r="AH14" i="28"/>
  <c r="AH15" i="28"/>
  <c r="P62" i="11"/>
  <c r="B18" i="28" s="1"/>
  <c r="P79" i="11"/>
  <c r="P79" i="12" s="1"/>
  <c r="P80" i="11"/>
  <c r="P78" i="11"/>
  <c r="P84" i="9"/>
  <c r="L78" i="11"/>
  <c r="L80" i="11"/>
  <c r="L62" i="11"/>
  <c r="B14" i="28" s="1"/>
  <c r="L79" i="11"/>
  <c r="L79" i="12" s="1"/>
  <c r="L84" i="9"/>
  <c r="K78" i="11"/>
  <c r="K79" i="11"/>
  <c r="K79" i="12" s="1"/>
  <c r="K62" i="11"/>
  <c r="K80" i="11"/>
  <c r="K84" i="9"/>
  <c r="R80" i="11"/>
  <c r="R62" i="11"/>
  <c r="B20" i="28" s="1"/>
  <c r="R79" i="11"/>
  <c r="R79" i="12" s="1"/>
  <c r="R84" i="9"/>
  <c r="O78" i="11"/>
  <c r="O62" i="11"/>
  <c r="B17" i="28" s="1"/>
  <c r="O80" i="11"/>
  <c r="O79" i="11"/>
  <c r="O79" i="12" s="1"/>
  <c r="O84" i="9"/>
  <c r="M78" i="11"/>
  <c r="M80" i="11"/>
  <c r="M62" i="11"/>
  <c r="B15" i="28" s="1"/>
  <c r="M79" i="11"/>
  <c r="M79" i="12" s="1"/>
  <c r="M84" i="9"/>
  <c r="Q79" i="11"/>
  <c r="Q79" i="12" s="1"/>
  <c r="Q80" i="11"/>
  <c r="Q62" i="11"/>
  <c r="B19" i="28" s="1"/>
  <c r="Q78" i="11"/>
  <c r="Q84" i="9"/>
  <c r="N78" i="11"/>
  <c r="N79" i="11"/>
  <c r="N79" i="12" s="1"/>
  <c r="N62" i="11"/>
  <c r="B16" i="28" s="1"/>
  <c r="N80" i="11"/>
  <c r="N84" i="9"/>
  <c r="I78" i="11"/>
  <c r="I80" i="11"/>
  <c r="I79" i="11"/>
  <c r="I79" i="12" s="1"/>
  <c r="I62" i="11"/>
  <c r="I84" i="9"/>
  <c r="J78" i="11"/>
  <c r="J62" i="11"/>
  <c r="B12" i="28" s="1"/>
  <c r="J79" i="11"/>
  <c r="J79" i="12" s="1"/>
  <c r="J80" i="11"/>
  <c r="J84" i="9"/>
  <c r="S62" i="11"/>
  <c r="B21" i="28" s="1"/>
  <c r="S80" i="11"/>
  <c r="S79" i="11"/>
  <c r="S79" i="12" s="1"/>
  <c r="S84" i="9"/>
  <c r="D80" i="8"/>
  <c r="G80" i="8"/>
  <c r="F80" i="10"/>
  <c r="D79" i="9"/>
  <c r="F79" i="9"/>
  <c r="H79" i="9"/>
  <c r="E79" i="9"/>
  <c r="G79" i="9"/>
  <c r="C80" i="11"/>
  <c r="F80" i="8"/>
  <c r="H80" i="8"/>
  <c r="C80" i="8"/>
  <c r="E79" i="7"/>
  <c r="E79" i="8" s="1"/>
  <c r="E80" i="7"/>
  <c r="F79" i="7"/>
  <c r="F79" i="8" s="1"/>
  <c r="F80" i="7"/>
  <c r="G79" i="7"/>
  <c r="G79" i="8" s="1"/>
  <c r="G80" i="7"/>
  <c r="D79" i="7"/>
  <c r="D79" i="8" s="1"/>
  <c r="D80" i="7"/>
  <c r="H79" i="7"/>
  <c r="H79" i="8" s="1"/>
  <c r="H80" i="7"/>
  <c r="C79" i="7"/>
  <c r="C79" i="8" s="1"/>
  <c r="C80" i="7"/>
  <c r="E80" i="11"/>
  <c r="F80" i="11"/>
  <c r="G80" i="5"/>
  <c r="G80" i="10"/>
  <c r="H80" i="5"/>
  <c r="H80" i="11"/>
  <c r="F80" i="5"/>
  <c r="C80" i="12"/>
  <c r="D80" i="10"/>
  <c r="E80" i="5"/>
  <c r="C80" i="5"/>
  <c r="D80" i="5"/>
  <c r="E80" i="6"/>
  <c r="F80" i="6"/>
  <c r="C80" i="6"/>
  <c r="D80" i="6"/>
  <c r="G80" i="6"/>
  <c r="H80" i="6"/>
  <c r="E79" i="5"/>
  <c r="E79" i="6" s="1"/>
  <c r="F79" i="5"/>
  <c r="F79" i="6" s="1"/>
  <c r="G79" i="5"/>
  <c r="G79" i="6" s="1"/>
  <c r="D79" i="5"/>
  <c r="D79" i="6" s="1"/>
  <c r="H79" i="5"/>
  <c r="H79" i="6" s="1"/>
  <c r="C79" i="5"/>
  <c r="C79" i="6" s="1"/>
  <c r="E78" i="5"/>
  <c r="F78" i="5"/>
  <c r="C78" i="5"/>
  <c r="G78" i="5"/>
  <c r="D78" i="5"/>
  <c r="H78" i="5"/>
  <c r="E78" i="6"/>
  <c r="F78" i="6"/>
  <c r="C78" i="6"/>
  <c r="G78" i="6"/>
  <c r="D78" i="6"/>
  <c r="H78" i="6"/>
  <c r="E78" i="7"/>
  <c r="F78" i="7"/>
  <c r="C78" i="7"/>
  <c r="G78" i="7"/>
  <c r="D78" i="7"/>
  <c r="H78" i="7"/>
  <c r="E78" i="8"/>
  <c r="F78" i="8"/>
  <c r="C78" i="8"/>
  <c r="G78" i="8"/>
  <c r="D78" i="8"/>
  <c r="H78" i="8"/>
  <c r="E80" i="10"/>
  <c r="F80" i="12"/>
  <c r="H80" i="12"/>
  <c r="C79" i="9"/>
  <c r="E78" i="9"/>
  <c r="F78" i="9"/>
  <c r="G78" i="9"/>
  <c r="D78" i="9"/>
  <c r="H78" i="9"/>
  <c r="H80" i="10"/>
  <c r="D80" i="12"/>
  <c r="C79" i="10"/>
  <c r="C80" i="10"/>
  <c r="E78" i="10"/>
  <c r="E79" i="10"/>
  <c r="F78" i="10"/>
  <c r="F79" i="10"/>
  <c r="G78" i="10"/>
  <c r="G79" i="10"/>
  <c r="D78" i="10"/>
  <c r="D79" i="10"/>
  <c r="H78" i="10"/>
  <c r="H79" i="10"/>
  <c r="E80" i="12"/>
  <c r="G79" i="11"/>
  <c r="G79" i="12" s="1"/>
  <c r="G80" i="11"/>
  <c r="D79" i="11"/>
  <c r="D79" i="12" s="1"/>
  <c r="D80" i="11"/>
  <c r="F78" i="11"/>
  <c r="F79" i="11"/>
  <c r="F79" i="12" s="1"/>
  <c r="E78" i="11"/>
  <c r="E79" i="11"/>
  <c r="E79" i="12" s="1"/>
  <c r="H78" i="11"/>
  <c r="H79" i="11"/>
  <c r="H79" i="12" s="1"/>
  <c r="C78" i="11"/>
  <c r="C79" i="11"/>
  <c r="C79" i="12" s="1"/>
  <c r="G78" i="11"/>
  <c r="D78" i="11"/>
  <c r="G80" i="12"/>
  <c r="E78" i="12"/>
  <c r="F78" i="12"/>
  <c r="G78" i="12"/>
  <c r="D78" i="12"/>
  <c r="H78" i="12"/>
  <c r="F62" i="5"/>
  <c r="C62" i="5"/>
  <c r="F5" i="28" s="1"/>
  <c r="E62" i="5"/>
  <c r="G62" i="5"/>
  <c r="D62" i="5"/>
  <c r="H62" i="5"/>
  <c r="E62" i="6"/>
  <c r="C62" i="6"/>
  <c r="F62" i="6"/>
  <c r="D62" i="6"/>
  <c r="K6" i="28" s="1"/>
  <c r="G62" i="6"/>
  <c r="H62" i="6"/>
  <c r="F62" i="8"/>
  <c r="D62" i="8"/>
  <c r="J6" i="28" s="1"/>
  <c r="E62" i="8"/>
  <c r="C62" i="8"/>
  <c r="J5" i="28" s="1"/>
  <c r="G62" i="8"/>
  <c r="H62" i="8"/>
  <c r="C62" i="7"/>
  <c r="E5" i="28" s="1"/>
  <c r="F62" i="7"/>
  <c r="E62" i="7"/>
  <c r="G62" i="7"/>
  <c r="D62" i="7"/>
  <c r="E6" i="28" s="1"/>
  <c r="H62" i="7"/>
  <c r="E10" i="28" s="1"/>
  <c r="F62" i="9"/>
  <c r="D62" i="9"/>
  <c r="D6" i="28" s="1"/>
  <c r="G62" i="9"/>
  <c r="E62" i="9"/>
  <c r="C62" i="9"/>
  <c r="D5" i="28" s="1"/>
  <c r="C78" i="9"/>
  <c r="H62" i="9"/>
  <c r="D10" i="28" s="1"/>
  <c r="F62" i="10"/>
  <c r="D62" i="10"/>
  <c r="I6" i="28" s="1"/>
  <c r="C62" i="10"/>
  <c r="I5" i="28" s="1"/>
  <c r="C78" i="10"/>
  <c r="E62" i="10"/>
  <c r="G62" i="10"/>
  <c r="H62" i="10"/>
  <c r="I10" i="28" s="1"/>
  <c r="AB79" i="40"/>
  <c r="F62" i="12"/>
  <c r="D62" i="12"/>
  <c r="G6" i="28" s="1"/>
  <c r="G62" i="12"/>
  <c r="E62" i="12"/>
  <c r="C62" i="12"/>
  <c r="G5" i="28" s="1"/>
  <c r="C78" i="12"/>
  <c r="H62" i="12"/>
  <c r="AB115" i="40"/>
  <c r="G13" i="69"/>
  <c r="AB17" i="77"/>
  <c r="AB17" i="71"/>
  <c r="K16" i="69"/>
  <c r="G15" i="69"/>
  <c r="J13" i="69"/>
  <c r="AF18" i="37"/>
  <c r="G16" i="69"/>
  <c r="G12" i="69"/>
  <c r="AB11" i="77"/>
  <c r="K10" i="69"/>
  <c r="AB11" i="71"/>
  <c r="AD18" i="40"/>
  <c r="AI18" i="39"/>
  <c r="AB43" i="40"/>
  <c r="F62" i="11"/>
  <c r="B8" i="28" s="1"/>
  <c r="G62" i="11"/>
  <c r="B9" i="28" s="1"/>
  <c r="H62" i="11"/>
  <c r="B10" i="28" s="1"/>
  <c r="AB12" i="77"/>
  <c r="K11" i="69"/>
  <c r="AB12" i="71"/>
  <c r="J17" i="69"/>
  <c r="AB19" i="77"/>
  <c r="AB19" i="71"/>
  <c r="K18" i="69"/>
  <c r="G14" i="69"/>
  <c r="I10" i="69"/>
  <c r="J12" i="69"/>
  <c r="J16" i="69"/>
  <c r="AB18" i="77"/>
  <c r="K17" i="69"/>
  <c r="AB18" i="71"/>
  <c r="J14" i="69"/>
  <c r="AB14" i="77"/>
  <c r="K13" i="69"/>
  <c r="AB14" i="71"/>
  <c r="AB16" i="77"/>
  <c r="AB16" i="71"/>
  <c r="K15" i="69"/>
  <c r="AB13" i="77"/>
  <c r="AB13" i="71"/>
  <c r="K12" i="69"/>
  <c r="AB79" i="41"/>
  <c r="D62" i="11"/>
  <c r="B6" i="28" s="1"/>
  <c r="C62" i="11"/>
  <c r="B5" i="28" s="1"/>
  <c r="G17" i="69"/>
  <c r="G18" i="69"/>
  <c r="J15" i="69"/>
  <c r="I11" i="69"/>
  <c r="J18" i="69"/>
  <c r="AB20" i="77"/>
  <c r="AB20" i="71"/>
  <c r="K19" i="69"/>
  <c r="AB15" i="77"/>
  <c r="K14" i="69"/>
  <c r="AB15" i="71"/>
  <c r="AB18" i="41"/>
  <c r="AD18" i="41" s="1"/>
  <c r="AA43" i="41"/>
  <c r="E62" i="11"/>
  <c r="B7" i="28" s="1"/>
  <c r="B33" i="28" l="1"/>
  <c r="B36" i="28"/>
  <c r="B34" i="28"/>
  <c r="B37" i="28"/>
  <c r="B35" i="28"/>
  <c r="B32" i="28"/>
  <c r="X5" i="28"/>
  <c r="X6" i="28"/>
  <c r="X7" i="28"/>
  <c r="X8" i="28"/>
  <c r="X9" i="28"/>
  <c r="X10" i="28"/>
  <c r="X11" i="28"/>
  <c r="X12" i="28"/>
  <c r="X13" i="28"/>
  <c r="X14" i="28"/>
  <c r="X15" i="28"/>
  <c r="G10" i="28"/>
  <c r="G9" i="69" s="1"/>
  <c r="AC5" i="28"/>
  <c r="AC6" i="28"/>
  <c r="AC7" i="28"/>
  <c r="AC8" i="28"/>
  <c r="AC9" i="28"/>
  <c r="AC10" i="28"/>
  <c r="G7" i="28"/>
  <c r="G6" i="69" s="1"/>
  <c r="G9" i="28"/>
  <c r="G8" i="69" s="1"/>
  <c r="AC11" i="28"/>
  <c r="AC12" i="28"/>
  <c r="AC13" i="28"/>
  <c r="AC14" i="28"/>
  <c r="AC15" i="28"/>
  <c r="G8" i="28"/>
  <c r="G7" i="69" s="1"/>
  <c r="I9" i="28"/>
  <c r="I8" i="69" s="1"/>
  <c r="I7" i="28"/>
  <c r="I6" i="69" s="1"/>
  <c r="AE5" i="28"/>
  <c r="AE6" i="28"/>
  <c r="AE7" i="28"/>
  <c r="AE8" i="28"/>
  <c r="AE9" i="28"/>
  <c r="AE10" i="28"/>
  <c r="AE11" i="28"/>
  <c r="AE12" i="28"/>
  <c r="AE13" i="28"/>
  <c r="AE14" i="28"/>
  <c r="AE15" i="28"/>
  <c r="I8" i="28"/>
  <c r="I7" i="69" s="1"/>
  <c r="Z5" i="28"/>
  <c r="Z6" i="28"/>
  <c r="Z7" i="28"/>
  <c r="Z8" i="28"/>
  <c r="Z9" i="28"/>
  <c r="Z10" i="28"/>
  <c r="D7" i="28"/>
  <c r="D6" i="69" s="1"/>
  <c r="D9" i="28"/>
  <c r="D8" i="69" s="1"/>
  <c r="Z11" i="28"/>
  <c r="Z12" i="28"/>
  <c r="Z13" i="28"/>
  <c r="Z14" i="28"/>
  <c r="Z15" i="28"/>
  <c r="D8" i="28"/>
  <c r="D7" i="69" s="1"/>
  <c r="AA11" i="28"/>
  <c r="AA12" i="28"/>
  <c r="AA13" i="28"/>
  <c r="AA14" i="28"/>
  <c r="AA15" i="28"/>
  <c r="E9" i="28"/>
  <c r="E8" i="69" s="1"/>
  <c r="E7" i="28"/>
  <c r="E6" i="69" s="1"/>
  <c r="E8" i="28"/>
  <c r="E7" i="69" s="1"/>
  <c r="AA5" i="28"/>
  <c r="AA6" i="28"/>
  <c r="AA7" i="28"/>
  <c r="AA8" i="28"/>
  <c r="AA9" i="28"/>
  <c r="AA10" i="28"/>
  <c r="J10" i="28"/>
  <c r="J9" i="69" s="1"/>
  <c r="J9" i="28"/>
  <c r="J8" i="69" s="1"/>
  <c r="AF5" i="28"/>
  <c r="AF6" i="28"/>
  <c r="AF7" i="28"/>
  <c r="AF8" i="28"/>
  <c r="AF9" i="28"/>
  <c r="AF10" i="28"/>
  <c r="J7" i="28"/>
  <c r="J6" i="69" s="1"/>
  <c r="AF11" i="28"/>
  <c r="AF12" i="28"/>
  <c r="AF13" i="28"/>
  <c r="AF14" i="28"/>
  <c r="AF15" i="28"/>
  <c r="J8" i="28"/>
  <c r="J7" i="69" s="1"/>
  <c r="K10" i="28"/>
  <c r="K9" i="69" s="1"/>
  <c r="K9" i="28"/>
  <c r="K8" i="69" s="1"/>
  <c r="K8" i="28"/>
  <c r="K7" i="69" s="1"/>
  <c r="K5" i="28"/>
  <c r="AG11" i="28" s="1"/>
  <c r="K7" i="28"/>
  <c r="AB7" i="77" s="1"/>
  <c r="F10" i="28"/>
  <c r="F9" i="69" s="1"/>
  <c r="F6" i="28"/>
  <c r="F5" i="69" s="1"/>
  <c r="F9" i="28"/>
  <c r="F8" i="69" s="1"/>
  <c r="F7" i="28"/>
  <c r="F6" i="69" s="1"/>
  <c r="AB5" i="28"/>
  <c r="AB6" i="28"/>
  <c r="AB7" i="28"/>
  <c r="AB8" i="28"/>
  <c r="AB9" i="28"/>
  <c r="AB10" i="28"/>
  <c r="F8" i="28"/>
  <c r="F7" i="69" s="1"/>
  <c r="B38" i="28"/>
  <c r="B11" i="28"/>
  <c r="B10" i="69" s="1"/>
  <c r="B13" i="28"/>
  <c r="B30" i="28" s="1"/>
  <c r="O88" i="9"/>
  <c r="O88" i="10" s="1"/>
  <c r="O89" i="9"/>
  <c r="O85" i="9"/>
  <c r="C17" i="28" s="1"/>
  <c r="O80" i="9"/>
  <c r="B14" i="69"/>
  <c r="Q87" i="9"/>
  <c r="R89" i="9"/>
  <c r="R88" i="9"/>
  <c r="R88" i="10" s="1"/>
  <c r="R85" i="9"/>
  <c r="C20" i="28" s="1"/>
  <c r="R80" i="9"/>
  <c r="B20" i="69"/>
  <c r="B11" i="69"/>
  <c r="Q89" i="9"/>
  <c r="Q85" i="9"/>
  <c r="C19" i="28" s="1"/>
  <c r="Q88" i="9"/>
  <c r="Q88" i="10" s="1"/>
  <c r="Q80" i="9"/>
  <c r="L89" i="9"/>
  <c r="L87" i="9"/>
  <c r="L85" i="9"/>
  <c r="C14" i="28" s="1"/>
  <c r="L88" i="9"/>
  <c r="L88" i="10" s="1"/>
  <c r="L80" i="9"/>
  <c r="I80" i="9"/>
  <c r="I87" i="9"/>
  <c r="I89" i="9"/>
  <c r="I88" i="9"/>
  <c r="I88" i="10" s="1"/>
  <c r="I85" i="9"/>
  <c r="B18" i="69"/>
  <c r="B13" i="69"/>
  <c r="N80" i="9"/>
  <c r="N89" i="9"/>
  <c r="N85" i="9"/>
  <c r="C16" i="28" s="1"/>
  <c r="N87" i="9"/>
  <c r="N88" i="9"/>
  <c r="N88" i="10" s="1"/>
  <c r="K88" i="9"/>
  <c r="K88" i="10" s="1"/>
  <c r="K85" i="9"/>
  <c r="C13" i="28" s="1"/>
  <c r="K89" i="9"/>
  <c r="K87" i="9"/>
  <c r="K80" i="9"/>
  <c r="S89" i="9"/>
  <c r="S88" i="9"/>
  <c r="S88" i="10" s="1"/>
  <c r="S85" i="9"/>
  <c r="C21" i="28" s="1"/>
  <c r="S80" i="9"/>
  <c r="J87" i="9"/>
  <c r="J89" i="9"/>
  <c r="J85" i="9"/>
  <c r="J88" i="9"/>
  <c r="J88" i="10" s="1"/>
  <c r="J80" i="9"/>
  <c r="B15" i="69"/>
  <c r="M89" i="9"/>
  <c r="M87" i="9"/>
  <c r="M88" i="9"/>
  <c r="M88" i="10" s="1"/>
  <c r="M85" i="9"/>
  <c r="C15" i="28" s="1"/>
  <c r="M80" i="9"/>
  <c r="B16" i="69"/>
  <c r="B19" i="69"/>
  <c r="O87" i="9"/>
  <c r="P85" i="9"/>
  <c r="C18" i="28" s="1"/>
  <c r="P88" i="9"/>
  <c r="P88" i="10" s="1"/>
  <c r="P89" i="9"/>
  <c r="P87" i="9"/>
  <c r="P80" i="9"/>
  <c r="B17" i="69"/>
  <c r="E4" i="69"/>
  <c r="E5" i="69"/>
  <c r="J4" i="69"/>
  <c r="E9" i="69"/>
  <c r="G4" i="69"/>
  <c r="G5" i="69"/>
  <c r="AB6" i="77"/>
  <c r="J5" i="69"/>
  <c r="K5" i="69"/>
  <c r="F4" i="69"/>
  <c r="AB6" i="71"/>
  <c r="G19" i="69"/>
  <c r="B6" i="69"/>
  <c r="B7" i="69"/>
  <c r="H83" i="10"/>
  <c r="H84" i="10" s="1"/>
  <c r="H89" i="10" s="1"/>
  <c r="I9" i="69"/>
  <c r="C83" i="10"/>
  <c r="H83" i="9"/>
  <c r="C83" i="9"/>
  <c r="E83" i="9"/>
  <c r="G83" i="9"/>
  <c r="D83" i="9"/>
  <c r="F83" i="9"/>
  <c r="G83" i="10"/>
  <c r="E83" i="10"/>
  <c r="D83" i="10"/>
  <c r="F83" i="10"/>
  <c r="B5" i="69"/>
  <c r="I13" i="69"/>
  <c r="I17" i="69"/>
  <c r="AH18" i="37"/>
  <c r="I19" i="69"/>
  <c r="I18" i="69"/>
  <c r="I15" i="69"/>
  <c r="I16" i="69"/>
  <c r="D5" i="69"/>
  <c r="AK18" i="39"/>
  <c r="AI43" i="39"/>
  <c r="B4" i="69"/>
  <c r="I14" i="69"/>
  <c r="I5" i="69"/>
  <c r="I12" i="69"/>
  <c r="B9" i="69"/>
  <c r="AB43" i="41"/>
  <c r="D9" i="69"/>
  <c r="AE122" i="28"/>
  <c r="Z53" i="28"/>
  <c r="AA67" i="28"/>
  <c r="AF117" i="28"/>
  <c r="AE145" i="28"/>
  <c r="Z30" i="28"/>
  <c r="AA44" i="28"/>
  <c r="AF58" i="28"/>
  <c r="AG72" i="28"/>
  <c r="AC75" i="28"/>
  <c r="AB100" i="28"/>
  <c r="AE108" i="28"/>
  <c r="Z67" i="28"/>
  <c r="AA81" i="28"/>
  <c r="AF95" i="28"/>
  <c r="AE131" i="28"/>
  <c r="Z44" i="28"/>
  <c r="AA58" i="28"/>
  <c r="AF72" i="28"/>
  <c r="AG86" i="28"/>
  <c r="AE58" i="28"/>
  <c r="Z117" i="28"/>
  <c r="AA131" i="28"/>
  <c r="AF145" i="28"/>
  <c r="AC132" i="28"/>
  <c r="AB43" i="28"/>
  <c r="AB118" i="28"/>
  <c r="AB66" i="28"/>
  <c r="Z20" i="28"/>
  <c r="AA36" i="28"/>
  <c r="AF50" i="28"/>
  <c r="AG64" i="28"/>
  <c r="AC83" i="28"/>
  <c r="AB92" i="28"/>
  <c r="AC104" i="28"/>
  <c r="AE104" i="28"/>
  <c r="Z71" i="28"/>
  <c r="AA85" i="28"/>
  <c r="AF99" i="28"/>
  <c r="AG113" i="28"/>
  <c r="AC34" i="28"/>
  <c r="AB141" i="28"/>
  <c r="AB131" i="28"/>
  <c r="AE67" i="28"/>
  <c r="Z108" i="28"/>
  <c r="AA122" i="28"/>
  <c r="AC141" i="28"/>
  <c r="AB59" i="28"/>
  <c r="AE66" i="28"/>
  <c r="Z109" i="28"/>
  <c r="AA123" i="28"/>
  <c r="AC37" i="28"/>
  <c r="AA40" i="28"/>
  <c r="AC79" i="28"/>
  <c r="AB39" i="28"/>
  <c r="AA89" i="28"/>
  <c r="AC30" i="28"/>
  <c r="Z136" i="28"/>
  <c r="AB62" i="28"/>
  <c r="AC24" i="28"/>
  <c r="AA24" i="28"/>
  <c r="AB74" i="28"/>
  <c r="AF141" i="28"/>
  <c r="AC89" i="28"/>
  <c r="AC77" i="28"/>
  <c r="AE110" i="28"/>
  <c r="Z65" i="28"/>
  <c r="AA79" i="28"/>
  <c r="AF129" i="28"/>
  <c r="AE133" i="28"/>
  <c r="Z42" i="28"/>
  <c r="AA56" i="28"/>
  <c r="AF70" i="28"/>
  <c r="AG84" i="28"/>
  <c r="AC63" i="28"/>
  <c r="AB112" i="28"/>
  <c r="AE96" i="28"/>
  <c r="Z79" i="28"/>
  <c r="AA93" i="28"/>
  <c r="AF107" i="28"/>
  <c r="AE119" i="28"/>
  <c r="Z56" i="28"/>
  <c r="AA70" i="28"/>
  <c r="AF84" i="28"/>
  <c r="AG98" i="28"/>
  <c r="AE46" i="28"/>
  <c r="Z129" i="28"/>
  <c r="AA143" i="28"/>
  <c r="AG27" i="28"/>
  <c r="AC120" i="28"/>
  <c r="AB55" i="28"/>
  <c r="AF125" i="28"/>
  <c r="AE141" i="28"/>
  <c r="Z34" i="28"/>
  <c r="AA48" i="28"/>
  <c r="AF62" i="28"/>
  <c r="AG76" i="28"/>
  <c r="AC71" i="28"/>
  <c r="AB104" i="28"/>
  <c r="AC32" i="28"/>
  <c r="AE92" i="28"/>
  <c r="Z83" i="28"/>
  <c r="AA97" i="28"/>
  <c r="AF111" i="28"/>
  <c r="AG125" i="28"/>
  <c r="AC20" i="28"/>
  <c r="AC93" i="28"/>
  <c r="AG133" i="28"/>
  <c r="AE55" i="28"/>
  <c r="Z120" i="28"/>
  <c r="AA134" i="28"/>
  <c r="AG24" i="28"/>
  <c r="AC129" i="28"/>
  <c r="AB143" i="28"/>
  <c r="AE54" i="28"/>
  <c r="Z121" i="28"/>
  <c r="AA135" i="28"/>
  <c r="AG67" i="28"/>
  <c r="AE137" i="28"/>
  <c r="Z38" i="28"/>
  <c r="AA52" i="28"/>
  <c r="AF66" i="28"/>
  <c r="AG80" i="28"/>
  <c r="AC67" i="28"/>
  <c r="AB108" i="28"/>
  <c r="AB75" i="28"/>
  <c r="AE88" i="28"/>
  <c r="Z87" i="28"/>
  <c r="AF115" i="28"/>
  <c r="AB125" i="28"/>
  <c r="AC101" i="28"/>
  <c r="AA30" i="28"/>
  <c r="AB51" i="28"/>
  <c r="AB98" i="28"/>
  <c r="AE98" i="28"/>
  <c r="Z77" i="28"/>
  <c r="AA91" i="28"/>
  <c r="AG47" i="28"/>
  <c r="AE121" i="28"/>
  <c r="Z54" i="28"/>
  <c r="AA68" i="28"/>
  <c r="AF82" i="28"/>
  <c r="AG96" i="28"/>
  <c r="AC51" i="28"/>
  <c r="AB124" i="28"/>
  <c r="AE84" i="28"/>
  <c r="Z91" i="28"/>
  <c r="AA105" i="28"/>
  <c r="AF119" i="28"/>
  <c r="AE107" i="28"/>
  <c r="Z68" i="28"/>
  <c r="AA82" i="28"/>
  <c r="AF96" i="28"/>
  <c r="AG110" i="28"/>
  <c r="AE34" i="28"/>
  <c r="Z141" i="28"/>
  <c r="AF17" i="28"/>
  <c r="AG39" i="28"/>
  <c r="AC108" i="28"/>
  <c r="AB67" i="28"/>
  <c r="AG79" i="28"/>
  <c r="AE129" i="28"/>
  <c r="Z46" i="28"/>
  <c r="AA60" i="28"/>
  <c r="AF74" i="28"/>
  <c r="AG88" i="28"/>
  <c r="AC59" i="28"/>
  <c r="AB116" i="28"/>
  <c r="AB47" i="28"/>
  <c r="AE80" i="28"/>
  <c r="Z95" i="28"/>
  <c r="AA109" i="28"/>
  <c r="AF123" i="28"/>
  <c r="AG137" i="28"/>
  <c r="AB21" i="28"/>
  <c r="AC33" i="28"/>
  <c r="AC86" i="28"/>
  <c r="AE43" i="28"/>
  <c r="Z132" i="28"/>
  <c r="AF26" i="28"/>
  <c r="AG30" i="28"/>
  <c r="AC117" i="28"/>
  <c r="AC110" i="28"/>
  <c r="AE42" i="28"/>
  <c r="Z133" i="28"/>
  <c r="AF25" i="28"/>
  <c r="AG91" i="28"/>
  <c r="AE125" i="28"/>
  <c r="Z50" i="28"/>
  <c r="AA64" i="28"/>
  <c r="AF78" i="28"/>
  <c r="AG92" i="28"/>
  <c r="AC55" i="28"/>
  <c r="AB120" i="28"/>
  <c r="AB123" i="28"/>
  <c r="AE76" i="28"/>
  <c r="Z99" i="28"/>
  <c r="AA113" i="28"/>
  <c r="AF127" i="28"/>
  <c r="AG141" i="28"/>
  <c r="AB17" i="28"/>
  <c r="Z26" i="28"/>
  <c r="AB99" i="28"/>
  <c r="AE86" i="28"/>
  <c r="Z89" i="28"/>
  <c r="AA103" i="28"/>
  <c r="AG83" i="28"/>
  <c r="AE109" i="28"/>
  <c r="Z66" i="28"/>
  <c r="AA80" i="28"/>
  <c r="AF94" i="28"/>
  <c r="AG108" i="28"/>
  <c r="AC39" i="28"/>
  <c r="AB136" i="28"/>
  <c r="AE72" i="28"/>
  <c r="Z103" i="28"/>
  <c r="AA117" i="28"/>
  <c r="AF131" i="28"/>
  <c r="AE95" i="28"/>
  <c r="Z80" i="28"/>
  <c r="AA94" i="28"/>
  <c r="AF108" i="28"/>
  <c r="AC73" i="28"/>
  <c r="AE20" i="28"/>
  <c r="AA19" i="28"/>
  <c r="AF37" i="28"/>
  <c r="AG51" i="28"/>
  <c r="AC96" i="28"/>
  <c r="AB79" i="28"/>
  <c r="AC140" i="28"/>
  <c r="AE117" i="28"/>
  <c r="Z58" i="28"/>
  <c r="AA72" i="28"/>
  <c r="AF86" i="28"/>
  <c r="AG100" i="28"/>
  <c r="AC47" i="28"/>
  <c r="AB128" i="28"/>
  <c r="AB107" i="28"/>
  <c r="AE68" i="28"/>
  <c r="Z107" i="28"/>
  <c r="AA121" i="28"/>
  <c r="AF135" i="28"/>
  <c r="AC142" i="28"/>
  <c r="AB33" i="28"/>
  <c r="AB46" i="28"/>
  <c r="AB41" i="28"/>
  <c r="AE31" i="28"/>
  <c r="Z144" i="28"/>
  <c r="AF28" i="28"/>
  <c r="AG42" i="28"/>
  <c r="AC105" i="28"/>
  <c r="AB65" i="28"/>
  <c r="AE30" i="28"/>
  <c r="Z145" i="28"/>
  <c r="AF29" i="28"/>
  <c r="AG139" i="28"/>
  <c r="AE113" i="28"/>
  <c r="Z62" i="28"/>
  <c r="AA76" i="28"/>
  <c r="AF90" i="28"/>
  <c r="AG104" i="28"/>
  <c r="AC43" i="28"/>
  <c r="AB132" i="28"/>
  <c r="AG73" i="28"/>
  <c r="AE64" i="28"/>
  <c r="Z111" i="28"/>
  <c r="AA125" i="28"/>
  <c r="AF139" i="28"/>
  <c r="AC138" i="28"/>
  <c r="AB37" i="28"/>
  <c r="AG59" i="28"/>
  <c r="AB102" i="28"/>
  <c r="Z28" i="28"/>
  <c r="AG70" i="28"/>
  <c r="AE74" i="28"/>
  <c r="Z101" i="28"/>
  <c r="AA115" i="28"/>
  <c r="AG143" i="28"/>
  <c r="AE97" i="28"/>
  <c r="Z78" i="28"/>
  <c r="AA92" i="28"/>
  <c r="AF106" i="28"/>
  <c r="AG120" i="28"/>
  <c r="AC27" i="28"/>
  <c r="AG109" i="28"/>
  <c r="AE60" i="28"/>
  <c r="Z115" i="28"/>
  <c r="AA129" i="28"/>
  <c r="AF143" i="28"/>
  <c r="AE83" i="28"/>
  <c r="Z92" i="28"/>
  <c r="AA106" i="28"/>
  <c r="AF120" i="28"/>
  <c r="AB114" i="28"/>
  <c r="Z21" i="28"/>
  <c r="AA35" i="28"/>
  <c r="AF49" i="28"/>
  <c r="AG63" i="28"/>
  <c r="AC84" i="28"/>
  <c r="AB91" i="28"/>
  <c r="AC80" i="28"/>
  <c r="AE105" i="28"/>
  <c r="Z70" i="28"/>
  <c r="AA84" i="28"/>
  <c r="AF98" i="28"/>
  <c r="AG112" i="28"/>
  <c r="AC35" i="28"/>
  <c r="AB140" i="28"/>
  <c r="AG97" i="28"/>
  <c r="AE56" i="28"/>
  <c r="Z119" i="28"/>
  <c r="AA133" i="28"/>
  <c r="AG25" i="28"/>
  <c r="AC130" i="28"/>
  <c r="AB45" i="28"/>
  <c r="AB82" i="28"/>
  <c r="AC121" i="28"/>
  <c r="AE23" i="28"/>
  <c r="AA16" i="28"/>
  <c r="AF40" i="28"/>
  <c r="AG54" i="28"/>
  <c r="AC69" i="28"/>
  <c r="AC109" i="28"/>
  <c r="AE24" i="28"/>
  <c r="AA27" i="28"/>
  <c r="AF41" i="28"/>
  <c r="AC92" i="28"/>
  <c r="AE101" i="28"/>
  <c r="Z74" i="28"/>
  <c r="AA88" i="28"/>
  <c r="AF102" i="28"/>
  <c r="AG116" i="28"/>
  <c r="AC31" i="28"/>
  <c r="AB144" i="28"/>
  <c r="AC62" i="28"/>
  <c r="AE52" i="28"/>
  <c r="Z123" i="28"/>
  <c r="AA137" i="28"/>
  <c r="AG21" i="28"/>
  <c r="AC126" i="28"/>
  <c r="AB49" i="28"/>
  <c r="AG107" i="28"/>
  <c r="AE135" i="28"/>
  <c r="Z40" i="28"/>
  <c r="AA54" i="28"/>
  <c r="AF68" i="28"/>
  <c r="AG82" i="28"/>
  <c r="AC65" i="28"/>
  <c r="AB110" i="28"/>
  <c r="AB135" i="28"/>
  <c r="AG140" i="28"/>
  <c r="AE28" i="28"/>
  <c r="AG45" i="28"/>
  <c r="AC100" i="28"/>
  <c r="AA78" i="28"/>
  <c r="AG106" i="28"/>
  <c r="AC16" i="28"/>
  <c r="AC90" i="28"/>
  <c r="AE99" i="28"/>
  <c r="AG118" i="28"/>
  <c r="AB27" i="28"/>
  <c r="AC25" i="28"/>
  <c r="AG142" i="28"/>
  <c r="AE62" i="28"/>
  <c r="Z113" i="28"/>
  <c r="AA127" i="28"/>
  <c r="AC88" i="28"/>
  <c r="AE85" i="28"/>
  <c r="Z90" i="28"/>
  <c r="AA104" i="28"/>
  <c r="AF118" i="28"/>
  <c r="AG132" i="28"/>
  <c r="AB26" i="28"/>
  <c r="AB25" i="28"/>
  <c r="AE48" i="28"/>
  <c r="Z127" i="28"/>
  <c r="AA141" i="28"/>
  <c r="AG17" i="28"/>
  <c r="AE71" i="28"/>
  <c r="Z104" i="28"/>
  <c r="AA118" i="28"/>
  <c r="AF132" i="28"/>
  <c r="AE142" i="28"/>
  <c r="Z33" i="28"/>
  <c r="AA47" i="28"/>
  <c r="AF61" i="28"/>
  <c r="AG75" i="28"/>
  <c r="AC72" i="28"/>
  <c r="AB103" i="28"/>
  <c r="AC22" i="28"/>
  <c r="AE93" i="28"/>
  <c r="Z82" i="28"/>
  <c r="AA96" i="28"/>
  <c r="AF110" i="28"/>
  <c r="AG124" i="28"/>
  <c r="AC19" i="28"/>
  <c r="AC57" i="28"/>
  <c r="AC98" i="28"/>
  <c r="AE44" i="28"/>
  <c r="Z131" i="28"/>
  <c r="AA145" i="28"/>
  <c r="AG29" i="28"/>
  <c r="AC118" i="28"/>
  <c r="AB57" i="28"/>
  <c r="AB130" i="28"/>
  <c r="AB30" i="28"/>
  <c r="Z18" i="28"/>
  <c r="AA38" i="28"/>
  <c r="AF52" i="28"/>
  <c r="AG66" i="28"/>
  <c r="AC45" i="28"/>
  <c r="AB78" i="28"/>
  <c r="Z17" i="28"/>
  <c r="AA39" i="28"/>
  <c r="AF53" i="28"/>
  <c r="AC56" i="28"/>
  <c r="AE89" i="28"/>
  <c r="Z86" i="28"/>
  <c r="AA100" i="28"/>
  <c r="AF114" i="28"/>
  <c r="AG128" i="28"/>
  <c r="AC23" i="28"/>
  <c r="AF69" i="28"/>
  <c r="AB113" i="28"/>
  <c r="AE40" i="28"/>
  <c r="Z135" i="28"/>
  <c r="AF23" i="28"/>
  <c r="AG33" i="28"/>
  <c r="AC114" i="28"/>
  <c r="AB61" i="28"/>
  <c r="AC136" i="28"/>
  <c r="AE123" i="28"/>
  <c r="Z52" i="28"/>
  <c r="AA66" i="28"/>
  <c r="AF80" i="28"/>
  <c r="AG94" i="28"/>
  <c r="AC53" i="28"/>
  <c r="AB122" i="28"/>
  <c r="AG61" i="28"/>
  <c r="AG78" i="28"/>
  <c r="AF65" i="28"/>
  <c r="AE77" i="28"/>
  <c r="AA112" i="28"/>
  <c r="AB18" i="28"/>
  <c r="AC85" i="28"/>
  <c r="AF31" i="28"/>
  <c r="AC102" i="28"/>
  <c r="AE111" i="28"/>
  <c r="AF92" i="28"/>
  <c r="AB134" i="28"/>
  <c r="AF43" i="28"/>
  <c r="AC52" i="28"/>
  <c r="AF104" i="28"/>
  <c r="AC133" i="28"/>
  <c r="AA102" i="28"/>
  <c r="AB24" i="28"/>
  <c r="AB16" i="28"/>
  <c r="AE50" i="28"/>
  <c r="Z125" i="28"/>
  <c r="AA139" i="28"/>
  <c r="AC26" i="28"/>
  <c r="AE73" i="28"/>
  <c r="Z102" i="28"/>
  <c r="AA116" i="28"/>
  <c r="AF130" i="28"/>
  <c r="AG144" i="28"/>
  <c r="AB28" i="28"/>
  <c r="AB137" i="28"/>
  <c r="AE36" i="28"/>
  <c r="Z139" i="28"/>
  <c r="AF19" i="28"/>
  <c r="AG37" i="28"/>
  <c r="AE59" i="28"/>
  <c r="Z116" i="28"/>
  <c r="AA130" i="28"/>
  <c r="AF144" i="28"/>
  <c r="AE130" i="28"/>
  <c r="Z45" i="28"/>
  <c r="AA59" i="28"/>
  <c r="AF73" i="28"/>
  <c r="AG87" i="28"/>
  <c r="AC60" i="28"/>
  <c r="AB115" i="28"/>
  <c r="AB71" i="28"/>
  <c r="AE81" i="28"/>
  <c r="Z94" i="28"/>
  <c r="AA108" i="28"/>
  <c r="AF122" i="28"/>
  <c r="AG136" i="28"/>
  <c r="AB22" i="28"/>
  <c r="AC21" i="28"/>
  <c r="AB77" i="28"/>
  <c r="AE32" i="28"/>
  <c r="Z143" i="28"/>
  <c r="AF27" i="28"/>
  <c r="AG41" i="28"/>
  <c r="AC106" i="28"/>
  <c r="AB69" i="28"/>
  <c r="AG23" i="28"/>
  <c r="AE139" i="28"/>
  <c r="Z36" i="28"/>
  <c r="AA50" i="28"/>
  <c r="AF64" i="28"/>
  <c r="AB34" i="28"/>
  <c r="AE138" i="28"/>
  <c r="Z37" i="28"/>
  <c r="AA51" i="28"/>
  <c r="AB35" i="28"/>
  <c r="Z98" i="28"/>
  <c r="AF126" i="28"/>
  <c r="AG19" i="28"/>
  <c r="AA25" i="28"/>
  <c r="AB73" i="28"/>
  <c r="Z64" i="28"/>
  <c r="AC41" i="28"/>
  <c r="AG57" i="28"/>
  <c r="Z76" i="28"/>
  <c r="AC29" i="28"/>
  <c r="AE87" i="28"/>
  <c r="AG130" i="28"/>
  <c r="AF128" i="28"/>
  <c r="AE38" i="28"/>
  <c r="Z137" i="28"/>
  <c r="AF21" i="28"/>
  <c r="AB87" i="28"/>
  <c r="AE61" i="28"/>
  <c r="Z114" i="28"/>
  <c r="AA128" i="28"/>
  <c r="AF142" i="28"/>
  <c r="AC135" i="28"/>
  <c r="AB40" i="28"/>
  <c r="AC61" i="28"/>
  <c r="AE18" i="28"/>
  <c r="AA21" i="28"/>
  <c r="AF35" i="28"/>
  <c r="AG85" i="28"/>
  <c r="AE47" i="28"/>
  <c r="Z128" i="28"/>
  <c r="AA142" i="28"/>
  <c r="AG16" i="28"/>
  <c r="AE118" i="28"/>
  <c r="Z57" i="28"/>
  <c r="AA71" i="28"/>
  <c r="AF85" i="28"/>
  <c r="AG99" i="28"/>
  <c r="AC48" i="28"/>
  <c r="AB127" i="28"/>
  <c r="AB119" i="28"/>
  <c r="AE69" i="28"/>
  <c r="Z106" i="28"/>
  <c r="AA120" i="28"/>
  <c r="AF134" i="28"/>
  <c r="AC143" i="28"/>
  <c r="AB32" i="28"/>
  <c r="AB58" i="28"/>
  <c r="AC49" i="28"/>
  <c r="AE22" i="28"/>
  <c r="AA17" i="28"/>
  <c r="AF39" i="28"/>
  <c r="AG53" i="28"/>
  <c r="AC94" i="28"/>
  <c r="AB81" i="28"/>
  <c r="AG103" i="28"/>
  <c r="AE127" i="28"/>
  <c r="Z48" i="28"/>
  <c r="AA62" i="28"/>
  <c r="AF76" i="28"/>
  <c r="AG90" i="28"/>
  <c r="AB106" i="28"/>
  <c r="AE126" i="28"/>
  <c r="Z49" i="28"/>
  <c r="AA63" i="28"/>
  <c r="AF77" i="28"/>
  <c r="AB95" i="28"/>
  <c r="AE65" i="28"/>
  <c r="Z110" i="28"/>
  <c r="AA124" i="28"/>
  <c r="AF138" i="28"/>
  <c r="AC139" i="28"/>
  <c r="AB36" i="28"/>
  <c r="AG71" i="28"/>
  <c r="AB42" i="28"/>
  <c r="AE26" i="28"/>
  <c r="AA29" i="28"/>
  <c r="AB85" i="28"/>
  <c r="AA90" i="28"/>
  <c r="AF45" i="28"/>
  <c r="AF116" i="28"/>
  <c r="AA114" i="28"/>
  <c r="AE16" i="28"/>
  <c r="AA23" i="28"/>
  <c r="AF33" i="28"/>
  <c r="AG121" i="28"/>
  <c r="AE49" i="28"/>
  <c r="Z126" i="28"/>
  <c r="AA140" i="28"/>
  <c r="AG18" i="28"/>
  <c r="AC123" i="28"/>
  <c r="AB52" i="28"/>
  <c r="AB54" i="28"/>
  <c r="Z23" i="28"/>
  <c r="AA33" i="28"/>
  <c r="AF47" i="28"/>
  <c r="AC122" i="28"/>
  <c r="AE35" i="28"/>
  <c r="Z140" i="28"/>
  <c r="AF18" i="28"/>
  <c r="AG38" i="28"/>
  <c r="AE106" i="28"/>
  <c r="Z69" i="28"/>
  <c r="AA83" i="28"/>
  <c r="AF97" i="28"/>
  <c r="AG111" i="28"/>
  <c r="AC36" i="28"/>
  <c r="AB139" i="28"/>
  <c r="AG145" i="28"/>
  <c r="AE57" i="28"/>
  <c r="Z118" i="28"/>
  <c r="AA132" i="28"/>
  <c r="AG26" i="28"/>
  <c r="AC131" i="28"/>
  <c r="AB44" i="28"/>
  <c r="AB94" i="28"/>
  <c r="AB90" i="28"/>
  <c r="Z19" i="28"/>
  <c r="AA37" i="28"/>
  <c r="AF51" i="28"/>
  <c r="AG65" i="28"/>
  <c r="AC82" i="28"/>
  <c r="AB93" i="28"/>
  <c r="AC128" i="28"/>
  <c r="AE115" i="28"/>
  <c r="Z60" i="28"/>
  <c r="AA74" i="28"/>
  <c r="AF88" i="28"/>
  <c r="AG102" i="28"/>
  <c r="AG43" i="28"/>
  <c r="AE114" i="28"/>
  <c r="Z61" i="28"/>
  <c r="AA75" i="28"/>
  <c r="AF89" i="28"/>
  <c r="AC134" i="28"/>
  <c r="AE53" i="28"/>
  <c r="Z122" i="28"/>
  <c r="AA136" i="28"/>
  <c r="AG22" i="28"/>
  <c r="AC127" i="28"/>
  <c r="AB48" i="28"/>
  <c r="AG119" i="28"/>
  <c r="AB138" i="28"/>
  <c r="Z27" i="28"/>
  <c r="AA41" i="28"/>
  <c r="AF55" i="28"/>
  <c r="AG69" i="28"/>
  <c r="AC78" i="28"/>
  <c r="AB97" i="28"/>
  <c r="Z88" i="28"/>
  <c r="AG35" i="28"/>
  <c r="Z25" i="28"/>
  <c r="AA31" i="28"/>
  <c r="AF57" i="28"/>
  <c r="AB29" i="28"/>
  <c r="AE37" i="28"/>
  <c r="Z138" i="28"/>
  <c r="AF20" i="28"/>
  <c r="AG36" i="28"/>
  <c r="AC111" i="28"/>
  <c r="AB64" i="28"/>
  <c r="AE144" i="28"/>
  <c r="Z31" i="28"/>
  <c r="AA45" i="28"/>
  <c r="AF59" i="28"/>
  <c r="AB101" i="28"/>
  <c r="AE19" i="28"/>
  <c r="AA20" i="28"/>
  <c r="AF36" i="28"/>
  <c r="AG50" i="28"/>
  <c r="AE94" i="28"/>
  <c r="Z81" i="28"/>
  <c r="AA95" i="28"/>
  <c r="AF109" i="28"/>
  <c r="AG123" i="28"/>
  <c r="AC18" i="28"/>
  <c r="AC81" i="28"/>
  <c r="AC74" i="28"/>
  <c r="AE45" i="28"/>
  <c r="Z130" i="28"/>
  <c r="AA144" i="28"/>
  <c r="AG28" i="28"/>
  <c r="AC119" i="28"/>
  <c r="AB56" i="28"/>
  <c r="AB142" i="28"/>
  <c r="AE140" i="28"/>
  <c r="Z35" i="28"/>
  <c r="AA49" i="28"/>
  <c r="AF63" i="28"/>
  <c r="AG77" i="28"/>
  <c r="AC70" i="28"/>
  <c r="AB105" i="28"/>
  <c r="AC68" i="28"/>
  <c r="AE103" i="28"/>
  <c r="Z72" i="28"/>
  <c r="AA86" i="28"/>
  <c r="AF100" i="28"/>
  <c r="AG114" i="28"/>
  <c r="AG127" i="28"/>
  <c r="AE102" i="28"/>
  <c r="Z73" i="28"/>
  <c r="AA87" i="28"/>
  <c r="AF101" i="28"/>
  <c r="AC38" i="28"/>
  <c r="AE41" i="28"/>
  <c r="Z134" i="28"/>
  <c r="AF24" i="28"/>
  <c r="AG32" i="28"/>
  <c r="AC115" i="28"/>
  <c r="AB60" i="28"/>
  <c r="AC124" i="28"/>
  <c r="AE136" i="28"/>
  <c r="Z39" i="28"/>
  <c r="AA53" i="28"/>
  <c r="AF67" i="28"/>
  <c r="AG81" i="28"/>
  <c r="AC66" i="28"/>
  <c r="AB109" i="28"/>
  <c r="AB63" i="28"/>
  <c r="AE75" i="28"/>
  <c r="Z100" i="28"/>
  <c r="AG95" i="28"/>
  <c r="Z29" i="28"/>
  <c r="AA43" i="28"/>
  <c r="AF93" i="28"/>
  <c r="AG122" i="28"/>
  <c r="AE17" i="28"/>
  <c r="AA22" i="28"/>
  <c r="AF34" i="28"/>
  <c r="AG48" i="28"/>
  <c r="AC99" i="28"/>
  <c r="AB76" i="28"/>
  <c r="AE132" i="28"/>
  <c r="Z43" i="28"/>
  <c r="AA57" i="28"/>
  <c r="AF71" i="28"/>
  <c r="AB126" i="28"/>
  <c r="Z22" i="28"/>
  <c r="AA34" i="28"/>
  <c r="AF48" i="28"/>
  <c r="AG62" i="28"/>
  <c r="AE82" i="28"/>
  <c r="Z93" i="28"/>
  <c r="AA107" i="28"/>
  <c r="AF121" i="28"/>
  <c r="AG135" i="28"/>
  <c r="AB23" i="28"/>
  <c r="AB20" i="28"/>
  <c r="AB53" i="28"/>
  <c r="AE33" i="28"/>
  <c r="Z142" i="28"/>
  <c r="AF16" i="28"/>
  <c r="AG40" i="28"/>
  <c r="AC107" i="28"/>
  <c r="AB68" i="28"/>
  <c r="AG31" i="28"/>
  <c r="AE128" i="28"/>
  <c r="Z47" i="28"/>
  <c r="AA61" i="28"/>
  <c r="AF75" i="28"/>
  <c r="AG89" i="28"/>
  <c r="AC58" i="28"/>
  <c r="AB117" i="28"/>
  <c r="AB19" i="28"/>
  <c r="AE91" i="28"/>
  <c r="Z84" i="28"/>
  <c r="AA98" i="28"/>
  <c r="AF112" i="28"/>
  <c r="AG126" i="28"/>
  <c r="AC116" i="28"/>
  <c r="AE90" i="28"/>
  <c r="Z85" i="28"/>
  <c r="AA99" i="28"/>
  <c r="AF113" i="28"/>
  <c r="AB89" i="28"/>
  <c r="AE29" i="28"/>
  <c r="AA26" i="28"/>
  <c r="AF30" i="28"/>
  <c r="AG44" i="28"/>
  <c r="AC103" i="28"/>
  <c r="AB72" i="28"/>
  <c r="AC76" i="28"/>
  <c r="AE124" i="28"/>
  <c r="Z51" i="28"/>
  <c r="AA65" i="28"/>
  <c r="AF79" i="28"/>
  <c r="AG93" i="28"/>
  <c r="AC54" i="28"/>
  <c r="AB121" i="28"/>
  <c r="AB111" i="28"/>
  <c r="AE63" i="28"/>
  <c r="Z112" i="28"/>
  <c r="AA126" i="28"/>
  <c r="AF140" i="28"/>
  <c r="AC137" i="28"/>
  <c r="AB38" i="28"/>
  <c r="AG131" i="28"/>
  <c r="AG68" i="28"/>
  <c r="Z75" i="28"/>
  <c r="AG117" i="28"/>
  <c r="AC50" i="28"/>
  <c r="AF22" i="28"/>
  <c r="AC113" i="28"/>
  <c r="AA101" i="28"/>
  <c r="AF81" i="28"/>
  <c r="AF32" i="28"/>
  <c r="AC28" i="28"/>
  <c r="AF44" i="28"/>
  <c r="AB86" i="28"/>
  <c r="AF56" i="28"/>
  <c r="AE134" i="28"/>
  <c r="Z41" i="28"/>
  <c r="AA55" i="28"/>
  <c r="AF105" i="28"/>
  <c r="AC17" i="28"/>
  <c r="Z24" i="28"/>
  <c r="AA32" i="28"/>
  <c r="AF46" i="28"/>
  <c r="AG60" i="28"/>
  <c r="AC87" i="28"/>
  <c r="AB88" i="28"/>
  <c r="AE120" i="28"/>
  <c r="Z55" i="28"/>
  <c r="AA69" i="28"/>
  <c r="AF83" i="28"/>
  <c r="AE143" i="28"/>
  <c r="Z32" i="28"/>
  <c r="AA46" i="28"/>
  <c r="AF60" i="28"/>
  <c r="AG74" i="28"/>
  <c r="AE70" i="28"/>
  <c r="Z105" i="28"/>
  <c r="AA119" i="28"/>
  <c r="AF133" i="28"/>
  <c r="AC144" i="28"/>
  <c r="AB31" i="28"/>
  <c r="AB70" i="28"/>
  <c r="AC145" i="28"/>
  <c r="AE21" i="28"/>
  <c r="AA18" i="28"/>
  <c r="AF38" i="28"/>
  <c r="AG52" i="28"/>
  <c r="AC95" i="28"/>
  <c r="AB80" i="28"/>
  <c r="AG115" i="28"/>
  <c r="AE116" i="28"/>
  <c r="Z59" i="28"/>
  <c r="AA73" i="28"/>
  <c r="AF87" i="28"/>
  <c r="AG101" i="28"/>
  <c r="AC46" i="28"/>
  <c r="AB129" i="28"/>
  <c r="AB83" i="28"/>
  <c r="AE79" i="28"/>
  <c r="Z96" i="28"/>
  <c r="AA110" i="28"/>
  <c r="AF124" i="28"/>
  <c r="AG138" i="28"/>
  <c r="AC44" i="28"/>
  <c r="AE78" i="28"/>
  <c r="Z97" i="28"/>
  <c r="AA111" i="28"/>
  <c r="AF137" i="28"/>
  <c r="AG134" i="28"/>
  <c r="AE25" i="28"/>
  <c r="AA28" i="28"/>
  <c r="AF42" i="28"/>
  <c r="AG56" i="28"/>
  <c r="AC91" i="28"/>
  <c r="AB84" i="28"/>
  <c r="AC40" i="28"/>
  <c r="AE112" i="28"/>
  <c r="Z63" i="28"/>
  <c r="AA77" i="28"/>
  <c r="AF91" i="28"/>
  <c r="AG105" i="28"/>
  <c r="AC42" i="28"/>
  <c r="AB133" i="28"/>
  <c r="AG49" i="28"/>
  <c r="AE51" i="28"/>
  <c r="Z124" i="28"/>
  <c r="AA138" i="28"/>
  <c r="AG20" i="28"/>
  <c r="AC125" i="28"/>
  <c r="AB50" i="28"/>
  <c r="AC112" i="28"/>
  <c r="AF136" i="28"/>
  <c r="AG55" i="28"/>
  <c r="Z16" i="28"/>
  <c r="AF54" i="28"/>
  <c r="AB96" i="28"/>
  <c r="AE100" i="28"/>
  <c r="AF103" i="28"/>
  <c r="AB145" i="28"/>
  <c r="AE39" i="28"/>
  <c r="AG34" i="28"/>
  <c r="AC64" i="28"/>
  <c r="AG129" i="28"/>
  <c r="AE27" i="28"/>
  <c r="AG46" i="28"/>
  <c r="AC97" i="28"/>
  <c r="AG58" i="28"/>
  <c r="AA42" i="28"/>
  <c r="C35" i="28" l="1"/>
  <c r="AB10" i="77"/>
  <c r="K4" i="69"/>
  <c r="K6" i="69"/>
  <c r="AB7" i="71"/>
  <c r="AB8" i="77"/>
  <c r="C37" i="28"/>
  <c r="AB8" i="71"/>
  <c r="B12" i="69"/>
  <c r="AB5" i="77"/>
  <c r="AG12" i="28"/>
  <c r="AB5" i="71"/>
  <c r="C33" i="28"/>
  <c r="AG14" i="28"/>
  <c r="C31" i="28"/>
  <c r="C34" i="28"/>
  <c r="AB10" i="71"/>
  <c r="AB9" i="77"/>
  <c r="C36" i="28"/>
  <c r="AG13" i="28"/>
  <c r="AB9" i="71"/>
  <c r="B31" i="28"/>
  <c r="B40" i="28" s="1"/>
  <c r="B41" i="28" s="1"/>
  <c r="B22" i="28" s="1"/>
  <c r="B23" i="28" s="1"/>
  <c r="B24" i="28" s="1"/>
  <c r="B25" i="28" s="1"/>
  <c r="B26" i="28" s="1"/>
  <c r="B27" i="28" s="1"/>
  <c r="C32" i="28"/>
  <c r="AG15" i="28"/>
  <c r="C12" i="28"/>
  <c r="C30" i="28" s="1"/>
  <c r="C38" i="28"/>
  <c r="C11" i="28"/>
  <c r="C10" i="69" s="1"/>
  <c r="AB11" i="28"/>
  <c r="AB12" i="28"/>
  <c r="AB13" i="28"/>
  <c r="AB14" i="28"/>
  <c r="AB15" i="28"/>
  <c r="AG5" i="28"/>
  <c r="AG6" i="28"/>
  <c r="AG7" i="28"/>
  <c r="AG8" i="28"/>
  <c r="AG9" i="28"/>
  <c r="AG10" i="28"/>
  <c r="C14" i="69"/>
  <c r="C19" i="69"/>
  <c r="C12" i="69"/>
  <c r="C15" i="69"/>
  <c r="C16" i="69"/>
  <c r="C20" i="69"/>
  <c r="C13" i="69"/>
  <c r="C17" i="69"/>
  <c r="C18" i="69"/>
  <c r="C84" i="9"/>
  <c r="C80" i="9" s="1"/>
  <c r="I4" i="69"/>
  <c r="G84" i="9"/>
  <c r="G80" i="9" s="1"/>
  <c r="H84" i="9"/>
  <c r="H87" i="9" s="1"/>
  <c r="F84" i="9"/>
  <c r="F80" i="9" s="1"/>
  <c r="D84" i="9"/>
  <c r="D80" i="9" s="1"/>
  <c r="D4" i="69"/>
  <c r="E84" i="9"/>
  <c r="E80" i="9" s="1"/>
  <c r="C84" i="10"/>
  <c r="C89" i="10" s="1"/>
  <c r="B8" i="69"/>
  <c r="H85" i="10"/>
  <c r="H87" i="10"/>
  <c r="F84" i="10"/>
  <c r="F89" i="10" s="1"/>
  <c r="D84" i="10"/>
  <c r="D89" i="10" s="1"/>
  <c r="E84" i="10"/>
  <c r="E89" i="10" s="1"/>
  <c r="G84" i="10"/>
  <c r="G89" i="10" s="1"/>
  <c r="H12" i="69"/>
  <c r="I20" i="69"/>
  <c r="H10" i="69"/>
  <c r="H16" i="69"/>
  <c r="G20" i="69"/>
  <c r="AB2" i="77"/>
  <c r="AB2" i="71"/>
  <c r="J19" i="69"/>
  <c r="H11" i="69"/>
  <c r="X22" i="28"/>
  <c r="X72" i="28"/>
  <c r="X45" i="28"/>
  <c r="X132" i="28"/>
  <c r="X34" i="28"/>
  <c r="X138" i="28"/>
  <c r="X131" i="28"/>
  <c r="X110" i="28"/>
  <c r="X75" i="28"/>
  <c r="X101" i="28"/>
  <c r="X136" i="28"/>
  <c r="X38" i="28"/>
  <c r="X91" i="28"/>
  <c r="X71" i="28"/>
  <c r="X130" i="28"/>
  <c r="X142" i="28"/>
  <c r="X39" i="28"/>
  <c r="X115" i="28"/>
  <c r="X119" i="28"/>
  <c r="X32" i="28"/>
  <c r="X108" i="28"/>
  <c r="X57" i="28"/>
  <c r="X37" i="28"/>
  <c r="X46" i="28"/>
  <c r="X55" i="28"/>
  <c r="X143" i="28"/>
  <c r="X42" i="28"/>
  <c r="X87" i="28"/>
  <c r="X125" i="28"/>
  <c r="X29" i="28"/>
  <c r="X82" i="28"/>
  <c r="X35" i="28"/>
  <c r="X26" i="28"/>
  <c r="X98" i="28"/>
  <c r="X141" i="28"/>
  <c r="X43" i="28"/>
  <c r="X31" i="28"/>
  <c r="X41" i="28"/>
  <c r="X51" i="28"/>
  <c r="X18" i="28"/>
  <c r="X66" i="28"/>
  <c r="X44" i="28"/>
  <c r="X49" i="28"/>
  <c r="X69" i="28"/>
  <c r="X73" i="28"/>
  <c r="X58" i="28"/>
  <c r="X127" i="28"/>
  <c r="X48" i="28"/>
  <c r="X102" i="28"/>
  <c r="X99" i="28"/>
  <c r="X67" i="28"/>
  <c r="X53" i="28"/>
  <c r="X93" i="28"/>
  <c r="X144" i="28"/>
  <c r="X113" i="28"/>
  <c r="X114" i="28"/>
  <c r="X90" i="28"/>
  <c r="X27" i="28"/>
  <c r="X100" i="28"/>
  <c r="X56" i="28"/>
  <c r="X97" i="28"/>
  <c r="X81" i="28"/>
  <c r="X121" i="28"/>
  <c r="X70" i="28"/>
  <c r="X19" i="28"/>
  <c r="X96" i="28"/>
  <c r="X23" i="28"/>
  <c r="X111" i="28"/>
  <c r="X139" i="28"/>
  <c r="X77" i="28"/>
  <c r="X133" i="28"/>
  <c r="X123" i="28"/>
  <c r="X124" i="28"/>
  <c r="X109" i="28"/>
  <c r="X79" i="28"/>
  <c r="X76" i="28"/>
  <c r="X21" i="28"/>
  <c r="X16" i="28"/>
  <c r="X68" i="28"/>
  <c r="X140" i="28"/>
  <c r="X63" i="28"/>
  <c r="X80" i="28"/>
  <c r="X50" i="28"/>
  <c r="X105" i="28"/>
  <c r="X74" i="28"/>
  <c r="X94" i="28"/>
  <c r="X47" i="28"/>
  <c r="X17" i="28"/>
  <c r="X122" i="28"/>
  <c r="X135" i="28"/>
  <c r="X28" i="28"/>
  <c r="X137" i="28"/>
  <c r="X104" i="28"/>
  <c r="X30" i="28"/>
  <c r="X78" i="28"/>
  <c r="X85" i="28"/>
  <c r="X126" i="28"/>
  <c r="X25" i="28"/>
  <c r="X128" i="28"/>
  <c r="X95" i="28"/>
  <c r="X103" i="28"/>
  <c r="X120" i="28"/>
  <c r="X33" i="28"/>
  <c r="X62" i="28"/>
  <c r="X92" i="28"/>
  <c r="X86" i="28"/>
  <c r="X117" i="28"/>
  <c r="X134" i="28"/>
  <c r="X106" i="28"/>
  <c r="X59" i="28"/>
  <c r="X61" i="28"/>
  <c r="X54" i="28"/>
  <c r="X112" i="28"/>
  <c r="X40" i="28"/>
  <c r="X24" i="28"/>
  <c r="X129" i="28"/>
  <c r="X118" i="28"/>
  <c r="X52" i="28"/>
  <c r="X116" i="28"/>
  <c r="X83" i="28"/>
  <c r="X64" i="28"/>
  <c r="X145" i="28"/>
  <c r="X36" i="28"/>
  <c r="X88" i="28"/>
  <c r="X20" i="28"/>
  <c r="X89" i="28"/>
  <c r="X65" i="28"/>
  <c r="X60" i="28"/>
  <c r="X107" i="28"/>
  <c r="X84" i="28"/>
  <c r="AV16" i="28" l="1"/>
  <c r="AV22" i="28"/>
  <c r="AW22" i="28" s="1"/>
  <c r="AX22" i="28" s="1"/>
  <c r="C40" i="28"/>
  <c r="C41" i="28" s="1"/>
  <c r="C22" i="28" s="1"/>
  <c r="C23" i="28" s="1"/>
  <c r="C24" i="28" s="1"/>
  <c r="C25" i="28" s="1"/>
  <c r="C26" i="28" s="1"/>
  <c r="C27" i="28" s="1"/>
  <c r="C11" i="69"/>
  <c r="H10" i="28"/>
  <c r="H9" i="69" s="1"/>
  <c r="B21" i="69"/>
  <c r="F89" i="9"/>
  <c r="C89" i="9"/>
  <c r="C87" i="9"/>
  <c r="G89" i="9"/>
  <c r="F87" i="9"/>
  <c r="D89" i="9"/>
  <c r="H80" i="9"/>
  <c r="D85" i="9"/>
  <c r="C6" i="28" s="1"/>
  <c r="H85" i="9"/>
  <c r="C10" i="28" s="1"/>
  <c r="H88" i="9"/>
  <c r="H88" i="10" s="1"/>
  <c r="F85" i="9"/>
  <c r="G87" i="9"/>
  <c r="H89" i="9"/>
  <c r="G85" i="9"/>
  <c r="AQ73" i="41"/>
  <c r="C88" i="9"/>
  <c r="C88" i="10" s="1"/>
  <c r="E85" i="9"/>
  <c r="C7" i="28" s="1"/>
  <c r="E87" i="9"/>
  <c r="C85" i="9"/>
  <c r="C5" i="28" s="1"/>
  <c r="D87" i="9"/>
  <c r="E89" i="9"/>
  <c r="C87" i="10"/>
  <c r="F85" i="10"/>
  <c r="G87" i="10"/>
  <c r="E88" i="9"/>
  <c r="E88" i="10" s="1"/>
  <c r="E87" i="10"/>
  <c r="D88" i="9"/>
  <c r="D88" i="10" s="1"/>
  <c r="D87" i="10"/>
  <c r="F88" i="9"/>
  <c r="F88" i="10" s="1"/>
  <c r="F87" i="10"/>
  <c r="G88" i="9"/>
  <c r="G88" i="10" s="1"/>
  <c r="G85" i="10"/>
  <c r="D85" i="10"/>
  <c r="H6" i="28" s="1"/>
  <c r="C85" i="10"/>
  <c r="H5" i="28" s="1"/>
  <c r="E85" i="10"/>
  <c r="H14" i="69"/>
  <c r="H18" i="69"/>
  <c r="AB21" i="77"/>
  <c r="K20" i="69"/>
  <c r="AB21" i="71"/>
  <c r="AC73" i="40"/>
  <c r="AD73" i="40" s="1"/>
  <c r="AR73" i="41"/>
  <c r="C35" i="58"/>
  <c r="C28" i="62"/>
  <c r="T73" i="40"/>
  <c r="H19" i="69"/>
  <c r="I21" i="69"/>
  <c r="H15" i="69"/>
  <c r="G21" i="69"/>
  <c r="H13" i="69"/>
  <c r="J20" i="69"/>
  <c r="H17" i="69"/>
  <c r="AW16" i="28" l="1"/>
  <c r="AW17" i="28" s="1"/>
  <c r="AV18" i="28"/>
  <c r="AV19" i="28"/>
  <c r="AV20" i="28"/>
  <c r="AV21" i="28"/>
  <c r="AV17" i="28"/>
  <c r="H7" i="28"/>
  <c r="H6" i="69" s="1"/>
  <c r="AD5" i="28"/>
  <c r="AD6" i="28"/>
  <c r="AD7" i="28"/>
  <c r="AD8" i="28"/>
  <c r="AD9" i="28"/>
  <c r="AD10" i="28"/>
  <c r="AD11" i="28"/>
  <c r="AD12" i="28"/>
  <c r="AD13" i="28"/>
  <c r="AD14" i="28"/>
  <c r="AD15" i="28"/>
  <c r="H9" i="28"/>
  <c r="H8" i="28"/>
  <c r="H7" i="69" s="1"/>
  <c r="Y5" i="28"/>
  <c r="Y6" i="28"/>
  <c r="Y7" i="28"/>
  <c r="Y8" i="28"/>
  <c r="Y9" i="28"/>
  <c r="Y10" i="28"/>
  <c r="C9" i="28"/>
  <c r="C8" i="28"/>
  <c r="C7" i="69" s="1"/>
  <c r="Y11" i="28"/>
  <c r="Y12" i="28"/>
  <c r="Y13" i="28"/>
  <c r="Y14" i="28"/>
  <c r="Y15" i="28"/>
  <c r="C21" i="69"/>
  <c r="B22" i="69"/>
  <c r="C25" i="62"/>
  <c r="AR70" i="41"/>
  <c r="AU70" i="41" s="1"/>
  <c r="AC70" i="40"/>
  <c r="AD70" i="40" s="1"/>
  <c r="T70" i="40"/>
  <c r="Q106" i="40" s="1"/>
  <c r="C32" i="58"/>
  <c r="C9" i="69"/>
  <c r="T37" i="40"/>
  <c r="C4" i="69"/>
  <c r="C5" i="69"/>
  <c r="H5" i="69"/>
  <c r="C28" i="61"/>
  <c r="C35" i="57"/>
  <c r="U35" i="57" s="1"/>
  <c r="AC37" i="40"/>
  <c r="AD37" i="40" s="1"/>
  <c r="H4" i="69"/>
  <c r="C6" i="69"/>
  <c r="H21" i="69"/>
  <c r="H20" i="69"/>
  <c r="U35" i="58"/>
  <c r="M35" i="58"/>
  <c r="J21" i="69"/>
  <c r="G22" i="69"/>
  <c r="I22" i="69"/>
  <c r="AU73" i="41"/>
  <c r="AG73" i="40"/>
  <c r="AB22" i="77"/>
  <c r="K21" i="69"/>
  <c r="AB22" i="71"/>
  <c r="Y77" i="28"/>
  <c r="AD83" i="28"/>
  <c r="Y64" i="28"/>
  <c r="AD120" i="28"/>
  <c r="AD73" i="28"/>
  <c r="AD133" i="28"/>
  <c r="Y133" i="28"/>
  <c r="AD63" i="28"/>
  <c r="AD51" i="28"/>
  <c r="AD40" i="28"/>
  <c r="Y107" i="28"/>
  <c r="Y139" i="28"/>
  <c r="Y122" i="28"/>
  <c r="Y142" i="28"/>
  <c r="AD44" i="28"/>
  <c r="AD70" i="28"/>
  <c r="AD90" i="28"/>
  <c r="Y57" i="28"/>
  <c r="Y54" i="28"/>
  <c r="AD91" i="28"/>
  <c r="Y56" i="28"/>
  <c r="AD94" i="28"/>
  <c r="AD95" i="28"/>
  <c r="AD16" i="28"/>
  <c r="AD75" i="28"/>
  <c r="Y103" i="28"/>
  <c r="AD106" i="28"/>
  <c r="Y44" i="28"/>
  <c r="AD123" i="28"/>
  <c r="AD140" i="28"/>
  <c r="Y22" i="28"/>
  <c r="Y79" i="28"/>
  <c r="AD124" i="28"/>
  <c r="AD31" i="28"/>
  <c r="Y74" i="28"/>
  <c r="AD107" i="28"/>
  <c r="Y40" i="28"/>
  <c r="AD144" i="28"/>
  <c r="Y50" i="28"/>
  <c r="AD38" i="28"/>
  <c r="Y109" i="28"/>
  <c r="AD99" i="28"/>
  <c r="AD111" i="28"/>
  <c r="AD64" i="28"/>
  <c r="Y83" i="28"/>
  <c r="Y67" i="28"/>
  <c r="AD29" i="28"/>
  <c r="Y118" i="28"/>
  <c r="AD104" i="28"/>
  <c r="Y101" i="28"/>
  <c r="AD114" i="28"/>
  <c r="Y33" i="28"/>
  <c r="AD118" i="28"/>
  <c r="AD115" i="28"/>
  <c r="Y32" i="28"/>
  <c r="Y41" i="28"/>
  <c r="Y24" i="28"/>
  <c r="Y28" i="28"/>
  <c r="Y135" i="28"/>
  <c r="AD36" i="28"/>
  <c r="AD50" i="28"/>
  <c r="AD76" i="28"/>
  <c r="AD41" i="28"/>
  <c r="Y137" i="28"/>
  <c r="Y47" i="28"/>
  <c r="Y141" i="28"/>
  <c r="AD89" i="28"/>
  <c r="AD119" i="28"/>
  <c r="Y62" i="28"/>
  <c r="AD131" i="28"/>
  <c r="Y26" i="28"/>
  <c r="Y123" i="28"/>
  <c r="Y111" i="28"/>
  <c r="AD62" i="28"/>
  <c r="Y85" i="28"/>
  <c r="Y144" i="28"/>
  <c r="Y120" i="28"/>
  <c r="AD88" i="28"/>
  <c r="Y59" i="28"/>
  <c r="AD69" i="28"/>
  <c r="AD53" i="28"/>
  <c r="Y94" i="28"/>
  <c r="Y115" i="28"/>
  <c r="Y98" i="28"/>
  <c r="AD138" i="28"/>
  <c r="AD128" i="28"/>
  <c r="Y65" i="28"/>
  <c r="AD139" i="28"/>
  <c r="Y127" i="28"/>
  <c r="AD20" i="28"/>
  <c r="AD143" i="28"/>
  <c r="AD18" i="28"/>
  <c r="Y99" i="28"/>
  <c r="Y39" i="28"/>
  <c r="Y73" i="28"/>
  <c r="Y132" i="28"/>
  <c r="Y96" i="28"/>
  <c r="Y16" i="28"/>
  <c r="Y78" i="28"/>
  <c r="Y116" i="28"/>
  <c r="AD74" i="28"/>
  <c r="Y89" i="28"/>
  <c r="Y136" i="28"/>
  <c r="AD48" i="28"/>
  <c r="Y87" i="28"/>
  <c r="AD49" i="28"/>
  <c r="AD86" i="28"/>
  <c r="Y61" i="28"/>
  <c r="Y108" i="28"/>
  <c r="Y72" i="28"/>
  <c r="AD112" i="28"/>
  <c r="Y35" i="28"/>
  <c r="Y126" i="28"/>
  <c r="AD77" i="28"/>
  <c r="Y70" i="28"/>
  <c r="Y43" i="28"/>
  <c r="AD24" i="28"/>
  <c r="Y129" i="28"/>
  <c r="Y55" i="28"/>
  <c r="AD23" i="28"/>
  <c r="Y128" i="28"/>
  <c r="AD45" i="28"/>
  <c r="AD19" i="28"/>
  <c r="Y124" i="28"/>
  <c r="AD60" i="28"/>
  <c r="Y75" i="28"/>
  <c r="AD85" i="28"/>
  <c r="AD98" i="28"/>
  <c r="Y49" i="28"/>
  <c r="Y84" i="28"/>
  <c r="Y36" i="28"/>
  <c r="Y19" i="28"/>
  <c r="Y23" i="28"/>
  <c r="AD80" i="28"/>
  <c r="AD35" i="28"/>
  <c r="Y112" i="28"/>
  <c r="AD72" i="28"/>
  <c r="Y63" i="28"/>
  <c r="AD97" i="28"/>
  <c r="AD110" i="28"/>
  <c r="Y37" i="28"/>
  <c r="Y60" i="28"/>
  <c r="Y18" i="28"/>
  <c r="AD136" i="28"/>
  <c r="AD22" i="28"/>
  <c r="AD34" i="28"/>
  <c r="AD101" i="28"/>
  <c r="Y46" i="28"/>
  <c r="AD105" i="28"/>
  <c r="AD42" i="28"/>
  <c r="Y105" i="28"/>
  <c r="AD33" i="28"/>
  <c r="AD43" i="28"/>
  <c r="Y104" i="28"/>
  <c r="AD129" i="28"/>
  <c r="AD132" i="28"/>
  <c r="AD52" i="28"/>
  <c r="Y130" i="28"/>
  <c r="AD102" i="28"/>
  <c r="Y125" i="28"/>
  <c r="Y71" i="28"/>
  <c r="Y29" i="28"/>
  <c r="AD127" i="28"/>
  <c r="AD65" i="28"/>
  <c r="Y134" i="28"/>
  <c r="Y58" i="28"/>
  <c r="Y30" i="28"/>
  <c r="AD47" i="28"/>
  <c r="Y100" i="28"/>
  <c r="AD84" i="28"/>
  <c r="Y51" i="28"/>
  <c r="AD145" i="28"/>
  <c r="AD122" i="28"/>
  <c r="Y17" i="28"/>
  <c r="Y48" i="28"/>
  <c r="Y110" i="28"/>
  <c r="Y143" i="28"/>
  <c r="AD56" i="28"/>
  <c r="AD130" i="28"/>
  <c r="AD113" i="28"/>
  <c r="Y34" i="28"/>
  <c r="Y138" i="28"/>
  <c r="AD54" i="28"/>
  <c r="Y93" i="28"/>
  <c r="AD93" i="28"/>
  <c r="AD55" i="28"/>
  <c r="Y92" i="28"/>
  <c r="Y114" i="28"/>
  <c r="Y52" i="28"/>
  <c r="AD87" i="28"/>
  <c r="AD25" i="28"/>
  <c r="Y45" i="28"/>
  <c r="AD135" i="28"/>
  <c r="Y31" i="28"/>
  <c r="AD126" i="28"/>
  <c r="AD117" i="28"/>
  <c r="Y140" i="28"/>
  <c r="Y117" i="28"/>
  <c r="AD82" i="28"/>
  <c r="AD59" i="28"/>
  <c r="Y88" i="28"/>
  <c r="AD96" i="28"/>
  <c r="Y27" i="28"/>
  <c r="AD17" i="28"/>
  <c r="AD134" i="28"/>
  <c r="AD27" i="28"/>
  <c r="AD109" i="28"/>
  <c r="AD26" i="28"/>
  <c r="Y131" i="28"/>
  <c r="AD92" i="28"/>
  <c r="Y113" i="28"/>
  <c r="AD125" i="28"/>
  <c r="Y20" i="28"/>
  <c r="Y90" i="28"/>
  <c r="AD66" i="28"/>
  <c r="Y81" i="28"/>
  <c r="AD141" i="28"/>
  <c r="AD67" i="28"/>
  <c r="Y80" i="28"/>
  <c r="Y66" i="28"/>
  <c r="Y25" i="28"/>
  <c r="AD121" i="28"/>
  <c r="Y121" i="28"/>
  <c r="Y95" i="28"/>
  <c r="AD68" i="28"/>
  <c r="AD58" i="28"/>
  <c r="Y97" i="28"/>
  <c r="Y106" i="28"/>
  <c r="Y86" i="28"/>
  <c r="Y82" i="28"/>
  <c r="AD21" i="28"/>
  <c r="AD57" i="28"/>
  <c r="AD142" i="28"/>
  <c r="AD71" i="28"/>
  <c r="Y76" i="28"/>
  <c r="AD108" i="28"/>
  <c r="AD37" i="28"/>
  <c r="AD61" i="28"/>
  <c r="Y145" i="28"/>
  <c r="AD39" i="28"/>
  <c r="Y38" i="28"/>
  <c r="AD28" i="28"/>
  <c r="Y119" i="28"/>
  <c r="AD116" i="28"/>
  <c r="Y53" i="28"/>
  <c r="AD137" i="28"/>
  <c r="AD32" i="28"/>
  <c r="Y42" i="28"/>
  <c r="AD78" i="28"/>
  <c r="Y69" i="28"/>
  <c r="Y102" i="28"/>
  <c r="AD79" i="28"/>
  <c r="Y68" i="28"/>
  <c r="AD46" i="28"/>
  <c r="AD103" i="28"/>
  <c r="Y21" i="28"/>
  <c r="AD100" i="28"/>
  <c r="Y91" i="28"/>
  <c r="AD30" i="28"/>
  <c r="AD81" i="28"/>
  <c r="AY17" i="28" l="1"/>
  <c r="BA17" i="28"/>
  <c r="BB17" i="28" s="1"/>
  <c r="AW18" i="28"/>
  <c r="AW20" i="28"/>
  <c r="AW19" i="28"/>
  <c r="AW21" i="28"/>
  <c r="AX16" i="28"/>
  <c r="C8" i="69"/>
  <c r="H8" i="69"/>
  <c r="B23" i="69"/>
  <c r="C22" i="69"/>
  <c r="AN70" i="40"/>
  <c r="AO70" i="40" s="1"/>
  <c r="AG70" i="40"/>
  <c r="U32" i="58"/>
  <c r="M32" i="58"/>
  <c r="T106" i="40"/>
  <c r="C32" i="59"/>
  <c r="AS70" i="41"/>
  <c r="C25" i="63"/>
  <c r="AC106" i="40"/>
  <c r="AD106" i="40" s="1"/>
  <c r="M35" i="57"/>
  <c r="O35" i="57" s="1"/>
  <c r="AN73" i="40"/>
  <c r="AO73" i="40" s="1"/>
  <c r="H22" i="69"/>
  <c r="I23" i="69"/>
  <c r="AB23" i="77"/>
  <c r="K22" i="69"/>
  <c r="AB23" i="71"/>
  <c r="G23" i="69"/>
  <c r="O35" i="58"/>
  <c r="W35" i="58"/>
  <c r="V25" i="80"/>
  <c r="AD25" i="80" s="1"/>
  <c r="J22" i="69"/>
  <c r="B24" i="69" l="1"/>
  <c r="C23" i="69"/>
  <c r="O32" i="58"/>
  <c r="W32" i="58"/>
  <c r="V22" i="80"/>
  <c r="AD22" i="80" s="1"/>
  <c r="U32" i="59"/>
  <c r="M32" i="59"/>
  <c r="AG106" i="40"/>
  <c r="AN106" i="40"/>
  <c r="AO106" i="40" s="1"/>
  <c r="AV70" i="41"/>
  <c r="Q70" i="41"/>
  <c r="W35" i="57"/>
  <c r="U25" i="80"/>
  <c r="AC25" i="80" s="1"/>
  <c r="H23" i="69"/>
  <c r="G24" i="69"/>
  <c r="I24" i="69"/>
  <c r="J23" i="69"/>
  <c r="AB24" i="77"/>
  <c r="AB24" i="71"/>
  <c r="K23" i="69"/>
  <c r="C24" i="69" l="1"/>
  <c r="B25" i="69"/>
  <c r="T70" i="41"/>
  <c r="AC70" i="41"/>
  <c r="AD70" i="41" s="1"/>
  <c r="O32" i="59"/>
  <c r="W22" i="80"/>
  <c r="AE22" i="80" s="1"/>
  <c r="W32" i="59"/>
  <c r="M79" i="55" s="1"/>
  <c r="I25" i="69"/>
  <c r="G25" i="69"/>
  <c r="AB25" i="77"/>
  <c r="K24" i="69"/>
  <c r="AB25" i="71"/>
  <c r="J24" i="69"/>
  <c r="G102" i="40"/>
  <c r="G27" i="40"/>
  <c r="E28" i="66"/>
  <c r="G68" i="41"/>
  <c r="G33" i="40"/>
  <c r="E30" i="66"/>
  <c r="E19" i="66"/>
  <c r="G71" i="40"/>
  <c r="G24" i="40"/>
  <c r="G76" i="41"/>
  <c r="G62" i="41"/>
  <c r="G112" i="40"/>
  <c r="G91" i="40"/>
  <c r="G75" i="40"/>
  <c r="G20" i="40"/>
  <c r="G23" i="40"/>
  <c r="E17" i="66"/>
  <c r="G73" i="40"/>
  <c r="G113" i="40"/>
  <c r="G39" i="40"/>
  <c r="G70" i="40"/>
  <c r="G93" i="40"/>
  <c r="E31" i="66"/>
  <c r="G109" i="40"/>
  <c r="G32" i="40"/>
  <c r="G65" i="40"/>
  <c r="G28" i="40"/>
  <c r="G65" i="41"/>
  <c r="G58" i="41"/>
  <c r="G60" i="40"/>
  <c r="G77" i="41"/>
  <c r="E20" i="66"/>
  <c r="G64" i="40"/>
  <c r="G19" i="40"/>
  <c r="G30" i="40"/>
  <c r="G96" i="40"/>
  <c r="G29" i="40"/>
  <c r="G110" i="40"/>
  <c r="G60" i="41"/>
  <c r="E32" i="66"/>
  <c r="E18" i="66"/>
  <c r="G59" i="40"/>
  <c r="G72" i="41"/>
  <c r="G35" i="40"/>
  <c r="G77" i="40"/>
  <c r="E25" i="66"/>
  <c r="G63" i="40"/>
  <c r="G59" i="41"/>
  <c r="G54" i="40"/>
  <c r="G56" i="40"/>
  <c r="G58" i="40"/>
  <c r="G94" i="40"/>
  <c r="G66" i="41"/>
  <c r="G100" i="40"/>
  <c r="G107" i="40"/>
  <c r="G56" i="41"/>
  <c r="G63" i="41"/>
  <c r="G37" i="40"/>
  <c r="G74" i="40"/>
  <c r="G92" i="40"/>
  <c r="G71" i="41"/>
  <c r="G55" i="41"/>
  <c r="G66" i="40"/>
  <c r="E27" i="66"/>
  <c r="G62" i="40"/>
  <c r="G97" i="40"/>
  <c r="G38" i="40"/>
  <c r="G98" i="40"/>
  <c r="G18" i="40"/>
  <c r="G104" i="40"/>
  <c r="G25" i="40"/>
  <c r="G21" i="40"/>
  <c r="G108" i="40"/>
  <c r="G26" i="40"/>
  <c r="G69" i="40"/>
  <c r="G34" i="40"/>
  <c r="G111" i="40"/>
  <c r="G105" i="40"/>
  <c r="G54" i="41"/>
  <c r="G40" i="40"/>
  <c r="G61" i="40"/>
  <c r="G70" i="41"/>
  <c r="E29" i="66"/>
  <c r="G69" i="41"/>
  <c r="G99" i="40"/>
  <c r="G73" i="41"/>
  <c r="E22" i="66"/>
  <c r="G36" i="40"/>
  <c r="G61" i="41"/>
  <c r="E21" i="66"/>
  <c r="G103" i="40"/>
  <c r="G64" i="41"/>
  <c r="G41" i="40"/>
  <c r="G76" i="40"/>
  <c r="G72" i="40"/>
  <c r="G68" i="40"/>
  <c r="G57" i="40"/>
  <c r="G95" i="40"/>
  <c r="E16" i="66"/>
  <c r="G90" i="40"/>
  <c r="G57" i="41"/>
  <c r="G67" i="41"/>
  <c r="E24" i="66"/>
  <c r="G106" i="40"/>
  <c r="G101" i="40"/>
  <c r="G67" i="40"/>
  <c r="G22" i="40"/>
  <c r="E23" i="66"/>
  <c r="G31" i="40"/>
  <c r="G55" i="40"/>
  <c r="I104" i="40" l="1"/>
  <c r="M104" i="40" s="1"/>
  <c r="I99" i="40"/>
  <c r="M99" i="40" s="1"/>
  <c r="I113" i="40"/>
  <c r="M113" i="40" s="1"/>
  <c r="I110" i="40"/>
  <c r="Q110" i="40" s="1"/>
  <c r="I97" i="40"/>
  <c r="M97" i="40" s="1"/>
  <c r="I90" i="40"/>
  <c r="M90" i="40" s="1"/>
  <c r="I109" i="40"/>
  <c r="Q109" i="40" s="1"/>
  <c r="I94" i="40"/>
  <c r="M94" i="40" s="1"/>
  <c r="I92" i="40"/>
  <c r="M92" i="40" s="1"/>
  <c r="I56" i="40"/>
  <c r="M56" i="40" s="1"/>
  <c r="I68" i="40"/>
  <c r="M68" i="40" s="1"/>
  <c r="I71" i="40"/>
  <c r="M71" i="40" s="1"/>
  <c r="I69" i="40"/>
  <c r="M69" i="40" s="1"/>
  <c r="I67" i="40"/>
  <c r="M67" i="40" s="1"/>
  <c r="I75" i="40"/>
  <c r="M75" i="40" s="1"/>
  <c r="I64" i="40"/>
  <c r="M64" i="40" s="1"/>
  <c r="I59" i="40"/>
  <c r="M59" i="40" s="1"/>
  <c r="I58" i="40"/>
  <c r="Q58" i="40" s="1"/>
  <c r="C20" i="58" s="1"/>
  <c r="I72" i="40"/>
  <c r="M72" i="40" s="1"/>
  <c r="I60" i="40"/>
  <c r="Q60" i="40" s="1"/>
  <c r="I55" i="40"/>
  <c r="M55" i="40" s="1"/>
  <c r="I73" i="40"/>
  <c r="M73" i="40" s="1"/>
  <c r="I63" i="40"/>
  <c r="M63" i="40" s="1"/>
  <c r="I62" i="40"/>
  <c r="M62" i="40" s="1"/>
  <c r="G29" i="66"/>
  <c r="K29" i="66" s="1"/>
  <c r="M29" i="66" s="1"/>
  <c r="G16" i="66"/>
  <c r="C16" i="65" s="1"/>
  <c r="G28" i="66"/>
  <c r="K28" i="66" s="1"/>
  <c r="M28" i="66" s="1"/>
  <c r="G31" i="66"/>
  <c r="K31" i="66" s="1"/>
  <c r="G20" i="66"/>
  <c r="C20" i="65" s="1"/>
  <c r="G18" i="66"/>
  <c r="C18" i="65" s="1"/>
  <c r="G22" i="66"/>
  <c r="C22" i="65" s="1"/>
  <c r="G23" i="66"/>
  <c r="K23" i="66" s="1"/>
  <c r="D20" i="80" s="1"/>
  <c r="F20" i="80" s="1"/>
  <c r="G32" i="66"/>
  <c r="C32" i="65" s="1"/>
  <c r="G19" i="66"/>
  <c r="C19" i="65" s="1"/>
  <c r="I103" i="40"/>
  <c r="M103" i="40" s="1"/>
  <c r="I101" i="40"/>
  <c r="M101" i="40" s="1"/>
  <c r="I91" i="40"/>
  <c r="M91" i="40" s="1"/>
  <c r="I93" i="40"/>
  <c r="M93" i="40" s="1"/>
  <c r="I105" i="40"/>
  <c r="M105" i="40" s="1"/>
  <c r="G25" i="66"/>
  <c r="K25" i="66" s="1"/>
  <c r="G27" i="66"/>
  <c r="K27" i="66" s="1"/>
  <c r="I95" i="40"/>
  <c r="M95" i="40" s="1"/>
  <c r="I112" i="40"/>
  <c r="Q112" i="40" s="1"/>
  <c r="I70" i="40"/>
  <c r="M70" i="40" s="1"/>
  <c r="I98" i="40"/>
  <c r="M98" i="40" s="1"/>
  <c r="I100" i="40"/>
  <c r="M100" i="40" s="1"/>
  <c r="G17" i="66"/>
  <c r="K17" i="66" s="1"/>
  <c r="M17" i="66" s="1"/>
  <c r="I96" i="40"/>
  <c r="M96" i="40" s="1"/>
  <c r="I107" i="40"/>
  <c r="M107" i="40" s="1"/>
  <c r="I108" i="40"/>
  <c r="M108" i="40" s="1"/>
  <c r="G21" i="66"/>
  <c r="C21" i="65" s="1"/>
  <c r="I106" i="40"/>
  <c r="M106" i="40" s="1"/>
  <c r="I102" i="40"/>
  <c r="M102" i="40" s="1"/>
  <c r="I74" i="40"/>
  <c r="Q74" i="40" s="1"/>
  <c r="AC74" i="40" s="1"/>
  <c r="AD74" i="40" s="1"/>
  <c r="I54" i="40"/>
  <c r="M54" i="40" s="1"/>
  <c r="I111" i="40"/>
  <c r="Q111" i="40" s="1"/>
  <c r="I76" i="40"/>
  <c r="Q76" i="40" s="1"/>
  <c r="G30" i="66"/>
  <c r="K30" i="66" s="1"/>
  <c r="M30" i="66" s="1"/>
  <c r="I65" i="40"/>
  <c r="M65" i="40" s="1"/>
  <c r="I77" i="40"/>
  <c r="M77" i="40" s="1"/>
  <c r="I66" i="40"/>
  <c r="M66" i="40" s="1"/>
  <c r="I61" i="40"/>
  <c r="M61" i="40" s="1"/>
  <c r="I57" i="40"/>
  <c r="M57" i="40" s="1"/>
  <c r="G24" i="66"/>
  <c r="C24" i="65" s="1"/>
  <c r="I77" i="41"/>
  <c r="G40" i="52"/>
  <c r="R40" i="52" s="1"/>
  <c r="E39" i="46"/>
  <c r="G22" i="54"/>
  <c r="I23" i="40"/>
  <c r="E21" i="48"/>
  <c r="E16" i="48"/>
  <c r="I18" i="40"/>
  <c r="G17" i="54"/>
  <c r="G30" i="54"/>
  <c r="E29" i="48"/>
  <c r="I31" i="40"/>
  <c r="C31" i="39" s="1"/>
  <c r="E26" i="48"/>
  <c r="I28" i="40"/>
  <c r="G27" i="54"/>
  <c r="I70" i="41"/>
  <c r="G33" i="52"/>
  <c r="R33" i="52" s="1"/>
  <c r="E32" i="46"/>
  <c r="G26" i="54"/>
  <c r="E25" i="48"/>
  <c r="I27" i="40"/>
  <c r="I73" i="41"/>
  <c r="E35" i="46"/>
  <c r="G36" i="52"/>
  <c r="R36" i="52" s="1"/>
  <c r="G30" i="52"/>
  <c r="R30" i="52" s="1"/>
  <c r="I67" i="41"/>
  <c r="E29" i="46"/>
  <c r="G36" i="54"/>
  <c r="I37" i="40"/>
  <c r="E35" i="48"/>
  <c r="E22" i="46"/>
  <c r="G23" i="52"/>
  <c r="R23" i="52" s="1"/>
  <c r="I60" i="41"/>
  <c r="C24" i="37" s="1"/>
  <c r="E36" i="48"/>
  <c r="G37" i="54"/>
  <c r="I38" i="40"/>
  <c r="C38" i="39" s="1"/>
  <c r="G38" i="54"/>
  <c r="I39" i="40"/>
  <c r="E37" i="48"/>
  <c r="G35" i="54"/>
  <c r="E34" i="48"/>
  <c r="I36" i="40"/>
  <c r="C36" i="39" s="1"/>
  <c r="E38" i="48"/>
  <c r="G39" i="54"/>
  <c r="I40" i="40"/>
  <c r="C40" i="39" s="1"/>
  <c r="E24" i="46"/>
  <c r="G25" i="52"/>
  <c r="R25" i="52" s="1"/>
  <c r="I62" i="41"/>
  <c r="C26" i="37" s="1"/>
  <c r="E19" i="48"/>
  <c r="G20" i="54"/>
  <c r="I21" i="40"/>
  <c r="M21" i="40" s="1"/>
  <c r="I19" i="40"/>
  <c r="E17" i="48"/>
  <c r="G18" i="54"/>
  <c r="G19" i="54"/>
  <c r="E18" i="48"/>
  <c r="I20" i="40"/>
  <c r="E34" i="46"/>
  <c r="G35" i="52"/>
  <c r="R35" i="52" s="1"/>
  <c r="I72" i="41"/>
  <c r="E20" i="48"/>
  <c r="I22" i="40"/>
  <c r="G21" i="54"/>
  <c r="I41" i="40"/>
  <c r="G40" i="54"/>
  <c r="E39" i="48"/>
  <c r="I68" i="41"/>
  <c r="E30" i="46"/>
  <c r="G31" i="52"/>
  <c r="R31" i="52" s="1"/>
  <c r="G32" i="52"/>
  <c r="R32" i="52" s="1"/>
  <c r="I69" i="41"/>
  <c r="E31" i="46"/>
  <c r="G33" i="54"/>
  <c r="I34" i="40"/>
  <c r="E32" i="48"/>
  <c r="E21" i="46"/>
  <c r="I59" i="41"/>
  <c r="G22" i="52"/>
  <c r="R22" i="52" s="1"/>
  <c r="G21" i="52"/>
  <c r="R21" i="52" s="1"/>
  <c r="E20" i="46"/>
  <c r="I58" i="41"/>
  <c r="E23" i="46"/>
  <c r="I61" i="41"/>
  <c r="G24" i="52"/>
  <c r="R24" i="52" s="1"/>
  <c r="G23" i="54"/>
  <c r="E22" i="48"/>
  <c r="I24" i="40"/>
  <c r="M24" i="40" s="1"/>
  <c r="I76" i="41"/>
  <c r="E38" i="46"/>
  <c r="G39" i="52"/>
  <c r="R39" i="52" s="1"/>
  <c r="E16" i="46"/>
  <c r="I54" i="41"/>
  <c r="G17" i="52"/>
  <c r="R17" i="52" s="1"/>
  <c r="G24" i="54"/>
  <c r="E23" i="48"/>
  <c r="I25" i="40"/>
  <c r="C25" i="39" s="1"/>
  <c r="G18" i="52"/>
  <c r="R18" i="52" s="1"/>
  <c r="I55" i="41"/>
  <c r="E17" i="46"/>
  <c r="E33" i="48"/>
  <c r="I35" i="40"/>
  <c r="G34" i="54"/>
  <c r="E30" i="48"/>
  <c r="G31" i="54"/>
  <c r="I32" i="40"/>
  <c r="C32" i="39" s="1"/>
  <c r="E31" i="48"/>
  <c r="G32" i="54"/>
  <c r="I33" i="40"/>
  <c r="C33" i="39" s="1"/>
  <c r="I71" i="41"/>
  <c r="E33" i="46"/>
  <c r="G34" i="52"/>
  <c r="R34" i="52" s="1"/>
  <c r="G20" i="52"/>
  <c r="R20" i="52" s="1"/>
  <c r="I57" i="41"/>
  <c r="E19" i="46"/>
  <c r="E28" i="48"/>
  <c r="I30" i="40"/>
  <c r="G29" i="54"/>
  <c r="E28" i="46"/>
  <c r="I66" i="41"/>
  <c r="G29" i="52"/>
  <c r="R29" i="52" s="1"/>
  <c r="G25" i="54"/>
  <c r="E24" i="48"/>
  <c r="I26" i="40"/>
  <c r="Q26" i="40" s="1"/>
  <c r="C24" i="57" s="1"/>
  <c r="M24" i="57" s="1"/>
  <c r="U14" i="80" s="1"/>
  <c r="AC14" i="80" s="1"/>
  <c r="I56" i="41"/>
  <c r="C20" i="37" s="1"/>
  <c r="E18" i="46"/>
  <c r="G19" i="52"/>
  <c r="R19" i="52" s="1"/>
  <c r="E26" i="46"/>
  <c r="G27" i="52"/>
  <c r="R27" i="52" s="1"/>
  <c r="I64" i="41"/>
  <c r="M64" i="41" s="1"/>
  <c r="G28" i="54"/>
  <c r="I29" i="40"/>
  <c r="E27" i="48"/>
  <c r="I63" i="41"/>
  <c r="E25" i="46"/>
  <c r="G26" i="52"/>
  <c r="R26" i="52" s="1"/>
  <c r="E27" i="46"/>
  <c r="G28" i="52"/>
  <c r="R28" i="52" s="1"/>
  <c r="I65" i="41"/>
  <c r="B26" i="69"/>
  <c r="C25" i="69"/>
  <c r="H24" i="69"/>
  <c r="AG70" i="41"/>
  <c r="Q34" i="41"/>
  <c r="AN70" i="41"/>
  <c r="AO70" i="41" s="1"/>
  <c r="AB26" i="77"/>
  <c r="K25" i="69"/>
  <c r="AB26" i="71"/>
  <c r="I26" i="69"/>
  <c r="H25" i="69"/>
  <c r="J25" i="69"/>
  <c r="G26" i="69"/>
  <c r="E26" i="66"/>
  <c r="C29" i="62" l="1"/>
  <c r="C36" i="58"/>
  <c r="U36" i="58" s="1"/>
  <c r="M58" i="40"/>
  <c r="AR74" i="41"/>
  <c r="K18" i="66"/>
  <c r="M15" i="55" s="1"/>
  <c r="K20" i="66"/>
  <c r="M20" i="66" s="1"/>
  <c r="C27" i="65"/>
  <c r="Q67" i="40"/>
  <c r="C29" i="58" s="1"/>
  <c r="U29" i="58" s="1"/>
  <c r="C29" i="65"/>
  <c r="Q24" i="40"/>
  <c r="T24" i="40" s="1"/>
  <c r="U24" i="40" s="1"/>
  <c r="C30" i="65"/>
  <c r="T74" i="40"/>
  <c r="AG74" i="40" s="1"/>
  <c r="C26" i="39"/>
  <c r="M74" i="40"/>
  <c r="D25" i="80"/>
  <c r="F25" i="80" s="1"/>
  <c r="M40" i="40"/>
  <c r="K16" i="66"/>
  <c r="M16" i="66" s="1"/>
  <c r="K21" i="66"/>
  <c r="M21" i="66" s="1"/>
  <c r="C24" i="39"/>
  <c r="Q75" i="40"/>
  <c r="T75" i="40" s="1"/>
  <c r="AG75" i="40" s="1"/>
  <c r="M25" i="55"/>
  <c r="K22" i="66"/>
  <c r="M22" i="66" s="1"/>
  <c r="D14" i="80"/>
  <c r="F14" i="80" s="1"/>
  <c r="K19" i="66"/>
  <c r="M19" i="66" s="1"/>
  <c r="K32" i="66"/>
  <c r="M29" i="55" s="1"/>
  <c r="C17" i="65"/>
  <c r="M14" i="55"/>
  <c r="M76" i="40"/>
  <c r="C21" i="39"/>
  <c r="C17" i="61"/>
  <c r="U24" i="57"/>
  <c r="M27" i="55"/>
  <c r="D27" i="80"/>
  <c r="F27" i="80" s="1"/>
  <c r="M36" i="40"/>
  <c r="I43" i="40"/>
  <c r="M43" i="40" s="1"/>
  <c r="M109" i="40"/>
  <c r="C28" i="37"/>
  <c r="AC76" i="40"/>
  <c r="AD76" i="40" s="1"/>
  <c r="C38" i="58"/>
  <c r="M38" i="58" s="1"/>
  <c r="C31" i="62"/>
  <c r="AR76" i="41"/>
  <c r="T76" i="40"/>
  <c r="AG76" i="40" s="1"/>
  <c r="M56" i="41"/>
  <c r="Q38" i="40"/>
  <c r="AC38" i="40" s="1"/>
  <c r="AD38" i="40" s="1"/>
  <c r="M62" i="41"/>
  <c r="M38" i="40"/>
  <c r="M112" i="40"/>
  <c r="C28" i="65"/>
  <c r="M60" i="41"/>
  <c r="M31" i="40"/>
  <c r="C25" i="65"/>
  <c r="M20" i="55"/>
  <c r="Q62" i="40"/>
  <c r="AR62" i="41" s="1"/>
  <c r="Q62" i="41" s="1"/>
  <c r="Q40" i="40"/>
  <c r="M25" i="40"/>
  <c r="M33" i="40"/>
  <c r="Q96" i="40"/>
  <c r="AS60" i="41" s="1"/>
  <c r="Q21" i="40"/>
  <c r="AC21" i="40" s="1"/>
  <c r="AD21" i="40" s="1"/>
  <c r="M111" i="40"/>
  <c r="G26" i="66"/>
  <c r="AC110" i="40"/>
  <c r="AD110" i="40" s="1"/>
  <c r="C36" i="59"/>
  <c r="M36" i="59" s="1"/>
  <c r="AS74" i="41"/>
  <c r="Q74" i="41" s="1"/>
  <c r="AC74" i="41" s="1"/>
  <c r="AD74" i="41" s="1"/>
  <c r="T110" i="40"/>
  <c r="AG110" i="40" s="1"/>
  <c r="C29" i="63"/>
  <c r="M26" i="55"/>
  <c r="AQ62" i="41"/>
  <c r="AC26" i="40"/>
  <c r="AD26" i="40" s="1"/>
  <c r="I115" i="40"/>
  <c r="M115" i="40" s="1"/>
  <c r="M23" i="66"/>
  <c r="D26" i="80"/>
  <c r="F26" i="80" s="1"/>
  <c r="M32" i="40"/>
  <c r="AC58" i="40"/>
  <c r="AD58" i="40" s="1"/>
  <c r="Q32" i="40"/>
  <c r="C31" i="65"/>
  <c r="C23" i="65"/>
  <c r="M110" i="40"/>
  <c r="M60" i="40"/>
  <c r="K24" i="66"/>
  <c r="O24" i="57"/>
  <c r="W24" i="57"/>
  <c r="T26" i="40"/>
  <c r="AG26" i="40" s="1"/>
  <c r="M26" i="40"/>
  <c r="I79" i="40"/>
  <c r="M79" i="40" s="1"/>
  <c r="C29" i="37"/>
  <c r="M65" i="41"/>
  <c r="M63" i="41"/>
  <c r="C27" i="37"/>
  <c r="M29" i="40"/>
  <c r="C29" i="39"/>
  <c r="M66" i="41"/>
  <c r="C30" i="37"/>
  <c r="M30" i="40"/>
  <c r="C30" i="39"/>
  <c r="M57" i="41"/>
  <c r="C21" i="37"/>
  <c r="C35" i="37"/>
  <c r="M71" i="41"/>
  <c r="AR58" i="41"/>
  <c r="T58" i="40"/>
  <c r="C35" i="39"/>
  <c r="Q35" i="40"/>
  <c r="M35" i="40"/>
  <c r="M55" i="41"/>
  <c r="C19" i="37"/>
  <c r="C18" i="37"/>
  <c r="M54" i="41"/>
  <c r="M76" i="41"/>
  <c r="C40" i="37"/>
  <c r="C25" i="37"/>
  <c r="M61" i="41"/>
  <c r="AR60" i="41"/>
  <c r="C22" i="58"/>
  <c r="AC60" i="40"/>
  <c r="AD60" i="40" s="1"/>
  <c r="T60" i="40"/>
  <c r="M58" i="41"/>
  <c r="C22" i="37"/>
  <c r="C23" i="37"/>
  <c r="M59" i="41"/>
  <c r="C34" i="39"/>
  <c r="M34" i="40"/>
  <c r="C33" i="37"/>
  <c r="M69" i="41"/>
  <c r="C32" i="37"/>
  <c r="M68" i="41"/>
  <c r="AC109" i="40"/>
  <c r="AD109" i="40" s="1"/>
  <c r="T109" i="40"/>
  <c r="C35" i="59"/>
  <c r="AS73" i="41"/>
  <c r="C28" i="63"/>
  <c r="C41" i="39"/>
  <c r="M41" i="40"/>
  <c r="M22" i="40"/>
  <c r="Q22" i="40"/>
  <c r="C22" i="39"/>
  <c r="M72" i="41"/>
  <c r="C36" i="37"/>
  <c r="Q20" i="40"/>
  <c r="C20" i="39"/>
  <c r="M20" i="40"/>
  <c r="C19" i="39"/>
  <c r="M19" i="40"/>
  <c r="AS75" i="41"/>
  <c r="Q75" i="41" s="1"/>
  <c r="C37" i="59"/>
  <c r="C30" i="63"/>
  <c r="AC111" i="40"/>
  <c r="AD111" i="40" s="1"/>
  <c r="T111" i="40"/>
  <c r="Q39" i="40"/>
  <c r="M39" i="40"/>
  <c r="C39" i="39"/>
  <c r="C37" i="39"/>
  <c r="M37" i="40"/>
  <c r="M67" i="41"/>
  <c r="C31" i="37"/>
  <c r="M73" i="41"/>
  <c r="C37" i="37"/>
  <c r="AS76" i="41"/>
  <c r="Q76" i="41" s="1"/>
  <c r="C38" i="59"/>
  <c r="AC112" i="40"/>
  <c r="AD112" i="40" s="1"/>
  <c r="T112" i="40"/>
  <c r="AG112" i="40" s="1"/>
  <c r="C31" i="63"/>
  <c r="C27" i="39"/>
  <c r="M27" i="40"/>
  <c r="M70" i="41"/>
  <c r="C34" i="37"/>
  <c r="M24" i="55"/>
  <c r="M27" i="66"/>
  <c r="D24" i="80"/>
  <c r="F24" i="80" s="1"/>
  <c r="M28" i="40"/>
  <c r="C28" i="39"/>
  <c r="M18" i="40"/>
  <c r="C18" i="39"/>
  <c r="M23" i="40"/>
  <c r="Q23" i="40"/>
  <c r="C23" i="39"/>
  <c r="M77" i="41"/>
  <c r="C41" i="37"/>
  <c r="M25" i="66"/>
  <c r="M22" i="55"/>
  <c r="D22" i="80"/>
  <c r="F22" i="80" s="1"/>
  <c r="M20" i="58"/>
  <c r="U20" i="58"/>
  <c r="M31" i="66"/>
  <c r="M28" i="55"/>
  <c r="D28" i="80"/>
  <c r="F28" i="80" s="1"/>
  <c r="C26" i="69"/>
  <c r="C32" i="60"/>
  <c r="T34" i="41"/>
  <c r="C25" i="64"/>
  <c r="AQ34" i="41"/>
  <c r="AC34" i="41"/>
  <c r="AD34" i="41" s="1"/>
  <c r="J26" i="69"/>
  <c r="AB27" i="77"/>
  <c r="AB28" i="77" s="1"/>
  <c r="AB29" i="77" s="1"/>
  <c r="AB30" i="77" s="1"/>
  <c r="AB31" i="77" s="1"/>
  <c r="AB32" i="77" s="1"/>
  <c r="AB33" i="77" s="1"/>
  <c r="AB34" i="77" s="1"/>
  <c r="AB35" i="77" s="1"/>
  <c r="AB36" i="77" s="1"/>
  <c r="AB37" i="77" s="1"/>
  <c r="AB38" i="77" s="1"/>
  <c r="AB39" i="77" s="1"/>
  <c r="AB40" i="77" s="1"/>
  <c r="AB41" i="77" s="1"/>
  <c r="AB42" i="77" s="1"/>
  <c r="AB43" i="77" s="1"/>
  <c r="AB44" i="77" s="1"/>
  <c r="AB45" i="77" s="1"/>
  <c r="AB46" i="77" s="1"/>
  <c r="AB47" i="77" s="1"/>
  <c r="AB48" i="77" s="1"/>
  <c r="AB49" i="77" s="1"/>
  <c r="AB50" i="77" s="1"/>
  <c r="AB51" i="77" s="1"/>
  <c r="AB52" i="77" s="1"/>
  <c r="AB53" i="77" s="1"/>
  <c r="AB54" i="77" s="1"/>
  <c r="AB55" i="77" s="1"/>
  <c r="AB56" i="77" s="1"/>
  <c r="AB57" i="77" s="1"/>
  <c r="AB58" i="77" s="1"/>
  <c r="AB27" i="71"/>
  <c r="AB28" i="71" s="1"/>
  <c r="AB29" i="71" s="1"/>
  <c r="AB30" i="71" s="1"/>
  <c r="AB31" i="71" s="1"/>
  <c r="AB32" i="71" s="1"/>
  <c r="AB33" i="71" s="1"/>
  <c r="AB34" i="71" s="1"/>
  <c r="AB35" i="71" s="1"/>
  <c r="AB36" i="71" s="1"/>
  <c r="AB37" i="71" s="1"/>
  <c r="AB38" i="71" s="1"/>
  <c r="AB39" i="71" s="1"/>
  <c r="AB40" i="71" s="1"/>
  <c r="AB41" i="71" s="1"/>
  <c r="AB42" i="71" s="1"/>
  <c r="AB43" i="71" s="1"/>
  <c r="AB44" i="71" s="1"/>
  <c r="AB45" i="71" s="1"/>
  <c r="AB46" i="71" s="1"/>
  <c r="AB47" i="71" s="1"/>
  <c r="AB48" i="71" s="1"/>
  <c r="AB49" i="71" s="1"/>
  <c r="AB50" i="71" s="1"/>
  <c r="AB51" i="71" s="1"/>
  <c r="AB52" i="71" s="1"/>
  <c r="AB53" i="71" s="1"/>
  <c r="AB54" i="71" s="1"/>
  <c r="AB55" i="71" s="1"/>
  <c r="AB56" i="71" s="1"/>
  <c r="AB57" i="71" s="1"/>
  <c r="AB58" i="71" s="1"/>
  <c r="K26" i="69"/>
  <c r="H26" i="69"/>
  <c r="D17" i="80" l="1"/>
  <c r="F17" i="80" s="1"/>
  <c r="M17" i="55"/>
  <c r="M36" i="58"/>
  <c r="W36" i="58" s="1"/>
  <c r="D15" i="80"/>
  <c r="F15" i="80" s="1"/>
  <c r="M18" i="66"/>
  <c r="T67" i="40"/>
  <c r="Q103" i="40" s="1"/>
  <c r="C22" i="63" s="1"/>
  <c r="C22" i="62"/>
  <c r="AR67" i="41"/>
  <c r="AU67" i="41" s="1"/>
  <c r="AC67" i="40"/>
  <c r="AD67" i="40" s="1"/>
  <c r="C22" i="57"/>
  <c r="M22" i="57" s="1"/>
  <c r="U12" i="80" s="1"/>
  <c r="AC12" i="80" s="1"/>
  <c r="V24" i="40"/>
  <c r="M29" i="58"/>
  <c r="W29" i="58" s="1"/>
  <c r="AR75" i="41"/>
  <c r="AV75" i="41" s="1"/>
  <c r="AN60" i="40"/>
  <c r="AO60" i="40" s="1"/>
  <c r="M18" i="55"/>
  <c r="AC75" i="40"/>
  <c r="AD75" i="40" s="1"/>
  <c r="AC24" i="40"/>
  <c r="AD24" i="40" s="1"/>
  <c r="D18" i="80"/>
  <c r="F18" i="80" s="1"/>
  <c r="AQ60" i="41"/>
  <c r="Q60" i="41" s="1"/>
  <c r="T60" i="41" s="1"/>
  <c r="U38" i="58"/>
  <c r="AN110" i="40"/>
  <c r="AO110" i="40" s="1"/>
  <c r="D29" i="80"/>
  <c r="F29" i="80" s="1"/>
  <c r="M32" i="66"/>
  <c r="M19" i="55"/>
  <c r="T38" i="40"/>
  <c r="AG38" i="40" s="1"/>
  <c r="D19" i="80"/>
  <c r="F19" i="80" s="1"/>
  <c r="C37" i="58"/>
  <c r="C30" i="62"/>
  <c r="D13" i="80"/>
  <c r="F13" i="80" s="1"/>
  <c r="M13" i="55"/>
  <c r="AC96" i="40"/>
  <c r="AD96" i="40" s="1"/>
  <c r="C36" i="57"/>
  <c r="U36" i="57" s="1"/>
  <c r="U36" i="59"/>
  <c r="C29" i="61"/>
  <c r="D16" i="80"/>
  <c r="F16" i="80" s="1"/>
  <c r="M16" i="55"/>
  <c r="AQ74" i="41"/>
  <c r="AU74" i="41" s="1"/>
  <c r="AQ57" i="41"/>
  <c r="Q57" i="41" s="1"/>
  <c r="T57" i="41" s="1"/>
  <c r="AN112" i="40"/>
  <c r="AO112" i="40" s="1"/>
  <c r="C19" i="57"/>
  <c r="U19" i="57" s="1"/>
  <c r="C43" i="39"/>
  <c r="T74" i="41"/>
  <c r="AN74" i="41" s="1"/>
  <c r="AO74" i="41" s="1"/>
  <c r="AV76" i="41"/>
  <c r="C22" i="59"/>
  <c r="T96" i="40"/>
  <c r="C31" i="61"/>
  <c r="T40" i="40"/>
  <c r="C38" i="57"/>
  <c r="AC40" i="40"/>
  <c r="AD40" i="40" s="1"/>
  <c r="AQ76" i="41"/>
  <c r="AU76" i="41" s="1"/>
  <c r="C17" i="62"/>
  <c r="AC62" i="40"/>
  <c r="AD62" i="40" s="1"/>
  <c r="T21" i="40"/>
  <c r="U21" i="40" s="1"/>
  <c r="C24" i="58"/>
  <c r="T62" i="40"/>
  <c r="AC76" i="41"/>
  <c r="AD76" i="41" s="1"/>
  <c r="T76" i="41"/>
  <c r="M37" i="59"/>
  <c r="U37" i="59"/>
  <c r="U35" i="59"/>
  <c r="M35" i="59"/>
  <c r="T35" i="40"/>
  <c r="AQ71" i="41"/>
  <c r="AC35" i="40"/>
  <c r="AD35" i="40" s="1"/>
  <c r="C26" i="61"/>
  <c r="C33" i="57"/>
  <c r="M24" i="66"/>
  <c r="M21" i="55"/>
  <c r="D21" i="80"/>
  <c r="F21" i="80" s="1"/>
  <c r="AV60" i="41"/>
  <c r="AC23" i="40"/>
  <c r="AD23" i="40" s="1"/>
  <c r="AQ59" i="41"/>
  <c r="Q59" i="41" s="1"/>
  <c r="T23" i="40"/>
  <c r="C21" i="57"/>
  <c r="M38" i="59"/>
  <c r="U38" i="59"/>
  <c r="Q73" i="41"/>
  <c r="AV73" i="41"/>
  <c r="M22" i="58"/>
  <c r="U22" i="58"/>
  <c r="AV62" i="41"/>
  <c r="C30" i="61"/>
  <c r="C37" i="57"/>
  <c r="AQ75" i="41"/>
  <c r="T39" i="40"/>
  <c r="AC39" i="40"/>
  <c r="AD39" i="40" s="1"/>
  <c r="AG111" i="40"/>
  <c r="AN111" i="40"/>
  <c r="AO111" i="40" s="1"/>
  <c r="AN109" i="40"/>
  <c r="AO109" i="40" s="1"/>
  <c r="AG109" i="40"/>
  <c r="V60" i="40"/>
  <c r="U60" i="40"/>
  <c r="Q94" i="40"/>
  <c r="V58" i="40"/>
  <c r="U58" i="40"/>
  <c r="C30" i="57"/>
  <c r="AC32" i="40"/>
  <c r="AD32" i="40" s="1"/>
  <c r="AQ68" i="41"/>
  <c r="T32" i="40"/>
  <c r="C23" i="61"/>
  <c r="AU62" i="41"/>
  <c r="AV74" i="41"/>
  <c r="C20" i="57"/>
  <c r="AQ58" i="41"/>
  <c r="T22" i="40"/>
  <c r="AC22" i="40"/>
  <c r="AD22" i="40" s="1"/>
  <c r="G34" i="66"/>
  <c r="K26" i="66"/>
  <c r="C26" i="65"/>
  <c r="C34" i="65" s="1"/>
  <c r="T75" i="41"/>
  <c r="AC75" i="41"/>
  <c r="AD75" i="41" s="1"/>
  <c r="AC20" i="40"/>
  <c r="AD20" i="40" s="1"/>
  <c r="T20" i="40"/>
  <c r="C18" i="57"/>
  <c r="AQ56" i="41"/>
  <c r="Q56" i="41" s="1"/>
  <c r="O20" i="58"/>
  <c r="W20" i="58"/>
  <c r="V10" i="80"/>
  <c r="AD10" i="80" s="1"/>
  <c r="V28" i="80"/>
  <c r="AD28" i="80" s="1"/>
  <c r="W38" i="58"/>
  <c r="O38" i="58"/>
  <c r="W26" i="80"/>
  <c r="AE26" i="80" s="1"/>
  <c r="O36" i="59"/>
  <c r="W36" i="59"/>
  <c r="M83" i="55" s="1"/>
  <c r="AC62" i="41"/>
  <c r="AD62" i="41" s="1"/>
  <c r="T62" i="41"/>
  <c r="AN34" i="41"/>
  <c r="AO34" i="41" s="1"/>
  <c r="M32" i="60"/>
  <c r="U32" i="60"/>
  <c r="O36" i="58" l="1"/>
  <c r="V26" i="80"/>
  <c r="AD26" i="80" s="1"/>
  <c r="T103" i="40"/>
  <c r="AN103" i="40" s="1"/>
  <c r="AO103" i="40" s="1"/>
  <c r="AC103" i="40"/>
  <c r="AD103" i="40" s="1"/>
  <c r="C29" i="59"/>
  <c r="M29" i="59" s="1"/>
  <c r="W19" i="80" s="1"/>
  <c r="AE19" i="80" s="1"/>
  <c r="AN67" i="40"/>
  <c r="AO67" i="40" s="1"/>
  <c r="AS67" i="41"/>
  <c r="Q67" i="41" s="1"/>
  <c r="T67" i="41" s="1"/>
  <c r="Q31" i="41" s="1"/>
  <c r="AQ31" i="41" s="1"/>
  <c r="AG67" i="40"/>
  <c r="U22" i="57"/>
  <c r="W22" i="57"/>
  <c r="V19" i="80"/>
  <c r="AD19" i="80" s="1"/>
  <c r="O29" i="58"/>
  <c r="O22" i="57"/>
  <c r="AU75" i="41"/>
  <c r="AC60" i="41"/>
  <c r="AD60" i="41" s="1"/>
  <c r="AU60" i="41"/>
  <c r="AN74" i="40"/>
  <c r="AO74" i="40" s="1"/>
  <c r="M37" i="58"/>
  <c r="U37" i="58"/>
  <c r="AG74" i="41"/>
  <c r="M19" i="57"/>
  <c r="U9" i="80" s="1"/>
  <c r="AC9" i="80" s="1"/>
  <c r="V21" i="40"/>
  <c r="M36" i="57"/>
  <c r="Q57" i="40"/>
  <c r="AC57" i="40" s="1"/>
  <c r="AD57" i="40" s="1"/>
  <c r="AC57" i="41"/>
  <c r="AD57" i="41" s="1"/>
  <c r="V57" i="41"/>
  <c r="U57" i="41"/>
  <c r="U22" i="59"/>
  <c r="M22" i="59"/>
  <c r="AG62" i="40"/>
  <c r="AN62" i="40"/>
  <c r="AO62" i="40" s="1"/>
  <c r="AN98" i="40"/>
  <c r="AO98" i="40" s="1"/>
  <c r="AG40" i="40"/>
  <c r="AN76" i="40"/>
  <c r="AO76" i="40" s="1"/>
  <c r="U24" i="58"/>
  <c r="M24" i="58"/>
  <c r="U38" i="57"/>
  <c r="M38" i="57"/>
  <c r="AN96" i="40"/>
  <c r="AO96" i="40" s="1"/>
  <c r="U96" i="40"/>
  <c r="V96" i="40"/>
  <c r="Q68" i="40"/>
  <c r="AG32" i="40"/>
  <c r="U37" i="57"/>
  <c r="M37" i="57"/>
  <c r="AG76" i="41"/>
  <c r="AN76" i="41"/>
  <c r="AO76" i="41" s="1"/>
  <c r="U18" i="57"/>
  <c r="M18" i="57"/>
  <c r="AG75" i="41"/>
  <c r="AN75" i="41"/>
  <c r="AO75" i="41" s="1"/>
  <c r="W22" i="58"/>
  <c r="O22" i="58"/>
  <c r="V12" i="80"/>
  <c r="AD12" i="80" s="1"/>
  <c r="O38" i="59"/>
  <c r="W28" i="80"/>
  <c r="AE28" i="80" s="1"/>
  <c r="W38" i="59"/>
  <c r="M85" i="55" s="1"/>
  <c r="O35" i="59"/>
  <c r="W35" i="59"/>
  <c r="M82" i="55" s="1"/>
  <c r="W25" i="80"/>
  <c r="AE25" i="80" s="1"/>
  <c r="Q56" i="40"/>
  <c r="V20" i="40"/>
  <c r="U20" i="40"/>
  <c r="AN58" i="40"/>
  <c r="AO58" i="40" s="1"/>
  <c r="V22" i="40"/>
  <c r="U22" i="40"/>
  <c r="AC94" i="40"/>
  <c r="AD94" i="40" s="1"/>
  <c r="T94" i="40"/>
  <c r="AS58" i="41"/>
  <c r="AV58" i="41" s="1"/>
  <c r="C20" i="59"/>
  <c r="AN75" i="40"/>
  <c r="AO75" i="40" s="1"/>
  <c r="AG39" i="40"/>
  <c r="M21" i="57"/>
  <c r="U21" i="57"/>
  <c r="AC56" i="41"/>
  <c r="AD56" i="41" s="1"/>
  <c r="T56" i="41"/>
  <c r="M20" i="57"/>
  <c r="U20" i="57"/>
  <c r="T59" i="41"/>
  <c r="AC59" i="41"/>
  <c r="AD59" i="41" s="1"/>
  <c r="M26" i="66"/>
  <c r="D23" i="80"/>
  <c r="F23" i="80" s="1"/>
  <c r="E37" i="80" s="1"/>
  <c r="F37" i="80" s="1"/>
  <c r="M23" i="55"/>
  <c r="Q58" i="41"/>
  <c r="AU58" i="41"/>
  <c r="U30" i="57"/>
  <c r="M30" i="57"/>
  <c r="AC73" i="41"/>
  <c r="AD73" i="41" s="1"/>
  <c r="T73" i="41"/>
  <c r="Q59" i="40"/>
  <c r="U23" i="40"/>
  <c r="V23" i="40"/>
  <c r="U33" i="57"/>
  <c r="M33" i="57"/>
  <c r="Q71" i="40"/>
  <c r="AG35" i="40"/>
  <c r="O37" i="59"/>
  <c r="W27" i="80"/>
  <c r="AE27" i="80" s="1"/>
  <c r="W37" i="59"/>
  <c r="M84" i="55" s="1"/>
  <c r="AN62" i="41"/>
  <c r="AO62" i="41" s="1"/>
  <c r="AG62" i="41"/>
  <c r="U60" i="41"/>
  <c r="V60" i="41"/>
  <c r="AN60" i="41"/>
  <c r="AO60" i="41" s="1"/>
  <c r="W32" i="60"/>
  <c r="X22" i="80"/>
  <c r="AF22" i="80" s="1"/>
  <c r="O32" i="60"/>
  <c r="M38" i="66"/>
  <c r="M39" i="66"/>
  <c r="AG103" i="40" l="1"/>
  <c r="O29" i="59"/>
  <c r="U29" i="59"/>
  <c r="W29" i="59"/>
  <c r="M76" i="55" s="1"/>
  <c r="C29" i="60"/>
  <c r="U29" i="60" s="1"/>
  <c r="T31" i="41"/>
  <c r="AN31" i="41" s="1"/>
  <c r="AO31" i="41" s="1"/>
  <c r="AV67" i="41"/>
  <c r="AC67" i="41"/>
  <c r="AD67" i="41" s="1"/>
  <c r="AN67" i="41"/>
  <c r="AO67" i="41" s="1"/>
  <c r="AG67" i="41"/>
  <c r="AC31" i="41"/>
  <c r="AD31" i="41" s="1"/>
  <c r="C22" i="64"/>
  <c r="W19" i="57"/>
  <c r="AR57" i="41"/>
  <c r="AU57" i="41" s="1"/>
  <c r="C19" i="58"/>
  <c r="M19" i="58" s="1"/>
  <c r="T57" i="40"/>
  <c r="AN57" i="40" s="1"/>
  <c r="AO57" i="40" s="1"/>
  <c r="O19" i="57"/>
  <c r="O37" i="58"/>
  <c r="W37" i="58"/>
  <c r="V27" i="80"/>
  <c r="AD27" i="80" s="1"/>
  <c r="W36" i="57"/>
  <c r="U26" i="80"/>
  <c r="AC26" i="80" s="1"/>
  <c r="O36" i="57"/>
  <c r="E36" i="80"/>
  <c r="F36" i="80" s="1"/>
  <c r="O38" i="57"/>
  <c r="U28" i="80"/>
  <c r="AC28" i="80" s="1"/>
  <c r="W38" i="57"/>
  <c r="W22" i="59"/>
  <c r="O22" i="59"/>
  <c r="W12" i="80"/>
  <c r="AE12" i="80" s="1"/>
  <c r="O24" i="58"/>
  <c r="W24" i="58"/>
  <c r="V14" i="80"/>
  <c r="AD14" i="80" s="1"/>
  <c r="W21" i="57"/>
  <c r="U11" i="80"/>
  <c r="AC11" i="80" s="1"/>
  <c r="O21" i="57"/>
  <c r="C18" i="58"/>
  <c r="AC56" i="40"/>
  <c r="AD56" i="40" s="1"/>
  <c r="AR56" i="41"/>
  <c r="AU56" i="41" s="1"/>
  <c r="T56" i="40"/>
  <c r="O18" i="57"/>
  <c r="W18" i="57"/>
  <c r="U8" i="80"/>
  <c r="AC8" i="80" s="1"/>
  <c r="AR71" i="41"/>
  <c r="AU71" i="41" s="1"/>
  <c r="C26" i="62"/>
  <c r="C33" i="58"/>
  <c r="T71" i="40"/>
  <c r="AC71" i="40"/>
  <c r="AD71" i="40" s="1"/>
  <c r="U20" i="80"/>
  <c r="AC20" i="80" s="1"/>
  <c r="O30" i="57"/>
  <c r="W30" i="57"/>
  <c r="Q20" i="41"/>
  <c r="V56" i="41"/>
  <c r="U56" i="41"/>
  <c r="U27" i="80"/>
  <c r="AC27" i="80" s="1"/>
  <c r="O37" i="57"/>
  <c r="W37" i="57"/>
  <c r="U23" i="80"/>
  <c r="AC23" i="80" s="1"/>
  <c r="W33" i="57"/>
  <c r="O33" i="57"/>
  <c r="AR59" i="41"/>
  <c r="AU59" i="41" s="1"/>
  <c r="AC59" i="40"/>
  <c r="AD59" i="40" s="1"/>
  <c r="T59" i="40"/>
  <c r="C21" i="58"/>
  <c r="V59" i="41"/>
  <c r="U59" i="41"/>
  <c r="Q23" i="41"/>
  <c r="V94" i="40"/>
  <c r="AN94" i="40"/>
  <c r="AO94" i="40" s="1"/>
  <c r="U94" i="40"/>
  <c r="E35" i="80"/>
  <c r="F35" i="80" s="1"/>
  <c r="Q37" i="41"/>
  <c r="AN73" i="41"/>
  <c r="AO73" i="41" s="1"/>
  <c r="AG73" i="41"/>
  <c r="E34" i="80"/>
  <c r="F34" i="80" s="1"/>
  <c r="E38" i="80"/>
  <c r="F38" i="80" s="1"/>
  <c r="T58" i="41"/>
  <c r="AC58" i="41"/>
  <c r="AD58" i="41" s="1"/>
  <c r="E33" i="80"/>
  <c r="F33" i="80" s="1"/>
  <c r="U10" i="80"/>
  <c r="AC10" i="80" s="1"/>
  <c r="W20" i="57"/>
  <c r="O20" i="57"/>
  <c r="U20" i="59"/>
  <c r="M20" i="59"/>
  <c r="AC68" i="40"/>
  <c r="AD68" i="40" s="1"/>
  <c r="AR68" i="41"/>
  <c r="AU68" i="41" s="1"/>
  <c r="C30" i="58"/>
  <c r="C23" i="62"/>
  <c r="T68" i="40"/>
  <c r="AK31" i="39"/>
  <c r="AB31" i="39"/>
  <c r="Q29" i="32"/>
  <c r="Q30" i="32"/>
  <c r="AB32" i="39"/>
  <c r="AD32" i="39" s="1"/>
  <c r="AB32" i="37"/>
  <c r="E30" i="32"/>
  <c r="M30" i="32" s="1"/>
  <c r="O30" i="32" s="1"/>
  <c r="S33" i="29"/>
  <c r="AP32" i="39"/>
  <c r="M29" i="60" l="1"/>
  <c r="W29" i="60" s="1"/>
  <c r="U19" i="58"/>
  <c r="V57" i="40"/>
  <c r="Q93" i="40"/>
  <c r="AS57" i="41" s="1"/>
  <c r="AV57" i="41" s="1"/>
  <c r="U57" i="40"/>
  <c r="V9" i="80"/>
  <c r="AD9" i="80" s="1"/>
  <c r="W19" i="58"/>
  <c r="O19" i="58"/>
  <c r="AK25" i="39"/>
  <c r="AK28" i="39"/>
  <c r="AG31" i="39"/>
  <c r="AD31" i="39"/>
  <c r="S30" i="32"/>
  <c r="C31" i="75" s="1"/>
  <c r="AG32" i="39"/>
  <c r="AC32" i="37"/>
  <c r="AK32" i="37"/>
  <c r="AE32" i="37"/>
  <c r="AO32" i="39"/>
  <c r="AQ32" i="39" s="1"/>
  <c r="U33" i="29"/>
  <c r="AB33" i="29" s="1"/>
  <c r="S69" i="29"/>
  <c r="R18" i="71"/>
  <c r="G34" i="44"/>
  <c r="R17" i="75"/>
  <c r="R28" i="71"/>
  <c r="G107" i="43"/>
  <c r="R26" i="77"/>
  <c r="C22" i="19"/>
  <c r="C31" i="19"/>
  <c r="R8" i="77"/>
  <c r="G33" i="43"/>
  <c r="R40" i="71"/>
  <c r="G23" i="44"/>
  <c r="R21" i="75"/>
  <c r="R11" i="71"/>
  <c r="C30" i="23"/>
  <c r="R18" i="77"/>
  <c r="C35" i="20"/>
  <c r="R19" i="75"/>
  <c r="C32" i="19"/>
  <c r="R33" i="71"/>
  <c r="S17" i="75"/>
  <c r="S34" i="75"/>
  <c r="C24" i="22"/>
  <c r="S24" i="75"/>
  <c r="R8" i="71"/>
  <c r="G28" i="41"/>
  <c r="R24" i="75"/>
  <c r="C32" i="20"/>
  <c r="R15" i="77"/>
  <c r="C27" i="20"/>
  <c r="C31" i="20"/>
  <c r="G37" i="44"/>
  <c r="C35" i="21"/>
  <c r="S22" i="75"/>
  <c r="S28" i="75"/>
  <c r="C41" i="19"/>
  <c r="R38" i="71"/>
  <c r="C28" i="21"/>
  <c r="R39" i="77"/>
  <c r="G77" i="43"/>
  <c r="G95" i="43"/>
  <c r="C40" i="22"/>
  <c r="G40" i="44"/>
  <c r="R23" i="71"/>
  <c r="G66" i="43"/>
  <c r="S27" i="75"/>
  <c r="R27" i="77"/>
  <c r="C26" i="20"/>
  <c r="R27" i="71"/>
  <c r="G75" i="43"/>
  <c r="S26" i="75"/>
  <c r="R13" i="71"/>
  <c r="C36" i="20"/>
  <c r="R37" i="71"/>
  <c r="G37" i="41"/>
  <c r="C30" i="19"/>
  <c r="C31" i="21"/>
  <c r="C31" i="22"/>
  <c r="G93" i="43"/>
  <c r="C40" i="20"/>
  <c r="C27" i="22"/>
  <c r="G94" i="43"/>
  <c r="R29" i="71"/>
  <c r="G105" i="43"/>
  <c r="G68" i="43"/>
  <c r="S25" i="75"/>
  <c r="R40" i="77"/>
  <c r="G99" i="43"/>
  <c r="G75" i="41"/>
  <c r="C39" i="19"/>
  <c r="G72" i="43"/>
  <c r="G62" i="43"/>
  <c r="G33" i="41"/>
  <c r="G71" i="43"/>
  <c r="R10" i="71"/>
  <c r="R7" i="71"/>
  <c r="R31" i="75"/>
  <c r="S35" i="75"/>
  <c r="R19" i="77"/>
  <c r="C39" i="21"/>
  <c r="G73" i="43"/>
  <c r="G74" i="44"/>
  <c r="G22" i="41"/>
  <c r="R20" i="77"/>
  <c r="R41" i="75"/>
  <c r="G38" i="41"/>
  <c r="R12" i="77"/>
  <c r="S40" i="75"/>
  <c r="R41" i="71"/>
  <c r="G73" i="44"/>
  <c r="G40" i="41"/>
  <c r="R28" i="77"/>
  <c r="R34" i="75"/>
  <c r="R12" i="71"/>
  <c r="G54" i="43"/>
  <c r="G55" i="43"/>
  <c r="C23" i="19"/>
  <c r="G58" i="43"/>
  <c r="G111" i="43"/>
  <c r="G113" i="43"/>
  <c r="G20" i="44"/>
  <c r="G31" i="43"/>
  <c r="R39" i="71"/>
  <c r="C41" i="22"/>
  <c r="G18" i="41"/>
  <c r="G56" i="43"/>
  <c r="C36" i="22"/>
  <c r="G38" i="43"/>
  <c r="G34" i="41"/>
  <c r="G34" i="43"/>
  <c r="C33" i="19"/>
  <c r="G102" i="43"/>
  <c r="R20" i="75"/>
  <c r="S36" i="75"/>
  <c r="C22" i="23"/>
  <c r="G112" i="43"/>
  <c r="R38" i="75"/>
  <c r="S33" i="75"/>
  <c r="C36" i="19"/>
  <c r="C29" i="23"/>
  <c r="R35" i="75"/>
  <c r="C20" i="22"/>
  <c r="C21" i="21"/>
  <c r="G59" i="44"/>
  <c r="R37" i="75"/>
  <c r="S30" i="75"/>
  <c r="C39" i="22"/>
  <c r="C19" i="21"/>
  <c r="G32" i="43"/>
  <c r="C23" i="22"/>
  <c r="C22" i="21"/>
  <c r="R30" i="71"/>
  <c r="G24" i="43"/>
  <c r="G26" i="41"/>
  <c r="S18" i="75"/>
  <c r="G21" i="44"/>
  <c r="G22" i="43"/>
  <c r="R25" i="75"/>
  <c r="G62" i="44"/>
  <c r="G24" i="41"/>
  <c r="C37" i="22"/>
  <c r="G70" i="44"/>
  <c r="C37" i="19"/>
  <c r="C36" i="21"/>
  <c r="C33" i="22"/>
  <c r="C33" i="21"/>
  <c r="G19" i="43"/>
  <c r="C24" i="19"/>
  <c r="G23" i="43"/>
  <c r="G104" i="43"/>
  <c r="G41" i="44"/>
  <c r="R23" i="77"/>
  <c r="R34" i="71"/>
  <c r="C19" i="19"/>
  <c r="G32" i="44"/>
  <c r="S29" i="75"/>
  <c r="G68" i="44"/>
  <c r="S38" i="75"/>
  <c r="G20" i="41"/>
  <c r="G65" i="44"/>
  <c r="C32" i="21"/>
  <c r="C27" i="19"/>
  <c r="C20" i="20"/>
  <c r="G66" i="44"/>
  <c r="G98" i="43"/>
  <c r="G96" i="43"/>
  <c r="S21" i="75"/>
  <c r="R36" i="75"/>
  <c r="S39" i="75"/>
  <c r="G75" i="44"/>
  <c r="G103" i="43"/>
  <c r="G35" i="43"/>
  <c r="C30" i="20"/>
  <c r="C26" i="22"/>
  <c r="S20" i="75"/>
  <c r="C19" i="23"/>
  <c r="G67" i="44"/>
  <c r="G26" i="43"/>
  <c r="C20" i="21"/>
  <c r="G39" i="44"/>
  <c r="R9" i="77"/>
  <c r="R28" i="75"/>
  <c r="C41" i="21"/>
  <c r="G35" i="44"/>
  <c r="C37" i="21"/>
  <c r="S32" i="75"/>
  <c r="G36" i="41"/>
  <c r="G40" i="43"/>
  <c r="C25" i="21"/>
  <c r="G69" i="44"/>
  <c r="C32" i="23"/>
  <c r="C40" i="23"/>
  <c r="G29" i="43"/>
  <c r="C39" i="20"/>
  <c r="C28" i="19"/>
  <c r="C25" i="22"/>
  <c r="C39" i="23"/>
  <c r="G24" i="44"/>
  <c r="C35" i="22"/>
  <c r="C37" i="23"/>
  <c r="G22" i="44"/>
  <c r="G27" i="44"/>
  <c r="G74" i="43"/>
  <c r="C36" i="23"/>
  <c r="C33" i="23"/>
  <c r="C24" i="21"/>
  <c r="G97" i="43"/>
  <c r="G56" i="44"/>
  <c r="G92" i="43"/>
  <c r="R32" i="75"/>
  <c r="C37" i="20"/>
  <c r="C33" i="20"/>
  <c r="G57" i="43"/>
  <c r="C21" i="22"/>
  <c r="C22" i="22"/>
  <c r="C38" i="19"/>
  <c r="R22" i="77"/>
  <c r="R33" i="75"/>
  <c r="C25" i="23"/>
  <c r="G18" i="43"/>
  <c r="C28" i="20"/>
  <c r="C25" i="19"/>
  <c r="R31" i="77"/>
  <c r="C34" i="21"/>
  <c r="R24" i="71"/>
  <c r="R33" i="77"/>
  <c r="C26" i="21"/>
  <c r="R25" i="77"/>
  <c r="G54" i="44"/>
  <c r="G71" i="44"/>
  <c r="S37" i="75"/>
  <c r="G63" i="43"/>
  <c r="G23" i="41"/>
  <c r="R29" i="75"/>
  <c r="R22" i="75"/>
  <c r="G19" i="44"/>
  <c r="G30" i="43"/>
  <c r="G29" i="41"/>
  <c r="G33" i="44"/>
  <c r="G21" i="41"/>
  <c r="R26" i="75"/>
  <c r="G58" i="44"/>
  <c r="G18" i="44"/>
  <c r="G30" i="44"/>
  <c r="G41" i="43"/>
  <c r="G64" i="43"/>
  <c r="G31" i="44"/>
  <c r="R39" i="75"/>
  <c r="C27" i="23"/>
  <c r="C34" i="22"/>
  <c r="G100" i="43"/>
  <c r="R43" i="77"/>
  <c r="C29" i="21"/>
  <c r="C23" i="20"/>
  <c r="G70" i="43"/>
  <c r="C38" i="20"/>
  <c r="R16" i="77"/>
  <c r="G39" i="43"/>
  <c r="C25" i="20"/>
  <c r="C19" i="20"/>
  <c r="G108" i="43"/>
  <c r="G109" i="43"/>
  <c r="R20" i="71"/>
  <c r="C19" i="22"/>
  <c r="G77" i="44"/>
  <c r="R15" i="71"/>
  <c r="G74" i="41"/>
  <c r="R16" i="71"/>
  <c r="R13" i="77"/>
  <c r="R26" i="71"/>
  <c r="C41" i="20"/>
  <c r="G25" i="44"/>
  <c r="R21" i="77"/>
  <c r="G27" i="41"/>
  <c r="S19" i="75"/>
  <c r="R27" i="75"/>
  <c r="C29" i="20"/>
  <c r="G60" i="43"/>
  <c r="G59" i="43"/>
  <c r="G67" i="43"/>
  <c r="R40" i="75"/>
  <c r="C22" i="20"/>
  <c r="G25" i="43"/>
  <c r="S31" i="75"/>
  <c r="G25" i="41"/>
  <c r="C24" i="23"/>
  <c r="G55" i="44"/>
  <c r="G91" i="43"/>
  <c r="R22" i="71"/>
  <c r="C28" i="22"/>
  <c r="G27" i="43"/>
  <c r="R10" i="77"/>
  <c r="G26" i="44"/>
  <c r="C27" i="21"/>
  <c r="C23" i="21"/>
  <c r="G64" i="44"/>
  <c r="C20" i="19"/>
  <c r="G41" i="41"/>
  <c r="G76" i="43"/>
  <c r="R31" i="71"/>
  <c r="R14" i="77"/>
  <c r="G37" i="43"/>
  <c r="C31" i="23"/>
  <c r="R36" i="71"/>
  <c r="G76" i="44"/>
  <c r="C21" i="20"/>
  <c r="R42" i="77"/>
  <c r="C40" i="21"/>
  <c r="R36" i="77"/>
  <c r="C34" i="20"/>
  <c r="C21" i="23"/>
  <c r="R17" i="77"/>
  <c r="C38" i="22"/>
  <c r="R14" i="71"/>
  <c r="R30" i="75"/>
  <c r="G38" i="44"/>
  <c r="R32" i="71"/>
  <c r="C40" i="19"/>
  <c r="C34" i="19"/>
  <c r="C23" i="23"/>
  <c r="G35" i="41"/>
  <c r="G30" i="41"/>
  <c r="R34" i="77"/>
  <c r="G36" i="43"/>
  <c r="C26" i="19"/>
  <c r="R19" i="71"/>
  <c r="G32" i="41"/>
  <c r="R9" i="71"/>
  <c r="R23" i="75"/>
  <c r="G106" i="43"/>
  <c r="R11" i="77"/>
  <c r="R25" i="71"/>
  <c r="C20" i="23"/>
  <c r="C38" i="21"/>
  <c r="G28" i="43"/>
  <c r="R41" i="77"/>
  <c r="C24" i="20"/>
  <c r="G19" i="41"/>
  <c r="R42" i="71"/>
  <c r="C38" i="23"/>
  <c r="R7" i="77"/>
  <c r="C21" i="19"/>
  <c r="C35" i="19"/>
  <c r="G31" i="41"/>
  <c r="R32" i="77"/>
  <c r="C28" i="23"/>
  <c r="G101" i="43"/>
  <c r="R21" i="71"/>
  <c r="G69" i="43"/>
  <c r="R29" i="77"/>
  <c r="C29" i="19"/>
  <c r="G110" i="43"/>
  <c r="R24" i="77"/>
  <c r="G21" i="43"/>
  <c r="R30" i="77"/>
  <c r="G39" i="41"/>
  <c r="G20" i="43"/>
  <c r="R17" i="71"/>
  <c r="C35" i="23"/>
  <c r="R37" i="77"/>
  <c r="C34" i="23"/>
  <c r="G90" i="43"/>
  <c r="G28" i="44"/>
  <c r="R38" i="77"/>
  <c r="G72" i="44"/>
  <c r="G65" i="43"/>
  <c r="R35" i="77"/>
  <c r="R18" i="75"/>
  <c r="R43" i="71"/>
  <c r="G57" i="44"/>
  <c r="G60" i="44"/>
  <c r="C30" i="22"/>
  <c r="R35" i="71"/>
  <c r="C41" i="23"/>
  <c r="G61" i="44"/>
  <c r="G63" i="44"/>
  <c r="S23" i="75"/>
  <c r="C30" i="21"/>
  <c r="C29" i="22"/>
  <c r="G29" i="44"/>
  <c r="C26" i="23"/>
  <c r="G61" i="43"/>
  <c r="C32" i="22"/>
  <c r="O47" i="57"/>
  <c r="O46" i="57"/>
  <c r="O45" i="57"/>
  <c r="O29" i="60" l="1"/>
  <c r="X19" i="80"/>
  <c r="AF19" i="80" s="1"/>
  <c r="T93" i="40"/>
  <c r="C19" i="59"/>
  <c r="AC93" i="40"/>
  <c r="AD93" i="40" s="1"/>
  <c r="U22" i="75"/>
  <c r="U21" i="75"/>
  <c r="E25" i="19"/>
  <c r="I25" i="19" s="1"/>
  <c r="E27" i="19"/>
  <c r="E36" i="19"/>
  <c r="I36" i="19" s="1"/>
  <c r="E20" i="19"/>
  <c r="I20" i="19" s="1"/>
  <c r="E37" i="19"/>
  <c r="I37" i="19" s="1"/>
  <c r="U18" i="75"/>
  <c r="E26" i="19"/>
  <c r="I26" i="19" s="1"/>
  <c r="E24" i="19"/>
  <c r="I24" i="19" s="1"/>
  <c r="I19" i="41"/>
  <c r="M19" i="41" s="1"/>
  <c r="I34" i="41"/>
  <c r="M34" i="41" s="1"/>
  <c r="I33" i="41"/>
  <c r="M33" i="41" s="1"/>
  <c r="I18" i="41"/>
  <c r="M18" i="41" s="1"/>
  <c r="I24" i="41"/>
  <c r="M24" i="41" s="1"/>
  <c r="I30" i="41"/>
  <c r="M30" i="41" s="1"/>
  <c r="I26" i="41"/>
  <c r="Q26" i="41" s="1"/>
  <c r="C24" i="60" s="1"/>
  <c r="U24" i="60" s="1"/>
  <c r="I23" i="41"/>
  <c r="M23" i="41" s="1"/>
  <c r="I40" i="41"/>
  <c r="M40" i="41" s="1"/>
  <c r="I29" i="41"/>
  <c r="M29" i="41" s="1"/>
  <c r="I38" i="41"/>
  <c r="M38" i="41" s="1"/>
  <c r="I20" i="41"/>
  <c r="M20" i="41" s="1"/>
  <c r="I71" i="43"/>
  <c r="M71" i="43" s="1"/>
  <c r="I68" i="43"/>
  <c r="E40" i="20"/>
  <c r="U28" i="75"/>
  <c r="I55" i="43"/>
  <c r="M55" i="43" s="1"/>
  <c r="I60" i="43"/>
  <c r="U26" i="75"/>
  <c r="I67" i="43"/>
  <c r="M67" i="43" s="1"/>
  <c r="U27" i="75"/>
  <c r="I73" i="43"/>
  <c r="E21" i="20"/>
  <c r="I21" i="20" s="1"/>
  <c r="E31" i="20"/>
  <c r="I31" i="20" s="1"/>
  <c r="E23" i="19"/>
  <c r="I23" i="19" s="1"/>
  <c r="E30" i="19"/>
  <c r="E31" i="19"/>
  <c r="I31" i="19" s="1"/>
  <c r="E39" i="19"/>
  <c r="I39" i="19" s="1"/>
  <c r="E33" i="19"/>
  <c r="I33" i="19" s="1"/>
  <c r="E34" i="19"/>
  <c r="U19" i="75"/>
  <c r="E35" i="21"/>
  <c r="I35" i="21" s="1"/>
  <c r="I110" i="43"/>
  <c r="O110" i="40" s="1"/>
  <c r="P110" i="40" s="1"/>
  <c r="E34" i="21"/>
  <c r="I112" i="43"/>
  <c r="O112" i="40" s="1"/>
  <c r="P112" i="40" s="1"/>
  <c r="E27" i="21"/>
  <c r="I27" i="21" s="1"/>
  <c r="U34" i="75"/>
  <c r="I91" i="43"/>
  <c r="I90" i="43"/>
  <c r="O90" i="40" s="1"/>
  <c r="P90" i="40" s="1"/>
  <c r="E25" i="21"/>
  <c r="I25" i="21" s="1"/>
  <c r="I95" i="43"/>
  <c r="M95" i="43" s="1"/>
  <c r="I108" i="43"/>
  <c r="O108" i="40" s="1"/>
  <c r="P108" i="40" s="1"/>
  <c r="E38" i="21"/>
  <c r="I38" i="21" s="1"/>
  <c r="I109" i="43"/>
  <c r="M109" i="43" s="1"/>
  <c r="I106" i="43"/>
  <c r="M106" i="43" s="1"/>
  <c r="E31" i="21"/>
  <c r="I100" i="43"/>
  <c r="M100" i="43" s="1"/>
  <c r="E22" i="23"/>
  <c r="I22" i="23" s="1"/>
  <c r="I18" i="44"/>
  <c r="M18" i="44" s="1"/>
  <c r="I38" i="44"/>
  <c r="I24" i="44"/>
  <c r="M24" i="44" s="1"/>
  <c r="E21" i="23"/>
  <c r="I21" i="23" s="1"/>
  <c r="I37" i="44"/>
  <c r="M37" i="44" s="1"/>
  <c r="I25" i="44"/>
  <c r="M25" i="44" s="1"/>
  <c r="E26" i="23"/>
  <c r="I26" i="23" s="1"/>
  <c r="E27" i="23"/>
  <c r="I27" i="23" s="1"/>
  <c r="I41" i="44"/>
  <c r="M41" i="44" s="1"/>
  <c r="I94" i="43"/>
  <c r="O94" i="40" s="1"/>
  <c r="P94" i="40" s="1"/>
  <c r="I35" i="41"/>
  <c r="M35" i="41" s="1"/>
  <c r="I25" i="41"/>
  <c r="M25" i="41" s="1"/>
  <c r="I36" i="41"/>
  <c r="M36" i="41" s="1"/>
  <c r="I21" i="41"/>
  <c r="I41" i="41"/>
  <c r="M41" i="41" s="1"/>
  <c r="I22" i="41"/>
  <c r="Q22" i="41" s="1"/>
  <c r="E28" i="20"/>
  <c r="I28" i="20" s="1"/>
  <c r="I62" i="43"/>
  <c r="E33" i="20"/>
  <c r="I33" i="20" s="1"/>
  <c r="I65" i="43"/>
  <c r="M65" i="43" s="1"/>
  <c r="E37" i="20"/>
  <c r="I37" i="20" s="1"/>
  <c r="I76" i="43"/>
  <c r="O76" i="40" s="1"/>
  <c r="P76" i="40" s="1"/>
  <c r="I74" i="43"/>
  <c r="O74" i="40" s="1"/>
  <c r="P74" i="40" s="1"/>
  <c r="E22" i="20"/>
  <c r="I22" i="20" s="1"/>
  <c r="I72" i="43"/>
  <c r="M72" i="43" s="1"/>
  <c r="E29" i="20"/>
  <c r="I63" i="43"/>
  <c r="M63" i="43" s="1"/>
  <c r="E19" i="20"/>
  <c r="I19" i="20" s="1"/>
  <c r="E23" i="20"/>
  <c r="I23" i="20" s="1"/>
  <c r="E38" i="20"/>
  <c r="E32" i="19"/>
  <c r="I32" i="19" s="1"/>
  <c r="U20" i="75"/>
  <c r="E28" i="19"/>
  <c r="I28" i="19" s="1"/>
  <c r="U23" i="75"/>
  <c r="E38" i="19"/>
  <c r="I38" i="19" s="1"/>
  <c r="U24" i="75"/>
  <c r="I31" i="44"/>
  <c r="M31" i="44" s="1"/>
  <c r="E33" i="23"/>
  <c r="I27" i="44"/>
  <c r="O27" i="41" s="1"/>
  <c r="E37" i="23"/>
  <c r="I37" i="23" s="1"/>
  <c r="E39" i="23"/>
  <c r="I39" i="23" s="1"/>
  <c r="I40" i="44"/>
  <c r="E40" i="23"/>
  <c r="I40" i="23" s="1"/>
  <c r="I35" i="44"/>
  <c r="M35" i="44" s="1"/>
  <c r="E19" i="23"/>
  <c r="I19" i="23" s="1"/>
  <c r="I39" i="44"/>
  <c r="M39" i="44" s="1"/>
  <c r="I28" i="44"/>
  <c r="M28" i="44" s="1"/>
  <c r="I111" i="43"/>
  <c r="M111" i="43" s="1"/>
  <c r="I97" i="43"/>
  <c r="O97" i="40" s="1"/>
  <c r="P97" i="40" s="1"/>
  <c r="U39" i="75"/>
  <c r="I96" i="43"/>
  <c r="O96" i="40" s="1"/>
  <c r="P96" i="40" s="1"/>
  <c r="E32" i="21"/>
  <c r="I32" i="21" s="1"/>
  <c r="E28" i="21"/>
  <c r="I28" i="21" s="1"/>
  <c r="U29" i="75"/>
  <c r="E33" i="21"/>
  <c r="I33" i="21" s="1"/>
  <c r="I92" i="43"/>
  <c r="O92" i="40" s="1"/>
  <c r="P92" i="40" s="1"/>
  <c r="U35" i="75"/>
  <c r="I93" i="43"/>
  <c r="I103" i="43"/>
  <c r="O103" i="40" s="1"/>
  <c r="P103" i="40" s="1"/>
  <c r="E22" i="21"/>
  <c r="I22" i="21" s="1"/>
  <c r="E19" i="21"/>
  <c r="I19" i="21" s="1"/>
  <c r="U30" i="75"/>
  <c r="E21" i="21"/>
  <c r="I21" i="21" s="1"/>
  <c r="I101" i="43"/>
  <c r="O101" i="40" s="1"/>
  <c r="P101" i="40" s="1"/>
  <c r="U33" i="75"/>
  <c r="E21" i="22"/>
  <c r="U17" i="75"/>
  <c r="U40" i="75"/>
  <c r="I107" i="43"/>
  <c r="O107" i="40" s="1"/>
  <c r="P107" i="40" s="1"/>
  <c r="E39" i="21"/>
  <c r="I99" i="43"/>
  <c r="M99" i="43" s="1"/>
  <c r="I105" i="43"/>
  <c r="M105" i="43" s="1"/>
  <c r="I54" i="43"/>
  <c r="M54" i="43" s="1"/>
  <c r="E36" i="20"/>
  <c r="I75" i="43"/>
  <c r="O75" i="40" s="1"/>
  <c r="P75" i="40" s="1"/>
  <c r="E26" i="20"/>
  <c r="I26" i="20" s="1"/>
  <c r="I66" i="43"/>
  <c r="M66" i="43" s="1"/>
  <c r="I69" i="43"/>
  <c r="M69" i="43" s="1"/>
  <c r="I77" i="43"/>
  <c r="M77" i="43" s="1"/>
  <c r="E27" i="20"/>
  <c r="I27" i="20" s="1"/>
  <c r="I28" i="41"/>
  <c r="M28" i="41" s="1"/>
  <c r="I32" i="41"/>
  <c r="I31" i="41"/>
  <c r="M31" i="41" s="1"/>
  <c r="I37" i="41"/>
  <c r="M37" i="41" s="1"/>
  <c r="E30" i="23"/>
  <c r="I30" i="23" s="1"/>
  <c r="I23" i="44"/>
  <c r="E22" i="19"/>
  <c r="I22" i="19" s="1"/>
  <c r="E38" i="23"/>
  <c r="I38" i="23" s="1"/>
  <c r="I34" i="44"/>
  <c r="O34" i="41" s="1"/>
  <c r="E30" i="20"/>
  <c r="E35" i="20"/>
  <c r="I35" i="20" s="1"/>
  <c r="E35" i="23"/>
  <c r="I35" i="23" s="1"/>
  <c r="I39" i="41"/>
  <c r="M39" i="41" s="1"/>
  <c r="E29" i="19"/>
  <c r="E40" i="21"/>
  <c r="I40" i="21" s="1"/>
  <c r="E28" i="23"/>
  <c r="I28" i="23" s="1"/>
  <c r="E31" i="23"/>
  <c r="I31" i="23" s="1"/>
  <c r="E19" i="19"/>
  <c r="I19" i="19" s="1"/>
  <c r="I26" i="44"/>
  <c r="O26" i="41" s="1"/>
  <c r="I29" i="44"/>
  <c r="M29" i="44" s="1"/>
  <c r="E34" i="23"/>
  <c r="I34" i="23" s="1"/>
  <c r="I61" i="43"/>
  <c r="O61" i="40" s="1"/>
  <c r="P61" i="40" s="1"/>
  <c r="E35" i="19"/>
  <c r="I35" i="19" s="1"/>
  <c r="E21" i="19"/>
  <c r="I21" i="19" s="1"/>
  <c r="U32" i="75"/>
  <c r="E24" i="20"/>
  <c r="E20" i="23"/>
  <c r="I20" i="23" s="1"/>
  <c r="E29" i="21"/>
  <c r="I29" i="21" s="1"/>
  <c r="E28" i="22"/>
  <c r="I28" i="22" s="1"/>
  <c r="E40" i="19"/>
  <c r="E38" i="22"/>
  <c r="I38" i="22" s="1"/>
  <c r="E34" i="20"/>
  <c r="I34" i="20" s="1"/>
  <c r="I27" i="41"/>
  <c r="M27" i="41" s="1"/>
  <c r="U36" i="75"/>
  <c r="I113" i="43"/>
  <c r="O113" i="40" s="1"/>
  <c r="P113" i="40" s="1"/>
  <c r="E26" i="21"/>
  <c r="I26" i="21" s="1"/>
  <c r="I57" i="43"/>
  <c r="O57" i="40" s="1"/>
  <c r="P57" i="40" s="1"/>
  <c r="E34" i="22"/>
  <c r="I34" i="22" s="1"/>
  <c r="E23" i="23"/>
  <c r="I23" i="23" s="1"/>
  <c r="S24" i="71"/>
  <c r="T24" i="71" s="1"/>
  <c r="E29" i="22"/>
  <c r="I29" i="22" s="1"/>
  <c r="E19" i="22"/>
  <c r="I102" i="43"/>
  <c r="O102" i="40" s="1"/>
  <c r="P102" i="40" s="1"/>
  <c r="E30" i="21"/>
  <c r="I30" i="21" s="1"/>
  <c r="E37" i="21"/>
  <c r="I37" i="21" s="1"/>
  <c r="E36" i="21"/>
  <c r="E23" i="21"/>
  <c r="I23" i="21" s="1"/>
  <c r="I104" i="43"/>
  <c r="M104" i="43" s="1"/>
  <c r="U31" i="75"/>
  <c r="I59" i="43"/>
  <c r="E39" i="20"/>
  <c r="I39" i="20" s="1"/>
  <c r="E25" i="20"/>
  <c r="I25" i="20" s="1"/>
  <c r="I56" i="43"/>
  <c r="M56" i="43" s="1"/>
  <c r="I70" i="43"/>
  <c r="E26" i="22"/>
  <c r="I26" i="22" s="1"/>
  <c r="E24" i="23"/>
  <c r="I24" i="23" s="1"/>
  <c r="I30" i="44"/>
  <c r="M30" i="44" s="1"/>
  <c r="I33" i="44"/>
  <c r="I19" i="44"/>
  <c r="O19" i="41" s="1"/>
  <c r="U38" i="75"/>
  <c r="U37" i="75"/>
  <c r="E25" i="23"/>
  <c r="U25" i="75"/>
  <c r="E22" i="22"/>
  <c r="I22" i="22" s="1"/>
  <c r="I20" i="44"/>
  <c r="M20" i="44" s="1"/>
  <c r="I21" i="44"/>
  <c r="I64" i="43"/>
  <c r="O64" i="40" s="1"/>
  <c r="P64" i="40" s="1"/>
  <c r="E36" i="23"/>
  <c r="I36" i="23" s="1"/>
  <c r="I22" i="44"/>
  <c r="M22" i="44" s="1"/>
  <c r="E35" i="22"/>
  <c r="E25" i="22"/>
  <c r="I25" i="22" s="1"/>
  <c r="E29" i="23"/>
  <c r="I29" i="23" s="1"/>
  <c r="E32" i="23"/>
  <c r="I32" i="23" s="1"/>
  <c r="E32" i="20"/>
  <c r="E20" i="21"/>
  <c r="I20" i="21" s="1"/>
  <c r="E27" i="22"/>
  <c r="I27" i="22" s="1"/>
  <c r="I58" i="43"/>
  <c r="M58" i="43" s="1"/>
  <c r="E24" i="21"/>
  <c r="I98" i="43"/>
  <c r="M98" i="43" s="1"/>
  <c r="E20" i="20"/>
  <c r="I20" i="20" s="1"/>
  <c r="I32" i="44"/>
  <c r="O32" i="41" s="1"/>
  <c r="E33" i="22"/>
  <c r="I33" i="22" s="1"/>
  <c r="E30" i="22"/>
  <c r="I30" i="22" s="1"/>
  <c r="E37" i="22"/>
  <c r="I37" i="22" s="1"/>
  <c r="E24" i="22"/>
  <c r="I24" i="22" s="1"/>
  <c r="E31" i="22"/>
  <c r="E23" i="22"/>
  <c r="I23" i="22" s="1"/>
  <c r="E39" i="22"/>
  <c r="I39" i="22" s="1"/>
  <c r="E20" i="22"/>
  <c r="I20" i="22" s="1"/>
  <c r="E40" i="22"/>
  <c r="I64" i="44"/>
  <c r="E28" i="37" s="1"/>
  <c r="I27" i="52"/>
  <c r="E26" i="49"/>
  <c r="Q27" i="75"/>
  <c r="T27" i="75" s="1"/>
  <c r="E25" i="49"/>
  <c r="I63" i="44"/>
  <c r="M63" i="44" s="1"/>
  <c r="Q26" i="75"/>
  <c r="T26" i="75" s="1"/>
  <c r="I26" i="52"/>
  <c r="E17" i="49"/>
  <c r="Q18" i="75"/>
  <c r="T18" i="75" s="1"/>
  <c r="E18" i="75" s="1"/>
  <c r="I55" i="44"/>
  <c r="O55" i="41" s="1"/>
  <c r="P55" i="41" s="1"/>
  <c r="I18" i="52"/>
  <c r="I41" i="43"/>
  <c r="O41" i="40" s="1"/>
  <c r="E39" i="51"/>
  <c r="I40" i="54"/>
  <c r="K40" i="54" s="1"/>
  <c r="M40" i="54" s="1"/>
  <c r="I21" i="52"/>
  <c r="I58" i="44"/>
  <c r="O58" i="41" s="1"/>
  <c r="P58" i="41" s="1"/>
  <c r="E20" i="49"/>
  <c r="Q21" i="75"/>
  <c r="T21" i="75" s="1"/>
  <c r="E21" i="75" s="1"/>
  <c r="I30" i="43"/>
  <c r="I29" i="54"/>
  <c r="K29" i="54" s="1"/>
  <c r="M29" i="54" s="1"/>
  <c r="E28" i="51"/>
  <c r="E16" i="51"/>
  <c r="I17" i="54"/>
  <c r="K17" i="54" s="1"/>
  <c r="M17" i="54" s="1"/>
  <c r="O17" i="54" s="1"/>
  <c r="I18" i="43"/>
  <c r="I39" i="43"/>
  <c r="E37" i="51"/>
  <c r="I38" i="54"/>
  <c r="K38" i="54" s="1"/>
  <c r="M38" i="54" s="1"/>
  <c r="O38" i="54" s="1"/>
  <c r="I21" i="54"/>
  <c r="K21" i="54" s="1"/>
  <c r="M21" i="54" s="1"/>
  <c r="E20" i="51"/>
  <c r="I22" i="43"/>
  <c r="Q29" i="75"/>
  <c r="T29" i="75" s="1"/>
  <c r="I29" i="52"/>
  <c r="E28" i="49"/>
  <c r="I66" i="44"/>
  <c r="I33" i="52"/>
  <c r="Q33" i="75"/>
  <c r="T33" i="75" s="1"/>
  <c r="I70" i="44"/>
  <c r="E32" i="49"/>
  <c r="E41" i="22"/>
  <c r="E42" i="22"/>
  <c r="I24" i="43"/>
  <c r="I23" i="54"/>
  <c r="K23" i="54" s="1"/>
  <c r="M23" i="54" s="1"/>
  <c r="E22" i="51"/>
  <c r="E35" i="49"/>
  <c r="I73" i="44"/>
  <c r="Q36" i="75"/>
  <c r="T36" i="75" s="1"/>
  <c r="I36" i="52"/>
  <c r="E31" i="49"/>
  <c r="Q32" i="75"/>
  <c r="T32" i="75" s="1"/>
  <c r="I32" i="52"/>
  <c r="I69" i="44"/>
  <c r="E33" i="37" s="1"/>
  <c r="I72" i="44"/>
  <c r="O72" i="41" s="1"/>
  <c r="P72" i="41" s="1"/>
  <c r="Q35" i="75"/>
  <c r="T35" i="75" s="1"/>
  <c r="E34" i="49"/>
  <c r="I35" i="52"/>
  <c r="I32" i="54"/>
  <c r="K32" i="54" s="1"/>
  <c r="M32" i="54" s="1"/>
  <c r="E31" i="51"/>
  <c r="I33" i="43"/>
  <c r="E41" i="23"/>
  <c r="E42" i="23"/>
  <c r="I57" i="44"/>
  <c r="E19" i="49"/>
  <c r="Q20" i="75"/>
  <c r="T20" i="75" s="1"/>
  <c r="E20" i="75" s="1"/>
  <c r="AI20" i="75" s="1"/>
  <c r="AJ20" i="75" s="1"/>
  <c r="I20" i="52"/>
  <c r="I40" i="43"/>
  <c r="E38" i="51"/>
  <c r="I39" i="54"/>
  <c r="K39" i="54" s="1"/>
  <c r="M39" i="54" s="1"/>
  <c r="I35" i="54"/>
  <c r="K35" i="54" s="1"/>
  <c r="M35" i="54" s="1"/>
  <c r="E34" i="51"/>
  <c r="I36" i="43"/>
  <c r="E19" i="51"/>
  <c r="I20" i="54"/>
  <c r="K20" i="54" s="1"/>
  <c r="M20" i="54" s="1"/>
  <c r="K21" i="39" s="1"/>
  <c r="I21" i="43"/>
  <c r="E41" i="19"/>
  <c r="I41" i="19" s="1"/>
  <c r="E42" i="19"/>
  <c r="G42" i="19" s="1"/>
  <c r="I26" i="43"/>
  <c r="E24" i="51"/>
  <c r="I25" i="54"/>
  <c r="K25" i="54" s="1"/>
  <c r="M25" i="54" s="1"/>
  <c r="Q17" i="75"/>
  <c r="T17" i="75" s="1"/>
  <c r="E17" i="75" s="1"/>
  <c r="AI17" i="75" s="1"/>
  <c r="AJ17" i="75" s="1"/>
  <c r="I17" i="52"/>
  <c r="I54" i="44"/>
  <c r="E16" i="49"/>
  <c r="Q39" i="75"/>
  <c r="T39" i="75" s="1"/>
  <c r="I39" i="52"/>
  <c r="E38" i="49"/>
  <c r="I76" i="44"/>
  <c r="E40" i="37" s="1"/>
  <c r="G37" i="52"/>
  <c r="R37" i="52" s="1"/>
  <c r="E36" i="46"/>
  <c r="I74" i="41"/>
  <c r="M74" i="41" s="1"/>
  <c r="E32" i="51"/>
  <c r="I33" i="54"/>
  <c r="K33" i="54" s="1"/>
  <c r="M33" i="54" s="1"/>
  <c r="I34" i="43"/>
  <c r="I59" i="44"/>
  <c r="M59" i="44" s="1"/>
  <c r="Q22" i="75"/>
  <c r="T22" i="75" s="1"/>
  <c r="E22" i="75" s="1"/>
  <c r="M15" i="77" s="1"/>
  <c r="I22" i="52"/>
  <c r="E21" i="49"/>
  <c r="I29" i="43"/>
  <c r="M29" i="43" s="1"/>
  <c r="I28" i="54"/>
  <c r="K28" i="54" s="1"/>
  <c r="M28" i="54" s="1"/>
  <c r="E27" i="51"/>
  <c r="E29" i="49"/>
  <c r="Q30" i="75"/>
  <c r="T30" i="75" s="1"/>
  <c r="I67" i="44"/>
  <c r="I30" i="52"/>
  <c r="E41" i="20"/>
  <c r="I41" i="20" s="1"/>
  <c r="E42" i="20"/>
  <c r="I62" i="44"/>
  <c r="O62" i="41" s="1"/>
  <c r="P62" i="41" s="1"/>
  <c r="Q25" i="75"/>
  <c r="T25" i="75" s="1"/>
  <c r="I25" i="52"/>
  <c r="E24" i="49"/>
  <c r="I31" i="54"/>
  <c r="K31" i="54" s="1"/>
  <c r="M31" i="54" s="1"/>
  <c r="I32" i="43"/>
  <c r="M32" i="43" s="1"/>
  <c r="E30" i="51"/>
  <c r="I34" i="54"/>
  <c r="K34" i="54" s="1"/>
  <c r="M34" i="54" s="1"/>
  <c r="E33" i="51"/>
  <c r="I35" i="43"/>
  <c r="E17" i="51"/>
  <c r="I18" i="54"/>
  <c r="K18" i="54" s="1"/>
  <c r="M18" i="54" s="1"/>
  <c r="O18" i="54" s="1"/>
  <c r="I19" i="43"/>
  <c r="E19" i="39" s="1"/>
  <c r="I28" i="43"/>
  <c r="E26" i="51"/>
  <c r="I27" i="54"/>
  <c r="K27" i="54" s="1"/>
  <c r="M27" i="54" s="1"/>
  <c r="E42" i="21"/>
  <c r="E41" i="21"/>
  <c r="E18" i="49"/>
  <c r="Q19" i="75"/>
  <c r="T19" i="75" s="1"/>
  <c r="E19" i="75" s="1"/>
  <c r="I19" i="52"/>
  <c r="I56" i="44"/>
  <c r="M56" i="44" s="1"/>
  <c r="I36" i="54"/>
  <c r="K36" i="54" s="1"/>
  <c r="M36" i="54" s="1"/>
  <c r="O36" i="54" s="1"/>
  <c r="E35" i="51"/>
  <c r="I37" i="43"/>
  <c r="E27" i="49"/>
  <c r="I65" i="44"/>
  <c r="Q28" i="75"/>
  <c r="T28" i="75" s="1"/>
  <c r="I28" i="52"/>
  <c r="U28" i="52" s="1"/>
  <c r="I37" i="52"/>
  <c r="U37" i="52" s="1"/>
  <c r="I74" i="44"/>
  <c r="E36" i="49"/>
  <c r="Q37" i="75"/>
  <c r="T37" i="75" s="1"/>
  <c r="E18" i="51"/>
  <c r="I19" i="54"/>
  <c r="K19" i="54" s="1"/>
  <c r="M19" i="54" s="1"/>
  <c r="I20" i="43"/>
  <c r="Q31" i="75"/>
  <c r="T31" i="75" s="1"/>
  <c r="E31" i="75" s="1"/>
  <c r="G31" i="75" s="1"/>
  <c r="I31" i="52"/>
  <c r="E30" i="49"/>
  <c r="I68" i="44"/>
  <c r="M68" i="44" s="1"/>
  <c r="I77" i="44"/>
  <c r="O77" i="41" s="1"/>
  <c r="P77" i="41" s="1"/>
  <c r="Q40" i="75"/>
  <c r="T40" i="75" s="1"/>
  <c r="I40" i="52"/>
  <c r="E39" i="49"/>
  <c r="G38" i="52"/>
  <c r="R38" i="52" s="1"/>
  <c r="I75" i="41"/>
  <c r="C39" i="37" s="1"/>
  <c r="E37" i="46"/>
  <c r="E25" i="51"/>
  <c r="I26" i="54"/>
  <c r="K26" i="54" s="1"/>
  <c r="M26" i="54" s="1"/>
  <c r="K27" i="39" s="1"/>
  <c r="U27" i="39" s="1"/>
  <c r="Q25" i="32" s="1"/>
  <c r="I27" i="43"/>
  <c r="M27" i="43" s="1"/>
  <c r="I30" i="54"/>
  <c r="K30" i="54" s="1"/>
  <c r="M30" i="54" s="1"/>
  <c r="E29" i="51"/>
  <c r="I31" i="43"/>
  <c r="I23" i="52"/>
  <c r="E22" i="49"/>
  <c r="I60" i="44"/>
  <c r="E24" i="37" s="1"/>
  <c r="Q23" i="75"/>
  <c r="T23" i="75" s="1"/>
  <c r="E23" i="75" s="1"/>
  <c r="E23" i="49"/>
  <c r="Q24" i="75"/>
  <c r="T24" i="75" s="1"/>
  <c r="I61" i="44"/>
  <c r="E25" i="37" s="1"/>
  <c r="I24" i="52"/>
  <c r="E37" i="49"/>
  <c r="I38" i="52"/>
  <c r="U38" i="52" s="1"/>
  <c r="I75" i="44"/>
  <c r="O75" i="41" s="1"/>
  <c r="Q38" i="75"/>
  <c r="T38" i="75" s="1"/>
  <c r="I71" i="44"/>
  <c r="I34" i="52"/>
  <c r="E33" i="49"/>
  <c r="Q34" i="75"/>
  <c r="T34" i="75" s="1"/>
  <c r="I25" i="43"/>
  <c r="E23" i="51"/>
  <c r="I24" i="54"/>
  <c r="K24" i="54" s="1"/>
  <c r="I40" i="20"/>
  <c r="I23" i="43"/>
  <c r="E23" i="39" s="1"/>
  <c r="E21" i="51"/>
  <c r="I22" i="54"/>
  <c r="K22" i="54" s="1"/>
  <c r="M22" i="54" s="1"/>
  <c r="E36" i="22"/>
  <c r="I36" i="22" s="1"/>
  <c r="E32" i="22"/>
  <c r="I32" i="22" s="1"/>
  <c r="S39" i="71"/>
  <c r="T39" i="71" s="1"/>
  <c r="S35" i="77"/>
  <c r="S33" i="71"/>
  <c r="T33" i="71" s="1"/>
  <c r="S30" i="71"/>
  <c r="T30" i="71" s="1"/>
  <c r="S28" i="77"/>
  <c r="S41" i="71"/>
  <c r="T41" i="71" s="1"/>
  <c r="S12" i="77"/>
  <c r="S20" i="77"/>
  <c r="S28" i="71"/>
  <c r="T28" i="71" s="1"/>
  <c r="S19" i="77"/>
  <c r="S40" i="77"/>
  <c r="S11" i="77"/>
  <c r="S29" i="71"/>
  <c r="T29" i="71" s="1"/>
  <c r="S38" i="71"/>
  <c r="T38" i="71" s="1"/>
  <c r="S38" i="77"/>
  <c r="S12" i="71"/>
  <c r="T12" i="71" s="1"/>
  <c r="S13" i="71"/>
  <c r="T13" i="71" s="1"/>
  <c r="S27" i="71"/>
  <c r="T27" i="71" s="1"/>
  <c r="S27" i="77"/>
  <c r="S23" i="71"/>
  <c r="T23" i="71" s="1"/>
  <c r="S21" i="71"/>
  <c r="T21" i="71" s="1"/>
  <c r="S39" i="77"/>
  <c r="S15" i="77"/>
  <c r="S8" i="71"/>
  <c r="T8" i="71" s="1"/>
  <c r="U8" i="71" s="1"/>
  <c r="V8" i="71" s="1"/>
  <c r="W8" i="71" s="1"/>
  <c r="S19" i="71"/>
  <c r="T19" i="71" s="1"/>
  <c r="S34" i="71"/>
  <c r="T34" i="71" s="1"/>
  <c r="S37" i="71"/>
  <c r="T37" i="71" s="1"/>
  <c r="S11" i="71"/>
  <c r="T11" i="71" s="1"/>
  <c r="S40" i="71"/>
  <c r="T40" i="71" s="1"/>
  <c r="S8" i="77"/>
  <c r="S26" i="77"/>
  <c r="S42" i="71"/>
  <c r="T42" i="71" s="1"/>
  <c r="S18" i="71"/>
  <c r="T18" i="71" s="1"/>
  <c r="S35" i="71"/>
  <c r="T35" i="71" s="1"/>
  <c r="S31" i="77"/>
  <c r="S43" i="71"/>
  <c r="T43" i="71" s="1"/>
  <c r="S44" i="71"/>
  <c r="T44" i="71" s="1"/>
  <c r="S10" i="71"/>
  <c r="T10" i="71" s="1"/>
  <c r="S34" i="77"/>
  <c r="S18" i="77"/>
  <c r="S17" i="71"/>
  <c r="T17" i="71" s="1"/>
  <c r="S30" i="77"/>
  <c r="S24" i="77"/>
  <c r="S29" i="77"/>
  <c r="S42" i="77"/>
  <c r="S32" i="77"/>
  <c r="S26" i="71"/>
  <c r="T26" i="71" s="1"/>
  <c r="S16" i="77"/>
  <c r="S13" i="77"/>
  <c r="S10" i="77"/>
  <c r="S33" i="77"/>
  <c r="S37" i="77"/>
  <c r="S23" i="77"/>
  <c r="S14" i="77"/>
  <c r="S25" i="77"/>
  <c r="S20" i="71"/>
  <c r="T20" i="71" s="1"/>
  <c r="S41" i="77"/>
  <c r="S25" i="71"/>
  <c r="T25" i="71" s="1"/>
  <c r="S22" i="77"/>
  <c r="S9" i="71"/>
  <c r="T9" i="71" s="1"/>
  <c r="S44" i="77"/>
  <c r="S43" i="77"/>
  <c r="S22" i="71"/>
  <c r="T22" i="71" s="1"/>
  <c r="S16" i="71"/>
  <c r="T16" i="71" s="1"/>
  <c r="S32" i="71"/>
  <c r="T32" i="71" s="1"/>
  <c r="S14" i="71"/>
  <c r="T14" i="71" s="1"/>
  <c r="S17" i="77"/>
  <c r="S36" i="77"/>
  <c r="S21" i="77"/>
  <c r="S36" i="71"/>
  <c r="T36" i="71" s="1"/>
  <c r="S31" i="71"/>
  <c r="T31" i="71" s="1"/>
  <c r="S9" i="77"/>
  <c r="S15" i="71"/>
  <c r="T15" i="71" s="1"/>
  <c r="AG68" i="40"/>
  <c r="AN68" i="40"/>
  <c r="AO68" i="40" s="1"/>
  <c r="Q104" i="40"/>
  <c r="V58" i="41"/>
  <c r="U58" i="41"/>
  <c r="AN58" i="41"/>
  <c r="AO58" i="41" s="1"/>
  <c r="V37" i="80"/>
  <c r="AA37" i="80" s="1"/>
  <c r="V34" i="80"/>
  <c r="AA34" i="80" s="1"/>
  <c r="V35" i="80"/>
  <c r="AA35" i="80" s="1"/>
  <c r="V36" i="80"/>
  <c r="AA36" i="80" s="1"/>
  <c r="V38" i="80"/>
  <c r="AA38" i="80" s="1"/>
  <c r="M18" i="58"/>
  <c r="U18" i="58"/>
  <c r="W20" i="59"/>
  <c r="O20" i="59"/>
  <c r="W10" i="80"/>
  <c r="AE10" i="80" s="1"/>
  <c r="AC37" i="41"/>
  <c r="AD37" i="41" s="1"/>
  <c r="C28" i="64"/>
  <c r="C35" i="60"/>
  <c r="T37" i="41"/>
  <c r="AN37" i="41" s="1"/>
  <c r="AO37" i="41" s="1"/>
  <c r="AQ37" i="41"/>
  <c r="U21" i="58"/>
  <c r="M21" i="58"/>
  <c r="C18" i="60"/>
  <c r="AC20" i="41"/>
  <c r="AD20" i="41" s="1"/>
  <c r="T20" i="41"/>
  <c r="AQ20" i="41"/>
  <c r="Q92" i="40"/>
  <c r="U56" i="40"/>
  <c r="AN56" i="40"/>
  <c r="AO56" i="40" s="1"/>
  <c r="V56" i="40"/>
  <c r="U30" i="58"/>
  <c r="M30" i="58"/>
  <c r="T23" i="41"/>
  <c r="AQ23" i="41"/>
  <c r="C21" i="60"/>
  <c r="AC23" i="41"/>
  <c r="AD23" i="41" s="1"/>
  <c r="V59" i="40"/>
  <c r="Q95" i="40"/>
  <c r="U59" i="40"/>
  <c r="AN59" i="40"/>
  <c r="AO59" i="40" s="1"/>
  <c r="Q107" i="40"/>
  <c r="AN71" i="40"/>
  <c r="AO71" i="40" s="1"/>
  <c r="AG71" i="40"/>
  <c r="U33" i="58"/>
  <c r="M33" i="58"/>
  <c r="I37" i="54"/>
  <c r="K37" i="54" s="1"/>
  <c r="M37" i="54" s="1"/>
  <c r="E36" i="51"/>
  <c r="I38" i="43"/>
  <c r="M75" i="43"/>
  <c r="AK29" i="39"/>
  <c r="M64" i="43"/>
  <c r="M102" i="43"/>
  <c r="M101" i="43"/>
  <c r="AK33" i="39"/>
  <c r="V93" i="40"/>
  <c r="AN57" i="41"/>
  <c r="AO57" i="41" s="1"/>
  <c r="U93" i="40"/>
  <c r="AN93" i="40"/>
  <c r="AO93" i="40" s="1"/>
  <c r="M19" i="59"/>
  <c r="U19" i="59"/>
  <c r="AK26" i="39"/>
  <c r="AK35" i="39"/>
  <c r="AK36" i="39"/>
  <c r="U69" i="29"/>
  <c r="AG32" i="37"/>
  <c r="AH32" i="37" s="1"/>
  <c r="G36" i="44"/>
  <c r="AI22" i="75" l="1"/>
  <c r="AJ22" i="75" s="1"/>
  <c r="E19" i="37"/>
  <c r="AE22" i="75"/>
  <c r="Q24" i="41"/>
  <c r="AQ24" i="41" s="1"/>
  <c r="O30" i="41"/>
  <c r="P30" i="41" s="1"/>
  <c r="M55" i="44"/>
  <c r="K18" i="39"/>
  <c r="O22" i="41"/>
  <c r="P22" i="41" s="1"/>
  <c r="M77" i="44"/>
  <c r="M90" i="43"/>
  <c r="O24" i="41"/>
  <c r="P24" i="41" s="1"/>
  <c r="O29" i="41"/>
  <c r="P29" i="41" s="1"/>
  <c r="O35" i="41"/>
  <c r="P35" i="41" s="1"/>
  <c r="W27" i="39"/>
  <c r="M92" i="43"/>
  <c r="M19" i="44"/>
  <c r="O29" i="40"/>
  <c r="P29" i="40" s="1"/>
  <c r="O66" i="40"/>
  <c r="P66" i="40" s="1"/>
  <c r="O26" i="54"/>
  <c r="M113" i="43"/>
  <c r="M26" i="41"/>
  <c r="O109" i="40"/>
  <c r="P109" i="40" s="1"/>
  <c r="M72" i="44"/>
  <c r="O67" i="40"/>
  <c r="P67" i="40" s="1"/>
  <c r="M75" i="41"/>
  <c r="I79" i="41"/>
  <c r="M79" i="41" s="1"/>
  <c r="M31" i="75"/>
  <c r="O31" i="75" s="1"/>
  <c r="O104" i="40"/>
  <c r="P104" i="40" s="1"/>
  <c r="M107" i="43"/>
  <c r="M26" i="44"/>
  <c r="M27" i="44"/>
  <c r="O63" i="40"/>
  <c r="P63" i="40" s="1"/>
  <c r="E29" i="39"/>
  <c r="O41" i="41"/>
  <c r="P41" i="41" s="1"/>
  <c r="O77" i="40"/>
  <c r="O98" i="40"/>
  <c r="P98" i="40" s="1"/>
  <c r="M96" i="43"/>
  <c r="E20" i="37"/>
  <c r="M112" i="43"/>
  <c r="M22" i="41"/>
  <c r="BD21" i="37"/>
  <c r="AE20" i="76" s="1"/>
  <c r="AE20" i="75"/>
  <c r="G20" i="75"/>
  <c r="M20" i="75" s="1"/>
  <c r="O20" i="75" s="1"/>
  <c r="C20" i="60"/>
  <c r="U20" i="60" s="1"/>
  <c r="AQ22" i="41"/>
  <c r="AC22" i="41"/>
  <c r="AD22" i="41" s="1"/>
  <c r="T22" i="41"/>
  <c r="V22" i="41" s="1"/>
  <c r="M34" i="44"/>
  <c r="M103" i="43"/>
  <c r="O55" i="40"/>
  <c r="P55" i="40" s="1"/>
  <c r="O56" i="41"/>
  <c r="P56" i="41" s="1"/>
  <c r="O100" i="40"/>
  <c r="P100" i="40" s="1"/>
  <c r="M74" i="43"/>
  <c r="G41" i="22"/>
  <c r="P75" i="41"/>
  <c r="E26" i="37"/>
  <c r="U26" i="37" s="1"/>
  <c r="W26" i="37" s="1"/>
  <c r="I42" i="19"/>
  <c r="K42" i="19" s="1"/>
  <c r="M42" i="19" s="1"/>
  <c r="F27" i="70" s="1"/>
  <c r="O65" i="40"/>
  <c r="P65" i="40" s="1"/>
  <c r="O18" i="41"/>
  <c r="P18" i="41" s="1"/>
  <c r="M97" i="43"/>
  <c r="K39" i="39"/>
  <c r="Q38" i="41"/>
  <c r="C36" i="60" s="1"/>
  <c r="O111" i="40"/>
  <c r="P111" i="40" s="1"/>
  <c r="G24" i="22"/>
  <c r="O71" i="40"/>
  <c r="P71" i="40" s="1"/>
  <c r="O72" i="40"/>
  <c r="P72" i="40" s="1"/>
  <c r="O105" i="40"/>
  <c r="P105" i="40" s="1"/>
  <c r="C38" i="37"/>
  <c r="C43" i="37" s="1"/>
  <c r="K19" i="39"/>
  <c r="O28" i="41"/>
  <c r="P28" i="41" s="1"/>
  <c r="O99" i="40"/>
  <c r="P99" i="40" s="1"/>
  <c r="O56" i="40"/>
  <c r="P56" i="40" s="1"/>
  <c r="O20" i="41"/>
  <c r="P20" i="41" s="1"/>
  <c r="E27" i="39"/>
  <c r="P26" i="41"/>
  <c r="O63" i="41"/>
  <c r="P63" i="41" s="1"/>
  <c r="E36" i="37"/>
  <c r="M62" i="44"/>
  <c r="E27" i="37"/>
  <c r="K37" i="39"/>
  <c r="I41" i="22"/>
  <c r="G40" i="21"/>
  <c r="G39" i="20"/>
  <c r="U9" i="71"/>
  <c r="V9" i="71" s="1"/>
  <c r="W9" i="71" s="1"/>
  <c r="E39" i="37"/>
  <c r="G32" i="21"/>
  <c r="G27" i="22"/>
  <c r="G21" i="23"/>
  <c r="G36" i="20"/>
  <c r="G34" i="19"/>
  <c r="G21" i="19"/>
  <c r="I43" i="43"/>
  <c r="M43" i="43" s="1"/>
  <c r="O61" i="41"/>
  <c r="P61" i="41" s="1"/>
  <c r="O37" i="41"/>
  <c r="P37" i="41" s="1"/>
  <c r="Q40" i="41"/>
  <c r="C38" i="60" s="1"/>
  <c r="G40" i="20"/>
  <c r="O31" i="41"/>
  <c r="P31" i="41" s="1"/>
  <c r="G24" i="20"/>
  <c r="G41" i="19"/>
  <c r="O27" i="40"/>
  <c r="P27" i="40" s="1"/>
  <c r="O20" i="54"/>
  <c r="Q113" i="40"/>
  <c r="AC113" i="40" s="1"/>
  <c r="AD113" i="40" s="1"/>
  <c r="M41" i="43"/>
  <c r="P19" i="41"/>
  <c r="M19" i="43"/>
  <c r="G26" i="23"/>
  <c r="G33" i="19"/>
  <c r="M110" i="43"/>
  <c r="G17" i="75"/>
  <c r="M17" i="75" s="1"/>
  <c r="O17" i="75" s="1"/>
  <c r="E41" i="37"/>
  <c r="G34" i="22"/>
  <c r="O95" i="40"/>
  <c r="P95" i="40" s="1"/>
  <c r="O106" i="40"/>
  <c r="P106" i="40" s="1"/>
  <c r="M32" i="44"/>
  <c r="O58" i="40"/>
  <c r="P58" i="40" s="1"/>
  <c r="M57" i="43"/>
  <c r="Q39" i="41"/>
  <c r="O54" i="40"/>
  <c r="P54" i="40" s="1"/>
  <c r="I79" i="44"/>
  <c r="M79" i="44" s="1"/>
  <c r="K28" i="52"/>
  <c r="M28" i="52" s="1"/>
  <c r="M61" i="44"/>
  <c r="M75" i="44"/>
  <c r="M94" i="43"/>
  <c r="M61" i="43"/>
  <c r="K38" i="52"/>
  <c r="M38" i="52" s="1"/>
  <c r="O38" i="52" s="1"/>
  <c r="E41" i="39"/>
  <c r="G41" i="20"/>
  <c r="G37" i="20"/>
  <c r="O19" i="40"/>
  <c r="P19" i="40" s="1"/>
  <c r="P27" i="41"/>
  <c r="I36" i="44"/>
  <c r="M36" i="44" s="1"/>
  <c r="T3" i="71"/>
  <c r="E37" i="37"/>
  <c r="M73" i="44"/>
  <c r="O73" i="41"/>
  <c r="P73" i="41" s="1"/>
  <c r="I31" i="22"/>
  <c r="G30" i="22"/>
  <c r="G31" i="22"/>
  <c r="G23" i="22"/>
  <c r="G22" i="22"/>
  <c r="G29" i="22"/>
  <c r="G25" i="22"/>
  <c r="I32" i="20"/>
  <c r="G32" i="20"/>
  <c r="I35" i="22"/>
  <c r="G35" i="22"/>
  <c r="M33" i="44"/>
  <c r="O33" i="41"/>
  <c r="P33" i="41" s="1"/>
  <c r="O59" i="40"/>
  <c r="I79" i="43"/>
  <c r="M79" i="43" s="1"/>
  <c r="M59" i="43"/>
  <c r="G28" i="19"/>
  <c r="I29" i="19"/>
  <c r="I39" i="21"/>
  <c r="G37" i="21"/>
  <c r="G39" i="21"/>
  <c r="G38" i="21"/>
  <c r="I21" i="22"/>
  <c r="G21" i="22"/>
  <c r="G20" i="22"/>
  <c r="M93" i="43"/>
  <c r="O93" i="40"/>
  <c r="P93" i="40" s="1"/>
  <c r="O40" i="41"/>
  <c r="P40" i="41" s="1"/>
  <c r="M40" i="44"/>
  <c r="G31" i="20"/>
  <c r="G38" i="20"/>
  <c r="I29" i="20"/>
  <c r="G28" i="20"/>
  <c r="M62" i="43"/>
  <c r="O62" i="40"/>
  <c r="P62" i="40" s="1"/>
  <c r="Q21" i="41"/>
  <c r="AQ21" i="41" s="1"/>
  <c r="M21" i="41"/>
  <c r="M38" i="44"/>
  <c r="O38" i="41"/>
  <c r="P38" i="41" s="1"/>
  <c r="G31" i="21"/>
  <c r="G30" i="21"/>
  <c r="G27" i="21"/>
  <c r="G29" i="21"/>
  <c r="I31" i="21"/>
  <c r="G25" i="21"/>
  <c r="G26" i="21"/>
  <c r="O91" i="40"/>
  <c r="M91" i="43"/>
  <c r="I34" i="19"/>
  <c r="G32" i="19"/>
  <c r="G31" i="19"/>
  <c r="O73" i="40"/>
  <c r="P73" i="40" s="1"/>
  <c r="M73" i="43"/>
  <c r="M68" i="43"/>
  <c r="O68" i="40"/>
  <c r="P68" i="40" s="1"/>
  <c r="I27" i="19"/>
  <c r="G20" i="19"/>
  <c r="G22" i="19"/>
  <c r="G23" i="19"/>
  <c r="G26" i="19"/>
  <c r="G24" i="19"/>
  <c r="G28" i="22"/>
  <c r="G21" i="20"/>
  <c r="I38" i="20"/>
  <c r="M76" i="43"/>
  <c r="G32" i="22"/>
  <c r="G33" i="22"/>
  <c r="G26" i="20"/>
  <c r="M60" i="44"/>
  <c r="O60" i="41"/>
  <c r="P60" i="41" s="1"/>
  <c r="I115" i="43"/>
  <c r="M115" i="43" s="1"/>
  <c r="M108" i="43"/>
  <c r="O40" i="40"/>
  <c r="P40" i="40" s="1"/>
  <c r="M40" i="43"/>
  <c r="E40" i="39"/>
  <c r="G27" i="20"/>
  <c r="O69" i="40"/>
  <c r="P69" i="40" s="1"/>
  <c r="AE17" i="75"/>
  <c r="BD18" i="37"/>
  <c r="AE17" i="76" s="1"/>
  <c r="M24" i="43"/>
  <c r="O24" i="40"/>
  <c r="P24" i="40" s="1"/>
  <c r="I40" i="22"/>
  <c r="G36" i="22"/>
  <c r="G40" i="22"/>
  <c r="G38" i="22"/>
  <c r="G39" i="22"/>
  <c r="G37" i="22"/>
  <c r="I24" i="21"/>
  <c r="G21" i="21"/>
  <c r="G20" i="21"/>
  <c r="G19" i="21"/>
  <c r="G22" i="21"/>
  <c r="G23" i="21"/>
  <c r="G24" i="21"/>
  <c r="O21" i="41"/>
  <c r="P21" i="41" s="1"/>
  <c r="M21" i="44"/>
  <c r="M70" i="43"/>
  <c r="O70" i="40"/>
  <c r="P70" i="40" s="1"/>
  <c r="G36" i="21"/>
  <c r="I36" i="21"/>
  <c r="G35" i="21"/>
  <c r="I19" i="22"/>
  <c r="G19" i="22"/>
  <c r="I40" i="19"/>
  <c r="G39" i="19"/>
  <c r="G35" i="19"/>
  <c r="G36" i="19"/>
  <c r="G37" i="19"/>
  <c r="I30" i="20"/>
  <c r="G30" i="20"/>
  <c r="M32" i="41"/>
  <c r="P32" i="41"/>
  <c r="I36" i="20"/>
  <c r="G34" i="20"/>
  <c r="G33" i="20"/>
  <c r="G35" i="20"/>
  <c r="I33" i="23"/>
  <c r="G33" i="23"/>
  <c r="G31" i="23"/>
  <c r="G28" i="23"/>
  <c r="G27" i="23"/>
  <c r="G29" i="23"/>
  <c r="G30" i="23"/>
  <c r="I34" i="21"/>
  <c r="G33" i="21"/>
  <c r="G34" i="21"/>
  <c r="I30" i="19"/>
  <c r="G30" i="19"/>
  <c r="M60" i="43"/>
  <c r="O60" i="40"/>
  <c r="P60" i="40" s="1"/>
  <c r="R42" i="52"/>
  <c r="G25" i="19"/>
  <c r="G40" i="19"/>
  <c r="G27" i="19"/>
  <c r="P34" i="41"/>
  <c r="G38" i="19"/>
  <c r="G28" i="21"/>
  <c r="M24" i="54"/>
  <c r="M42" i="54" s="1"/>
  <c r="O42" i="54" s="1"/>
  <c r="K42" i="54"/>
  <c r="G29" i="19"/>
  <c r="I25" i="23"/>
  <c r="G25" i="23"/>
  <c r="G19" i="23"/>
  <c r="G24" i="23"/>
  <c r="G22" i="23"/>
  <c r="G23" i="23"/>
  <c r="G20" i="23"/>
  <c r="I24" i="20"/>
  <c r="G22" i="20"/>
  <c r="G23" i="20"/>
  <c r="M23" i="44"/>
  <c r="O23" i="41"/>
  <c r="K37" i="52"/>
  <c r="M37" i="52" s="1"/>
  <c r="O37" i="52" s="1"/>
  <c r="G19" i="19"/>
  <c r="G19" i="20"/>
  <c r="E24" i="39"/>
  <c r="G25" i="20"/>
  <c r="O25" i="41"/>
  <c r="P25" i="41" s="1"/>
  <c r="M23" i="43"/>
  <c r="O23" i="40"/>
  <c r="P23" i="40" s="1"/>
  <c r="I43" i="41"/>
  <c r="M43" i="41" s="1"/>
  <c r="T26" i="41"/>
  <c r="AN26" i="41" s="1"/>
  <c r="AO26" i="41" s="1"/>
  <c r="AQ26" i="41"/>
  <c r="AC26" i="41"/>
  <c r="AD26" i="41" s="1"/>
  <c r="C17" i="64"/>
  <c r="G32" i="23"/>
  <c r="G40" i="23"/>
  <c r="G36" i="23"/>
  <c r="I41" i="23"/>
  <c r="G39" i="23"/>
  <c r="G34" i="23"/>
  <c r="G41" i="23"/>
  <c r="G38" i="23"/>
  <c r="G35" i="23"/>
  <c r="O39" i="41"/>
  <c r="P39" i="41" s="1"/>
  <c r="AI18" i="75"/>
  <c r="AJ18" i="75" s="1"/>
  <c r="AE18" i="75"/>
  <c r="G29" i="20"/>
  <c r="G26" i="22"/>
  <c r="G20" i="20"/>
  <c r="G37" i="23"/>
  <c r="V23" i="80"/>
  <c r="AD23" i="80" s="1"/>
  <c r="W33" i="58"/>
  <c r="O33" i="58"/>
  <c r="C33" i="59"/>
  <c r="AC107" i="40"/>
  <c r="AD107" i="40" s="1"/>
  <c r="T107" i="40"/>
  <c r="C26" i="63"/>
  <c r="AS71" i="41"/>
  <c r="AS59" i="41"/>
  <c r="AV59" i="41" s="1"/>
  <c r="T95" i="40"/>
  <c r="C21" i="59"/>
  <c r="AC95" i="40"/>
  <c r="AD95" i="40" s="1"/>
  <c r="M21" i="60"/>
  <c r="U21" i="60"/>
  <c r="AN23" i="41"/>
  <c r="AO23" i="41" s="1"/>
  <c r="U23" i="41"/>
  <c r="V23" i="41"/>
  <c r="V20" i="80"/>
  <c r="AD20" i="80" s="1"/>
  <c r="W30" i="58"/>
  <c r="O30" i="58"/>
  <c r="AC92" i="40"/>
  <c r="AD92" i="40" s="1"/>
  <c r="C18" i="59"/>
  <c r="T92" i="40"/>
  <c r="AS56" i="41"/>
  <c r="AV56" i="41" s="1"/>
  <c r="U20" i="41"/>
  <c r="AN20" i="41"/>
  <c r="AO20" i="41" s="1"/>
  <c r="V20" i="41"/>
  <c r="U18" i="60"/>
  <c r="M18" i="60"/>
  <c r="O21" i="58"/>
  <c r="W21" i="58"/>
  <c r="V11" i="80"/>
  <c r="AD11" i="80" s="1"/>
  <c r="M35" i="60"/>
  <c r="U35" i="60"/>
  <c r="W18" i="58"/>
  <c r="O18" i="58"/>
  <c r="V8" i="80"/>
  <c r="AD8" i="80" s="1"/>
  <c r="AC104" i="40"/>
  <c r="AD104" i="40" s="1"/>
  <c r="T104" i="40"/>
  <c r="C30" i="59"/>
  <c r="C23" i="63"/>
  <c r="AS68" i="41"/>
  <c r="O22" i="54"/>
  <c r="K23" i="39"/>
  <c r="O25" i="40"/>
  <c r="P25" i="40" s="1"/>
  <c r="M25" i="43"/>
  <c r="E25" i="39"/>
  <c r="K34" i="52"/>
  <c r="M34" i="52" s="1"/>
  <c r="U34" i="52"/>
  <c r="O71" i="41"/>
  <c r="P71" i="41" s="1"/>
  <c r="E35" i="37"/>
  <c r="M71" i="44"/>
  <c r="U24" i="52"/>
  <c r="K24" i="52"/>
  <c r="M24" i="52" s="1"/>
  <c r="AI23" i="75"/>
  <c r="AJ23" i="75" s="1"/>
  <c r="BD24" i="37"/>
  <c r="AE23" i="76" s="1"/>
  <c r="AE23" i="75"/>
  <c r="G23" i="75"/>
  <c r="O15" i="77"/>
  <c r="U23" i="52"/>
  <c r="K23" i="52"/>
  <c r="M23" i="52" s="1"/>
  <c r="O31" i="40"/>
  <c r="P31" i="40" s="1"/>
  <c r="M31" i="43"/>
  <c r="E31" i="39"/>
  <c r="K31" i="39"/>
  <c r="O30" i="54"/>
  <c r="AK27" i="39"/>
  <c r="AB27" i="39"/>
  <c r="K40" i="52"/>
  <c r="M40" i="52" s="1"/>
  <c r="U40" i="52"/>
  <c r="O68" i="41"/>
  <c r="P68" i="41" s="1"/>
  <c r="E32" i="37"/>
  <c r="K31" i="52"/>
  <c r="M31" i="52" s="1"/>
  <c r="U31" i="52"/>
  <c r="O20" i="40"/>
  <c r="P20" i="40" s="1"/>
  <c r="M20" i="43"/>
  <c r="E20" i="39"/>
  <c r="K20" i="39"/>
  <c r="O19" i="54"/>
  <c r="M74" i="44"/>
  <c r="E38" i="37"/>
  <c r="O74" i="41"/>
  <c r="P74" i="41" s="1"/>
  <c r="M65" i="44"/>
  <c r="E29" i="37"/>
  <c r="O65" i="41"/>
  <c r="P65" i="41" s="1"/>
  <c r="O37" i="40"/>
  <c r="P37" i="40" s="1"/>
  <c r="M37" i="43"/>
  <c r="E37" i="39"/>
  <c r="K19" i="52"/>
  <c r="M19" i="52" s="1"/>
  <c r="U19" i="52"/>
  <c r="AE19" i="75"/>
  <c r="AI19" i="75"/>
  <c r="AJ19" i="75" s="1"/>
  <c r="BD20" i="37"/>
  <c r="AE19" i="76" s="1"/>
  <c r="G19" i="75"/>
  <c r="I41" i="21"/>
  <c r="G41" i="21"/>
  <c r="G42" i="21"/>
  <c r="I42" i="21"/>
  <c r="K42" i="21" s="1"/>
  <c r="K28" i="39"/>
  <c r="U28" i="39" s="1"/>
  <c r="O27" i="54"/>
  <c r="O28" i="40"/>
  <c r="P28" i="40" s="1"/>
  <c r="E28" i="39"/>
  <c r="M28" i="43"/>
  <c r="O35" i="40"/>
  <c r="P35" i="40" s="1"/>
  <c r="E35" i="39"/>
  <c r="M35" i="43"/>
  <c r="O34" i="54"/>
  <c r="K35" i="39"/>
  <c r="U35" i="39" s="1"/>
  <c r="O32" i="40"/>
  <c r="P32" i="40" s="1"/>
  <c r="E32" i="39"/>
  <c r="K32" i="39"/>
  <c r="AK32" i="39" s="1"/>
  <c r="O31" i="54"/>
  <c r="U25" i="52"/>
  <c r="K25" i="52"/>
  <c r="M25" i="52" s="1"/>
  <c r="G42" i="20"/>
  <c r="I42" i="20"/>
  <c r="K39" i="20" s="1"/>
  <c r="U30" i="52"/>
  <c r="K30" i="52"/>
  <c r="M30" i="52" s="1"/>
  <c r="M67" i="44"/>
  <c r="E31" i="37"/>
  <c r="O67" i="41"/>
  <c r="P67" i="41" s="1"/>
  <c r="K29" i="39"/>
  <c r="U29" i="39" s="1"/>
  <c r="O28" i="54"/>
  <c r="U22" i="52"/>
  <c r="K22" i="52"/>
  <c r="BD23" i="37"/>
  <c r="AE22" i="76" s="1"/>
  <c r="G22" i="75"/>
  <c r="E23" i="37"/>
  <c r="O59" i="41"/>
  <c r="P59" i="41" s="1"/>
  <c r="O34" i="40"/>
  <c r="P34" i="40" s="1"/>
  <c r="M34" i="43"/>
  <c r="E34" i="39"/>
  <c r="O33" i="54"/>
  <c r="K34" i="39"/>
  <c r="M76" i="44"/>
  <c r="O76" i="41"/>
  <c r="P76" i="41" s="1"/>
  <c r="U39" i="52"/>
  <c r="K39" i="52"/>
  <c r="M39" i="52" s="1"/>
  <c r="E18" i="37"/>
  <c r="M54" i="44"/>
  <c r="O54" i="41"/>
  <c r="K17" i="52"/>
  <c r="M17" i="52" s="1"/>
  <c r="U17" i="52"/>
  <c r="O25" i="54"/>
  <c r="K26" i="39"/>
  <c r="O26" i="40"/>
  <c r="P26" i="40" s="1"/>
  <c r="E26" i="39"/>
  <c r="U26" i="39" s="1"/>
  <c r="M26" i="43"/>
  <c r="O21" i="40"/>
  <c r="P21" i="40" s="1"/>
  <c r="E21" i="39"/>
  <c r="M21" i="43"/>
  <c r="O36" i="40"/>
  <c r="P36" i="40" s="1"/>
  <c r="E36" i="39"/>
  <c r="M36" i="43"/>
  <c r="O35" i="54"/>
  <c r="K36" i="39"/>
  <c r="U36" i="39" s="1"/>
  <c r="O39" i="54"/>
  <c r="K40" i="39"/>
  <c r="U20" i="52"/>
  <c r="K20" i="52"/>
  <c r="M20" i="52" s="1"/>
  <c r="O57" i="41"/>
  <c r="P57" i="41" s="1"/>
  <c r="M57" i="44"/>
  <c r="E21" i="37"/>
  <c r="G42" i="23"/>
  <c r="I42" i="23"/>
  <c r="O33" i="40"/>
  <c r="P33" i="40" s="1"/>
  <c r="M33" i="43"/>
  <c r="E33" i="39"/>
  <c r="K33" i="39"/>
  <c r="U33" i="39" s="1"/>
  <c r="O32" i="54"/>
  <c r="U35" i="52"/>
  <c r="K35" i="52"/>
  <c r="M35" i="52" s="1"/>
  <c r="O69" i="41"/>
  <c r="P69" i="41" s="1"/>
  <c r="M69" i="44"/>
  <c r="U32" i="52"/>
  <c r="K32" i="52"/>
  <c r="M32" i="52" s="1"/>
  <c r="K36" i="52"/>
  <c r="M36" i="52" s="1"/>
  <c r="U36" i="52"/>
  <c r="O23" i="54"/>
  <c r="K24" i="39"/>
  <c r="I42" i="22"/>
  <c r="G42" i="22"/>
  <c r="E34" i="37"/>
  <c r="O70" i="41"/>
  <c r="P70" i="41" s="1"/>
  <c r="M70" i="44"/>
  <c r="U33" i="52"/>
  <c r="K33" i="52"/>
  <c r="M33" i="52" s="1"/>
  <c r="E30" i="37"/>
  <c r="M66" i="44"/>
  <c r="O66" i="41"/>
  <c r="P66" i="41" s="1"/>
  <c r="K29" i="52"/>
  <c r="M29" i="52" s="1"/>
  <c r="U29" i="52"/>
  <c r="O22" i="40"/>
  <c r="P22" i="40" s="1"/>
  <c r="M22" i="43"/>
  <c r="E22" i="39"/>
  <c r="O21" i="54"/>
  <c r="K22" i="39"/>
  <c r="O39" i="40"/>
  <c r="P39" i="40" s="1"/>
  <c r="E39" i="39"/>
  <c r="M39" i="43"/>
  <c r="O18" i="40"/>
  <c r="P18" i="40" s="1"/>
  <c r="E18" i="39"/>
  <c r="M18" i="43"/>
  <c r="K30" i="39"/>
  <c r="U30" i="39" s="1"/>
  <c r="O29" i="54"/>
  <c r="O30" i="40"/>
  <c r="P30" i="40" s="1"/>
  <c r="M30" i="43"/>
  <c r="E30" i="39"/>
  <c r="AE21" i="75"/>
  <c r="BD22" i="37"/>
  <c r="AI21" i="75"/>
  <c r="AJ21" i="75" s="1"/>
  <c r="G21" i="75"/>
  <c r="M58" i="44"/>
  <c r="E22" i="37"/>
  <c r="U21" i="52"/>
  <c r="K21" i="52"/>
  <c r="M21" i="52" s="1"/>
  <c r="O40" i="54"/>
  <c r="K41" i="39"/>
  <c r="P41" i="40"/>
  <c r="Q41" i="40"/>
  <c r="U18" i="52"/>
  <c r="K18" i="52"/>
  <c r="M18" i="52" s="1"/>
  <c r="G18" i="75"/>
  <c r="BD19" i="37"/>
  <c r="AE18" i="76" s="1"/>
  <c r="K26" i="52"/>
  <c r="M26" i="52" s="1"/>
  <c r="U26" i="52"/>
  <c r="U27" i="52"/>
  <c r="K27" i="52"/>
  <c r="M27" i="52" s="1"/>
  <c r="O64" i="41"/>
  <c r="P64" i="41" s="1"/>
  <c r="M64" i="44"/>
  <c r="W19" i="59"/>
  <c r="W9" i="80"/>
  <c r="AE9" i="80" s="1"/>
  <c r="O19" i="59"/>
  <c r="O38" i="40"/>
  <c r="E38" i="39"/>
  <c r="M38" i="43"/>
  <c r="M26" i="77"/>
  <c r="M19" i="77"/>
  <c r="M27" i="77" s="1"/>
  <c r="K38" i="39"/>
  <c r="O37" i="54"/>
  <c r="M24" i="60"/>
  <c r="O24" i="60" s="1"/>
  <c r="O46" i="58"/>
  <c r="O47" i="58"/>
  <c r="O45" i="58"/>
  <c r="AC24" i="41" l="1"/>
  <c r="AD24" i="41" s="1"/>
  <c r="T24" i="41"/>
  <c r="U24" i="41" s="1"/>
  <c r="C22" i="60"/>
  <c r="M22" i="60" s="1"/>
  <c r="W22" i="60" s="1"/>
  <c r="K36" i="19"/>
  <c r="M36" i="19" s="1"/>
  <c r="F21" i="70" s="1"/>
  <c r="K35" i="22"/>
  <c r="M35" i="22" s="1"/>
  <c r="C20" i="70" s="1"/>
  <c r="Q41" i="41"/>
  <c r="T41" i="41" s="1"/>
  <c r="AF20" i="75"/>
  <c r="T113" i="40"/>
  <c r="AG113" i="40" s="1"/>
  <c r="M20" i="60"/>
  <c r="X10" i="80" s="1"/>
  <c r="AF10" i="80" s="1"/>
  <c r="K39" i="37"/>
  <c r="K35" i="19"/>
  <c r="M35" i="19" s="1"/>
  <c r="F20" i="70" s="1"/>
  <c r="K32" i="19"/>
  <c r="M32" i="19" s="1"/>
  <c r="F17" i="70" s="1"/>
  <c r="K39" i="19"/>
  <c r="M39" i="19" s="1"/>
  <c r="F24" i="70" s="1"/>
  <c r="K38" i="37"/>
  <c r="K38" i="20"/>
  <c r="M38" i="20" s="1"/>
  <c r="E23" i="70" s="1"/>
  <c r="K21" i="22"/>
  <c r="M21" i="22" s="1"/>
  <c r="C6" i="70" s="1"/>
  <c r="P77" i="40"/>
  <c r="Q77" i="40"/>
  <c r="AL20" i="75"/>
  <c r="AM20" i="75" s="1"/>
  <c r="E24" i="32"/>
  <c r="M24" i="32" s="1"/>
  <c r="O24" i="32" s="1"/>
  <c r="S24" i="32" s="1"/>
  <c r="C25" i="75" s="1"/>
  <c r="E25" i="75" s="1"/>
  <c r="G25" i="75" s="1"/>
  <c r="M25" i="75" s="1"/>
  <c r="O25" i="75" s="1"/>
  <c r="K31" i="23"/>
  <c r="M31" i="23" s="1"/>
  <c r="B16" i="70" s="1"/>
  <c r="K29" i="19"/>
  <c r="M29" i="19" s="1"/>
  <c r="F14" i="70" s="1"/>
  <c r="AN22" i="41"/>
  <c r="AO22" i="41" s="1"/>
  <c r="U22" i="41"/>
  <c r="AC38" i="41"/>
  <c r="AD38" i="41" s="1"/>
  <c r="K41" i="19"/>
  <c r="M41" i="19" s="1"/>
  <c r="F26" i="70" s="1"/>
  <c r="S27" i="29"/>
  <c r="AB26" i="37"/>
  <c r="AK26" i="37" s="1"/>
  <c r="AQ40" i="41"/>
  <c r="C31" i="64"/>
  <c r="T40" i="41"/>
  <c r="AN40" i="41" s="1"/>
  <c r="AO40" i="41" s="1"/>
  <c r="AC40" i="41"/>
  <c r="AD40" i="41" s="1"/>
  <c r="M39" i="20"/>
  <c r="E24" i="70" s="1"/>
  <c r="AC21" i="41"/>
  <c r="AD21" i="41" s="1"/>
  <c r="U36" i="60"/>
  <c r="M36" i="60"/>
  <c r="O36" i="60" s="1"/>
  <c r="C29" i="64"/>
  <c r="AQ38" i="41"/>
  <c r="O24" i="54"/>
  <c r="M42" i="21"/>
  <c r="D27" i="70" s="1"/>
  <c r="T38" i="41"/>
  <c r="AN38" i="41" s="1"/>
  <c r="AO38" i="41" s="1"/>
  <c r="Q115" i="40"/>
  <c r="O36" i="41"/>
  <c r="P36" i="41" s="1"/>
  <c r="K23" i="20"/>
  <c r="M23" i="20" s="1"/>
  <c r="E8" i="70" s="1"/>
  <c r="C39" i="59"/>
  <c r="U39" i="59" s="1"/>
  <c r="C32" i="63"/>
  <c r="C34" i="63" s="1"/>
  <c r="AS77" i="41"/>
  <c r="Q77" i="41" s="1"/>
  <c r="AC77" i="41" s="1"/>
  <c r="AD77" i="41" s="1"/>
  <c r="AL17" i="75"/>
  <c r="AM17" i="75" s="1"/>
  <c r="I43" i="44"/>
  <c r="M43" i="44" s="1"/>
  <c r="K29" i="22"/>
  <c r="M29" i="22" s="1"/>
  <c r="C14" i="70" s="1"/>
  <c r="K36" i="23"/>
  <c r="M36" i="23" s="1"/>
  <c r="B21" i="70" s="1"/>
  <c r="K26" i="22"/>
  <c r="M26" i="22" s="1"/>
  <c r="C11" i="70" s="1"/>
  <c r="K33" i="19"/>
  <c r="M33" i="19" s="1"/>
  <c r="F18" i="70" s="1"/>
  <c r="K25" i="39"/>
  <c r="U25" i="39" s="1"/>
  <c r="W25" i="39" s="1"/>
  <c r="K38" i="19"/>
  <c r="M38" i="19" s="1"/>
  <c r="F23" i="70" s="1"/>
  <c r="M28" i="77"/>
  <c r="K40" i="19"/>
  <c r="M40" i="19" s="1"/>
  <c r="F25" i="70" s="1"/>
  <c r="K37" i="19"/>
  <c r="M37" i="19" s="1"/>
  <c r="F22" i="70" s="1"/>
  <c r="K19" i="19"/>
  <c r="M19" i="19" s="1"/>
  <c r="F4" i="70" s="1"/>
  <c r="K28" i="20"/>
  <c r="M28" i="20" s="1"/>
  <c r="E13" i="70" s="1"/>
  <c r="K31" i="20"/>
  <c r="M31" i="20" s="1"/>
  <c r="E16" i="70" s="1"/>
  <c r="U10" i="71"/>
  <c r="AC115" i="40"/>
  <c r="K25" i="20"/>
  <c r="M25" i="20" s="1"/>
  <c r="E10" i="70" s="1"/>
  <c r="O28" i="52"/>
  <c r="K29" i="37"/>
  <c r="U29" i="37" s="1"/>
  <c r="T39" i="41"/>
  <c r="AN39" i="41" s="1"/>
  <c r="AO39" i="41" s="1"/>
  <c r="AC39" i="41"/>
  <c r="AD39" i="41" s="1"/>
  <c r="C37" i="60"/>
  <c r="AQ39" i="41"/>
  <c r="C30" i="64"/>
  <c r="E43" i="37"/>
  <c r="K34" i="22"/>
  <c r="M34" i="22" s="1"/>
  <c r="C19" i="70" s="1"/>
  <c r="K24" i="19"/>
  <c r="M24" i="19" s="1"/>
  <c r="F9" i="70" s="1"/>
  <c r="K22" i="19"/>
  <c r="M22" i="19" s="1"/>
  <c r="F7" i="70" s="1"/>
  <c r="K25" i="19"/>
  <c r="M25" i="19" s="1"/>
  <c r="F10" i="70" s="1"/>
  <c r="K27" i="19"/>
  <c r="M27" i="19" s="1"/>
  <c r="F12" i="70" s="1"/>
  <c r="K20" i="19"/>
  <c r="M20" i="19" s="1"/>
  <c r="F5" i="70" s="1"/>
  <c r="K23" i="19"/>
  <c r="M23" i="19" s="1"/>
  <c r="F8" i="70" s="1"/>
  <c r="K28" i="19"/>
  <c r="M28" i="19" s="1"/>
  <c r="F13" i="70" s="1"/>
  <c r="K26" i="19"/>
  <c r="M26" i="19" s="1"/>
  <c r="F11" i="70" s="1"/>
  <c r="K21" i="19"/>
  <c r="M21" i="19" s="1"/>
  <c r="F6" i="70" s="1"/>
  <c r="K23" i="21"/>
  <c r="M23" i="21" s="1"/>
  <c r="D8" i="70" s="1"/>
  <c r="K19" i="21"/>
  <c r="M19" i="21" s="1"/>
  <c r="K24" i="21"/>
  <c r="M24" i="21" s="1"/>
  <c r="D9" i="70" s="1"/>
  <c r="K22" i="21"/>
  <c r="M22" i="21" s="1"/>
  <c r="D7" i="70" s="1"/>
  <c r="K20" i="21"/>
  <c r="M20" i="21" s="1"/>
  <c r="D5" i="70" s="1"/>
  <c r="K21" i="21"/>
  <c r="M21" i="21" s="1"/>
  <c r="D6" i="70" s="1"/>
  <c r="K24" i="20"/>
  <c r="M24" i="20" s="1"/>
  <c r="E9" i="70" s="1"/>
  <c r="K27" i="20"/>
  <c r="M27" i="20" s="1"/>
  <c r="E12" i="70" s="1"/>
  <c r="K33" i="20"/>
  <c r="M33" i="20" s="1"/>
  <c r="E18" i="70" s="1"/>
  <c r="K34" i="20"/>
  <c r="M34" i="20" s="1"/>
  <c r="E19" i="70" s="1"/>
  <c r="K29" i="20"/>
  <c r="M29" i="20" s="1"/>
  <c r="E14" i="70" s="1"/>
  <c r="K30" i="20"/>
  <c r="M30" i="20" s="1"/>
  <c r="E15" i="70" s="1"/>
  <c r="K37" i="20"/>
  <c r="M37" i="20" s="1"/>
  <c r="E22" i="70" s="1"/>
  <c r="K35" i="20"/>
  <c r="M35" i="20" s="1"/>
  <c r="E20" i="70" s="1"/>
  <c r="K26" i="20"/>
  <c r="M26" i="20" s="1"/>
  <c r="E11" i="70" s="1"/>
  <c r="K34" i="19"/>
  <c r="M34" i="19" s="1"/>
  <c r="F19" i="70" s="1"/>
  <c r="K31" i="19"/>
  <c r="M31" i="19" s="1"/>
  <c r="F16" i="70" s="1"/>
  <c r="K22" i="22"/>
  <c r="M22" i="22" s="1"/>
  <c r="C7" i="70" s="1"/>
  <c r="K25" i="22"/>
  <c r="M25" i="22" s="1"/>
  <c r="C10" i="70" s="1"/>
  <c r="K20" i="22"/>
  <c r="M20" i="22" s="1"/>
  <c r="C5" i="70" s="1"/>
  <c r="K19" i="22"/>
  <c r="M19" i="22" s="1"/>
  <c r="C4" i="70" s="1"/>
  <c r="K27" i="22"/>
  <c r="M27" i="22" s="1"/>
  <c r="C12" i="70" s="1"/>
  <c r="K23" i="22"/>
  <c r="M23" i="22" s="1"/>
  <c r="C8" i="70" s="1"/>
  <c r="K30" i="22"/>
  <c r="M30" i="22" s="1"/>
  <c r="C15" i="70" s="1"/>
  <c r="K28" i="22"/>
  <c r="M28" i="22" s="1"/>
  <c r="C13" i="70" s="1"/>
  <c r="K31" i="22"/>
  <c r="M31" i="22" s="1"/>
  <c r="C16" i="70" s="1"/>
  <c r="K24" i="22"/>
  <c r="M24" i="22" s="1"/>
  <c r="C9" i="70" s="1"/>
  <c r="K30" i="19"/>
  <c r="M30" i="19" s="1"/>
  <c r="F15" i="70" s="1"/>
  <c r="P23" i="41"/>
  <c r="K22" i="20"/>
  <c r="M22" i="20" s="1"/>
  <c r="E7" i="70" s="1"/>
  <c r="K19" i="20"/>
  <c r="M19" i="20" s="1"/>
  <c r="E4" i="70" s="1"/>
  <c r="K21" i="20"/>
  <c r="M21" i="20" s="1"/>
  <c r="E6" i="70" s="1"/>
  <c r="K20" i="20"/>
  <c r="M20" i="20" s="1"/>
  <c r="E5" i="70" s="1"/>
  <c r="K42" i="22"/>
  <c r="M42" i="22" s="1"/>
  <c r="C27" i="70" s="1"/>
  <c r="K37" i="22"/>
  <c r="M37" i="22" s="1"/>
  <c r="C22" i="70" s="1"/>
  <c r="K36" i="22"/>
  <c r="M36" i="22" s="1"/>
  <c r="C21" i="70" s="1"/>
  <c r="K41" i="22"/>
  <c r="M41" i="22" s="1"/>
  <c r="C26" i="70" s="1"/>
  <c r="K40" i="22"/>
  <c r="M40" i="22" s="1"/>
  <c r="C25" i="70" s="1"/>
  <c r="K33" i="22"/>
  <c r="M33" i="22" s="1"/>
  <c r="C18" i="70" s="1"/>
  <c r="K39" i="22"/>
  <c r="M39" i="22" s="1"/>
  <c r="C24" i="70" s="1"/>
  <c r="K32" i="22"/>
  <c r="M32" i="22" s="1"/>
  <c r="C17" i="70" s="1"/>
  <c r="K38" i="22"/>
  <c r="M38" i="22" s="1"/>
  <c r="C23" i="70" s="1"/>
  <c r="Q31" i="32"/>
  <c r="AB33" i="39"/>
  <c r="W33" i="39"/>
  <c r="K42" i="23"/>
  <c r="M42" i="23" s="1"/>
  <c r="B27" i="70" s="1"/>
  <c r="K24" i="23"/>
  <c r="M24" i="23" s="1"/>
  <c r="B9" i="70" s="1"/>
  <c r="K33" i="23"/>
  <c r="M33" i="23" s="1"/>
  <c r="B18" i="70" s="1"/>
  <c r="K37" i="23"/>
  <c r="M37" i="23" s="1"/>
  <c r="B22" i="70" s="1"/>
  <c r="K32" i="23"/>
  <c r="M32" i="23" s="1"/>
  <c r="B17" i="70" s="1"/>
  <c r="K26" i="23"/>
  <c r="M26" i="23" s="1"/>
  <c r="B11" i="70" s="1"/>
  <c r="K23" i="23"/>
  <c r="M23" i="23" s="1"/>
  <c r="B8" i="70" s="1"/>
  <c r="K20" i="23"/>
  <c r="M20" i="23" s="1"/>
  <c r="B5" i="70" s="1"/>
  <c r="K29" i="23"/>
  <c r="M29" i="23" s="1"/>
  <c r="B14" i="70" s="1"/>
  <c r="K39" i="23"/>
  <c r="M39" i="23" s="1"/>
  <c r="B24" i="70" s="1"/>
  <c r="K19" i="23"/>
  <c r="M19" i="23" s="1"/>
  <c r="B4" i="70" s="1"/>
  <c r="K28" i="23"/>
  <c r="M28" i="23" s="1"/>
  <c r="B13" i="70" s="1"/>
  <c r="K38" i="23"/>
  <c r="M38" i="23" s="1"/>
  <c r="B23" i="70" s="1"/>
  <c r="P54" i="41"/>
  <c r="O79" i="41"/>
  <c r="P79" i="41" s="1"/>
  <c r="M22" i="52"/>
  <c r="K42" i="52"/>
  <c r="M19" i="75"/>
  <c r="O19" i="75" s="1"/>
  <c r="AL19" i="75"/>
  <c r="AM19" i="75" s="1"/>
  <c r="AD27" i="39"/>
  <c r="AG27" i="39"/>
  <c r="K27" i="23"/>
  <c r="M27" i="23" s="1"/>
  <c r="B12" i="70" s="1"/>
  <c r="O27" i="52"/>
  <c r="K28" i="37"/>
  <c r="U28" i="37" s="1"/>
  <c r="AQ77" i="41"/>
  <c r="AQ79" i="41" s="1"/>
  <c r="C32" i="61"/>
  <c r="C34" i="61" s="1"/>
  <c r="AC41" i="40"/>
  <c r="C39" i="57"/>
  <c r="Q43" i="40"/>
  <c r="T41" i="40"/>
  <c r="K22" i="37"/>
  <c r="O21" i="52"/>
  <c r="M21" i="75"/>
  <c r="O21" i="75" s="1"/>
  <c r="AL21" i="75"/>
  <c r="AM21" i="75" s="1"/>
  <c r="AB30" i="39"/>
  <c r="Q28" i="32"/>
  <c r="O32" i="52"/>
  <c r="K33" i="37"/>
  <c r="U33" i="37" s="1"/>
  <c r="O35" i="52"/>
  <c r="K36" i="37"/>
  <c r="U36" i="37" s="1"/>
  <c r="O20" i="52"/>
  <c r="K21" i="37"/>
  <c r="W36" i="39"/>
  <c r="AB36" i="39"/>
  <c r="K42" i="20"/>
  <c r="M42" i="20" s="1"/>
  <c r="E27" i="70" s="1"/>
  <c r="K40" i="20"/>
  <c r="M40" i="20" s="1"/>
  <c r="E25" i="70" s="1"/>
  <c r="O26" i="77"/>
  <c r="T2" i="77" s="1"/>
  <c r="U2" i="77"/>
  <c r="O19" i="77"/>
  <c r="O27" i="77" s="1"/>
  <c r="AF18" i="75"/>
  <c r="K41" i="23"/>
  <c r="M41" i="23" s="1"/>
  <c r="B26" i="70" s="1"/>
  <c r="K34" i="23"/>
  <c r="M34" i="23" s="1"/>
  <c r="B19" i="70" s="1"/>
  <c r="K35" i="23"/>
  <c r="M35" i="23" s="1"/>
  <c r="B20" i="70" s="1"/>
  <c r="K40" i="23"/>
  <c r="M40" i="23" s="1"/>
  <c r="B25" i="70" s="1"/>
  <c r="K41" i="20"/>
  <c r="M41" i="20" s="1"/>
  <c r="E26" i="70" s="1"/>
  <c r="AF17" i="75"/>
  <c r="K29" i="21"/>
  <c r="M29" i="21" s="1"/>
  <c r="D14" i="70" s="1"/>
  <c r="K25" i="21"/>
  <c r="M25" i="21" s="1"/>
  <c r="D10" i="70" s="1"/>
  <c r="K28" i="21"/>
  <c r="M28" i="21" s="1"/>
  <c r="D13" i="70" s="1"/>
  <c r="K26" i="21"/>
  <c r="M26" i="21" s="1"/>
  <c r="D11" i="70" s="1"/>
  <c r="K30" i="21"/>
  <c r="M30" i="21" s="1"/>
  <c r="D15" i="70" s="1"/>
  <c r="K27" i="21"/>
  <c r="M27" i="21" s="1"/>
  <c r="D12" i="70" s="1"/>
  <c r="K31" i="21"/>
  <c r="M31" i="21" s="1"/>
  <c r="D16" i="70" s="1"/>
  <c r="T21" i="41"/>
  <c r="C19" i="60"/>
  <c r="K32" i="20"/>
  <c r="M32" i="20" s="1"/>
  <c r="E17" i="70" s="1"/>
  <c r="M18" i="75"/>
  <c r="O18" i="75" s="1"/>
  <c r="AL18" i="75"/>
  <c r="AM18" i="75" s="1"/>
  <c r="O33" i="52"/>
  <c r="K34" i="37"/>
  <c r="AB26" i="39"/>
  <c r="W26" i="39"/>
  <c r="AP26" i="39"/>
  <c r="U42" i="52"/>
  <c r="M22" i="75"/>
  <c r="O22" i="75" s="1"/>
  <c r="AL22" i="75"/>
  <c r="AM22" i="75" s="1"/>
  <c r="AB35" i="39"/>
  <c r="W35" i="39"/>
  <c r="Q33" i="32"/>
  <c r="M23" i="75"/>
  <c r="O23" i="75" s="1"/>
  <c r="AL23" i="75"/>
  <c r="AM23" i="75" s="1"/>
  <c r="K25" i="37"/>
  <c r="U25" i="37" s="1"/>
  <c r="O24" i="52"/>
  <c r="AF22" i="75"/>
  <c r="K30" i="23"/>
  <c r="M30" i="23" s="1"/>
  <c r="B15" i="70" s="1"/>
  <c r="K36" i="20"/>
  <c r="M36" i="20" s="1"/>
  <c r="E21" i="70" s="1"/>
  <c r="P91" i="40"/>
  <c r="O115" i="40"/>
  <c r="P115" i="40" s="1"/>
  <c r="K38" i="21"/>
  <c r="M38" i="21" s="1"/>
  <c r="D23" i="70" s="1"/>
  <c r="K39" i="21"/>
  <c r="M39" i="21" s="1"/>
  <c r="D24" i="70" s="1"/>
  <c r="K37" i="21"/>
  <c r="M37" i="21" s="1"/>
  <c r="D22" i="70" s="1"/>
  <c r="E43" i="39"/>
  <c r="O18" i="52"/>
  <c r="K19" i="37"/>
  <c r="AF21" i="75"/>
  <c r="AE21" i="76"/>
  <c r="K40" i="37"/>
  <c r="O39" i="52"/>
  <c r="AB29" i="39"/>
  <c r="W29" i="39"/>
  <c r="K31" i="37"/>
  <c r="U31" i="37" s="1"/>
  <c r="O30" i="52"/>
  <c r="O25" i="52"/>
  <c r="K26" i="37"/>
  <c r="K41" i="21"/>
  <c r="M41" i="21" s="1"/>
  <c r="D26" i="70" s="1"/>
  <c r="K40" i="21"/>
  <c r="M40" i="21" s="1"/>
  <c r="D25" i="70" s="1"/>
  <c r="AF19" i="75"/>
  <c r="O23" i="52"/>
  <c r="K24" i="37"/>
  <c r="AF23" i="75"/>
  <c r="K22" i="23"/>
  <c r="M22" i="23" s="1"/>
  <c r="B7" i="70" s="1"/>
  <c r="K21" i="23"/>
  <c r="M21" i="23" s="1"/>
  <c r="B6" i="70" s="1"/>
  <c r="K25" i="23"/>
  <c r="M25" i="23" s="1"/>
  <c r="B10" i="70" s="1"/>
  <c r="K33" i="21"/>
  <c r="M33" i="21" s="1"/>
  <c r="D18" i="70" s="1"/>
  <c r="K32" i="21"/>
  <c r="M32" i="21" s="1"/>
  <c r="D17" i="70" s="1"/>
  <c r="K34" i="21"/>
  <c r="M34" i="21" s="1"/>
  <c r="D19" i="70" s="1"/>
  <c r="K35" i="21"/>
  <c r="M35" i="21" s="1"/>
  <c r="D20" i="70" s="1"/>
  <c r="K36" i="21"/>
  <c r="M36" i="21" s="1"/>
  <c r="D21" i="70" s="1"/>
  <c r="P59" i="40"/>
  <c r="O79" i="40"/>
  <c r="P79" i="40" s="1"/>
  <c r="O26" i="52"/>
  <c r="K27" i="37"/>
  <c r="U27" i="37" s="1"/>
  <c r="AK30" i="39"/>
  <c r="W30" i="39"/>
  <c r="O29" i="52"/>
  <c r="K30" i="37"/>
  <c r="U30" i="37" s="1"/>
  <c r="O36" i="52"/>
  <c r="K37" i="37"/>
  <c r="O17" i="52"/>
  <c r="K18" i="37"/>
  <c r="U38" i="60"/>
  <c r="M38" i="60"/>
  <c r="W28" i="39"/>
  <c r="AB28" i="39"/>
  <c r="K20" i="37"/>
  <c r="O19" i="52"/>
  <c r="K32" i="37"/>
  <c r="O31" i="52"/>
  <c r="O40" i="52"/>
  <c r="K41" i="37"/>
  <c r="O34" i="52"/>
  <c r="K35" i="37"/>
  <c r="U35" i="37" s="1"/>
  <c r="AV68" i="41"/>
  <c r="Q68" i="41"/>
  <c r="M30" i="59"/>
  <c r="U30" i="59"/>
  <c r="AN104" i="40"/>
  <c r="AO104" i="40" s="1"/>
  <c r="AG104" i="40"/>
  <c r="O35" i="60"/>
  <c r="X25" i="80"/>
  <c r="AF25" i="80" s="1"/>
  <c r="W35" i="60"/>
  <c r="X8" i="80"/>
  <c r="AF8" i="80" s="1"/>
  <c r="W18" i="60"/>
  <c r="O18" i="60"/>
  <c r="V92" i="40"/>
  <c r="AN92" i="40"/>
  <c r="AO92" i="40" s="1"/>
  <c r="U92" i="40"/>
  <c r="AN56" i="41"/>
  <c r="AO56" i="41" s="1"/>
  <c r="M18" i="59"/>
  <c r="U18" i="59"/>
  <c r="W36" i="80"/>
  <c r="AB36" i="80" s="1"/>
  <c r="W38" i="80"/>
  <c r="AB38" i="80" s="1"/>
  <c r="W34" i="80"/>
  <c r="AB34" i="80" s="1"/>
  <c r="W37" i="80"/>
  <c r="AB37" i="80" s="1"/>
  <c r="W35" i="80"/>
  <c r="AB35" i="80" s="1"/>
  <c r="O21" i="60"/>
  <c r="W21" i="60"/>
  <c r="X11" i="80"/>
  <c r="AF11" i="80" s="1"/>
  <c r="U21" i="59"/>
  <c r="M21" i="59"/>
  <c r="U95" i="40"/>
  <c r="V95" i="40"/>
  <c r="AN95" i="40"/>
  <c r="AO95" i="40" s="1"/>
  <c r="AN59" i="41"/>
  <c r="AO59" i="41" s="1"/>
  <c r="AV71" i="41"/>
  <c r="Q71" i="41"/>
  <c r="AG107" i="40"/>
  <c r="AN107" i="40"/>
  <c r="AO107" i="40" s="1"/>
  <c r="Q35" i="41"/>
  <c r="U33" i="59"/>
  <c r="M33" i="59"/>
  <c r="P38" i="40"/>
  <c r="O43" i="40"/>
  <c r="P43" i="40" s="1"/>
  <c r="T115" i="40"/>
  <c r="X14" i="80"/>
  <c r="AF14" i="80" s="1"/>
  <c r="W24" i="60"/>
  <c r="M47" i="70"/>
  <c r="P78" i="70"/>
  <c r="N105" i="70"/>
  <c r="N24" i="70"/>
  <c r="M104" i="70"/>
  <c r="P13" i="70"/>
  <c r="N106" i="70"/>
  <c r="Q78" i="70"/>
  <c r="M78" i="70"/>
  <c r="P41" i="70"/>
  <c r="N39" i="70"/>
  <c r="M73" i="70"/>
  <c r="P73" i="70"/>
  <c r="Q139" i="70"/>
  <c r="N96" i="70"/>
  <c r="M82" i="70"/>
  <c r="P9" i="70"/>
  <c r="Q140" i="70"/>
  <c r="Q95" i="70"/>
  <c r="M63" i="70"/>
  <c r="P55" i="70"/>
  <c r="Q144" i="70"/>
  <c r="N63" i="70"/>
  <c r="M133" i="70"/>
  <c r="P134" i="70"/>
  <c r="Q94" i="70"/>
  <c r="P123" i="70"/>
  <c r="N99" i="70"/>
  <c r="N46" i="70"/>
  <c r="M9" i="70"/>
  <c r="P91" i="70"/>
  <c r="N73" i="70"/>
  <c r="M138" i="70"/>
  <c r="M92" i="70"/>
  <c r="P79" i="70"/>
  <c r="Q68" i="70"/>
  <c r="N88" i="70"/>
  <c r="N76" i="70"/>
  <c r="M95" i="70"/>
  <c r="N84" i="70"/>
  <c r="M50" i="70"/>
  <c r="P102" i="70"/>
  <c r="Q38" i="70"/>
  <c r="N102" i="70"/>
  <c r="Q52" i="70"/>
  <c r="Q10" i="70"/>
  <c r="N133" i="70"/>
  <c r="N123" i="70"/>
  <c r="M120" i="70"/>
  <c r="N117" i="70"/>
  <c r="N97" i="70"/>
  <c r="M54" i="70"/>
  <c r="N140" i="70"/>
  <c r="M76" i="70"/>
  <c r="Q11" i="70"/>
  <c r="N110" i="70"/>
  <c r="P82" i="70"/>
  <c r="N136" i="70"/>
  <c r="N74" i="70"/>
  <c r="Q134" i="70"/>
  <c r="M70" i="70"/>
  <c r="M37" i="70"/>
  <c r="P105" i="70"/>
  <c r="P143" i="70"/>
  <c r="N31" i="70"/>
  <c r="M46" i="70"/>
  <c r="M42" i="70"/>
  <c r="P116" i="70"/>
  <c r="P61" i="70"/>
  <c r="N32" i="70"/>
  <c r="M91" i="70"/>
  <c r="P77" i="70"/>
  <c r="Q107" i="70"/>
  <c r="N42" i="70"/>
  <c r="P19" i="70"/>
  <c r="Q55" i="70"/>
  <c r="N85" i="70"/>
  <c r="M33" i="70"/>
  <c r="P133" i="70"/>
  <c r="Q75" i="70"/>
  <c r="N45" i="70"/>
  <c r="M69" i="70"/>
  <c r="P15" i="70"/>
  <c r="Q41" i="70"/>
  <c r="N35" i="70"/>
  <c r="M132" i="70"/>
  <c r="P111" i="70"/>
  <c r="Q106" i="70"/>
  <c r="M124" i="70"/>
  <c r="P67" i="70"/>
  <c r="Q25" i="70"/>
  <c r="N43" i="70"/>
  <c r="P131" i="70"/>
  <c r="N59" i="70"/>
  <c r="N33" i="70"/>
  <c r="M27" i="70"/>
  <c r="P141" i="70"/>
  <c r="N56" i="70"/>
  <c r="P65" i="70"/>
  <c r="M80" i="70"/>
  <c r="P84" i="70"/>
  <c r="Q77" i="70"/>
  <c r="N40" i="70"/>
  <c r="N95" i="70"/>
  <c r="M61" i="70"/>
  <c r="N107" i="70"/>
  <c r="M114" i="70"/>
  <c r="Q59" i="70"/>
  <c r="N87" i="70"/>
  <c r="P31" i="70"/>
  <c r="N91" i="70"/>
  <c r="Q97" i="70"/>
  <c r="P130" i="70"/>
  <c r="Q72" i="70"/>
  <c r="P7" i="70"/>
  <c r="N104" i="70"/>
  <c r="P76" i="70"/>
  <c r="N69" i="70"/>
  <c r="P29" i="70"/>
  <c r="N19" i="70"/>
  <c r="Q85" i="70"/>
  <c r="M116" i="70"/>
  <c r="M25" i="70"/>
  <c r="N14" i="70"/>
  <c r="P42" i="70"/>
  <c r="P40" i="70"/>
  <c r="P97" i="70"/>
  <c r="P136" i="70"/>
  <c r="M6" i="70"/>
  <c r="Q114" i="70"/>
  <c r="P44" i="70"/>
  <c r="N28" i="70"/>
  <c r="M35" i="70"/>
  <c r="P104" i="70"/>
  <c r="N109" i="70"/>
  <c r="M38" i="70"/>
  <c r="P63" i="70"/>
  <c r="Q101" i="70"/>
  <c r="N103" i="70"/>
  <c r="M122" i="70"/>
  <c r="P38" i="70"/>
  <c r="Q109" i="70"/>
  <c r="N78" i="70"/>
  <c r="M121" i="70"/>
  <c r="P96" i="70"/>
  <c r="Q16" i="70"/>
  <c r="M56" i="70"/>
  <c r="P47" i="70"/>
  <c r="Q100" i="70"/>
  <c r="N135" i="70"/>
  <c r="M90" i="70"/>
  <c r="P101" i="70"/>
  <c r="Q117" i="70"/>
  <c r="N17" i="70"/>
  <c r="P28" i="70"/>
  <c r="N7" i="70"/>
  <c r="M64" i="70"/>
  <c r="M41" i="70"/>
  <c r="P54" i="70"/>
  <c r="P135" i="70"/>
  <c r="P81" i="70"/>
  <c r="M129" i="70"/>
  <c r="P93" i="70"/>
  <c r="Q29" i="70"/>
  <c r="N137" i="70"/>
  <c r="N125" i="70"/>
  <c r="M28" i="70"/>
  <c r="Q98" i="70"/>
  <c r="P34" i="70"/>
  <c r="Q71" i="70"/>
  <c r="N49" i="70"/>
  <c r="P108" i="70"/>
  <c r="N75" i="70"/>
  <c r="Q88" i="70"/>
  <c r="M106" i="70"/>
  <c r="Q73" i="70"/>
  <c r="Q102" i="70"/>
  <c r="N72" i="70"/>
  <c r="M130" i="70"/>
  <c r="P20" i="70"/>
  <c r="N50" i="70"/>
  <c r="M139" i="70"/>
  <c r="P88" i="70"/>
  <c r="Q110" i="70"/>
  <c r="N139" i="70"/>
  <c r="M21" i="70"/>
  <c r="P51" i="70"/>
  <c r="Q96" i="70"/>
  <c r="M34" i="70"/>
  <c r="M59" i="70"/>
  <c r="P68" i="70"/>
  <c r="Q58" i="70"/>
  <c r="M62" i="70"/>
  <c r="P110" i="70"/>
  <c r="Q64" i="70"/>
  <c r="N113" i="70"/>
  <c r="M89" i="70"/>
  <c r="P85" i="70"/>
  <c r="Q46" i="70"/>
  <c r="N143" i="70"/>
  <c r="P74" i="70"/>
  <c r="N37" i="70"/>
  <c r="P121" i="70"/>
  <c r="M5" i="70"/>
  <c r="Q86" i="70"/>
  <c r="P27" i="70"/>
  <c r="Q84" i="70"/>
  <c r="M117" i="70"/>
  <c r="P124" i="70"/>
  <c r="Q123" i="70"/>
  <c r="N142" i="70"/>
  <c r="M4" i="70"/>
  <c r="M17" i="70"/>
  <c r="M24" i="70"/>
  <c r="P103" i="70"/>
  <c r="Q128" i="70"/>
  <c r="N108" i="70"/>
  <c r="Q124" i="70"/>
  <c r="N127" i="70"/>
  <c r="M97" i="70"/>
  <c r="Q14" i="70"/>
  <c r="Q12" i="70"/>
  <c r="N36" i="70"/>
  <c r="M7" i="70"/>
  <c r="P64" i="70"/>
  <c r="N62" i="70"/>
  <c r="M13" i="70"/>
  <c r="P112" i="70"/>
  <c r="Q53" i="70"/>
  <c r="N129" i="70"/>
  <c r="M125" i="70"/>
  <c r="P140" i="70"/>
  <c r="Q48" i="70"/>
  <c r="Q91" i="70"/>
  <c r="M51" i="70"/>
  <c r="P144" i="70"/>
  <c r="Q79" i="70"/>
  <c r="M128" i="70"/>
  <c r="P120" i="70"/>
  <c r="Q136" i="70"/>
  <c r="N77" i="70"/>
  <c r="M10" i="70"/>
  <c r="P90" i="70"/>
  <c r="Q92" i="70"/>
  <c r="N52" i="70"/>
  <c r="P142" i="70"/>
  <c r="N47" i="70"/>
  <c r="P137" i="70"/>
  <c r="M81" i="70"/>
  <c r="Q143" i="70"/>
  <c r="Q63" i="70"/>
  <c r="N112" i="70"/>
  <c r="M11" i="70"/>
  <c r="P132" i="70"/>
  <c r="N27" i="70"/>
  <c r="M55" i="70"/>
  <c r="P83" i="70"/>
  <c r="M14" i="70"/>
  <c r="M115" i="70"/>
  <c r="P22" i="70"/>
  <c r="Q60" i="70"/>
  <c r="N120" i="70"/>
  <c r="P58" i="70"/>
  <c r="N58" i="70"/>
  <c r="N11" i="70"/>
  <c r="P49" i="70"/>
  <c r="M112" i="70"/>
  <c r="N83" i="70"/>
  <c r="P8" i="70"/>
  <c r="P139" i="70"/>
  <c r="P17" i="70"/>
  <c r="M98" i="70"/>
  <c r="P60" i="70"/>
  <c r="Q39" i="70"/>
  <c r="N119" i="70"/>
  <c r="M79" i="70"/>
  <c r="P138" i="70"/>
  <c r="Q126" i="70"/>
  <c r="M30" i="70"/>
  <c r="Q70" i="70"/>
  <c r="Q26" i="70"/>
  <c r="N44" i="70"/>
  <c r="M44" i="70"/>
  <c r="P35" i="70"/>
  <c r="N65" i="70"/>
  <c r="M15" i="70"/>
  <c r="P11" i="70"/>
  <c r="Q8" i="70"/>
  <c r="M40" i="70"/>
  <c r="M142" i="70"/>
  <c r="P39" i="70"/>
  <c r="Q54" i="70"/>
  <c r="N115" i="70"/>
  <c r="P100" i="70"/>
  <c r="Q34" i="70"/>
  <c r="N70" i="70"/>
  <c r="M39" i="70"/>
  <c r="P6" i="70"/>
  <c r="Q62" i="70"/>
  <c r="N34" i="70"/>
  <c r="M105" i="70"/>
  <c r="P4" i="70"/>
  <c r="Q22" i="70"/>
  <c r="N82" i="70"/>
  <c r="Q125" i="70"/>
  <c r="P71" i="70"/>
  <c r="Q44" i="70"/>
  <c r="M8" i="70"/>
  <c r="Q13" i="70"/>
  <c r="Q66" i="70"/>
  <c r="M88" i="70"/>
  <c r="P23" i="70"/>
  <c r="Q61" i="70"/>
  <c r="N55" i="70"/>
  <c r="P95" i="70"/>
  <c r="Q27" i="70"/>
  <c r="M77" i="70"/>
  <c r="M140" i="70"/>
  <c r="P57" i="70"/>
  <c r="Q115" i="70"/>
  <c r="N57" i="70"/>
  <c r="P21" i="70"/>
  <c r="N51" i="70"/>
  <c r="N124" i="70"/>
  <c r="P128" i="70"/>
  <c r="Q83" i="70"/>
  <c r="N22" i="70"/>
  <c r="Q141" i="70"/>
  <c r="M32" i="70"/>
  <c r="Q135" i="70"/>
  <c r="M107" i="70"/>
  <c r="Q116" i="70"/>
  <c r="N12" i="70"/>
  <c r="N79" i="70"/>
  <c r="M23" i="70"/>
  <c r="P50" i="70"/>
  <c r="P56" i="70"/>
  <c r="Q76" i="70"/>
  <c r="Q89" i="70"/>
  <c r="M84" i="70"/>
  <c r="Q142" i="70"/>
  <c r="M100" i="70"/>
  <c r="Q120" i="70"/>
  <c r="Q131" i="70"/>
  <c r="N94" i="70"/>
  <c r="M144" i="70"/>
  <c r="Q87" i="70"/>
  <c r="N100" i="70"/>
  <c r="M86" i="70"/>
  <c r="P62" i="70"/>
  <c r="Q108" i="70"/>
  <c r="P94" i="70"/>
  <c r="M68" i="70"/>
  <c r="P92" i="70"/>
  <c r="Q32" i="70"/>
  <c r="M16" i="70"/>
  <c r="P80" i="70"/>
  <c r="Q42" i="70"/>
  <c r="N128" i="70"/>
  <c r="M113" i="70"/>
  <c r="P69" i="70"/>
  <c r="Q18" i="70"/>
  <c r="N121" i="70"/>
  <c r="M141" i="70"/>
  <c r="P25" i="70"/>
  <c r="Q57" i="70"/>
  <c r="N18" i="70"/>
  <c r="Q74" i="70"/>
  <c r="P14" i="70"/>
  <c r="N141" i="70"/>
  <c r="M126" i="70"/>
  <c r="Q111" i="70"/>
  <c r="Q51" i="70"/>
  <c r="M29" i="70"/>
  <c r="P24" i="70"/>
  <c r="Q138" i="70"/>
  <c r="N61" i="70"/>
  <c r="P26" i="70"/>
  <c r="N54" i="70"/>
  <c r="P48" i="70"/>
  <c r="M83" i="70"/>
  <c r="P114" i="70"/>
  <c r="N132" i="70"/>
  <c r="Q121" i="70"/>
  <c r="Q119" i="70"/>
  <c r="Q23" i="70"/>
  <c r="P119" i="70"/>
  <c r="M52" i="70"/>
  <c r="N90" i="70"/>
  <c r="N80" i="70"/>
  <c r="M36" i="70"/>
  <c r="M20" i="70"/>
  <c r="Q82" i="70"/>
  <c r="N118" i="70"/>
  <c r="M135" i="70"/>
  <c r="P113" i="70"/>
  <c r="Q80" i="70"/>
  <c r="P16" i="70"/>
  <c r="M18" i="70"/>
  <c r="P18" i="70"/>
  <c r="Q112" i="70"/>
  <c r="M85" i="70"/>
  <c r="P75" i="70"/>
  <c r="Q28" i="70"/>
  <c r="N53" i="70"/>
  <c r="M31" i="70"/>
  <c r="P125" i="70"/>
  <c r="Q130" i="70"/>
  <c r="N130" i="70"/>
  <c r="M143" i="70"/>
  <c r="P98" i="70"/>
  <c r="Q69" i="70"/>
  <c r="N144" i="70"/>
  <c r="Q40" i="70"/>
  <c r="Q20" i="70"/>
  <c r="N8" i="70"/>
  <c r="N38" i="70"/>
  <c r="P37" i="70"/>
  <c r="M137" i="70"/>
  <c r="N13" i="70"/>
  <c r="M75" i="70"/>
  <c r="Q4" i="70"/>
  <c r="N111" i="70"/>
  <c r="N48" i="70"/>
  <c r="Q6" i="70"/>
  <c r="M96" i="70"/>
  <c r="P10" i="70"/>
  <c r="N41" i="70"/>
  <c r="N5" i="70"/>
  <c r="P33" i="70"/>
  <c r="M103" i="70"/>
  <c r="Q65" i="70"/>
  <c r="N15" i="70"/>
  <c r="M123" i="70"/>
  <c r="P46" i="70"/>
  <c r="Q36" i="70"/>
  <c r="Q45" i="70"/>
  <c r="M66" i="70"/>
  <c r="P12" i="70"/>
  <c r="Q90" i="70"/>
  <c r="M99" i="70"/>
  <c r="P66" i="70"/>
  <c r="Q81" i="70"/>
  <c r="N93" i="70"/>
  <c r="M22" i="70"/>
  <c r="P109" i="70"/>
  <c r="Q133" i="70"/>
  <c r="N138" i="70"/>
  <c r="M67" i="70"/>
  <c r="P70" i="70"/>
  <c r="Q105" i="70"/>
  <c r="N9" i="70"/>
  <c r="Q50" i="70"/>
  <c r="Q37" i="70"/>
  <c r="M60" i="70"/>
  <c r="P87" i="70"/>
  <c r="Q122" i="70"/>
  <c r="N134" i="70"/>
  <c r="M19" i="70"/>
  <c r="P45" i="70"/>
  <c r="Q103" i="70"/>
  <c r="N122" i="70"/>
  <c r="P72" i="70"/>
  <c r="M65" i="70"/>
  <c r="P129" i="70"/>
  <c r="M53" i="70"/>
  <c r="P32" i="70"/>
  <c r="Q17" i="70"/>
  <c r="N92" i="70"/>
  <c r="Q30" i="70"/>
  <c r="P127" i="70"/>
  <c r="N64" i="70"/>
  <c r="N89" i="70"/>
  <c r="N25" i="70"/>
  <c r="N126" i="70"/>
  <c r="M87" i="70"/>
  <c r="M72" i="70"/>
  <c r="M118" i="70"/>
  <c r="M136" i="70"/>
  <c r="M110" i="70"/>
  <c r="P86" i="70"/>
  <c r="N16" i="70"/>
  <c r="N71" i="70"/>
  <c r="Q35" i="70"/>
  <c r="M102" i="70"/>
  <c r="Q24" i="70"/>
  <c r="M109" i="70"/>
  <c r="M127" i="70"/>
  <c r="P99" i="70"/>
  <c r="Q7" i="70"/>
  <c r="N116" i="70"/>
  <c r="P115" i="70"/>
  <c r="Q67" i="70"/>
  <c r="N29" i="70"/>
  <c r="M48" i="70"/>
  <c r="P106" i="70"/>
  <c r="Q19" i="70"/>
  <c r="N67" i="70"/>
  <c r="M108" i="70"/>
  <c r="P30" i="70"/>
  <c r="Q5" i="70"/>
  <c r="N86" i="70"/>
  <c r="M12" i="70"/>
  <c r="P126" i="70"/>
  <c r="Q137" i="70"/>
  <c r="N101" i="70"/>
  <c r="Q56" i="70"/>
  <c r="Q99" i="70"/>
  <c r="M71" i="70"/>
  <c r="P53" i="70"/>
  <c r="N68" i="70"/>
  <c r="N21" i="70"/>
  <c r="M131" i="70"/>
  <c r="P122" i="70"/>
  <c r="Q47" i="70"/>
  <c r="N6" i="70"/>
  <c r="Q31" i="70"/>
  <c r="M134" i="70"/>
  <c r="P43" i="70"/>
  <c r="M43" i="70"/>
  <c r="N23" i="70"/>
  <c r="P117" i="70"/>
  <c r="Q127" i="70"/>
  <c r="N131" i="70"/>
  <c r="M101" i="70"/>
  <c r="Q21" i="70"/>
  <c r="Q15" i="70"/>
  <c r="N20" i="70"/>
  <c r="N66" i="70"/>
  <c r="Q9" i="70"/>
  <c r="M93" i="70"/>
  <c r="P36" i="70"/>
  <c r="N81" i="70"/>
  <c r="N26" i="70"/>
  <c r="N4" i="70"/>
  <c r="M111" i="70"/>
  <c r="N114" i="70"/>
  <c r="P52" i="70"/>
  <c r="M57" i="70"/>
  <c r="P89" i="70"/>
  <c r="Q132" i="70"/>
  <c r="M74" i="70"/>
  <c r="P5" i="70"/>
  <c r="Q104" i="70"/>
  <c r="N30" i="70"/>
  <c r="M45" i="70"/>
  <c r="P59" i="70"/>
  <c r="Q49" i="70"/>
  <c r="N10" i="70"/>
  <c r="M49" i="70"/>
  <c r="P107" i="70"/>
  <c r="Q129" i="70"/>
  <c r="M26" i="70"/>
  <c r="M58" i="70"/>
  <c r="P118" i="70"/>
  <c r="Q43" i="70"/>
  <c r="Q113" i="70"/>
  <c r="Q93" i="70"/>
  <c r="Q118" i="70"/>
  <c r="N98" i="70"/>
  <c r="M94" i="70"/>
  <c r="Q33" i="70"/>
  <c r="M119" i="70"/>
  <c r="N60" i="70"/>
  <c r="V24" i="41" l="1"/>
  <c r="AN24" i="41"/>
  <c r="AO24" i="41" s="1"/>
  <c r="O22" i="60"/>
  <c r="X12" i="80"/>
  <c r="AF12" i="80" s="1"/>
  <c r="U22" i="60"/>
  <c r="O20" i="60"/>
  <c r="W20" i="60"/>
  <c r="C39" i="60"/>
  <c r="M39" i="60" s="1"/>
  <c r="C32" i="64"/>
  <c r="AC41" i="41"/>
  <c r="AD41" i="41" s="1"/>
  <c r="W36" i="60"/>
  <c r="T77" i="41"/>
  <c r="AN41" i="41" s="1"/>
  <c r="AO41" i="41" s="1"/>
  <c r="C41" i="59"/>
  <c r="M39" i="59"/>
  <c r="O39" i="59" s="1"/>
  <c r="AS79" i="41"/>
  <c r="AC26" i="37"/>
  <c r="C39" i="58"/>
  <c r="Q79" i="40"/>
  <c r="T77" i="40"/>
  <c r="AN77" i="40" s="1"/>
  <c r="C32" i="62"/>
  <c r="C34" i="62" s="1"/>
  <c r="AC77" i="40"/>
  <c r="AR77" i="41"/>
  <c r="AQ41" i="41"/>
  <c r="X26" i="80"/>
  <c r="AF26" i="80" s="1"/>
  <c r="Q79" i="41"/>
  <c r="AE26" i="37"/>
  <c r="O43" i="41"/>
  <c r="P43" i="41" s="1"/>
  <c r="S63" i="29"/>
  <c r="U27" i="29"/>
  <c r="AB25" i="39"/>
  <c r="AD25" i="39" s="1"/>
  <c r="K43" i="39"/>
  <c r="V10" i="71"/>
  <c r="W10" i="71" s="1"/>
  <c r="U11" i="71"/>
  <c r="AU77" i="41"/>
  <c r="AB29" i="37"/>
  <c r="E27" i="32"/>
  <c r="M27" i="32" s="1"/>
  <c r="O27" i="32" s="1"/>
  <c r="S27" i="32" s="1"/>
  <c r="C28" i="75" s="1"/>
  <c r="E28" i="75" s="1"/>
  <c r="G28" i="75" s="1"/>
  <c r="M28" i="75" s="1"/>
  <c r="O28" i="75" s="1"/>
  <c r="AP29" i="39"/>
  <c r="S30" i="29"/>
  <c r="W29" i="37"/>
  <c r="U37" i="60"/>
  <c r="M37" i="60"/>
  <c r="AB36" i="32"/>
  <c r="U36" i="32" s="1"/>
  <c r="Z37" i="75"/>
  <c r="I37" i="75" s="1"/>
  <c r="AB37" i="32"/>
  <c r="U37" i="32" s="1"/>
  <c r="Z38" i="75"/>
  <c r="I38" i="75" s="1"/>
  <c r="K31" i="77"/>
  <c r="K35" i="77" s="1"/>
  <c r="K21" i="75" s="1"/>
  <c r="Z21" i="75"/>
  <c r="AF21" i="76" s="1"/>
  <c r="O31" i="71"/>
  <c r="AB22" i="32"/>
  <c r="AB22" i="33" s="1"/>
  <c r="M31" i="71"/>
  <c r="M35" i="71" s="1"/>
  <c r="W21" i="32" s="1"/>
  <c r="AB21" i="32"/>
  <c r="AB21" i="33" s="1"/>
  <c r="AB23" i="32"/>
  <c r="U23" i="32" s="1"/>
  <c r="Z23" i="75"/>
  <c r="AF23" i="76" s="1"/>
  <c r="O31" i="77"/>
  <c r="Z22" i="75"/>
  <c r="AF22" i="76" s="1"/>
  <c r="M31" i="77"/>
  <c r="M35" i="77" s="1"/>
  <c r="K22" i="75" s="1"/>
  <c r="Z24" i="75"/>
  <c r="I24" i="75" s="1"/>
  <c r="K31" i="71"/>
  <c r="K35" i="71" s="1"/>
  <c r="W20" i="32" s="1"/>
  <c r="AB20" i="32"/>
  <c r="AB20" i="33" s="1"/>
  <c r="Z26" i="75"/>
  <c r="I26" i="75" s="1"/>
  <c r="AB27" i="32"/>
  <c r="U27" i="32" s="1"/>
  <c r="AB25" i="32"/>
  <c r="U25" i="32" s="1"/>
  <c r="Z25" i="75"/>
  <c r="I25" i="75" s="1"/>
  <c r="K25" i="75" s="1"/>
  <c r="AB24" i="32"/>
  <c r="U24" i="32" s="1"/>
  <c r="W24" i="32" s="1"/>
  <c r="Z27" i="75"/>
  <c r="I27" i="75" s="1"/>
  <c r="AB26" i="32"/>
  <c r="U26" i="32" s="1"/>
  <c r="Z28" i="75"/>
  <c r="I28" i="75" s="1"/>
  <c r="O33" i="59"/>
  <c r="W23" i="80"/>
  <c r="AE23" i="80" s="1"/>
  <c r="W33" i="59"/>
  <c r="M80" i="55" s="1"/>
  <c r="W30" i="59"/>
  <c r="M77" i="55" s="1"/>
  <c r="W20" i="80"/>
  <c r="AE20" i="80" s="1"/>
  <c r="O30" i="59"/>
  <c r="AG26" i="39"/>
  <c r="AD26" i="39"/>
  <c r="AO26" i="39"/>
  <c r="AQ26" i="39" s="1"/>
  <c r="T11" i="77"/>
  <c r="T29" i="77"/>
  <c r="T8" i="77"/>
  <c r="U8" i="77" s="1"/>
  <c r="V8" i="77" s="1"/>
  <c r="W8" i="77" s="1"/>
  <c r="T28" i="77"/>
  <c r="T15" i="77"/>
  <c r="T41" i="77"/>
  <c r="T24" i="77"/>
  <c r="T27" i="77"/>
  <c r="T39" i="77"/>
  <c r="T42" i="77"/>
  <c r="T37" i="77"/>
  <c r="T13" i="77"/>
  <c r="T18" i="77"/>
  <c r="T44" i="77"/>
  <c r="T35" i="77"/>
  <c r="T17" i="77"/>
  <c r="T25" i="77"/>
  <c r="T19" i="77"/>
  <c r="T26" i="77"/>
  <c r="T10" i="77"/>
  <c r="T33" i="77"/>
  <c r="T43" i="77"/>
  <c r="T36" i="77"/>
  <c r="T34" i="77"/>
  <c r="T31" i="77"/>
  <c r="T23" i="77"/>
  <c r="T20" i="77"/>
  <c r="T40" i="77"/>
  <c r="T22" i="77"/>
  <c r="T32" i="77"/>
  <c r="T12" i="77"/>
  <c r="T14" i="77"/>
  <c r="T30" i="77"/>
  <c r="T21" i="77"/>
  <c r="T38" i="77"/>
  <c r="T16" i="77"/>
  <c r="T9" i="77"/>
  <c r="AG30" i="39"/>
  <c r="AD30" i="39"/>
  <c r="AC43" i="40"/>
  <c r="AD41" i="40"/>
  <c r="AG33" i="39"/>
  <c r="AD33" i="39"/>
  <c r="AC71" i="41"/>
  <c r="AD71" i="41" s="1"/>
  <c r="T71" i="41"/>
  <c r="AC68" i="41"/>
  <c r="T68" i="41"/>
  <c r="W35" i="37"/>
  <c r="E33" i="32"/>
  <c r="M33" i="32" s="1"/>
  <c r="O33" i="32" s="1"/>
  <c r="S33" i="32" s="1"/>
  <c r="C34" i="75" s="1"/>
  <c r="E34" i="75" s="1"/>
  <c r="G34" i="75" s="1"/>
  <c r="M34" i="75" s="1"/>
  <c r="O34" i="75" s="1"/>
  <c r="AB35" i="37"/>
  <c r="AP35" i="39"/>
  <c r="S36" i="29"/>
  <c r="AD28" i="39"/>
  <c r="AG28" i="39"/>
  <c r="AP30" i="39"/>
  <c r="S31" i="29"/>
  <c r="AB30" i="37"/>
  <c r="E28" i="32"/>
  <c r="M28" i="32" s="1"/>
  <c r="O28" i="32" s="1"/>
  <c r="S28" i="32" s="1"/>
  <c r="C29" i="75" s="1"/>
  <c r="E29" i="75" s="1"/>
  <c r="G29" i="75" s="1"/>
  <c r="M29" i="75" s="1"/>
  <c r="O29" i="75" s="1"/>
  <c r="W30" i="37"/>
  <c r="S28" i="29"/>
  <c r="W27" i="37"/>
  <c r="AB27" i="37"/>
  <c r="AP27" i="39"/>
  <c r="E25" i="32"/>
  <c r="M25" i="32" s="1"/>
  <c r="O25" i="32" s="1"/>
  <c r="S25" i="32" s="1"/>
  <c r="C26" i="75" s="1"/>
  <c r="E26" i="75" s="1"/>
  <c r="G26" i="75" s="1"/>
  <c r="M26" i="75" s="1"/>
  <c r="O26" i="75" s="1"/>
  <c r="AD29" i="39"/>
  <c r="AG29" i="39"/>
  <c r="E23" i="32"/>
  <c r="M23" i="32" s="1"/>
  <c r="O23" i="32" s="1"/>
  <c r="S23" i="32" s="1"/>
  <c r="C24" i="75" s="1"/>
  <c r="E24" i="75" s="1"/>
  <c r="G24" i="75" s="1"/>
  <c r="M24" i="75" s="1"/>
  <c r="O24" i="75" s="1"/>
  <c r="AB25" i="37"/>
  <c r="W25" i="37"/>
  <c r="S26" i="29"/>
  <c r="AP25" i="39"/>
  <c r="S34" i="29"/>
  <c r="AB33" i="37"/>
  <c r="AP33" i="39"/>
  <c r="W33" i="37"/>
  <c r="E31" i="32"/>
  <c r="M31" i="32" s="1"/>
  <c r="O31" i="32" s="1"/>
  <c r="S31" i="32" s="1"/>
  <c r="C32" i="75" s="1"/>
  <c r="E32" i="75" s="1"/>
  <c r="G32" i="75" s="1"/>
  <c r="M32" i="75" s="1"/>
  <c r="O32" i="75" s="1"/>
  <c r="AG41" i="40"/>
  <c r="T43" i="40"/>
  <c r="C26" i="64"/>
  <c r="AC35" i="41"/>
  <c r="AD35" i="41" s="1"/>
  <c r="AQ35" i="41"/>
  <c r="T35" i="41"/>
  <c r="C33" i="60"/>
  <c r="AG35" i="39"/>
  <c r="AD35" i="39"/>
  <c r="U19" i="60"/>
  <c r="M19" i="60"/>
  <c r="O28" i="77"/>
  <c r="W11" i="80"/>
  <c r="AE11" i="80" s="1"/>
  <c r="W21" i="59"/>
  <c r="O21" i="59"/>
  <c r="O38" i="60"/>
  <c r="X28" i="80"/>
  <c r="AF28" i="80" s="1"/>
  <c r="W38" i="60"/>
  <c r="W31" i="37"/>
  <c r="AB31" i="37"/>
  <c r="AP31" i="39"/>
  <c r="E29" i="32"/>
  <c r="M29" i="32" s="1"/>
  <c r="O29" i="32" s="1"/>
  <c r="S29" i="32" s="1"/>
  <c r="C30" i="75" s="1"/>
  <c r="E30" i="75" s="1"/>
  <c r="G30" i="75" s="1"/>
  <c r="M30" i="75" s="1"/>
  <c r="O30" i="75" s="1"/>
  <c r="S32" i="29"/>
  <c r="U21" i="41"/>
  <c r="V21" i="41"/>
  <c r="AN21" i="41"/>
  <c r="AO21" i="41" s="1"/>
  <c r="AD36" i="39"/>
  <c r="AG36" i="39"/>
  <c r="E34" i="32"/>
  <c r="M34" i="32" s="1"/>
  <c r="O34" i="32" s="1"/>
  <c r="S34" i="32" s="1"/>
  <c r="C35" i="75" s="1"/>
  <c r="E35" i="75" s="1"/>
  <c r="G35" i="75" s="1"/>
  <c r="M35" i="75" s="1"/>
  <c r="O35" i="75" s="1"/>
  <c r="AB36" i="37"/>
  <c r="W36" i="37"/>
  <c r="S37" i="29"/>
  <c r="AP36" i="39"/>
  <c r="U39" i="57"/>
  <c r="M39" i="57"/>
  <c r="C41" i="57"/>
  <c r="E26" i="32"/>
  <c r="M26" i="32" s="1"/>
  <c r="O26" i="32" s="1"/>
  <c r="S26" i="32" s="1"/>
  <c r="C27" i="75" s="1"/>
  <c r="E27" i="75" s="1"/>
  <c r="G27" i="75" s="1"/>
  <c r="M27" i="75" s="1"/>
  <c r="O27" i="75" s="1"/>
  <c r="S29" i="29"/>
  <c r="AP28" i="39"/>
  <c r="AB28" i="37"/>
  <c r="W28" i="37"/>
  <c r="O22" i="52"/>
  <c r="K23" i="37"/>
  <c r="K43" i="37" s="1"/>
  <c r="M42" i="52"/>
  <c r="O42" i="52" s="1"/>
  <c r="D4" i="70"/>
  <c r="F17" i="36"/>
  <c r="F18" i="36" s="1"/>
  <c r="F19" i="36" s="1"/>
  <c r="F20" i="36" s="1"/>
  <c r="F21" i="36" s="1"/>
  <c r="F22" i="36" s="1"/>
  <c r="W8" i="80"/>
  <c r="AE8" i="80" s="1"/>
  <c r="O18" i="59"/>
  <c r="W18" i="59"/>
  <c r="O136" i="70"/>
  <c r="O133" i="70"/>
  <c r="O70" i="70"/>
  <c r="O20" i="70"/>
  <c r="O140" i="70"/>
  <c r="O46" i="70"/>
  <c r="O65" i="70"/>
  <c r="O76" i="70"/>
  <c r="O110" i="70"/>
  <c r="O24" i="70"/>
  <c r="O99" i="70"/>
  <c r="O91" i="70"/>
  <c r="O134" i="70"/>
  <c r="O105" i="70"/>
  <c r="O93" i="70"/>
  <c r="O71" i="70"/>
  <c r="O109" i="70"/>
  <c r="O53" i="70"/>
  <c r="O132" i="70"/>
  <c r="O29" i="70"/>
  <c r="O82" i="70"/>
  <c r="O123" i="70"/>
  <c r="O36" i="70"/>
  <c r="O138" i="70"/>
  <c r="O121" i="70"/>
  <c r="O9" i="70"/>
  <c r="O117" i="70"/>
  <c r="O128" i="70"/>
  <c r="O130" i="70"/>
  <c r="O52" i="70"/>
  <c r="O57" i="70"/>
  <c r="O45" i="70"/>
  <c r="O80" i="70"/>
  <c r="O28" i="70"/>
  <c r="O49" i="70"/>
  <c r="O108" i="70"/>
  <c r="O111" i="70"/>
  <c r="O75" i="70"/>
  <c r="O56" i="70"/>
  <c r="O51" i="70"/>
  <c r="O131" i="70"/>
  <c r="O86" i="70"/>
  <c r="O68" i="70"/>
  <c r="O126" i="70"/>
  <c r="O107" i="70"/>
  <c r="O44" i="70"/>
  <c r="O50" i="70"/>
  <c r="O114" i="70"/>
  <c r="O39" i="70"/>
  <c r="O115" i="70"/>
  <c r="O10" i="70"/>
  <c r="O142" i="70"/>
  <c r="O16" i="70"/>
  <c r="O63" i="70"/>
  <c r="O92" i="70"/>
  <c r="O116" i="70"/>
  <c r="O103" i="70"/>
  <c r="O141" i="70"/>
  <c r="O4" i="70"/>
  <c r="O32" i="70"/>
  <c r="O95" i="70"/>
  <c r="O102" i="70"/>
  <c r="O77" i="70"/>
  <c r="O90" i="70"/>
  <c r="O26" i="70"/>
  <c r="O5" i="70"/>
  <c r="O96" i="70"/>
  <c r="O41" i="70"/>
  <c r="O48" i="70"/>
  <c r="O73" i="70"/>
  <c r="O129" i="70"/>
  <c r="O127" i="70"/>
  <c r="O60" i="70"/>
  <c r="O88" i="70"/>
  <c r="O14" i="70"/>
  <c r="O79" i="70"/>
  <c r="O42" i="70"/>
  <c r="O122" i="70"/>
  <c r="O78" i="70"/>
  <c r="O100" i="70"/>
  <c r="O59" i="70"/>
  <c r="O81" i="70"/>
  <c r="O66" i="70"/>
  <c r="O74" i="70"/>
  <c r="O61" i="70"/>
  <c r="O43" i="70"/>
  <c r="O83" i="70"/>
  <c r="O30" i="70"/>
  <c r="O33" i="70"/>
  <c r="O35" i="70"/>
  <c r="O7" i="70"/>
  <c r="O62" i="70"/>
  <c r="O21" i="70"/>
  <c r="O125" i="70"/>
  <c r="O58" i="70"/>
  <c r="O69" i="70"/>
  <c r="O6" i="70"/>
  <c r="O144" i="70"/>
  <c r="O54" i="70"/>
  <c r="O118" i="70"/>
  <c r="O94" i="70"/>
  <c r="O89" i="70"/>
  <c r="O120" i="70"/>
  <c r="O17" i="70"/>
  <c r="O31" i="70"/>
  <c r="O8" i="70"/>
  <c r="O23" i="70"/>
  <c r="O37" i="70"/>
  <c r="O104" i="70"/>
  <c r="O47" i="70"/>
  <c r="O72" i="70"/>
  <c r="O98" i="70"/>
  <c r="O97" i="70"/>
  <c r="O11" i="70"/>
  <c r="O64" i="70"/>
  <c r="O85" i="70"/>
  <c r="O106" i="70"/>
  <c r="O87" i="70"/>
  <c r="O137" i="70"/>
  <c r="O15" i="70"/>
  <c r="O119" i="70"/>
  <c r="O113" i="70"/>
  <c r="O38" i="70"/>
  <c r="O124" i="70"/>
  <c r="O84" i="70"/>
  <c r="O143" i="70"/>
  <c r="O18" i="70"/>
  <c r="O34" i="70"/>
  <c r="O19" i="70"/>
  <c r="O22" i="70"/>
  <c r="O13" i="70"/>
  <c r="O55" i="70"/>
  <c r="O112" i="70"/>
  <c r="O27" i="70"/>
  <c r="O101" i="70"/>
  <c r="O40" i="70"/>
  <c r="O139" i="70"/>
  <c r="O67" i="70"/>
  <c r="O25" i="70"/>
  <c r="O135" i="70"/>
  <c r="O12" i="70"/>
  <c r="O47" i="59"/>
  <c r="O45" i="59"/>
  <c r="O46" i="59"/>
  <c r="W39" i="59" l="1"/>
  <c r="M86" i="55" s="1"/>
  <c r="AN77" i="41"/>
  <c r="AO77" i="41" s="1"/>
  <c r="W29" i="80"/>
  <c r="AE29" i="80" s="1"/>
  <c r="X33" i="80" s="1"/>
  <c r="AC33" i="80" s="1"/>
  <c r="AG77" i="41"/>
  <c r="U39" i="60"/>
  <c r="AG25" i="39"/>
  <c r="I22" i="75"/>
  <c r="T79" i="41"/>
  <c r="I21" i="75"/>
  <c r="AR79" i="41"/>
  <c r="AV77" i="41"/>
  <c r="AD77" i="40"/>
  <c r="AC79" i="40"/>
  <c r="AN113" i="40"/>
  <c r="AG77" i="40"/>
  <c r="T79" i="40"/>
  <c r="M39" i="58"/>
  <c r="C41" i="58"/>
  <c r="U39" i="58"/>
  <c r="U63" i="29"/>
  <c r="AB27" i="29"/>
  <c r="AG26" i="37"/>
  <c r="AH26" i="37" s="1"/>
  <c r="U20" i="32"/>
  <c r="AN35" i="41"/>
  <c r="AO35" i="41" s="1"/>
  <c r="U21" i="32"/>
  <c r="K28" i="75"/>
  <c r="W27" i="32"/>
  <c r="V11" i="71"/>
  <c r="W11" i="71" s="1"/>
  <c r="U12" i="71"/>
  <c r="U30" i="29"/>
  <c r="S66" i="29"/>
  <c r="T3" i="77"/>
  <c r="K27" i="75"/>
  <c r="K24" i="75"/>
  <c r="X27" i="80"/>
  <c r="AF27" i="80" s="1"/>
  <c r="W37" i="60"/>
  <c r="O37" i="60"/>
  <c r="AE29" i="37"/>
  <c r="AK29" i="37"/>
  <c r="AC29" i="37"/>
  <c r="AO29" i="39"/>
  <c r="AQ29" i="39" s="1"/>
  <c r="Z29" i="75"/>
  <c r="I29" i="75" s="1"/>
  <c r="K29" i="75" s="1"/>
  <c r="Z31" i="75"/>
  <c r="I31" i="75" s="1"/>
  <c r="K31" i="75" s="1"/>
  <c r="AB31" i="32"/>
  <c r="U31" i="32" s="1"/>
  <c r="W31" i="32" s="1"/>
  <c r="AB32" i="32"/>
  <c r="U32" i="32" s="1"/>
  <c r="AB35" i="32"/>
  <c r="U35" i="32" s="1"/>
  <c r="AB30" i="32"/>
  <c r="U30" i="32" s="1"/>
  <c r="W30" i="32" s="1"/>
  <c r="Z40" i="75"/>
  <c r="I40" i="75" s="1"/>
  <c r="AB34" i="32"/>
  <c r="U34" i="32" s="1"/>
  <c r="W34" i="32" s="1"/>
  <c r="Z39" i="75"/>
  <c r="I39" i="75" s="1"/>
  <c r="Z36" i="75"/>
  <c r="I36" i="75" s="1"/>
  <c r="Z34" i="75"/>
  <c r="I34" i="75" s="1"/>
  <c r="K34" i="75" s="1"/>
  <c r="AB39" i="32"/>
  <c r="U39" i="32" s="1"/>
  <c r="Z33" i="75"/>
  <c r="I33" i="75" s="1"/>
  <c r="AB28" i="32"/>
  <c r="U28" i="32" s="1"/>
  <c r="W28" i="32" s="1"/>
  <c r="AB33" i="32"/>
  <c r="U33" i="32" s="1"/>
  <c r="W33" i="32" s="1"/>
  <c r="AB38" i="32"/>
  <c r="U38" i="32" s="1"/>
  <c r="Z30" i="75"/>
  <c r="I30" i="75" s="1"/>
  <c r="K30" i="75" s="1"/>
  <c r="Z32" i="75"/>
  <c r="I32" i="75" s="1"/>
  <c r="K32" i="75" s="1"/>
  <c r="Z35" i="75"/>
  <c r="I35" i="75" s="1"/>
  <c r="K35" i="75" s="1"/>
  <c r="AB29" i="32"/>
  <c r="U29" i="32" s="1"/>
  <c r="W29" i="32" s="1"/>
  <c r="U26" i="29"/>
  <c r="S62" i="29"/>
  <c r="AC27" i="37"/>
  <c r="AE27" i="37"/>
  <c r="AO27" i="39"/>
  <c r="AQ27" i="39" s="1"/>
  <c r="AK27" i="37"/>
  <c r="AN79" i="40"/>
  <c r="AO77" i="40"/>
  <c r="U29" i="80"/>
  <c r="AC29" i="80" s="1"/>
  <c r="V33" i="80" s="1"/>
  <c r="AA33" i="80" s="1"/>
  <c r="O39" i="57"/>
  <c r="W39" i="57"/>
  <c r="U32" i="29"/>
  <c r="S68" i="29"/>
  <c r="AK33" i="37"/>
  <c r="AC33" i="37"/>
  <c r="AO33" i="39"/>
  <c r="AQ33" i="39" s="1"/>
  <c r="AE33" i="37"/>
  <c r="AO30" i="39"/>
  <c r="AQ30" i="39" s="1"/>
  <c r="AC30" i="37"/>
  <c r="AE30" i="37"/>
  <c r="AK30" i="37"/>
  <c r="AG68" i="41"/>
  <c r="Q32" i="41"/>
  <c r="AN68" i="41"/>
  <c r="AO68" i="41" s="1"/>
  <c r="X38" i="80"/>
  <c r="AC38" i="80" s="1"/>
  <c r="X36" i="80"/>
  <c r="AC36" i="80" s="1"/>
  <c r="X37" i="80"/>
  <c r="AC37" i="80" s="1"/>
  <c r="X34" i="80"/>
  <c r="AC34" i="80" s="1"/>
  <c r="X35" i="80"/>
  <c r="AC35" i="80" s="1"/>
  <c r="K26" i="75"/>
  <c r="W23" i="32"/>
  <c r="AC28" i="37"/>
  <c r="AO28" i="39"/>
  <c r="AQ28" i="39" s="1"/>
  <c r="AK28" i="37"/>
  <c r="AE28" i="37"/>
  <c r="S73" i="29"/>
  <c r="U37" i="29"/>
  <c r="AE31" i="37"/>
  <c r="AO31" i="39"/>
  <c r="AQ31" i="39" s="1"/>
  <c r="AC31" i="37"/>
  <c r="AK31" i="37"/>
  <c r="U9" i="77"/>
  <c r="V9" i="77" s="1"/>
  <c r="W9" i="77" s="1"/>
  <c r="U29" i="29"/>
  <c r="S65" i="29"/>
  <c r="AC36" i="37"/>
  <c r="AK36" i="37"/>
  <c r="AO36" i="39"/>
  <c r="AQ36" i="39" s="1"/>
  <c r="AE36" i="37"/>
  <c r="S70" i="29"/>
  <c r="U34" i="29"/>
  <c r="AC25" i="37"/>
  <c r="AO25" i="39"/>
  <c r="AQ25" i="39" s="1"/>
  <c r="AE25" i="37"/>
  <c r="AK25" i="37"/>
  <c r="S64" i="29"/>
  <c r="U28" i="29"/>
  <c r="U31" i="29"/>
  <c r="S67" i="29"/>
  <c r="O39" i="60"/>
  <c r="X29" i="80"/>
  <c r="AF29" i="80" s="1"/>
  <c r="W39" i="60"/>
  <c r="AC35" i="37"/>
  <c r="AE35" i="37"/>
  <c r="AO35" i="39"/>
  <c r="AQ35" i="39" s="1"/>
  <c r="AK35" i="37"/>
  <c r="AD68" i="41"/>
  <c r="AC79" i="41"/>
  <c r="S72" i="29"/>
  <c r="U36" i="29"/>
  <c r="X9" i="80"/>
  <c r="AF9" i="80" s="1"/>
  <c r="O19" i="60"/>
  <c r="W19" i="60"/>
  <c r="U33" i="60"/>
  <c r="M33" i="60"/>
  <c r="AG71" i="41"/>
  <c r="AN71" i="41"/>
  <c r="AO71" i="41" s="1"/>
  <c r="W26" i="32"/>
  <c r="W25" i="32"/>
  <c r="V29" i="80" l="1"/>
  <c r="AD29" i="80" s="1"/>
  <c r="W33" i="80" s="1"/>
  <c r="AB33" i="80" s="1"/>
  <c r="W39" i="58"/>
  <c r="O39" i="58"/>
  <c r="AO113" i="40"/>
  <c r="AN115" i="40"/>
  <c r="U10" i="77"/>
  <c r="V10" i="77" s="1"/>
  <c r="V12" i="71"/>
  <c r="W12" i="71" s="1"/>
  <c r="U13" i="71"/>
  <c r="AB30" i="29"/>
  <c r="AG29" i="37"/>
  <c r="AH29" i="37" s="1"/>
  <c r="U66" i="29"/>
  <c r="AG27" i="37"/>
  <c r="AH27" i="37" s="1"/>
  <c r="U64" i="29"/>
  <c r="AB28" i="29"/>
  <c r="AN79" i="41"/>
  <c r="X23" i="80"/>
  <c r="AF23" i="80" s="1"/>
  <c r="O33" i="60"/>
  <c r="W33" i="60"/>
  <c r="AB29" i="29"/>
  <c r="U65" i="29"/>
  <c r="AG28" i="37"/>
  <c r="AH28" i="37" s="1"/>
  <c r="C30" i="60"/>
  <c r="T32" i="41"/>
  <c r="AC32" i="41"/>
  <c r="C23" i="64"/>
  <c r="C34" i="64" s="1"/>
  <c r="Q43" i="41"/>
  <c r="AQ32" i="41"/>
  <c r="AB32" i="29"/>
  <c r="U68" i="29"/>
  <c r="AG31" i="37"/>
  <c r="AH31" i="37" s="1"/>
  <c r="AB34" i="29"/>
  <c r="U70" i="29"/>
  <c r="AG33" i="37"/>
  <c r="AH33" i="37" s="1"/>
  <c r="AB36" i="29"/>
  <c r="U72" i="29"/>
  <c r="AG35" i="37"/>
  <c r="AH35" i="37" s="1"/>
  <c r="AB31" i="29"/>
  <c r="AG30" i="37"/>
  <c r="AH30" i="37" s="1"/>
  <c r="U67" i="29"/>
  <c r="AB37" i="29"/>
  <c r="AG36" i="37"/>
  <c r="AH36" i="37" s="1"/>
  <c r="U73" i="29"/>
  <c r="AG25" i="37"/>
  <c r="AH25" i="37" s="1"/>
  <c r="AB26" i="29"/>
  <c r="U62" i="29"/>
  <c r="U11" i="77"/>
  <c r="W10" i="77"/>
  <c r="V13" i="71" l="1"/>
  <c r="W13" i="71" s="1"/>
  <c r="U14" i="71"/>
  <c r="M30" i="60"/>
  <c r="U30" i="60"/>
  <c r="C41" i="60"/>
  <c r="T43" i="41"/>
  <c r="AN32" i="41"/>
  <c r="AO32" i="41" s="1"/>
  <c r="AC43" i="41"/>
  <c r="AD32" i="41"/>
  <c r="V11" i="77"/>
  <c r="W11" i="77" s="1"/>
  <c r="U12" i="77"/>
  <c r="V12" i="77" s="1"/>
  <c r="U15" i="71" l="1"/>
  <c r="V14" i="71"/>
  <c r="W14" i="71" s="1"/>
  <c r="W30" i="60"/>
  <c r="O30" i="60"/>
  <c r="X20" i="80"/>
  <c r="AF20" i="80" s="1"/>
  <c r="U13" i="77"/>
  <c r="U14" i="77" s="1"/>
  <c r="U15" i="77" s="1"/>
  <c r="W12" i="77"/>
  <c r="O47" i="60"/>
  <c r="O45" i="60"/>
  <c r="O46" i="60"/>
  <c r="V15" i="71" l="1"/>
  <c r="W15" i="71" s="1"/>
  <c r="U16" i="71"/>
  <c r="Y37" i="80"/>
  <c r="AD37" i="80" s="1"/>
  <c r="Y33" i="80"/>
  <c r="AD33" i="80" s="1"/>
  <c r="Y38" i="80"/>
  <c r="AD38" i="80" s="1"/>
  <c r="Y35" i="80"/>
  <c r="AD35" i="80" s="1"/>
  <c r="Y34" i="80"/>
  <c r="AD34" i="80" s="1"/>
  <c r="Y36" i="80"/>
  <c r="AD36" i="80" s="1"/>
  <c r="V13" i="77"/>
  <c r="W13" i="77" s="1"/>
  <c r="V14" i="77"/>
  <c r="W14" i="77" s="1"/>
  <c r="U16" i="77"/>
  <c r="V15" i="77"/>
  <c r="W15" i="77" s="1"/>
  <c r="U17" i="71" l="1"/>
  <c r="V16" i="71"/>
  <c r="W16" i="71" s="1"/>
  <c r="V16" i="77"/>
  <c r="W16" i="77" s="1"/>
  <c r="U17" i="77"/>
  <c r="U18" i="71" l="1"/>
  <c r="V17" i="71"/>
  <c r="W17" i="71" s="1"/>
  <c r="U18" i="77"/>
  <c r="V17" i="77"/>
  <c r="W17" i="77" s="1"/>
  <c r="V18" i="71" l="1"/>
  <c r="W18" i="71" s="1"/>
  <c r="U19" i="71"/>
  <c r="U19" i="77"/>
  <c r="V18" i="77"/>
  <c r="W18" i="77" s="1"/>
  <c r="V19" i="71" l="1"/>
  <c r="W19" i="71" s="1"/>
  <c r="U20" i="71"/>
  <c r="V19" i="77"/>
  <c r="W19" i="77" s="1"/>
  <c r="U20" i="77"/>
  <c r="U21" i="71" l="1"/>
  <c r="V20" i="71"/>
  <c r="W20" i="71" s="1"/>
  <c r="U21" i="77"/>
  <c r="V20" i="77"/>
  <c r="W20" i="77" s="1"/>
  <c r="V21" i="71" l="1"/>
  <c r="W21" i="71" s="1"/>
  <c r="U22" i="71"/>
  <c r="U22" i="77"/>
  <c r="V21" i="77"/>
  <c r="W21" i="77" s="1"/>
  <c r="V22" i="71" l="1"/>
  <c r="W22" i="71" s="1"/>
  <c r="U23" i="71"/>
  <c r="U23" i="77"/>
  <c r="V22" i="77"/>
  <c r="W22" i="77" s="1"/>
  <c r="V23" i="71" l="1"/>
  <c r="W23" i="71" s="1"/>
  <c r="U24" i="71"/>
  <c r="V23" i="77"/>
  <c r="W23" i="77" s="1"/>
  <c r="U24" i="77"/>
  <c r="U25" i="71" l="1"/>
  <c r="V24" i="71"/>
  <c r="W24" i="71" s="1"/>
  <c r="U25" i="77"/>
  <c r="V24" i="77"/>
  <c r="W24" i="77" s="1"/>
  <c r="U26" i="71" l="1"/>
  <c r="V25" i="71"/>
  <c r="W25" i="71" s="1"/>
  <c r="V25" i="77"/>
  <c r="W25" i="77" s="1"/>
  <c r="U26" i="77"/>
  <c r="V26" i="71" l="1"/>
  <c r="W26" i="71" s="1"/>
  <c r="U27" i="71"/>
  <c r="U27" i="77"/>
  <c r="V26" i="77"/>
  <c r="W26" i="77" s="1"/>
  <c r="U28" i="71" l="1"/>
  <c r="V27" i="71"/>
  <c r="W27" i="71" s="1"/>
  <c r="U28" i="77"/>
  <c r="V27" i="77"/>
  <c r="W27" i="77" s="1"/>
  <c r="V28" i="71" l="1"/>
  <c r="W28" i="71" s="1"/>
  <c r="U29" i="71"/>
  <c r="U29" i="77"/>
  <c r="V28" i="77"/>
  <c r="W28" i="77" s="1"/>
  <c r="U30" i="71" l="1"/>
  <c r="V29" i="71"/>
  <c r="W29" i="71" s="1"/>
  <c r="U30" i="77"/>
  <c r="V29" i="77"/>
  <c r="W29" i="77" s="1"/>
  <c r="V30" i="71" l="1"/>
  <c r="W30" i="71" s="1"/>
  <c r="U31" i="71"/>
  <c r="V30" i="77"/>
  <c r="W30" i="77" s="1"/>
  <c r="U31" i="77"/>
  <c r="V31" i="71" l="1"/>
  <c r="W31" i="71" s="1"/>
  <c r="U32" i="71"/>
  <c r="U32" i="77"/>
  <c r="V31" i="77"/>
  <c r="W31" i="77" s="1"/>
  <c r="U33" i="71" l="1"/>
  <c r="V32" i="71"/>
  <c r="W32" i="71" s="1"/>
  <c r="V32" i="77"/>
  <c r="W32" i="77" s="1"/>
  <c r="U33" i="77"/>
  <c r="U34" i="71" l="1"/>
  <c r="V33" i="71"/>
  <c r="W33" i="71" s="1"/>
  <c r="U34" i="77"/>
  <c r="V33" i="77"/>
  <c r="W33" i="77" s="1"/>
  <c r="V34" i="71" l="1"/>
  <c r="W34" i="71" s="1"/>
  <c r="U35" i="71"/>
  <c r="V34" i="77"/>
  <c r="W34" i="77" s="1"/>
  <c r="U35" i="77"/>
  <c r="V35" i="71" l="1"/>
  <c r="W35" i="71" s="1"/>
  <c r="U36" i="71"/>
  <c r="U36" i="77"/>
  <c r="V35" i="77"/>
  <c r="W35" i="77" s="1"/>
  <c r="U37" i="71" l="1"/>
  <c r="V36" i="71"/>
  <c r="W36" i="71" s="1"/>
  <c r="V36" i="77"/>
  <c r="W36" i="77" s="1"/>
  <c r="U37" i="77"/>
  <c r="V37" i="71" l="1"/>
  <c r="W37" i="71" s="1"/>
  <c r="U38" i="71"/>
  <c r="V37" i="77"/>
  <c r="W37" i="77" s="1"/>
  <c r="U38" i="77"/>
  <c r="U39" i="71" l="1"/>
  <c r="V38" i="71"/>
  <c r="W38" i="71" s="1"/>
  <c r="U39" i="77"/>
  <c r="V38" i="77"/>
  <c r="W38" i="77" s="1"/>
  <c r="U40" i="71" l="1"/>
  <c r="V39" i="71"/>
  <c r="W39" i="71" s="1"/>
  <c r="U40" i="77"/>
  <c r="V39" i="77"/>
  <c r="W39" i="77" s="1"/>
  <c r="V40" i="71" l="1"/>
  <c r="W40" i="71" s="1"/>
  <c r="U41" i="71"/>
  <c r="V40" i="77"/>
  <c r="W40" i="77" s="1"/>
  <c r="U41" i="77"/>
  <c r="U42" i="71" l="1"/>
  <c r="V41" i="71"/>
  <c r="W41" i="71" s="1"/>
  <c r="V41" i="77"/>
  <c r="W41" i="77" s="1"/>
  <c r="U42" i="77"/>
  <c r="U43" i="71" l="1"/>
  <c r="V42" i="71"/>
  <c r="W42" i="71" s="1"/>
  <c r="U43" i="77"/>
  <c r="V42" i="77"/>
  <c r="W42" i="77" s="1"/>
  <c r="V43" i="71" l="1"/>
  <c r="U44" i="71"/>
  <c r="U44" i="77"/>
  <c r="V43" i="77"/>
  <c r="W43" i="77" s="1"/>
  <c r="V44" i="71" l="1"/>
  <c r="W44" i="71" s="1"/>
  <c r="U3" i="71"/>
  <c r="W43" i="71"/>
  <c r="V44" i="77"/>
  <c r="U3" i="77"/>
  <c r="W3" i="71" l="1"/>
  <c r="V3" i="71"/>
  <c r="O35" i="71" s="1"/>
  <c r="W22" i="32" s="1"/>
  <c r="U22" i="32" s="1"/>
  <c r="W44" i="77"/>
  <c r="W3" i="77" s="1"/>
  <c r="V3" i="77"/>
  <c r="O35" i="77" s="1"/>
  <c r="K23" i="75" s="1"/>
  <c r="I23" i="75" s="1"/>
  <c r="M40" i="66"/>
  <c r="O49" i="58"/>
  <c r="O49" i="57"/>
  <c r="O48" i="58"/>
  <c r="O48" i="59"/>
  <c r="M41" i="66"/>
  <c r="O49" i="59"/>
  <c r="M42" i="66"/>
  <c r="O49" i="60"/>
  <c r="O48" i="57"/>
  <c r="O48" i="60"/>
  <c r="O51" i="59" l="1"/>
  <c r="O51" i="58"/>
  <c r="O51" i="57"/>
  <c r="O51" i="60"/>
  <c r="M44" i="66"/>
  <c r="S46" i="66" s="1"/>
  <c r="X33" i="57" l="1"/>
  <c r="Y23" i="80" s="1"/>
  <c r="V27" i="57"/>
  <c r="V35" i="57"/>
  <c r="V28" i="57"/>
  <c r="V19" i="57"/>
  <c r="V39" i="57"/>
  <c r="V26" i="57"/>
  <c r="X31" i="57"/>
  <c r="Y21" i="80" s="1"/>
  <c r="X28" i="57"/>
  <c r="Y18" i="80" s="1"/>
  <c r="X18" i="57"/>
  <c r="Y8" i="80" s="1"/>
  <c r="X25" i="57"/>
  <c r="Y15" i="80" s="1"/>
  <c r="X26" i="57"/>
  <c r="Y16" i="80" s="1"/>
  <c r="X21" i="57"/>
  <c r="Y11" i="80" s="1"/>
  <c r="X36" i="57"/>
  <c r="Y26" i="80" s="1"/>
  <c r="V32" i="57"/>
  <c r="M48" i="56"/>
  <c r="C34" i="56" s="1"/>
  <c r="Y34" i="56" s="1"/>
  <c r="C35" i="51" s="1"/>
  <c r="X29" i="57"/>
  <c r="Y19" i="80" s="1"/>
  <c r="V38" i="57"/>
  <c r="X39" i="57"/>
  <c r="Y29" i="80" s="1"/>
  <c r="V30" i="57"/>
  <c r="X20" i="57"/>
  <c r="Y10" i="80" s="1"/>
  <c r="V25" i="57"/>
  <c r="V20" i="57"/>
  <c r="V24" i="57"/>
  <c r="X35" i="57"/>
  <c r="Y25" i="80" s="1"/>
  <c r="X17" i="57"/>
  <c r="Y7" i="80" s="1"/>
  <c r="X32" i="57"/>
  <c r="Y22" i="80" s="1"/>
  <c r="V37" i="57"/>
  <c r="V29" i="57"/>
  <c r="V21" i="57"/>
  <c r="V34" i="57"/>
  <c r="V31" i="57"/>
  <c r="V36" i="57"/>
  <c r="X24" i="57"/>
  <c r="Y14" i="80" s="1"/>
  <c r="X30" i="57"/>
  <c r="Y20" i="80" s="1"/>
  <c r="X27" i="57"/>
  <c r="Y17" i="80" s="1"/>
  <c r="X37" i="57"/>
  <c r="Y27" i="80" s="1"/>
  <c r="X22" i="57"/>
  <c r="Y12" i="80" s="1"/>
  <c r="X34" i="57"/>
  <c r="Y24" i="80" s="1"/>
  <c r="X19" i="57"/>
  <c r="Y9" i="80" s="1"/>
  <c r="V16" i="57"/>
  <c r="X16" i="57"/>
  <c r="Y6" i="80" s="1"/>
  <c r="X38" i="57"/>
  <c r="Y28" i="80" s="1"/>
  <c r="X23" i="57"/>
  <c r="Y13" i="80" s="1"/>
  <c r="V18" i="57"/>
  <c r="V23" i="57"/>
  <c r="V22" i="57"/>
  <c r="V33" i="57"/>
  <c r="V17" i="57"/>
  <c r="X24" i="60"/>
  <c r="AB14" i="80" s="1"/>
  <c r="X17" i="59"/>
  <c r="AA7" i="80" s="1"/>
  <c r="V16" i="58"/>
  <c r="V37" i="58"/>
  <c r="X32" i="58"/>
  <c r="Z22" i="80" s="1"/>
  <c r="X24" i="58"/>
  <c r="Z14" i="80" s="1"/>
  <c r="V27" i="58"/>
  <c r="V31" i="58"/>
  <c r="V21" i="58"/>
  <c r="X30" i="58"/>
  <c r="Z20" i="80" s="1"/>
  <c r="M50" i="56"/>
  <c r="X22" i="58"/>
  <c r="Z12" i="80" s="1"/>
  <c r="X33" i="58"/>
  <c r="Z23" i="80" s="1"/>
  <c r="X19" i="58"/>
  <c r="Z9" i="80" s="1"/>
  <c r="X17" i="58"/>
  <c r="Z7" i="80" s="1"/>
  <c r="X31" i="58"/>
  <c r="Z21" i="80" s="1"/>
  <c r="V33" i="58"/>
  <c r="X27" i="58"/>
  <c r="Z17" i="80" s="1"/>
  <c r="X25" i="58"/>
  <c r="Z15" i="80" s="1"/>
  <c r="X28" i="58"/>
  <c r="Z18" i="80" s="1"/>
  <c r="X24" i="59"/>
  <c r="N71" i="55" s="1"/>
  <c r="X37" i="60"/>
  <c r="AB27" i="80" s="1"/>
  <c r="X31" i="60"/>
  <c r="AB21" i="80" s="1"/>
  <c r="V29" i="58"/>
  <c r="V19" i="58"/>
  <c r="V38" i="59"/>
  <c r="V23" i="59"/>
  <c r="V26" i="58"/>
  <c r="V39" i="58"/>
  <c r="X21" i="58"/>
  <c r="Z11" i="80" s="1"/>
  <c r="X39" i="58"/>
  <c r="Z29" i="80" s="1"/>
  <c r="V18" i="58"/>
  <c r="V17" i="58"/>
  <c r="V28" i="58"/>
  <c r="V22" i="58"/>
  <c r="X37" i="58"/>
  <c r="Z27" i="80" s="1"/>
  <c r="V35" i="58"/>
  <c r="X34" i="58"/>
  <c r="Z24" i="80" s="1"/>
  <c r="X20" i="58"/>
  <c r="Z10" i="80" s="1"/>
  <c r="V34" i="58"/>
  <c r="V24" i="58"/>
  <c r="X23" i="58"/>
  <c r="Z13" i="80" s="1"/>
  <c r="X18" i="58"/>
  <c r="Z8" i="80" s="1"/>
  <c r="V36" i="58"/>
  <c r="X26" i="58"/>
  <c r="Z16" i="80" s="1"/>
  <c r="V20" i="58"/>
  <c r="X38" i="58"/>
  <c r="Z28" i="80" s="1"/>
  <c r="X36" i="58"/>
  <c r="Z26" i="80" s="1"/>
  <c r="V25" i="58"/>
  <c r="V23" i="58"/>
  <c r="X29" i="58"/>
  <c r="Z19" i="80" s="1"/>
  <c r="V32" i="58"/>
  <c r="V30" i="58"/>
  <c r="V38" i="58"/>
  <c r="X16" i="58"/>
  <c r="Z6" i="80" s="1"/>
  <c r="V30" i="60"/>
  <c r="X35" i="58"/>
  <c r="Z25" i="80" s="1"/>
  <c r="V25" i="60"/>
  <c r="X33" i="59"/>
  <c r="N80" i="55" s="1"/>
  <c r="V24" i="59"/>
  <c r="X25" i="60"/>
  <c r="AB15" i="80" s="1"/>
  <c r="V23" i="60"/>
  <c r="V20" i="60"/>
  <c r="V28" i="59"/>
  <c r="X39" i="59"/>
  <c r="N86" i="55" s="1"/>
  <c r="V36" i="60"/>
  <c r="X16" i="60"/>
  <c r="AB6" i="80" s="1"/>
  <c r="V29" i="60"/>
  <c r="X16" i="59"/>
  <c r="AA6" i="80" s="1"/>
  <c r="X28" i="59"/>
  <c r="N75" i="55" s="1"/>
  <c r="V29" i="59"/>
  <c r="X20" i="59"/>
  <c r="AA10" i="80" s="1"/>
  <c r="V39" i="59"/>
  <c r="X38" i="60"/>
  <c r="AB28" i="80" s="1"/>
  <c r="V26" i="60"/>
  <c r="V35" i="60"/>
  <c r="V21" i="60"/>
  <c r="V38" i="60"/>
  <c r="V26" i="59"/>
  <c r="V25" i="59"/>
  <c r="X36" i="59"/>
  <c r="N83" i="55" s="1"/>
  <c r="X35" i="59"/>
  <c r="N82" i="55" s="1"/>
  <c r="V31" i="59"/>
  <c r="V27" i="60"/>
  <c r="X19" i="60"/>
  <c r="AB9" i="80" s="1"/>
  <c r="X22" i="60"/>
  <c r="AB12" i="80" s="1"/>
  <c r="V39" i="60"/>
  <c r="X30" i="60"/>
  <c r="AB20" i="80" s="1"/>
  <c r="V16" i="59"/>
  <c r="X29" i="59"/>
  <c r="AA19" i="80" s="1"/>
  <c r="V17" i="59"/>
  <c r="X37" i="59"/>
  <c r="AA27" i="80" s="1"/>
  <c r="V33" i="59"/>
  <c r="X36" i="60"/>
  <c r="AB26" i="80" s="1"/>
  <c r="X23" i="60"/>
  <c r="AB13" i="80" s="1"/>
  <c r="V19" i="60"/>
  <c r="V18" i="60"/>
  <c r="V31" i="60"/>
  <c r="M52" i="56"/>
  <c r="V16" i="60"/>
  <c r="X18" i="60"/>
  <c r="AB8" i="80" s="1"/>
  <c r="V22" i="60"/>
  <c r="X39" i="60"/>
  <c r="AB29" i="80" s="1"/>
  <c r="M51" i="56"/>
  <c r="V37" i="59"/>
  <c r="X25" i="59"/>
  <c r="AA15" i="80" s="1"/>
  <c r="X22" i="59"/>
  <c r="AA12" i="80" s="1"/>
  <c r="V20" i="59"/>
  <c r="X19" i="59"/>
  <c r="AA9" i="80" s="1"/>
  <c r="X31" i="59"/>
  <c r="AA21" i="80" s="1"/>
  <c r="X18" i="59"/>
  <c r="AA8" i="80" s="1"/>
  <c r="X21" i="59"/>
  <c r="AA11" i="80" s="1"/>
  <c r="V18" i="59"/>
  <c r="V21" i="59"/>
  <c r="X32" i="60"/>
  <c r="AB22" i="80" s="1"/>
  <c r="V19" i="59"/>
  <c r="X33" i="60"/>
  <c r="AB23" i="80" s="1"/>
  <c r="X34" i="60"/>
  <c r="AB24" i="80" s="1"/>
  <c r="X35" i="60"/>
  <c r="AB25" i="80" s="1"/>
  <c r="V28" i="60"/>
  <c r="X28" i="60"/>
  <c r="AB18" i="80" s="1"/>
  <c r="X21" i="60"/>
  <c r="AB11" i="80" s="1"/>
  <c r="V24" i="60"/>
  <c r="X20" i="60"/>
  <c r="AB10" i="80" s="1"/>
  <c r="X27" i="60"/>
  <c r="AB17" i="80" s="1"/>
  <c r="V37" i="60"/>
  <c r="X17" i="60"/>
  <c r="AB7" i="80" s="1"/>
  <c r="X26" i="59"/>
  <c r="AA16" i="80" s="1"/>
  <c r="V22" i="59"/>
  <c r="X38" i="59"/>
  <c r="AA28" i="80" s="1"/>
  <c r="X30" i="59"/>
  <c r="AA20" i="80" s="1"/>
  <c r="X27" i="59"/>
  <c r="N74" i="55" s="1"/>
  <c r="X34" i="59"/>
  <c r="N81" i="55" s="1"/>
  <c r="V30" i="59"/>
  <c r="V27" i="59"/>
  <c r="X23" i="59"/>
  <c r="AA13" i="80" s="1"/>
  <c r="X32" i="59"/>
  <c r="AA22" i="80" s="1"/>
  <c r="V34" i="59"/>
  <c r="V35" i="59"/>
  <c r="V32" i="59"/>
  <c r="X29" i="60"/>
  <c r="AB19" i="80" s="1"/>
  <c r="V17" i="60"/>
  <c r="V36" i="59"/>
  <c r="X26" i="60"/>
  <c r="AB16" i="80" s="1"/>
  <c r="V33" i="60"/>
  <c r="V34" i="60"/>
  <c r="V32" i="60"/>
  <c r="O17" i="66"/>
  <c r="O20" i="66"/>
  <c r="O18" i="66"/>
  <c r="O28" i="66"/>
  <c r="O21" i="66"/>
  <c r="O24" i="66"/>
  <c r="O25" i="66"/>
  <c r="O23" i="66"/>
  <c r="O30" i="66"/>
  <c r="O27" i="66"/>
  <c r="O16" i="66"/>
  <c r="O22" i="66"/>
  <c r="O32" i="66"/>
  <c r="O26" i="66"/>
  <c r="O19" i="66"/>
  <c r="O31" i="66"/>
  <c r="O29" i="66"/>
  <c r="C36" i="56" l="1"/>
  <c r="Y36" i="56" s="1"/>
  <c r="C37" i="51" s="1"/>
  <c r="C37" i="48" s="1"/>
  <c r="G37" i="48" s="1"/>
  <c r="K37" i="48" s="1"/>
  <c r="M37" i="48" s="1"/>
  <c r="M62" i="56"/>
  <c r="M67" i="56" s="1"/>
  <c r="C16" i="56"/>
  <c r="Y16" i="56" s="1"/>
  <c r="C17" i="51" s="1"/>
  <c r="C38" i="56"/>
  <c r="Y38" i="56" s="1"/>
  <c r="C39" i="51" s="1"/>
  <c r="C39" i="48" s="1"/>
  <c r="G39" i="48" s="1"/>
  <c r="K39" i="48" s="1"/>
  <c r="M39" i="48" s="1"/>
  <c r="C25" i="56"/>
  <c r="Y25" i="56" s="1"/>
  <c r="C26" i="51" s="1"/>
  <c r="G26" i="51" s="1"/>
  <c r="K26" i="51" s="1"/>
  <c r="M26" i="51" s="1"/>
  <c r="C33" i="56"/>
  <c r="Y33" i="56" s="1"/>
  <c r="C34" i="51" s="1"/>
  <c r="G34" i="51" s="1"/>
  <c r="K34" i="51" s="1"/>
  <c r="M34" i="51" s="1"/>
  <c r="M61" i="56"/>
  <c r="C23" i="56"/>
  <c r="Y23" i="56" s="1"/>
  <c r="C24" i="51" s="1"/>
  <c r="G24" i="51" s="1"/>
  <c r="K24" i="51" s="1"/>
  <c r="M24" i="51" s="1"/>
  <c r="C30" i="56"/>
  <c r="Y30" i="56" s="1"/>
  <c r="C31" i="51" s="1"/>
  <c r="G31" i="51" s="1"/>
  <c r="K31" i="51" s="1"/>
  <c r="M31" i="51" s="1"/>
  <c r="M60" i="56"/>
  <c r="F30" i="69"/>
  <c r="C20" i="56"/>
  <c r="Y20" i="56" s="1"/>
  <c r="C21" i="51" s="1"/>
  <c r="C31" i="56"/>
  <c r="Y31" i="56" s="1"/>
  <c r="C32" i="51" s="1"/>
  <c r="C32" i="48" s="1"/>
  <c r="G32" i="48" s="1"/>
  <c r="K32" i="48" s="1"/>
  <c r="M32" i="48" s="1"/>
  <c r="C27" i="56"/>
  <c r="Y27" i="56" s="1"/>
  <c r="C28" i="51" s="1"/>
  <c r="C28" i="48" s="1"/>
  <c r="G28" i="48" s="1"/>
  <c r="K28" i="48" s="1"/>
  <c r="M28" i="48" s="1"/>
  <c r="C24" i="56"/>
  <c r="Y24" i="56" s="1"/>
  <c r="C25" i="51" s="1"/>
  <c r="G25" i="51" s="1"/>
  <c r="K25" i="51" s="1"/>
  <c r="M25" i="51" s="1"/>
  <c r="C26" i="56"/>
  <c r="Y26" i="56" s="1"/>
  <c r="C27" i="51" s="1"/>
  <c r="G27" i="51" s="1"/>
  <c r="K27" i="51" s="1"/>
  <c r="M27" i="51" s="1"/>
  <c r="C15" i="56"/>
  <c r="M15" i="56" s="1"/>
  <c r="Q15" i="56" s="1"/>
  <c r="C32" i="56"/>
  <c r="Y32" i="56" s="1"/>
  <c r="C33" i="51" s="1"/>
  <c r="G33" i="51" s="1"/>
  <c r="K33" i="51" s="1"/>
  <c r="M33" i="51" s="1"/>
  <c r="C18" i="56"/>
  <c r="Y18" i="56" s="1"/>
  <c r="C19" i="51" s="1"/>
  <c r="C28" i="56"/>
  <c r="Y28" i="56" s="1"/>
  <c r="C29" i="51" s="1"/>
  <c r="G29" i="51" s="1"/>
  <c r="K29" i="51" s="1"/>
  <c r="M29" i="51" s="1"/>
  <c r="C17" i="56"/>
  <c r="M17" i="56" s="1"/>
  <c r="Q17" i="56" s="1"/>
  <c r="C19" i="56"/>
  <c r="M19" i="56" s="1"/>
  <c r="Q19" i="56" s="1"/>
  <c r="M59" i="56"/>
  <c r="C21" i="56"/>
  <c r="M21" i="56" s="1"/>
  <c r="Q21" i="56" s="1"/>
  <c r="C42" i="56"/>
  <c r="Y42" i="56" s="1"/>
  <c r="C37" i="56"/>
  <c r="Y37" i="56" s="1"/>
  <c r="C38" i="51" s="1"/>
  <c r="C38" i="48" s="1"/>
  <c r="G38" i="48" s="1"/>
  <c r="K38" i="48" s="1"/>
  <c r="M38" i="48" s="1"/>
  <c r="C29" i="56"/>
  <c r="Y29" i="56" s="1"/>
  <c r="C30" i="51" s="1"/>
  <c r="C30" i="48" s="1"/>
  <c r="G30" i="48" s="1"/>
  <c r="K30" i="48" s="1"/>
  <c r="M30" i="48" s="1"/>
  <c r="C35" i="56"/>
  <c r="Y35" i="56" s="1"/>
  <c r="C36" i="51" s="1"/>
  <c r="G36" i="51" s="1"/>
  <c r="K36" i="51" s="1"/>
  <c r="M36" i="51" s="1"/>
  <c r="C22" i="56"/>
  <c r="Y22" i="56" s="1"/>
  <c r="C23" i="51" s="1"/>
  <c r="C35" i="48"/>
  <c r="G35" i="48" s="1"/>
  <c r="K35" i="48" s="1"/>
  <c r="M35" i="48" s="1"/>
  <c r="G35" i="51"/>
  <c r="K35" i="51" s="1"/>
  <c r="M35" i="51" s="1"/>
  <c r="N72" i="55"/>
  <c r="AA25" i="80"/>
  <c r="AA23" i="80"/>
  <c r="AA14" i="80"/>
  <c r="M64" i="56"/>
  <c r="E31" i="56" s="1"/>
  <c r="N84" i="55"/>
  <c r="N77" i="55"/>
  <c r="AA24" i="80"/>
  <c r="AA18" i="80"/>
  <c r="AA29" i="80"/>
  <c r="N73" i="55"/>
  <c r="AA26" i="80"/>
  <c r="N78" i="55"/>
  <c r="N79" i="55"/>
  <c r="N76" i="55"/>
  <c r="AA17" i="80"/>
  <c r="N70" i="55"/>
  <c r="N85" i="55"/>
  <c r="M65" i="56"/>
  <c r="G37" i="56" s="1"/>
  <c r="M37" i="56" s="1"/>
  <c r="Q37" i="56" s="1"/>
  <c r="E16" i="80"/>
  <c r="Q19" i="66"/>
  <c r="E19" i="65" s="1"/>
  <c r="G19" i="65" s="1"/>
  <c r="N16" i="55"/>
  <c r="N13" i="55"/>
  <c r="Q16" i="66"/>
  <c r="E13" i="80"/>
  <c r="Q25" i="66"/>
  <c r="E25" i="65" s="1"/>
  <c r="G25" i="65" s="1"/>
  <c r="E22" i="80"/>
  <c r="N22" i="55"/>
  <c r="N15" i="55"/>
  <c r="E15" i="80"/>
  <c r="Q18" i="66"/>
  <c r="E18" i="65" s="1"/>
  <c r="G18" i="65" s="1"/>
  <c r="E23" i="80"/>
  <c r="N23" i="55"/>
  <c r="Q26" i="66"/>
  <c r="E26" i="65" s="1"/>
  <c r="G26" i="65" s="1"/>
  <c r="Q27" i="66"/>
  <c r="E27" i="65" s="1"/>
  <c r="G27" i="65" s="1"/>
  <c r="E24" i="80"/>
  <c r="N24" i="55"/>
  <c r="E21" i="80"/>
  <c r="Q24" i="66"/>
  <c r="E24" i="65" s="1"/>
  <c r="G24" i="65" s="1"/>
  <c r="N21" i="55"/>
  <c r="E17" i="80"/>
  <c r="Q20" i="66"/>
  <c r="E20" i="65" s="1"/>
  <c r="G20" i="65" s="1"/>
  <c r="N17" i="55"/>
  <c r="Q29" i="66"/>
  <c r="E29" i="65" s="1"/>
  <c r="G29" i="65" s="1"/>
  <c r="N26" i="55"/>
  <c r="E26" i="80"/>
  <c r="N29" i="55"/>
  <c r="Q32" i="66"/>
  <c r="E32" i="65" s="1"/>
  <c r="G32" i="65" s="1"/>
  <c r="E29" i="80"/>
  <c r="E27" i="80"/>
  <c r="Q30" i="66"/>
  <c r="E30" i="65" s="1"/>
  <c r="G30" i="65" s="1"/>
  <c r="N27" i="55"/>
  <c r="N18" i="55"/>
  <c r="E18" i="80"/>
  <c r="Q21" i="66"/>
  <c r="E21" i="65" s="1"/>
  <c r="G21" i="65" s="1"/>
  <c r="E28" i="80"/>
  <c r="N28" i="55"/>
  <c r="Q31" i="66"/>
  <c r="E31" i="65" s="1"/>
  <c r="G31" i="65" s="1"/>
  <c r="E19" i="80"/>
  <c r="Q22" i="66"/>
  <c r="E22" i="65" s="1"/>
  <c r="G22" i="65" s="1"/>
  <c r="N19" i="55"/>
  <c r="Q23" i="66"/>
  <c r="E23" i="65" s="1"/>
  <c r="G23" i="65" s="1"/>
  <c r="N20" i="55"/>
  <c r="E20" i="80"/>
  <c r="N25" i="55"/>
  <c r="E25" i="80"/>
  <c r="Q28" i="66"/>
  <c r="E28" i="65" s="1"/>
  <c r="G28" i="65" s="1"/>
  <c r="E14" i="80"/>
  <c r="N14" i="55"/>
  <c r="Q17" i="66"/>
  <c r="E17" i="65" s="1"/>
  <c r="G17" i="65" s="1"/>
  <c r="C31" i="71"/>
  <c r="C35" i="71" s="1"/>
  <c r="W16" i="32" s="1"/>
  <c r="G22" i="56" l="1"/>
  <c r="C26" i="48"/>
  <c r="G26" i="48" s="1"/>
  <c r="K26" i="48" s="1"/>
  <c r="M26" i="48" s="1"/>
  <c r="C33" i="48"/>
  <c r="G33" i="48" s="1"/>
  <c r="K33" i="48" s="1"/>
  <c r="M33" i="48" s="1"/>
  <c r="C31" i="48"/>
  <c r="G31" i="48" s="1"/>
  <c r="K31" i="48" s="1"/>
  <c r="M31" i="48" s="1"/>
  <c r="G32" i="51"/>
  <c r="K32" i="51" s="1"/>
  <c r="M32" i="51" s="1"/>
  <c r="G37" i="51"/>
  <c r="K37" i="51" s="1"/>
  <c r="M37" i="51" s="1"/>
  <c r="C34" i="48"/>
  <c r="G34" i="48" s="1"/>
  <c r="K34" i="48" s="1"/>
  <c r="G28" i="51"/>
  <c r="K28" i="51" s="1"/>
  <c r="M28" i="51" s="1"/>
  <c r="G30" i="51"/>
  <c r="K30" i="51" s="1"/>
  <c r="M30" i="51" s="1"/>
  <c r="G38" i="51"/>
  <c r="K38" i="51" s="1"/>
  <c r="M38" i="51" s="1"/>
  <c r="Y19" i="56"/>
  <c r="C20" i="51" s="1"/>
  <c r="G20" i="51" s="1"/>
  <c r="K20" i="51" s="1"/>
  <c r="M20" i="51" s="1"/>
  <c r="M18" i="56"/>
  <c r="Q18" i="56" s="1"/>
  <c r="C19" i="49" s="1"/>
  <c r="M16" i="56"/>
  <c r="Q16" i="56" s="1"/>
  <c r="C17" i="49" s="1"/>
  <c r="G39" i="51"/>
  <c r="K39" i="51" s="1"/>
  <c r="M39" i="51" s="1"/>
  <c r="M20" i="56"/>
  <c r="Q20" i="56" s="1"/>
  <c r="C21" i="49" s="1"/>
  <c r="C27" i="48"/>
  <c r="G27" i="48" s="1"/>
  <c r="K27" i="48" s="1"/>
  <c r="C24" i="48"/>
  <c r="G24" i="48" s="1"/>
  <c r="K24" i="48" s="1"/>
  <c r="C29" i="48"/>
  <c r="G29" i="48" s="1"/>
  <c r="K29" i="48" s="1"/>
  <c r="M29" i="48" s="1"/>
  <c r="M22" i="56"/>
  <c r="Q22" i="56" s="1"/>
  <c r="C36" i="48"/>
  <c r="G36" i="48" s="1"/>
  <c r="K36" i="48" s="1"/>
  <c r="C25" i="48"/>
  <c r="G25" i="48" s="1"/>
  <c r="K25" i="48" s="1"/>
  <c r="Y21" i="56"/>
  <c r="C22" i="51" s="1"/>
  <c r="Y17" i="56"/>
  <c r="C18" i="51" s="1"/>
  <c r="C18" i="48" s="1"/>
  <c r="G18" i="48" s="1"/>
  <c r="K18" i="48" s="1"/>
  <c r="M18" i="48" s="1"/>
  <c r="Y15" i="56"/>
  <c r="C16" i="51" s="1"/>
  <c r="G16" i="51" s="1"/>
  <c r="Y50" i="56"/>
  <c r="Y51" i="56"/>
  <c r="I29" i="39"/>
  <c r="G41" i="39"/>
  <c r="I37" i="39"/>
  <c r="G37" i="39"/>
  <c r="U37" i="39" s="1"/>
  <c r="W37" i="39" s="1"/>
  <c r="C20" i="49"/>
  <c r="I27" i="39"/>
  <c r="I36" i="39"/>
  <c r="C23" i="48"/>
  <c r="G23" i="48" s="1"/>
  <c r="K23" i="48" s="1"/>
  <c r="M23" i="48" s="1"/>
  <c r="G23" i="51"/>
  <c r="K23" i="51" s="1"/>
  <c r="M23" i="51" s="1"/>
  <c r="G30" i="39"/>
  <c r="I38" i="39"/>
  <c r="C18" i="49"/>
  <c r="G34" i="39"/>
  <c r="I26" i="39"/>
  <c r="G32" i="39"/>
  <c r="I31" i="39"/>
  <c r="C21" i="48"/>
  <c r="G21" i="48" s="1"/>
  <c r="K21" i="48" s="1"/>
  <c r="M21" i="48" s="1"/>
  <c r="G21" i="51"/>
  <c r="K21" i="51" s="1"/>
  <c r="M21" i="51" s="1"/>
  <c r="G40" i="39"/>
  <c r="C19" i="48"/>
  <c r="G19" i="48" s="1"/>
  <c r="K19" i="48" s="1"/>
  <c r="M19" i="48" s="1"/>
  <c r="G19" i="51"/>
  <c r="K19" i="51" s="1"/>
  <c r="M19" i="51" s="1"/>
  <c r="G17" i="51"/>
  <c r="K17" i="51" s="1"/>
  <c r="C17" i="48"/>
  <c r="G17" i="48" s="1"/>
  <c r="K17" i="48" s="1"/>
  <c r="I35" i="39"/>
  <c r="G35" i="39"/>
  <c r="I28" i="39"/>
  <c r="C22" i="49"/>
  <c r="C16" i="49"/>
  <c r="I33" i="39"/>
  <c r="G39" i="39"/>
  <c r="U39" i="39" s="1"/>
  <c r="W39" i="39" s="1"/>
  <c r="E21" i="56"/>
  <c r="E28" i="56"/>
  <c r="E16" i="56"/>
  <c r="E15" i="56"/>
  <c r="E22" i="56"/>
  <c r="E17" i="56"/>
  <c r="E30" i="69"/>
  <c r="E27" i="56"/>
  <c r="E38" i="56"/>
  <c r="E32" i="56"/>
  <c r="E42" i="56"/>
  <c r="E37" i="56"/>
  <c r="E24" i="56"/>
  <c r="M24" i="56" s="1"/>
  <c r="Q24" i="56" s="1"/>
  <c r="C25" i="49" s="1"/>
  <c r="E34" i="56"/>
  <c r="E23" i="56"/>
  <c r="M23" i="56" s="1"/>
  <c r="Q23" i="56" s="1"/>
  <c r="E20" i="56"/>
  <c r="E18" i="56"/>
  <c r="E35" i="56"/>
  <c r="E26" i="56"/>
  <c r="M26" i="56" s="1"/>
  <c r="Q26" i="56" s="1"/>
  <c r="C27" i="49" s="1"/>
  <c r="E36" i="56"/>
  <c r="E25" i="56"/>
  <c r="M25" i="56" s="1"/>
  <c r="Q25" i="56" s="1"/>
  <c r="C26" i="49" s="1"/>
  <c r="E29" i="56"/>
  <c r="E19" i="56"/>
  <c r="E33" i="56"/>
  <c r="E30" i="56"/>
  <c r="G24" i="56"/>
  <c r="G23" i="56"/>
  <c r="G34" i="56"/>
  <c r="M34" i="56" s="1"/>
  <c r="Q34" i="56" s="1"/>
  <c r="D30" i="69"/>
  <c r="G25" i="56"/>
  <c r="G36" i="56"/>
  <c r="G31" i="56"/>
  <c r="M31" i="56" s="1"/>
  <c r="Q31" i="56" s="1"/>
  <c r="G32" i="56"/>
  <c r="M32" i="56" s="1"/>
  <c r="Q32" i="56" s="1"/>
  <c r="C33" i="49" s="1"/>
  <c r="G35" i="56"/>
  <c r="G33" i="56"/>
  <c r="M33" i="56" s="1"/>
  <c r="Q33" i="56" s="1"/>
  <c r="G28" i="56"/>
  <c r="M28" i="56" s="1"/>
  <c r="Q28" i="56" s="1"/>
  <c r="C29" i="49" s="1"/>
  <c r="G21" i="56"/>
  <c r="G15" i="56"/>
  <c r="G18" i="56"/>
  <c r="G27" i="56"/>
  <c r="M27" i="56" s="1"/>
  <c r="Q27" i="56" s="1"/>
  <c r="C28" i="49" s="1"/>
  <c r="G42" i="56"/>
  <c r="M42" i="56" s="1"/>
  <c r="Q42" i="56" s="1"/>
  <c r="G17" i="56"/>
  <c r="G29" i="56"/>
  <c r="M29" i="56" s="1"/>
  <c r="Q29" i="56" s="1"/>
  <c r="G30" i="56"/>
  <c r="M30" i="56" s="1"/>
  <c r="Q30" i="56" s="1"/>
  <c r="G20" i="56"/>
  <c r="G26" i="56"/>
  <c r="G19" i="56"/>
  <c r="G38" i="56"/>
  <c r="M38" i="56" s="1"/>
  <c r="Q38" i="56" s="1"/>
  <c r="C25" i="79" s="1"/>
  <c r="G16" i="56"/>
  <c r="I28" i="65"/>
  <c r="G28" i="62"/>
  <c r="I28" i="62" s="1"/>
  <c r="G28" i="63"/>
  <c r="I28" i="63" s="1"/>
  <c r="G28" i="64"/>
  <c r="I28" i="64" s="1"/>
  <c r="M28" i="65"/>
  <c r="G28" i="61"/>
  <c r="I28" i="61" s="1"/>
  <c r="I21" i="65"/>
  <c r="G21" i="64"/>
  <c r="I21" i="64" s="1"/>
  <c r="G21" i="63"/>
  <c r="I21" i="63" s="1"/>
  <c r="G21" i="62"/>
  <c r="I21" i="62" s="1"/>
  <c r="G21" i="61"/>
  <c r="I21" i="61" s="1"/>
  <c r="M21" i="65"/>
  <c r="I30" i="65"/>
  <c r="G30" i="62"/>
  <c r="I30" i="62" s="1"/>
  <c r="G30" i="64"/>
  <c r="I30" i="64" s="1"/>
  <c r="G30" i="63"/>
  <c r="I30" i="63" s="1"/>
  <c r="M30" i="65"/>
  <c r="G30" i="61"/>
  <c r="I30" i="61" s="1"/>
  <c r="I24" i="65"/>
  <c r="G24" i="64"/>
  <c r="I24" i="64" s="1"/>
  <c r="G24" i="63"/>
  <c r="I24" i="63" s="1"/>
  <c r="M24" i="65"/>
  <c r="G24" i="62"/>
  <c r="I24" i="62" s="1"/>
  <c r="G24" i="61"/>
  <c r="I24" i="61" s="1"/>
  <c r="I27" i="65"/>
  <c r="G27" i="61"/>
  <c r="I27" i="61" s="1"/>
  <c r="M27" i="65"/>
  <c r="G27" i="64"/>
  <c r="I27" i="64" s="1"/>
  <c r="G27" i="62"/>
  <c r="I27" i="62" s="1"/>
  <c r="G27" i="63"/>
  <c r="I27" i="63" s="1"/>
  <c r="I18" i="65"/>
  <c r="G18" i="63"/>
  <c r="I18" i="63" s="1"/>
  <c r="G18" i="62"/>
  <c r="I18" i="62" s="1"/>
  <c r="G18" i="61"/>
  <c r="I18" i="61" s="1"/>
  <c r="M18" i="65"/>
  <c r="G18" i="64"/>
  <c r="I18" i="64" s="1"/>
  <c r="G17" i="63"/>
  <c r="I17" i="63" s="1"/>
  <c r="G17" i="64"/>
  <c r="I17" i="64" s="1"/>
  <c r="G17" i="61"/>
  <c r="I17" i="61" s="1"/>
  <c r="I17" i="65"/>
  <c r="G17" i="62"/>
  <c r="I17" i="62" s="1"/>
  <c r="M17" i="65"/>
  <c r="I23" i="65"/>
  <c r="G23" i="64"/>
  <c r="I23" i="64" s="1"/>
  <c r="M23" i="65"/>
  <c r="G23" i="63"/>
  <c r="I23" i="63" s="1"/>
  <c r="G23" i="62"/>
  <c r="I23" i="62" s="1"/>
  <c r="G23" i="61"/>
  <c r="I23" i="61" s="1"/>
  <c r="I31" i="65"/>
  <c r="G31" i="63"/>
  <c r="I31" i="63" s="1"/>
  <c r="G31" i="64"/>
  <c r="I31" i="64" s="1"/>
  <c r="G31" i="62"/>
  <c r="I31" i="62" s="1"/>
  <c r="G31" i="61"/>
  <c r="I31" i="61" s="1"/>
  <c r="M31" i="65"/>
  <c r="I20" i="65"/>
  <c r="G20" i="61"/>
  <c r="I20" i="61" s="1"/>
  <c r="G20" i="63"/>
  <c r="I20" i="63" s="1"/>
  <c r="M20" i="65"/>
  <c r="G20" i="64"/>
  <c r="I20" i="64" s="1"/>
  <c r="G20" i="62"/>
  <c r="I20" i="62" s="1"/>
  <c r="G26" i="62"/>
  <c r="I26" i="62" s="1"/>
  <c r="G26" i="64"/>
  <c r="I26" i="64" s="1"/>
  <c r="M26" i="65"/>
  <c r="I26" i="65"/>
  <c r="G26" i="63"/>
  <c r="I26" i="63" s="1"/>
  <c r="G26" i="61"/>
  <c r="I26" i="61" s="1"/>
  <c r="I25" i="65"/>
  <c r="G25" i="62"/>
  <c r="I25" i="62" s="1"/>
  <c r="G25" i="64"/>
  <c r="I25" i="64" s="1"/>
  <c r="G25" i="61"/>
  <c r="I25" i="61" s="1"/>
  <c r="G25" i="63"/>
  <c r="I25" i="63" s="1"/>
  <c r="M25" i="65"/>
  <c r="I19" i="65"/>
  <c r="M19" i="65"/>
  <c r="G19" i="63"/>
  <c r="I19" i="63" s="1"/>
  <c r="G19" i="61"/>
  <c r="I19" i="61" s="1"/>
  <c r="G19" i="64"/>
  <c r="I19" i="64" s="1"/>
  <c r="G19" i="62"/>
  <c r="I19" i="62" s="1"/>
  <c r="I22" i="65"/>
  <c r="M22" i="65"/>
  <c r="G22" i="62"/>
  <c r="I22" i="62" s="1"/>
  <c r="G22" i="64"/>
  <c r="I22" i="64" s="1"/>
  <c r="G22" i="61"/>
  <c r="I22" i="61" s="1"/>
  <c r="G22" i="63"/>
  <c r="I22" i="63" s="1"/>
  <c r="I32" i="65"/>
  <c r="M32" i="65"/>
  <c r="G32" i="62"/>
  <c r="I32" i="62" s="1"/>
  <c r="G32" i="64"/>
  <c r="I32" i="64" s="1"/>
  <c r="G32" i="63"/>
  <c r="I32" i="63" s="1"/>
  <c r="G32" i="61"/>
  <c r="I32" i="61" s="1"/>
  <c r="I29" i="65"/>
  <c r="M29" i="65"/>
  <c r="G29" i="61"/>
  <c r="I29" i="61" s="1"/>
  <c r="G29" i="63"/>
  <c r="I29" i="63" s="1"/>
  <c r="G29" i="64"/>
  <c r="I29" i="64" s="1"/>
  <c r="G29" i="62"/>
  <c r="I29" i="62" s="1"/>
  <c r="E16" i="65"/>
  <c r="Q34" i="66"/>
  <c r="C38" i="49"/>
  <c r="C31" i="77"/>
  <c r="I31" i="77"/>
  <c r="E31" i="77"/>
  <c r="G31" i="77"/>
  <c r="Z19" i="75"/>
  <c r="AF19" i="76" s="1"/>
  <c r="Z20" i="75"/>
  <c r="AF20" i="76" s="1"/>
  <c r="Z17" i="75"/>
  <c r="AF17" i="76" s="1"/>
  <c r="Z18" i="75"/>
  <c r="AF18" i="76" s="1"/>
  <c r="G28" i="39" l="1"/>
  <c r="G27" i="39"/>
  <c r="M25" i="48"/>
  <c r="G26" i="39"/>
  <c r="M24" i="48"/>
  <c r="G38" i="39"/>
  <c r="U38" i="39" s="1"/>
  <c r="W38" i="39" s="1"/>
  <c r="M36" i="48"/>
  <c r="G29" i="39"/>
  <c r="M27" i="48"/>
  <c r="G36" i="39"/>
  <c r="M34" i="48"/>
  <c r="G33" i="39"/>
  <c r="I34" i="39"/>
  <c r="I39" i="39"/>
  <c r="AB37" i="39"/>
  <c r="AD37" i="39" s="1"/>
  <c r="AK34" i="39"/>
  <c r="AB34" i="39"/>
  <c r="Q32" i="32"/>
  <c r="Q41" i="32" s="1"/>
  <c r="I30" i="39"/>
  <c r="I32" i="39"/>
  <c r="I40" i="39"/>
  <c r="U40" i="39" s="1"/>
  <c r="W40" i="39" s="1"/>
  <c r="I41" i="39"/>
  <c r="U41" i="39" s="1"/>
  <c r="W41" i="39" s="1"/>
  <c r="G18" i="51"/>
  <c r="K18" i="51" s="1"/>
  <c r="C23" i="49"/>
  <c r="C23" i="46" s="1"/>
  <c r="C16" i="48"/>
  <c r="G16" i="48" s="1"/>
  <c r="C20" i="48"/>
  <c r="G20" i="48" s="1"/>
  <c r="K20" i="48" s="1"/>
  <c r="K29" i="56"/>
  <c r="S29" i="56" s="1"/>
  <c r="K21" i="56"/>
  <c r="S21" i="56" s="1"/>
  <c r="K16" i="56"/>
  <c r="S16" i="56" s="1"/>
  <c r="K25" i="56"/>
  <c r="S25" i="56" s="1"/>
  <c r="K36" i="56"/>
  <c r="S36" i="56" s="1"/>
  <c r="K27" i="56"/>
  <c r="S27" i="56" s="1"/>
  <c r="K23" i="56"/>
  <c r="S23" i="56" s="1"/>
  <c r="K19" i="56"/>
  <c r="S19" i="56" s="1"/>
  <c r="B30" i="69"/>
  <c r="F31" i="69" s="1"/>
  <c r="F32" i="69" s="1"/>
  <c r="K15" i="56"/>
  <c r="S15" i="56" s="1"/>
  <c r="K28" i="56"/>
  <c r="S28" i="56" s="1"/>
  <c r="K18" i="56"/>
  <c r="S18" i="56" s="1"/>
  <c r="K35" i="56"/>
  <c r="S35" i="56" s="1"/>
  <c r="K32" i="56"/>
  <c r="S32" i="56" s="1"/>
  <c r="K38" i="56"/>
  <c r="S38" i="56" s="1"/>
  <c r="K34" i="56"/>
  <c r="S34" i="56" s="1"/>
  <c r="K31" i="56"/>
  <c r="S31" i="56" s="1"/>
  <c r="K22" i="56"/>
  <c r="S22" i="56" s="1"/>
  <c r="K26" i="56"/>
  <c r="S26" i="56" s="1"/>
  <c r="K37" i="56"/>
  <c r="S37" i="56" s="1"/>
  <c r="K17" i="56"/>
  <c r="S17" i="56" s="1"/>
  <c r="Y53" i="56"/>
  <c r="M66" i="56" s="1"/>
  <c r="K20" i="56"/>
  <c r="S20" i="56" s="1"/>
  <c r="K24" i="56"/>
  <c r="S24" i="56" s="1"/>
  <c r="K30" i="56"/>
  <c r="S30" i="56" s="1"/>
  <c r="K33" i="56"/>
  <c r="S33" i="56" s="1"/>
  <c r="K42" i="56"/>
  <c r="S42" i="56" s="1"/>
  <c r="G31" i="39"/>
  <c r="C41" i="51"/>
  <c r="G22" i="51"/>
  <c r="K22" i="51" s="1"/>
  <c r="C22" i="48"/>
  <c r="G22" i="48" s="1"/>
  <c r="K22" i="48" s="1"/>
  <c r="K16" i="51"/>
  <c r="M16" i="51" s="1"/>
  <c r="G21" i="49"/>
  <c r="K21" i="49" s="1"/>
  <c r="M21" i="49" s="1"/>
  <c r="C21" i="46"/>
  <c r="AB39" i="39"/>
  <c r="G16" i="49"/>
  <c r="K16" i="49" s="1"/>
  <c r="C16" i="46"/>
  <c r="C22" i="46"/>
  <c r="G22" i="49"/>
  <c r="K22" i="49" s="1"/>
  <c r="M22" i="49" s="1"/>
  <c r="G19" i="39"/>
  <c r="M17" i="48"/>
  <c r="I19" i="39"/>
  <c r="M17" i="51"/>
  <c r="C17" i="46"/>
  <c r="G17" i="49"/>
  <c r="K17" i="49" s="1"/>
  <c r="I21" i="39"/>
  <c r="G21" i="39"/>
  <c r="C19" i="46"/>
  <c r="G19" i="49"/>
  <c r="K19" i="49" s="1"/>
  <c r="M19" i="49" s="1"/>
  <c r="I23" i="39"/>
  <c r="G23" i="39"/>
  <c r="G18" i="49"/>
  <c r="K18" i="49" s="1"/>
  <c r="M18" i="49" s="1"/>
  <c r="C18" i="46"/>
  <c r="G20" i="39"/>
  <c r="I25" i="39"/>
  <c r="G25" i="39"/>
  <c r="C20" i="46"/>
  <c r="G20" i="49"/>
  <c r="K20" i="49" s="1"/>
  <c r="M20" i="49" s="1"/>
  <c r="I22" i="39"/>
  <c r="C24" i="49"/>
  <c r="C24" i="46" s="1"/>
  <c r="C34" i="49"/>
  <c r="C34" i="46" s="1"/>
  <c r="C30" i="49"/>
  <c r="C30" i="46" s="1"/>
  <c r="C31" i="49"/>
  <c r="G31" i="49" s="1"/>
  <c r="K31" i="49" s="1"/>
  <c r="M31" i="49" s="1"/>
  <c r="C35" i="49"/>
  <c r="G35" i="49" s="1"/>
  <c r="K35" i="49" s="1"/>
  <c r="M35" i="49" s="1"/>
  <c r="AB40" i="75"/>
  <c r="C32" i="49"/>
  <c r="C32" i="46" s="1"/>
  <c r="C39" i="49"/>
  <c r="C39" i="46" s="1"/>
  <c r="AD39" i="32"/>
  <c r="N39" i="32" s="1"/>
  <c r="P39" i="32" s="1"/>
  <c r="X39" i="32" s="1"/>
  <c r="D17" i="36"/>
  <c r="U45" i="37"/>
  <c r="W45" i="37" s="1"/>
  <c r="K29" i="62"/>
  <c r="W29" i="62"/>
  <c r="I26" i="80"/>
  <c r="Q26" i="80" s="1"/>
  <c r="Q38" i="39"/>
  <c r="S38" i="39" s="1"/>
  <c r="Q38" i="37"/>
  <c r="W32" i="64"/>
  <c r="K32" i="64"/>
  <c r="K29" i="80"/>
  <c r="S29" i="80" s="1"/>
  <c r="K22" i="63"/>
  <c r="M47" i="55"/>
  <c r="J19" i="80"/>
  <c r="R19" i="80" s="1"/>
  <c r="W22" i="63"/>
  <c r="Q31" i="37"/>
  <c r="Q31" i="39"/>
  <c r="S31" i="39" s="1"/>
  <c r="AC31" i="39" s="1"/>
  <c r="W19" i="61"/>
  <c r="K19" i="61"/>
  <c r="H16" i="80"/>
  <c r="P16" i="80" s="1"/>
  <c r="Q34" i="37"/>
  <c r="Q34" i="39"/>
  <c r="S34" i="39" s="1"/>
  <c r="W25" i="62"/>
  <c r="K25" i="62"/>
  <c r="I22" i="80"/>
  <c r="Q22" i="80" s="1"/>
  <c r="W20" i="62"/>
  <c r="K20" i="62"/>
  <c r="I17" i="80"/>
  <c r="Q17" i="80" s="1"/>
  <c r="H17" i="80"/>
  <c r="P17" i="80" s="1"/>
  <c r="W20" i="61"/>
  <c r="K20" i="61"/>
  <c r="K31" i="62"/>
  <c r="W31" i="62"/>
  <c r="I28" i="80"/>
  <c r="Q28" i="80" s="1"/>
  <c r="K23" i="61"/>
  <c r="W23" i="61"/>
  <c r="H20" i="80"/>
  <c r="P20" i="80" s="1"/>
  <c r="K23" i="64"/>
  <c r="K20" i="80"/>
  <c r="S20" i="80" s="1"/>
  <c r="W23" i="64"/>
  <c r="K18" i="64"/>
  <c r="W18" i="64"/>
  <c r="K15" i="80"/>
  <c r="S15" i="80" s="1"/>
  <c r="W18" i="63"/>
  <c r="J15" i="80"/>
  <c r="R15" i="80" s="1"/>
  <c r="M43" i="55"/>
  <c r="K18" i="63"/>
  <c r="W27" i="64"/>
  <c r="K27" i="64"/>
  <c r="K24" i="80"/>
  <c r="S24" i="80" s="1"/>
  <c r="H21" i="80"/>
  <c r="P21" i="80" s="1"/>
  <c r="W24" i="61"/>
  <c r="K24" i="61"/>
  <c r="W24" i="64"/>
  <c r="K21" i="80"/>
  <c r="S21" i="80" s="1"/>
  <c r="K24" i="64"/>
  <c r="W30" i="63"/>
  <c r="K30" i="63"/>
  <c r="M55" i="55"/>
  <c r="J27" i="80"/>
  <c r="R27" i="80" s="1"/>
  <c r="Q30" i="37"/>
  <c r="Q30" i="39"/>
  <c r="K21" i="64"/>
  <c r="K18" i="80"/>
  <c r="S18" i="80" s="1"/>
  <c r="W21" i="64"/>
  <c r="K28" i="64"/>
  <c r="K25" i="80"/>
  <c r="S25" i="80" s="1"/>
  <c r="W28" i="64"/>
  <c r="K26" i="80"/>
  <c r="S26" i="80" s="1"/>
  <c r="K29" i="64"/>
  <c r="W29" i="64"/>
  <c r="W32" i="62"/>
  <c r="I29" i="80"/>
  <c r="Q29" i="80" s="1"/>
  <c r="K32" i="62"/>
  <c r="H19" i="80"/>
  <c r="P19" i="80" s="1"/>
  <c r="W22" i="61"/>
  <c r="K22" i="61"/>
  <c r="W19" i="63"/>
  <c r="J16" i="80"/>
  <c r="R16" i="80" s="1"/>
  <c r="K19" i="63"/>
  <c r="M44" i="55"/>
  <c r="W25" i="63"/>
  <c r="M50" i="55"/>
  <c r="J22" i="80"/>
  <c r="R22" i="80" s="1"/>
  <c r="K25" i="63"/>
  <c r="Q35" i="39"/>
  <c r="S35" i="39" s="1"/>
  <c r="AC35" i="39" s="1"/>
  <c r="Q35" i="37"/>
  <c r="K20" i="64"/>
  <c r="W20" i="64"/>
  <c r="K17" i="80"/>
  <c r="S17" i="80" s="1"/>
  <c r="W31" i="64"/>
  <c r="K28" i="80"/>
  <c r="S28" i="80" s="1"/>
  <c r="K31" i="64"/>
  <c r="K23" i="62"/>
  <c r="I20" i="80"/>
  <c r="Q20" i="80" s="1"/>
  <c r="W23" i="62"/>
  <c r="W17" i="61"/>
  <c r="H14" i="80"/>
  <c r="P14" i="80" s="1"/>
  <c r="K17" i="61"/>
  <c r="Q27" i="39"/>
  <c r="Q27" i="37"/>
  <c r="Q36" i="39"/>
  <c r="S36" i="39" s="1"/>
  <c r="AC36" i="39" s="1"/>
  <c r="Q36" i="37"/>
  <c r="I21" i="80"/>
  <c r="Q21" i="80" s="1"/>
  <c r="W24" i="62"/>
  <c r="K24" i="62"/>
  <c r="K30" i="64"/>
  <c r="W30" i="64"/>
  <c r="K27" i="80"/>
  <c r="S27" i="80" s="1"/>
  <c r="H18" i="80"/>
  <c r="P18" i="80" s="1"/>
  <c r="W21" i="61"/>
  <c r="K21" i="61"/>
  <c r="W28" i="63"/>
  <c r="J25" i="80"/>
  <c r="R25" i="80" s="1"/>
  <c r="K28" i="63"/>
  <c r="M53" i="55"/>
  <c r="K29" i="63"/>
  <c r="W29" i="63"/>
  <c r="M54" i="55"/>
  <c r="J26" i="80"/>
  <c r="R26" i="80" s="1"/>
  <c r="W32" i="61"/>
  <c r="K32" i="61"/>
  <c r="H29" i="80"/>
  <c r="P29" i="80" s="1"/>
  <c r="O32" i="65"/>
  <c r="Q41" i="37"/>
  <c r="Q41" i="39"/>
  <c r="S41" i="39" s="1"/>
  <c r="K19" i="80"/>
  <c r="S19" i="80" s="1"/>
  <c r="W22" i="64"/>
  <c r="K22" i="64"/>
  <c r="I16" i="80"/>
  <c r="Q16" i="80" s="1"/>
  <c r="W19" i="62"/>
  <c r="K19" i="62"/>
  <c r="Q28" i="39"/>
  <c r="S28" i="39" s="1"/>
  <c r="AC28" i="39" s="1"/>
  <c r="Q28" i="37"/>
  <c r="K25" i="61"/>
  <c r="W25" i="61"/>
  <c r="H22" i="80"/>
  <c r="P22" i="80" s="1"/>
  <c r="K26" i="61"/>
  <c r="H23" i="80"/>
  <c r="P23" i="80" s="1"/>
  <c r="W26" i="61"/>
  <c r="W26" i="64"/>
  <c r="K23" i="80"/>
  <c r="S23" i="80" s="1"/>
  <c r="K26" i="64"/>
  <c r="Q29" i="39"/>
  <c r="Q29" i="37"/>
  <c r="Q40" i="37"/>
  <c r="Q40" i="39"/>
  <c r="S40" i="39" s="1"/>
  <c r="J28" i="80"/>
  <c r="R28" i="80" s="1"/>
  <c r="K31" i="63"/>
  <c r="M56" i="55"/>
  <c r="W31" i="63"/>
  <c r="K23" i="63"/>
  <c r="W23" i="63"/>
  <c r="J20" i="80"/>
  <c r="R20" i="80" s="1"/>
  <c r="M48" i="55"/>
  <c r="Q26" i="39"/>
  <c r="S26" i="39" s="1"/>
  <c r="AC26" i="39" s="1"/>
  <c r="Q26" i="37"/>
  <c r="K14" i="80"/>
  <c r="S14" i="80" s="1"/>
  <c r="K17" i="64"/>
  <c r="W17" i="64"/>
  <c r="W18" i="61"/>
  <c r="H15" i="80"/>
  <c r="P15" i="80" s="1"/>
  <c r="K18" i="61"/>
  <c r="W27" i="63"/>
  <c r="M52" i="55"/>
  <c r="K27" i="63"/>
  <c r="J24" i="80"/>
  <c r="R24" i="80" s="1"/>
  <c r="H24" i="80"/>
  <c r="P24" i="80" s="1"/>
  <c r="W27" i="61"/>
  <c r="K27" i="61"/>
  <c r="Q33" i="39"/>
  <c r="S33" i="39" s="1"/>
  <c r="AC33" i="39" s="1"/>
  <c r="Q33" i="37"/>
  <c r="W30" i="61"/>
  <c r="K30" i="61"/>
  <c r="H27" i="80"/>
  <c r="P27" i="80" s="1"/>
  <c r="I27" i="80"/>
  <c r="Q27" i="80" s="1"/>
  <c r="W30" i="62"/>
  <c r="K30" i="62"/>
  <c r="K21" i="62"/>
  <c r="I18" i="80"/>
  <c r="Q18" i="80" s="1"/>
  <c r="W21" i="62"/>
  <c r="H25" i="80"/>
  <c r="P25" i="80" s="1"/>
  <c r="K28" i="61"/>
  <c r="W28" i="61"/>
  <c r="I25" i="80"/>
  <c r="Q25" i="80" s="1"/>
  <c r="W28" i="62"/>
  <c r="K28" i="62"/>
  <c r="G16" i="65"/>
  <c r="E34" i="65"/>
  <c r="H26" i="80"/>
  <c r="P26" i="80" s="1"/>
  <c r="K29" i="61"/>
  <c r="W29" i="61"/>
  <c r="K32" i="63"/>
  <c r="M57" i="55"/>
  <c r="W32" i="63"/>
  <c r="J29" i="80"/>
  <c r="R29" i="80" s="1"/>
  <c r="K22" i="62"/>
  <c r="I19" i="80"/>
  <c r="Q19" i="80" s="1"/>
  <c r="W22" i="62"/>
  <c r="K19" i="64"/>
  <c r="K16" i="80"/>
  <c r="S16" i="80" s="1"/>
  <c r="W19" i="64"/>
  <c r="K22" i="80"/>
  <c r="S22" i="80" s="1"/>
  <c r="K25" i="64"/>
  <c r="W25" i="64"/>
  <c r="J23" i="80"/>
  <c r="R23" i="80" s="1"/>
  <c r="K26" i="63"/>
  <c r="W26" i="63"/>
  <c r="M51" i="55"/>
  <c r="K26" i="62"/>
  <c r="W26" i="62"/>
  <c r="I23" i="80"/>
  <c r="Q23" i="80" s="1"/>
  <c r="W20" i="63"/>
  <c r="J17" i="80"/>
  <c r="R17" i="80" s="1"/>
  <c r="M45" i="55"/>
  <c r="K20" i="63"/>
  <c r="K31" i="61"/>
  <c r="W31" i="61"/>
  <c r="H28" i="80"/>
  <c r="P28" i="80" s="1"/>
  <c r="Q32" i="39"/>
  <c r="S32" i="39" s="1"/>
  <c r="AC32" i="39" s="1"/>
  <c r="Q32" i="37"/>
  <c r="W17" i="62"/>
  <c r="K17" i="62"/>
  <c r="I14" i="80"/>
  <c r="Q14" i="80" s="1"/>
  <c r="M42" i="55"/>
  <c r="W17" i="63"/>
  <c r="J14" i="80"/>
  <c r="R14" i="80" s="1"/>
  <c r="K17" i="63"/>
  <c r="W18" i="62"/>
  <c r="K18" i="62"/>
  <c r="I15" i="80"/>
  <c r="Q15" i="80" s="1"/>
  <c r="I24" i="80"/>
  <c r="Q24" i="80" s="1"/>
  <c r="W27" i="62"/>
  <c r="K27" i="62"/>
  <c r="W24" i="63"/>
  <c r="K24" i="63"/>
  <c r="M49" i="55"/>
  <c r="J21" i="80"/>
  <c r="R21" i="80" s="1"/>
  <c r="Q39" i="39"/>
  <c r="S39" i="39" s="1"/>
  <c r="Q39" i="37"/>
  <c r="W21" i="63"/>
  <c r="K21" i="63"/>
  <c r="M46" i="55"/>
  <c r="J18" i="80"/>
  <c r="R18" i="80" s="1"/>
  <c r="Q37" i="39"/>
  <c r="S37" i="39" s="1"/>
  <c r="Q37" i="37"/>
  <c r="G33" i="49"/>
  <c r="K33" i="49" s="1"/>
  <c r="M33" i="49" s="1"/>
  <c r="C33" i="46"/>
  <c r="C29" i="46"/>
  <c r="G29" i="49"/>
  <c r="K29" i="49" s="1"/>
  <c r="M29" i="49" s="1"/>
  <c r="C28" i="46"/>
  <c r="G28" i="49"/>
  <c r="K28" i="49" s="1"/>
  <c r="M28" i="49" s="1"/>
  <c r="C38" i="46"/>
  <c r="G38" i="49"/>
  <c r="K38" i="49" s="1"/>
  <c r="M38" i="49" s="1"/>
  <c r="C27" i="46"/>
  <c r="G27" i="49"/>
  <c r="K27" i="49" s="1"/>
  <c r="M27" i="49" s="1"/>
  <c r="G25" i="49"/>
  <c r="K25" i="49" s="1"/>
  <c r="M25" i="49" s="1"/>
  <c r="C25" i="46"/>
  <c r="C26" i="46"/>
  <c r="G26" i="49"/>
  <c r="K26" i="49" s="1"/>
  <c r="M26" i="49" s="1"/>
  <c r="I31" i="71"/>
  <c r="I35" i="71" s="1"/>
  <c r="W19" i="32" s="1"/>
  <c r="AB19" i="32"/>
  <c r="AB19" i="33" s="1"/>
  <c r="C35" i="77"/>
  <c r="K17" i="75" s="1"/>
  <c r="I17" i="75" s="1"/>
  <c r="E35" i="77"/>
  <c r="K18" i="75" s="1"/>
  <c r="I18" i="75" s="1"/>
  <c r="AB16" i="32"/>
  <c r="U16" i="32" s="1"/>
  <c r="G31" i="71"/>
  <c r="G35" i="71" s="1"/>
  <c r="W18" i="32" s="1"/>
  <c r="AB18" i="32"/>
  <c r="AB18" i="33" s="1"/>
  <c r="E31" i="71"/>
  <c r="AB17" i="32"/>
  <c r="AB17" i="33" s="1"/>
  <c r="G35" i="77"/>
  <c r="K19" i="75" s="1"/>
  <c r="I19" i="75" s="1"/>
  <c r="I35" i="77"/>
  <c r="K20" i="75" s="1"/>
  <c r="I20" i="75" s="1"/>
  <c r="K38" i="64"/>
  <c r="K39" i="64"/>
  <c r="K39" i="63"/>
  <c r="K38" i="61"/>
  <c r="K38" i="62"/>
  <c r="K39" i="62"/>
  <c r="K38" i="63"/>
  <c r="K39" i="61"/>
  <c r="AC37" i="39" l="1"/>
  <c r="AB38" i="39"/>
  <c r="AG38" i="39" s="1"/>
  <c r="D19" i="36"/>
  <c r="H19" i="36" s="1"/>
  <c r="G22" i="39"/>
  <c r="M20" i="48"/>
  <c r="G24" i="39"/>
  <c r="M22" i="48"/>
  <c r="I24" i="39"/>
  <c r="M22" i="51"/>
  <c r="I20" i="39"/>
  <c r="M18" i="51"/>
  <c r="AC34" i="39"/>
  <c r="AD34" i="39"/>
  <c r="AG34" i="39"/>
  <c r="G41" i="51"/>
  <c r="G23" i="49"/>
  <c r="K23" i="49" s="1"/>
  <c r="Z32" i="56"/>
  <c r="C33" i="50" s="1"/>
  <c r="C33" i="47" s="1"/>
  <c r="Z42" i="56"/>
  <c r="U45" i="38" s="1"/>
  <c r="AT45" i="37" s="1"/>
  <c r="AX45" i="37" s="1"/>
  <c r="C43" i="33" s="1"/>
  <c r="M43" i="33" s="1"/>
  <c r="Z30" i="56"/>
  <c r="C31" i="50" s="1"/>
  <c r="C31" i="47" s="1"/>
  <c r="F33" i="69"/>
  <c r="J33" i="69" s="1"/>
  <c r="Z31" i="56"/>
  <c r="C32" i="50" s="1"/>
  <c r="C32" i="47" s="1"/>
  <c r="Z26" i="56"/>
  <c r="C27" i="50" s="1"/>
  <c r="C27" i="47" s="1"/>
  <c r="D27" i="36"/>
  <c r="D32" i="36" s="1"/>
  <c r="Z38" i="56"/>
  <c r="AB40" i="76" s="1"/>
  <c r="Z23" i="56"/>
  <c r="C24" i="50" s="1"/>
  <c r="C24" i="47" s="1"/>
  <c r="Z28" i="56"/>
  <c r="C29" i="50" s="1"/>
  <c r="C29" i="47" s="1"/>
  <c r="Z27" i="56"/>
  <c r="C28" i="50" s="1"/>
  <c r="C28" i="47" s="1"/>
  <c r="I26" i="56"/>
  <c r="I15" i="56"/>
  <c r="I42" i="56"/>
  <c r="I31" i="56"/>
  <c r="I16" i="56"/>
  <c r="I30" i="56"/>
  <c r="I33" i="56"/>
  <c r="I25" i="56"/>
  <c r="Y52" i="56"/>
  <c r="I37" i="56"/>
  <c r="I19" i="56"/>
  <c r="I27" i="56"/>
  <c r="I22" i="56"/>
  <c r="I34" i="56"/>
  <c r="I38" i="56"/>
  <c r="I17" i="56"/>
  <c r="I24" i="56"/>
  <c r="I35" i="56"/>
  <c r="M35" i="56" s="1"/>
  <c r="Q35" i="56" s="1"/>
  <c r="Z35" i="56" s="1"/>
  <c r="C36" i="50" s="1"/>
  <c r="C36" i="47" s="1"/>
  <c r="C30" i="69"/>
  <c r="C31" i="69" s="1"/>
  <c r="C32" i="69" s="1"/>
  <c r="G32" i="69" s="1"/>
  <c r="I29" i="56"/>
  <c r="I21" i="56"/>
  <c r="I28" i="56"/>
  <c r="I23" i="56"/>
  <c r="I36" i="56"/>
  <c r="M36" i="56" s="1"/>
  <c r="Q36" i="56" s="1"/>
  <c r="Z36" i="56" s="1"/>
  <c r="C37" i="50" s="1"/>
  <c r="C37" i="47" s="1"/>
  <c r="I32" i="56"/>
  <c r="I18" i="56"/>
  <c r="I20" i="56"/>
  <c r="Z37" i="56"/>
  <c r="C38" i="50" s="1"/>
  <c r="C38" i="47" s="1"/>
  <c r="Z18" i="56"/>
  <c r="C19" i="50" s="1"/>
  <c r="C19" i="47" s="1"/>
  <c r="Z19" i="56"/>
  <c r="C20" i="50" s="1"/>
  <c r="C20" i="47" s="1"/>
  <c r="Z20" i="56"/>
  <c r="C21" i="50" s="1"/>
  <c r="C21" i="47" s="1"/>
  <c r="Z16" i="56"/>
  <c r="E31" i="69"/>
  <c r="Z34" i="56"/>
  <c r="C35" i="50" s="1"/>
  <c r="C35" i="47" s="1"/>
  <c r="Z25" i="56"/>
  <c r="C26" i="50" s="1"/>
  <c r="C26" i="47" s="1"/>
  <c r="Z24" i="56"/>
  <c r="C25" i="50" s="1"/>
  <c r="C25" i="47" s="1"/>
  <c r="Z22" i="56"/>
  <c r="C23" i="50" s="1"/>
  <c r="C23" i="47" s="1"/>
  <c r="Z15" i="56"/>
  <c r="S40" i="56"/>
  <c r="D31" i="69"/>
  <c r="Z33" i="56"/>
  <c r="C34" i="50" s="1"/>
  <c r="C34" i="47" s="1"/>
  <c r="Z17" i="56"/>
  <c r="Z21" i="56"/>
  <c r="C22" i="50" s="1"/>
  <c r="C22" i="47" s="1"/>
  <c r="Z29" i="56"/>
  <c r="C30" i="50" s="1"/>
  <c r="C30" i="47" s="1"/>
  <c r="AC39" i="39"/>
  <c r="C41" i="48"/>
  <c r="U43" i="39"/>
  <c r="W43" i="39" s="1"/>
  <c r="AB41" i="39"/>
  <c r="AG41" i="39" s="1"/>
  <c r="I18" i="39"/>
  <c r="K41" i="51"/>
  <c r="M41" i="51" s="1"/>
  <c r="I23" i="37"/>
  <c r="G18" i="46"/>
  <c r="K18" i="46" s="1"/>
  <c r="M18" i="46" s="1"/>
  <c r="AB40" i="39"/>
  <c r="AC40" i="39" s="1"/>
  <c r="I21" i="37"/>
  <c r="I24" i="37"/>
  <c r="I18" i="37"/>
  <c r="M16" i="49"/>
  <c r="G21" i="46"/>
  <c r="K21" i="46" s="1"/>
  <c r="M21" i="46" s="1"/>
  <c r="I22" i="37"/>
  <c r="G20" i="46"/>
  <c r="K20" i="46" s="1"/>
  <c r="M20" i="46" s="1"/>
  <c r="G23" i="46"/>
  <c r="K23" i="46" s="1"/>
  <c r="M23" i="46" s="1"/>
  <c r="I20" i="37"/>
  <c r="G19" i="46"/>
  <c r="K19" i="46" s="1"/>
  <c r="M19" i="46" s="1"/>
  <c r="M17" i="49"/>
  <c r="I19" i="37"/>
  <c r="G17" i="46"/>
  <c r="K17" i="46" s="1"/>
  <c r="G22" i="46"/>
  <c r="K22" i="46" s="1"/>
  <c r="M22" i="46" s="1"/>
  <c r="G41" i="48"/>
  <c r="K16" i="48"/>
  <c r="G16" i="46"/>
  <c r="K16" i="46" s="1"/>
  <c r="AG39" i="39"/>
  <c r="AD39" i="39"/>
  <c r="G24" i="49"/>
  <c r="K24" i="49" s="1"/>
  <c r="M24" i="49" s="1"/>
  <c r="G32" i="49"/>
  <c r="K32" i="49" s="1"/>
  <c r="M32" i="49" s="1"/>
  <c r="G34" i="49"/>
  <c r="K34" i="49" s="1"/>
  <c r="M34" i="49" s="1"/>
  <c r="C35" i="46"/>
  <c r="G30" i="49"/>
  <c r="K30" i="49" s="1"/>
  <c r="C31" i="46"/>
  <c r="D18" i="36"/>
  <c r="H18" i="36" s="1"/>
  <c r="D21" i="36"/>
  <c r="H21" i="36" s="1"/>
  <c r="G39" i="49"/>
  <c r="K39" i="49" s="1"/>
  <c r="M39" i="49" s="1"/>
  <c r="G39" i="46"/>
  <c r="K39" i="46" s="1"/>
  <c r="M39" i="46" s="1"/>
  <c r="H17" i="36"/>
  <c r="D20" i="36"/>
  <c r="H20" i="36" s="1"/>
  <c r="G10" i="72"/>
  <c r="D22" i="36"/>
  <c r="H22" i="36" s="1"/>
  <c r="J35" i="80"/>
  <c r="O35" i="80" s="1"/>
  <c r="L35" i="80"/>
  <c r="Q35" i="80" s="1"/>
  <c r="Q36" i="38"/>
  <c r="S36" i="37"/>
  <c r="AD36" i="37" s="1"/>
  <c r="J37" i="80"/>
  <c r="O37" i="80" s="1"/>
  <c r="J38" i="80"/>
  <c r="O38" i="80" s="1"/>
  <c r="J36" i="80"/>
  <c r="O36" i="80" s="1"/>
  <c r="S35" i="37"/>
  <c r="AD35" i="37" s="1"/>
  <c r="Q35" i="38"/>
  <c r="I35" i="80"/>
  <c r="N35" i="80" s="1"/>
  <c r="L37" i="80"/>
  <c r="Q37" i="80" s="1"/>
  <c r="L36" i="80"/>
  <c r="Q36" i="80" s="1"/>
  <c r="L38" i="80"/>
  <c r="Q38" i="80" s="1"/>
  <c r="Q37" i="38"/>
  <c r="S37" i="37"/>
  <c r="K36" i="80"/>
  <c r="P36" i="80" s="1"/>
  <c r="K38" i="80"/>
  <c r="P38" i="80" s="1"/>
  <c r="K37" i="80"/>
  <c r="P37" i="80" s="1"/>
  <c r="Q40" i="38"/>
  <c r="S40" i="37"/>
  <c r="Q28" i="38"/>
  <c r="S28" i="37"/>
  <c r="AD28" i="37" s="1"/>
  <c r="S30" i="39"/>
  <c r="AC30" i="39" s="1"/>
  <c r="AB48" i="39"/>
  <c r="K35" i="80"/>
  <c r="P35" i="80" s="1"/>
  <c r="Q32" i="38"/>
  <c r="S32" i="37"/>
  <c r="AD32" i="37" s="1"/>
  <c r="S26" i="37"/>
  <c r="AD26" i="37" s="1"/>
  <c r="Q26" i="38"/>
  <c r="S29" i="37"/>
  <c r="AD29" i="37" s="1"/>
  <c r="Q29" i="38"/>
  <c r="S41" i="37"/>
  <c r="Q41" i="38"/>
  <c r="S27" i="37"/>
  <c r="AD27" i="37" s="1"/>
  <c r="Q27" i="38"/>
  <c r="S30" i="37"/>
  <c r="AD30" i="37" s="1"/>
  <c r="Q30" i="38"/>
  <c r="I36" i="80"/>
  <c r="N36" i="80" s="1"/>
  <c r="I38" i="80"/>
  <c r="N38" i="80" s="1"/>
  <c r="I37" i="80"/>
  <c r="N37" i="80" s="1"/>
  <c r="S34" i="37"/>
  <c r="Q34" i="38"/>
  <c r="S39" i="37"/>
  <c r="Q39" i="38"/>
  <c r="G16" i="62"/>
  <c r="G16" i="63"/>
  <c r="G16" i="64"/>
  <c r="G16" i="61"/>
  <c r="G34" i="65"/>
  <c r="I34" i="65" s="1"/>
  <c r="M16" i="65"/>
  <c r="I16" i="65"/>
  <c r="Q33" i="38"/>
  <c r="S33" i="37"/>
  <c r="AD33" i="37" s="1"/>
  <c r="S29" i="39"/>
  <c r="AC29" i="39" s="1"/>
  <c r="AB49" i="39"/>
  <c r="S27" i="39"/>
  <c r="AC27" i="39" s="1"/>
  <c r="AB47" i="39"/>
  <c r="S31" i="37"/>
  <c r="AD31" i="37" s="1"/>
  <c r="Q31" i="38"/>
  <c r="S38" i="37"/>
  <c r="Q38" i="38"/>
  <c r="AB16" i="33"/>
  <c r="U18" i="32"/>
  <c r="G38" i="46"/>
  <c r="K38" i="46" s="1"/>
  <c r="M38" i="46" s="1"/>
  <c r="G30" i="46"/>
  <c r="K30" i="46" s="1"/>
  <c r="M30" i="46" s="1"/>
  <c r="I37" i="37"/>
  <c r="I30" i="37"/>
  <c r="G34" i="46"/>
  <c r="K34" i="46" s="1"/>
  <c r="M34" i="46" s="1"/>
  <c r="I33" i="37"/>
  <c r="G28" i="46"/>
  <c r="K28" i="46" s="1"/>
  <c r="M28" i="46" s="1"/>
  <c r="I31" i="37"/>
  <c r="G32" i="46"/>
  <c r="K32" i="46" s="1"/>
  <c r="M32" i="46" s="1"/>
  <c r="G33" i="46"/>
  <c r="K33" i="46" s="1"/>
  <c r="M33" i="46" s="1"/>
  <c r="I40" i="37"/>
  <c r="G29" i="46"/>
  <c r="K29" i="46" s="1"/>
  <c r="M29" i="46" s="1"/>
  <c r="I35" i="37"/>
  <c r="F34" i="69"/>
  <c r="J32" i="69"/>
  <c r="E35" i="71"/>
  <c r="W17" i="32" s="1"/>
  <c r="G25" i="46"/>
  <c r="K25" i="46" s="1"/>
  <c r="M25" i="46" s="1"/>
  <c r="G24" i="46"/>
  <c r="I27" i="37"/>
  <c r="G26" i="46"/>
  <c r="K26" i="46" s="1"/>
  <c r="M26" i="46" s="1"/>
  <c r="U19" i="32"/>
  <c r="I29" i="37"/>
  <c r="I28" i="37"/>
  <c r="G27" i="46"/>
  <c r="K27" i="46" s="1"/>
  <c r="M27" i="46" s="1"/>
  <c r="AD38" i="39" l="1"/>
  <c r="AC38" i="39"/>
  <c r="G13" i="72"/>
  <c r="D35" i="36"/>
  <c r="D50" i="36"/>
  <c r="I32" i="37"/>
  <c r="M30" i="49"/>
  <c r="I25" i="37"/>
  <c r="M23" i="49"/>
  <c r="I43" i="39"/>
  <c r="F39" i="69"/>
  <c r="F46" i="69"/>
  <c r="F38" i="69"/>
  <c r="F53" i="69"/>
  <c r="F48" i="69"/>
  <c r="F47" i="69"/>
  <c r="F59" i="69"/>
  <c r="F60" i="69"/>
  <c r="F58" i="69"/>
  <c r="F41" i="69"/>
  <c r="F52" i="69"/>
  <c r="F43" i="69"/>
  <c r="F42" i="69"/>
  <c r="F51" i="69"/>
  <c r="F44" i="69"/>
  <c r="F40" i="69"/>
  <c r="F55" i="69"/>
  <c r="F49" i="69"/>
  <c r="F54" i="69"/>
  <c r="F45" i="69"/>
  <c r="F50" i="69"/>
  <c r="F57" i="69"/>
  <c r="F56" i="69"/>
  <c r="C34" i="69"/>
  <c r="Q40" i="56"/>
  <c r="W45" i="38"/>
  <c r="X39" i="33"/>
  <c r="L39" i="33" s="1"/>
  <c r="N39" i="33" s="1"/>
  <c r="R39" i="33" s="1"/>
  <c r="AD41" i="39"/>
  <c r="AC41" i="39"/>
  <c r="C39" i="50"/>
  <c r="C39" i="47" s="1"/>
  <c r="C41" i="47" s="1"/>
  <c r="D33" i="69"/>
  <c r="H33" i="69" s="1"/>
  <c r="D32" i="69"/>
  <c r="E33" i="69"/>
  <c r="I33" i="69" s="1"/>
  <c r="E32" i="69"/>
  <c r="C36" i="49"/>
  <c r="C33" i="69"/>
  <c r="C53" i="69" s="1"/>
  <c r="C37" i="49"/>
  <c r="AB43" i="39"/>
  <c r="AD43" i="39" s="1"/>
  <c r="G25" i="37"/>
  <c r="G20" i="37"/>
  <c r="M16" i="46"/>
  <c r="G18" i="37"/>
  <c r="G24" i="37"/>
  <c r="M16" i="48"/>
  <c r="K41" i="48"/>
  <c r="M41" i="48" s="1"/>
  <c r="G18" i="39"/>
  <c r="G43" i="39" s="1"/>
  <c r="M17" i="46"/>
  <c r="G19" i="37"/>
  <c r="G21" i="37"/>
  <c r="G22" i="37"/>
  <c r="G23" i="37"/>
  <c r="AD40" i="39"/>
  <c r="AG40" i="39"/>
  <c r="I36" i="37"/>
  <c r="I34" i="37"/>
  <c r="I41" i="37"/>
  <c r="I26" i="37"/>
  <c r="G35" i="46"/>
  <c r="K35" i="46" s="1"/>
  <c r="M35" i="46" s="1"/>
  <c r="G31" i="46"/>
  <c r="K31" i="46" s="1"/>
  <c r="M31" i="46" s="1"/>
  <c r="G41" i="37"/>
  <c r="U17" i="32"/>
  <c r="D36" i="36"/>
  <c r="D33" i="36"/>
  <c r="D37" i="36"/>
  <c r="D34" i="36"/>
  <c r="H10" i="72"/>
  <c r="K24" i="46"/>
  <c r="M24" i="46" s="1"/>
  <c r="G34" i="64"/>
  <c r="I16" i="64"/>
  <c r="Q25" i="39"/>
  <c r="Q25" i="37"/>
  <c r="M34" i="65"/>
  <c r="I16" i="63"/>
  <c r="G34" i="63"/>
  <c r="G34" i="62"/>
  <c r="I16" i="62"/>
  <c r="G34" i="61"/>
  <c r="I16" i="61"/>
  <c r="G34" i="37"/>
  <c r="U34" i="37" s="1"/>
  <c r="W34" i="37" s="1"/>
  <c r="G32" i="37"/>
  <c r="G36" i="37"/>
  <c r="G40" i="37"/>
  <c r="U40" i="37" s="1"/>
  <c r="W40" i="37" s="1"/>
  <c r="G31" i="37"/>
  <c r="G35" i="37"/>
  <c r="G30" i="37"/>
  <c r="J45" i="69"/>
  <c r="J53" i="69"/>
  <c r="J54" i="69"/>
  <c r="J59" i="69"/>
  <c r="J43" i="69"/>
  <c r="J55" i="69"/>
  <c r="J49" i="69"/>
  <c r="J57" i="69"/>
  <c r="J40" i="69"/>
  <c r="J44" i="69"/>
  <c r="J56" i="69"/>
  <c r="J60" i="69"/>
  <c r="J87" i="69" s="1"/>
  <c r="J114" i="69" s="1"/>
  <c r="T27" i="28" s="1"/>
  <c r="J52" i="69"/>
  <c r="J48" i="69"/>
  <c r="J51" i="69"/>
  <c r="J38" i="69"/>
  <c r="J58" i="69"/>
  <c r="J50" i="69"/>
  <c r="J46" i="69"/>
  <c r="J41" i="69"/>
  <c r="J39" i="69"/>
  <c r="J66" i="69" s="1"/>
  <c r="J42" i="69"/>
  <c r="J47" i="69"/>
  <c r="G29" i="37"/>
  <c r="G28" i="37"/>
  <c r="G27" i="37"/>
  <c r="F66" i="69" l="1"/>
  <c r="X66" i="69" s="1"/>
  <c r="C54" i="69"/>
  <c r="C41" i="69"/>
  <c r="C47" i="69"/>
  <c r="C40" i="69"/>
  <c r="C45" i="69"/>
  <c r="C39" i="69"/>
  <c r="C58" i="69"/>
  <c r="C38" i="69"/>
  <c r="C52" i="69"/>
  <c r="C56" i="69"/>
  <c r="C50" i="69"/>
  <c r="C48" i="69"/>
  <c r="C46" i="69"/>
  <c r="C49" i="69"/>
  <c r="C44" i="69"/>
  <c r="C41" i="50"/>
  <c r="C42" i="69"/>
  <c r="C55" i="69"/>
  <c r="C60" i="69"/>
  <c r="G37" i="49"/>
  <c r="K37" i="49" s="1"/>
  <c r="M37" i="49" s="1"/>
  <c r="C37" i="46"/>
  <c r="G36" i="49"/>
  <c r="C36" i="46"/>
  <c r="C41" i="49"/>
  <c r="G33" i="69"/>
  <c r="C57" i="69"/>
  <c r="C51" i="69"/>
  <c r="D60" i="69"/>
  <c r="D40" i="69"/>
  <c r="D49" i="69"/>
  <c r="D51" i="69"/>
  <c r="D56" i="69"/>
  <c r="D52" i="69"/>
  <c r="D50" i="69"/>
  <c r="D38" i="69"/>
  <c r="D34" i="69"/>
  <c r="D46" i="69"/>
  <c r="D45" i="69"/>
  <c r="D55" i="69"/>
  <c r="D59" i="69"/>
  <c r="D42" i="69"/>
  <c r="D57" i="69"/>
  <c r="D39" i="69"/>
  <c r="D41" i="69"/>
  <c r="D58" i="69"/>
  <c r="D53" i="69"/>
  <c r="D47" i="69"/>
  <c r="D48" i="69"/>
  <c r="D44" i="69"/>
  <c r="D54" i="69"/>
  <c r="H32" i="69"/>
  <c r="D43" i="69"/>
  <c r="E49" i="69"/>
  <c r="I32" i="69"/>
  <c r="E47" i="69"/>
  <c r="E45" i="69"/>
  <c r="E57" i="69"/>
  <c r="E56" i="69"/>
  <c r="E41" i="69"/>
  <c r="E59" i="69"/>
  <c r="E60" i="69"/>
  <c r="E38" i="69"/>
  <c r="E34" i="69"/>
  <c r="E53" i="69"/>
  <c r="E52" i="69"/>
  <c r="E54" i="69"/>
  <c r="E44" i="69"/>
  <c r="E48" i="69"/>
  <c r="E40" i="69"/>
  <c r="E51" i="69"/>
  <c r="E58" i="69"/>
  <c r="E42" i="69"/>
  <c r="E55" i="69"/>
  <c r="E46" i="69"/>
  <c r="E39" i="69"/>
  <c r="E43" i="69"/>
  <c r="E50" i="69"/>
  <c r="C59" i="69"/>
  <c r="C43" i="69"/>
  <c r="G33" i="37"/>
  <c r="G37" i="37"/>
  <c r="U37" i="37" s="1"/>
  <c r="U41" i="37"/>
  <c r="G26" i="37"/>
  <c r="F87" i="69"/>
  <c r="F114" i="69" s="1"/>
  <c r="P27" i="28" s="1"/>
  <c r="Q25" i="38"/>
  <c r="Q43" i="38" s="1"/>
  <c r="S25" i="37"/>
  <c r="Q43" i="37"/>
  <c r="H13" i="80"/>
  <c r="P13" i="80" s="1"/>
  <c r="W16" i="61"/>
  <c r="K16" i="61"/>
  <c r="Q43" i="39"/>
  <c r="AB46" i="39" s="1"/>
  <c r="S25" i="39"/>
  <c r="J13" i="80"/>
  <c r="R13" i="80" s="1"/>
  <c r="K16" i="63"/>
  <c r="M41" i="55"/>
  <c r="W16" i="63"/>
  <c r="K16" i="64"/>
  <c r="W16" i="64"/>
  <c r="K13" i="80"/>
  <c r="S13" i="80" s="1"/>
  <c r="W16" i="62"/>
  <c r="K16" i="62"/>
  <c r="I13" i="80"/>
  <c r="Q13" i="80" s="1"/>
  <c r="J74" i="69"/>
  <c r="J78" i="69"/>
  <c r="J79" i="69"/>
  <c r="J68" i="69"/>
  <c r="J81" i="69"/>
  <c r="J69" i="69"/>
  <c r="J71" i="69"/>
  <c r="J65" i="69"/>
  <c r="J76" i="69"/>
  <c r="S41" i="29"/>
  <c r="E38" i="32"/>
  <c r="M38" i="32" s="1"/>
  <c r="AB40" i="37"/>
  <c r="AP40" i="39"/>
  <c r="J84" i="69"/>
  <c r="S35" i="29"/>
  <c r="AP34" i="39"/>
  <c r="AB34" i="37"/>
  <c r="E32" i="32"/>
  <c r="J82" i="69"/>
  <c r="F82" i="69" s="1"/>
  <c r="J83" i="69"/>
  <c r="J77" i="69"/>
  <c r="F77" i="69" s="1"/>
  <c r="J75" i="69"/>
  <c r="F75" i="69" s="1"/>
  <c r="J80" i="69"/>
  <c r="F80" i="69" s="1"/>
  <c r="J72" i="69"/>
  <c r="F72" i="69" s="1"/>
  <c r="J73" i="69"/>
  <c r="F73" i="69" s="1"/>
  <c r="J85" i="69"/>
  <c r="F85" i="69" s="1"/>
  <c r="J67" i="69"/>
  <c r="F67" i="69" s="1"/>
  <c r="J70" i="69"/>
  <c r="F70" i="69" s="1"/>
  <c r="J86" i="69"/>
  <c r="S42" i="29" l="1"/>
  <c r="W41" i="37"/>
  <c r="AP37" i="39"/>
  <c r="W37" i="37"/>
  <c r="H52" i="69"/>
  <c r="H51" i="69"/>
  <c r="H58" i="69"/>
  <c r="H40" i="69"/>
  <c r="H60" i="69"/>
  <c r="H87" i="69" s="1"/>
  <c r="D87" i="69" s="1"/>
  <c r="D114" i="69" s="1"/>
  <c r="N27" i="28" s="1"/>
  <c r="H44" i="69"/>
  <c r="H56" i="69"/>
  <c r="H38" i="69"/>
  <c r="H50" i="69"/>
  <c r="H54" i="69"/>
  <c r="H41" i="69"/>
  <c r="H48" i="69"/>
  <c r="H45" i="69"/>
  <c r="H53" i="69"/>
  <c r="H55" i="69"/>
  <c r="H46" i="69"/>
  <c r="H59" i="69"/>
  <c r="H49" i="69"/>
  <c r="H39" i="69"/>
  <c r="H57" i="69"/>
  <c r="H47" i="69"/>
  <c r="H43" i="69"/>
  <c r="H42" i="69"/>
  <c r="G36" i="46"/>
  <c r="C41" i="46"/>
  <c r="I60" i="69"/>
  <c r="I87" i="69" s="1"/>
  <c r="I114" i="69" s="1"/>
  <c r="S27" i="28" s="1"/>
  <c r="I50" i="69"/>
  <c r="I52" i="69"/>
  <c r="I51" i="69"/>
  <c r="I46" i="69"/>
  <c r="I40" i="69"/>
  <c r="I38" i="69"/>
  <c r="I55" i="69"/>
  <c r="I54" i="69"/>
  <c r="I57" i="69"/>
  <c r="I56" i="69"/>
  <c r="I42" i="69"/>
  <c r="I39" i="69"/>
  <c r="I47" i="69"/>
  <c r="I58" i="69"/>
  <c r="I44" i="69"/>
  <c r="I41" i="69"/>
  <c r="I49" i="69"/>
  <c r="I43" i="69"/>
  <c r="I48" i="69"/>
  <c r="I45" i="69"/>
  <c r="I53" i="69"/>
  <c r="I59" i="69"/>
  <c r="K36" i="49"/>
  <c r="M36" i="49" s="1"/>
  <c r="G41" i="49"/>
  <c r="G57" i="69"/>
  <c r="G43" i="69"/>
  <c r="G59" i="69"/>
  <c r="G40" i="69"/>
  <c r="G60" i="69"/>
  <c r="G87" i="69" s="1"/>
  <c r="G44" i="69"/>
  <c r="G54" i="69"/>
  <c r="G42" i="69"/>
  <c r="G48" i="69"/>
  <c r="G58" i="69"/>
  <c r="G38" i="69"/>
  <c r="G45" i="69"/>
  <c r="G49" i="69"/>
  <c r="G56" i="69"/>
  <c r="G51" i="69"/>
  <c r="G41" i="69"/>
  <c r="G50" i="69"/>
  <c r="G39" i="69"/>
  <c r="G55" i="69"/>
  <c r="G46" i="69"/>
  <c r="G53" i="69"/>
  <c r="G52" i="69"/>
  <c r="G47" i="69"/>
  <c r="G37" i="46"/>
  <c r="K37" i="46" s="1"/>
  <c r="M37" i="46" s="1"/>
  <c r="I39" i="37"/>
  <c r="E39" i="32"/>
  <c r="M39" i="32" s="1"/>
  <c r="O39" i="32" s="1"/>
  <c r="E35" i="32"/>
  <c r="M35" i="32" s="1"/>
  <c r="O35" i="32" s="1"/>
  <c r="S35" i="32" s="1"/>
  <c r="C36" i="75" s="1"/>
  <c r="E36" i="75" s="1"/>
  <c r="G36" i="75" s="1"/>
  <c r="AB37" i="37"/>
  <c r="AB48" i="37" s="1"/>
  <c r="S38" i="29"/>
  <c r="S74" i="29" s="1"/>
  <c r="AB41" i="37"/>
  <c r="AO41" i="39" s="1"/>
  <c r="AQ41" i="39" s="1"/>
  <c r="S78" i="29"/>
  <c r="AP41" i="39"/>
  <c r="O72" i="69"/>
  <c r="J105" i="69"/>
  <c r="T18" i="28" s="1"/>
  <c r="F78" i="69"/>
  <c r="J113" i="69"/>
  <c r="T26" i="28" s="1"/>
  <c r="F86" i="69"/>
  <c r="F113" i="69" s="1"/>
  <c r="P26" i="28" s="1"/>
  <c r="F83" i="69"/>
  <c r="F79" i="69"/>
  <c r="X79" i="69" s="1"/>
  <c r="F74" i="69"/>
  <c r="X74" i="69" s="1"/>
  <c r="F84" i="69"/>
  <c r="X84" i="69" s="1"/>
  <c r="X87" i="69"/>
  <c r="F81" i="69"/>
  <c r="F69" i="69"/>
  <c r="X69" i="69" s="1"/>
  <c r="F76" i="69"/>
  <c r="F65" i="69"/>
  <c r="X65" i="69" s="1"/>
  <c r="F71" i="69"/>
  <c r="F68" i="69"/>
  <c r="O66" i="69"/>
  <c r="J93" i="69"/>
  <c r="T6" i="28" s="1"/>
  <c r="I34" i="80"/>
  <c r="N34" i="80" s="1"/>
  <c r="I33" i="80"/>
  <c r="N33" i="80" s="1"/>
  <c r="L34" i="80"/>
  <c r="Q34" i="80" s="1"/>
  <c r="L33" i="80"/>
  <c r="Q33" i="80" s="1"/>
  <c r="S43" i="39"/>
  <c r="AC43" i="39" s="1"/>
  <c r="AC25" i="39"/>
  <c r="J33" i="80"/>
  <c r="O33" i="80" s="1"/>
  <c r="J34" i="80"/>
  <c r="O34" i="80" s="1"/>
  <c r="S43" i="37"/>
  <c r="AD25" i="37"/>
  <c r="K34" i="80"/>
  <c r="P34" i="80" s="1"/>
  <c r="K33" i="80"/>
  <c r="P33" i="80" s="1"/>
  <c r="M32" i="32"/>
  <c r="S69" i="69"/>
  <c r="J96" i="69"/>
  <c r="T9" i="28" s="1"/>
  <c r="S76" i="69"/>
  <c r="S78" i="69"/>
  <c r="S74" i="69"/>
  <c r="J101" i="69"/>
  <c r="T14" i="28" s="1"/>
  <c r="S65" i="69"/>
  <c r="J95" i="69"/>
  <c r="T8" i="28" s="1"/>
  <c r="J103" i="69"/>
  <c r="T16" i="28" s="1"/>
  <c r="J106" i="69"/>
  <c r="T19" i="28" s="1"/>
  <c r="S79" i="69"/>
  <c r="J92" i="69"/>
  <c r="T5" i="28" s="1"/>
  <c r="S71" i="69"/>
  <c r="J98" i="69"/>
  <c r="T11" i="28" s="1"/>
  <c r="J108" i="69"/>
  <c r="T21" i="28" s="1"/>
  <c r="S68" i="69"/>
  <c r="J111" i="69"/>
  <c r="T24" i="28" s="1"/>
  <c r="S77" i="29"/>
  <c r="S71" i="29"/>
  <c r="AO40" i="39"/>
  <c r="AQ40" i="39" s="1"/>
  <c r="AE40" i="37"/>
  <c r="AK40" i="37"/>
  <c r="AC40" i="37"/>
  <c r="AO34" i="39"/>
  <c r="AQ34" i="39" s="1"/>
  <c r="AE34" i="37"/>
  <c r="AC34" i="37"/>
  <c r="AK34" i="37"/>
  <c r="O38" i="32"/>
  <c r="S38" i="32" s="1"/>
  <c r="J112" i="69"/>
  <c r="T25" i="28" s="1"/>
  <c r="S85" i="69"/>
  <c r="X85" i="69"/>
  <c r="X82" i="69"/>
  <c r="J109" i="69"/>
  <c r="T22" i="28" s="1"/>
  <c r="S66" i="69"/>
  <c r="J94" i="69"/>
  <c r="T7" i="28" s="1"/>
  <c r="S67" i="69"/>
  <c r="X67" i="69"/>
  <c r="S73" i="69"/>
  <c r="J100" i="69"/>
  <c r="T13" i="28" s="1"/>
  <c r="S70" i="69"/>
  <c r="X70" i="69"/>
  <c r="J97" i="69"/>
  <c r="T10" i="28" s="1"/>
  <c r="S81" i="69"/>
  <c r="J99" i="69"/>
  <c r="T12" i="28" s="1"/>
  <c r="S72" i="69"/>
  <c r="X72" i="69"/>
  <c r="S80" i="69"/>
  <c r="J107" i="69"/>
  <c r="T20" i="28" s="1"/>
  <c r="X80" i="69"/>
  <c r="X75" i="69"/>
  <c r="J102" i="69"/>
  <c r="T15" i="28" s="1"/>
  <c r="S75" i="69"/>
  <c r="S84" i="69"/>
  <c r="X77" i="69"/>
  <c r="S77" i="69"/>
  <c r="J104" i="69"/>
  <c r="T17" i="28" s="1"/>
  <c r="X73" i="69"/>
  <c r="S82" i="69"/>
  <c r="S83" i="69"/>
  <c r="J110" i="69"/>
  <c r="T23" i="28" s="1"/>
  <c r="AP55" i="28"/>
  <c r="AP135" i="28"/>
  <c r="AP128" i="28"/>
  <c r="AP69" i="28"/>
  <c r="AP82" i="28"/>
  <c r="AP19" i="28"/>
  <c r="AP109" i="28"/>
  <c r="AP96" i="28"/>
  <c r="AP52" i="28"/>
  <c r="AP113" i="28"/>
  <c r="AP53" i="28"/>
  <c r="AP37" i="28"/>
  <c r="AP97" i="28"/>
  <c r="AP139" i="28"/>
  <c r="AP117" i="28"/>
  <c r="AP25" i="28"/>
  <c r="AP67" i="28"/>
  <c r="AP136" i="28"/>
  <c r="AP140" i="28"/>
  <c r="AP105" i="28"/>
  <c r="AP94" i="28"/>
  <c r="AP35" i="28"/>
  <c r="AP145" i="28"/>
  <c r="AP108" i="28"/>
  <c r="AP66" i="28"/>
  <c r="AP112" i="28"/>
  <c r="AP65" i="28"/>
  <c r="AP132" i="28"/>
  <c r="AP121" i="28"/>
  <c r="AP68" i="28"/>
  <c r="AP93" i="28"/>
  <c r="AP50" i="28"/>
  <c r="AP123" i="28"/>
  <c r="AP63" i="28"/>
  <c r="AP79" i="28"/>
  <c r="AP54" i="28"/>
  <c r="AP81" i="28"/>
  <c r="AP141" i="28"/>
  <c r="AP106" i="28"/>
  <c r="AP47" i="28"/>
  <c r="AP74" i="28"/>
  <c r="AP120" i="28"/>
  <c r="AP17" i="28"/>
  <c r="AP24" i="28"/>
  <c r="AP77" i="28"/>
  <c r="AP76" i="28"/>
  <c r="AP89" i="28"/>
  <c r="AP126" i="28"/>
  <c r="AP110" i="28"/>
  <c r="AP46" i="28"/>
  <c r="AP72" i="28"/>
  <c r="AP91" i="28"/>
  <c r="AP22" i="28"/>
  <c r="AP129" i="28"/>
  <c r="AP62" i="28"/>
  <c r="AP118" i="28"/>
  <c r="AP59" i="28"/>
  <c r="AP114" i="28"/>
  <c r="AP36" i="28"/>
  <c r="AP119" i="28"/>
  <c r="AP33" i="28"/>
  <c r="AP99" i="28"/>
  <c r="AP103" i="28"/>
  <c r="AP32" i="28"/>
  <c r="AP122" i="28"/>
  <c r="AP124" i="28"/>
  <c r="AP130" i="28"/>
  <c r="AP71" i="28"/>
  <c r="AP137" i="28"/>
  <c r="AP144" i="28"/>
  <c r="AP49" i="28"/>
  <c r="AP27" i="28"/>
  <c r="AP101" i="28"/>
  <c r="AP85" i="28"/>
  <c r="AP30" i="28"/>
  <c r="AP26" i="28"/>
  <c r="AP107" i="28"/>
  <c r="AP38" i="28"/>
  <c r="AP80" i="28"/>
  <c r="AP48" i="28"/>
  <c r="AP92" i="28"/>
  <c r="AP51" i="28"/>
  <c r="AP115" i="28"/>
  <c r="AP44" i="28"/>
  <c r="AP87" i="28"/>
  <c r="AP42" i="28"/>
  <c r="AP142" i="28"/>
  <c r="AP83" i="28"/>
  <c r="AP90" i="28"/>
  <c r="AP61" i="28"/>
  <c r="AP102" i="28"/>
  <c r="AP125" i="28"/>
  <c r="AP28" i="28"/>
  <c r="AP34" i="28"/>
  <c r="AP98" i="28"/>
  <c r="AP131" i="28"/>
  <c r="AP143" i="28"/>
  <c r="AP127" i="28"/>
  <c r="AP56" i="28"/>
  <c r="AP40" i="28"/>
  <c r="AP138" i="28"/>
  <c r="AP16" i="28"/>
  <c r="AP95" i="28"/>
  <c r="AP18" i="28"/>
  <c r="AP133" i="28"/>
  <c r="AP75" i="28"/>
  <c r="AP64" i="28"/>
  <c r="AP134" i="28"/>
  <c r="AP88" i="28"/>
  <c r="AP20" i="28"/>
  <c r="AP45" i="28"/>
  <c r="AP21" i="28"/>
  <c r="AP23" i="28"/>
  <c r="AP60" i="28"/>
  <c r="AP31" i="28"/>
  <c r="AP86" i="28"/>
  <c r="AP104" i="28"/>
  <c r="AP58" i="28"/>
  <c r="AP43" i="28"/>
  <c r="AP39" i="28"/>
  <c r="AP116" i="28"/>
  <c r="AP57" i="28"/>
  <c r="AP70" i="28"/>
  <c r="AP78" i="28"/>
  <c r="AP73" i="28"/>
  <c r="AP84" i="28"/>
  <c r="AP111" i="28"/>
  <c r="AP100" i="28"/>
  <c r="AP41" i="28"/>
  <c r="AP29" i="28"/>
  <c r="I76" i="69" l="1"/>
  <c r="H86" i="69"/>
  <c r="D86" i="69" s="1"/>
  <c r="V86" i="69" s="1"/>
  <c r="G68" i="69"/>
  <c r="C68" i="69" s="1"/>
  <c r="U68" i="69" s="1"/>
  <c r="H70" i="69"/>
  <c r="D70" i="69" s="1"/>
  <c r="V70" i="69" s="1"/>
  <c r="AP5" i="28"/>
  <c r="AP6" i="28"/>
  <c r="AP7" i="28"/>
  <c r="AP8" i="28"/>
  <c r="AP9" i="28"/>
  <c r="AP10" i="28"/>
  <c r="AP11" i="28"/>
  <c r="AP12" i="28"/>
  <c r="AP13" i="28"/>
  <c r="AP14" i="28"/>
  <c r="AP15" i="28"/>
  <c r="I72" i="69"/>
  <c r="E72" i="69" s="1"/>
  <c r="W72" i="69" s="1"/>
  <c r="S39" i="32"/>
  <c r="W39" i="32" s="1"/>
  <c r="AA48" i="29"/>
  <c r="AB42" i="29" s="1"/>
  <c r="V87" i="69"/>
  <c r="H114" i="69"/>
  <c r="R27" i="28" s="1"/>
  <c r="H82" i="69"/>
  <c r="D82" i="69" s="1"/>
  <c r="V82" i="69" s="1"/>
  <c r="E87" i="69"/>
  <c r="W87" i="69" s="1"/>
  <c r="H84" i="69"/>
  <c r="D84" i="69" s="1"/>
  <c r="V84" i="69" s="1"/>
  <c r="G79" i="69"/>
  <c r="C79" i="69" s="1"/>
  <c r="U79" i="69" s="1"/>
  <c r="G83" i="69"/>
  <c r="C83" i="69" s="1"/>
  <c r="U83" i="69" s="1"/>
  <c r="H76" i="69"/>
  <c r="D76" i="69" s="1"/>
  <c r="V76" i="69" s="1"/>
  <c r="H78" i="69"/>
  <c r="D78" i="69" s="1"/>
  <c r="V78" i="69" s="1"/>
  <c r="I66" i="69"/>
  <c r="E66" i="69" s="1"/>
  <c r="W66" i="69" s="1"/>
  <c r="H66" i="69"/>
  <c r="D66" i="69" s="1"/>
  <c r="V66" i="69" s="1"/>
  <c r="G66" i="69"/>
  <c r="C66" i="69" s="1"/>
  <c r="U66" i="69" s="1"/>
  <c r="G85" i="69"/>
  <c r="C85" i="69" s="1"/>
  <c r="U85" i="69" s="1"/>
  <c r="G71" i="69"/>
  <c r="C71" i="69" s="1"/>
  <c r="U71" i="69" s="1"/>
  <c r="G70" i="69"/>
  <c r="C70" i="69" s="1"/>
  <c r="U70" i="69" s="1"/>
  <c r="I75" i="69"/>
  <c r="I71" i="69"/>
  <c r="E71" i="69" s="1"/>
  <c r="I69" i="69"/>
  <c r="E69" i="69" s="1"/>
  <c r="W69" i="69" s="1"/>
  <c r="I82" i="69"/>
  <c r="E82" i="69" s="1"/>
  <c r="W82" i="69" s="1"/>
  <c r="H81" i="69"/>
  <c r="H71" i="69"/>
  <c r="I73" i="69"/>
  <c r="E73" i="69" s="1"/>
  <c r="G80" i="69"/>
  <c r="G77" i="69"/>
  <c r="C77" i="69" s="1"/>
  <c r="U77" i="69" s="1"/>
  <c r="I86" i="69"/>
  <c r="E86" i="69" s="1"/>
  <c r="I83" i="69"/>
  <c r="E83" i="69" s="1"/>
  <c r="W83" i="69" s="1"/>
  <c r="I65" i="69"/>
  <c r="E65" i="69" s="1"/>
  <c r="I79" i="69"/>
  <c r="E79" i="69" s="1"/>
  <c r="W79" i="69" s="1"/>
  <c r="H74" i="69"/>
  <c r="D74" i="69" s="1"/>
  <c r="V74" i="69" s="1"/>
  <c r="H72" i="69"/>
  <c r="D72" i="69" s="1"/>
  <c r="V72" i="69" s="1"/>
  <c r="G39" i="37"/>
  <c r="U39" i="37" s="1"/>
  <c r="W39" i="37" s="1"/>
  <c r="G76" i="69"/>
  <c r="G75" i="69"/>
  <c r="G114" i="69"/>
  <c r="Q27" i="28" s="1"/>
  <c r="C87" i="69"/>
  <c r="G84" i="69"/>
  <c r="I70" i="69"/>
  <c r="I85" i="69"/>
  <c r="K36" i="46"/>
  <c r="M36" i="46" s="1"/>
  <c r="G41" i="46"/>
  <c r="H77" i="69"/>
  <c r="H79" i="69"/>
  <c r="I38" i="37"/>
  <c r="I43" i="37" s="1"/>
  <c r="K41" i="49"/>
  <c r="M41" i="49" s="1"/>
  <c r="I77" i="69"/>
  <c r="I78" i="69"/>
  <c r="G73" i="69"/>
  <c r="G72" i="69"/>
  <c r="G69" i="69"/>
  <c r="G67" i="69"/>
  <c r="I80" i="69"/>
  <c r="E76" i="69"/>
  <c r="I74" i="69"/>
  <c r="I84" i="69"/>
  <c r="I67" i="69"/>
  <c r="H73" i="69"/>
  <c r="H75" i="69"/>
  <c r="H65" i="69"/>
  <c r="H67" i="69"/>
  <c r="H80" i="69"/>
  <c r="G74" i="69"/>
  <c r="G82" i="69"/>
  <c r="G78" i="69"/>
  <c r="G65" i="69"/>
  <c r="G81" i="69"/>
  <c r="G86" i="69"/>
  <c r="I68" i="69"/>
  <c r="I81" i="69"/>
  <c r="H69" i="69"/>
  <c r="H68" i="69"/>
  <c r="H83" i="69"/>
  <c r="H85" i="69"/>
  <c r="AC37" i="37"/>
  <c r="E40" i="75"/>
  <c r="G40" i="75" s="1"/>
  <c r="M40" i="75" s="1"/>
  <c r="O40" i="75" s="1"/>
  <c r="W35" i="32"/>
  <c r="AE41" i="37"/>
  <c r="AO37" i="39"/>
  <c r="AQ37" i="39" s="1"/>
  <c r="AE37" i="37"/>
  <c r="AK37" i="37"/>
  <c r="AK41" i="37"/>
  <c r="AC41" i="37"/>
  <c r="X86" i="69"/>
  <c r="O85" i="69"/>
  <c r="F93" i="69"/>
  <c r="P6" i="28" s="1"/>
  <c r="F109" i="69"/>
  <c r="P22" i="28" s="1"/>
  <c r="X83" i="69"/>
  <c r="F112" i="69"/>
  <c r="P25" i="28" s="1"/>
  <c r="F99" i="69"/>
  <c r="P12" i="28" s="1"/>
  <c r="O81" i="69"/>
  <c r="F108" i="69"/>
  <c r="P21" i="28" s="1"/>
  <c r="F94" i="69"/>
  <c r="P7" i="28" s="1"/>
  <c r="X68" i="69"/>
  <c r="X81" i="69"/>
  <c r="O82" i="69"/>
  <c r="F110" i="69"/>
  <c r="P23" i="28" s="1"/>
  <c r="O83" i="69"/>
  <c r="O68" i="69"/>
  <c r="F95" i="69"/>
  <c r="P8" i="28" s="1"/>
  <c r="O65" i="69"/>
  <c r="F92" i="69"/>
  <c r="P5" i="28" s="1"/>
  <c r="O70" i="69"/>
  <c r="F98" i="69"/>
  <c r="P11" i="28" s="1"/>
  <c r="O71" i="69"/>
  <c r="F103" i="69"/>
  <c r="P16" i="28" s="1"/>
  <c r="O75" i="69"/>
  <c r="F107" i="69"/>
  <c r="P20" i="28" s="1"/>
  <c r="F97" i="69"/>
  <c r="P10" i="28" s="1"/>
  <c r="O80" i="69"/>
  <c r="X71" i="69"/>
  <c r="X76" i="69"/>
  <c r="F96" i="69"/>
  <c r="P9" i="28" s="1"/>
  <c r="O69" i="69"/>
  <c r="O67" i="69"/>
  <c r="O84" i="69"/>
  <c r="F111" i="69"/>
  <c r="P24" i="28" s="1"/>
  <c r="F101" i="69"/>
  <c r="P14" i="28" s="1"/>
  <c r="F100" i="69"/>
  <c r="P13" i="28" s="1"/>
  <c r="O74" i="69"/>
  <c r="F106" i="69"/>
  <c r="P19" i="28" s="1"/>
  <c r="O79" i="69"/>
  <c r="O76" i="69"/>
  <c r="O78" i="69"/>
  <c r="F105" i="69"/>
  <c r="P18" i="28" s="1"/>
  <c r="F104" i="69"/>
  <c r="P17" i="28" s="1"/>
  <c r="X78" i="69"/>
  <c r="O77" i="69"/>
  <c r="F102" i="69"/>
  <c r="P15" i="28" s="1"/>
  <c r="O73" i="69"/>
  <c r="O32" i="32"/>
  <c r="C39" i="75"/>
  <c r="E39" i="75" s="1"/>
  <c r="G39" i="75" s="1"/>
  <c r="W38" i="32"/>
  <c r="K36" i="75"/>
  <c r="M36" i="75"/>
  <c r="O36" i="75" s="1"/>
  <c r="AD37" i="37"/>
  <c r="AD41" i="37"/>
  <c r="AD34" i="37"/>
  <c r="AD40" i="37"/>
  <c r="AL119" i="28"/>
  <c r="C24" i="24"/>
  <c r="AL141" i="28"/>
  <c r="R19" i="76"/>
  <c r="AL140" i="28"/>
  <c r="R24" i="76"/>
  <c r="AL67" i="28"/>
  <c r="AL24" i="28"/>
  <c r="AL125" i="28"/>
  <c r="AL36" i="28"/>
  <c r="AL26" i="28"/>
  <c r="AL75" i="28"/>
  <c r="C23" i="24"/>
  <c r="S20" i="76"/>
  <c r="AL109" i="28"/>
  <c r="R20" i="76"/>
  <c r="AL97" i="28"/>
  <c r="AL84" i="28"/>
  <c r="I18" i="53"/>
  <c r="AL85" i="28"/>
  <c r="AL107" i="28"/>
  <c r="G20" i="45"/>
  <c r="AL129" i="28"/>
  <c r="C21" i="24"/>
  <c r="AL128" i="28"/>
  <c r="G25" i="45"/>
  <c r="I23" i="53"/>
  <c r="S23" i="76"/>
  <c r="AL113" i="28"/>
  <c r="S18" i="76"/>
  <c r="C36" i="24"/>
  <c r="AL63" i="28"/>
  <c r="AL134" i="28"/>
  <c r="S17" i="76"/>
  <c r="AL138" i="28"/>
  <c r="AL101" i="28"/>
  <c r="C28" i="24"/>
  <c r="AL95" i="28"/>
  <c r="AL142" i="28"/>
  <c r="AL117" i="28"/>
  <c r="R17" i="76"/>
  <c r="AL116" i="28"/>
  <c r="R22" i="76"/>
  <c r="AL136" i="28"/>
  <c r="AL83" i="28"/>
  <c r="AL130" i="28"/>
  <c r="AL105" i="28"/>
  <c r="C40" i="24"/>
  <c r="AL104" i="28"/>
  <c r="AL127" i="28"/>
  <c r="AL126" i="28"/>
  <c r="S24" i="76"/>
  <c r="AL89" i="28"/>
  <c r="AL124" i="28"/>
  <c r="I21" i="53"/>
  <c r="AL39" i="28"/>
  <c r="AL110" i="28"/>
  <c r="R23" i="76"/>
  <c r="AL73" i="28"/>
  <c r="AL69" i="28"/>
  <c r="AL90" i="28"/>
  <c r="AL88" i="28"/>
  <c r="AL74" i="28"/>
  <c r="AL18" i="28"/>
  <c r="I17" i="53"/>
  <c r="AL123" i="28"/>
  <c r="AL22" i="28"/>
  <c r="AL120" i="28"/>
  <c r="AL131" i="28"/>
  <c r="S21" i="76"/>
  <c r="G19" i="45"/>
  <c r="AL71" i="28"/>
  <c r="AL118" i="28"/>
  <c r="AL93" i="28"/>
  <c r="AL115" i="28"/>
  <c r="AL92" i="28"/>
  <c r="AL103" i="28"/>
  <c r="AL114" i="28"/>
  <c r="C30" i="24"/>
  <c r="AL77" i="28"/>
  <c r="AL112" i="28"/>
  <c r="C22" i="24"/>
  <c r="AL27" i="28"/>
  <c r="AL98" i="28"/>
  <c r="AL144" i="28"/>
  <c r="AL61" i="28"/>
  <c r="AL68" i="28"/>
  <c r="AL53" i="28"/>
  <c r="C20" i="24"/>
  <c r="AL41" i="28"/>
  <c r="C29" i="24"/>
  <c r="I19" i="53"/>
  <c r="S19" i="76"/>
  <c r="AL16" i="28"/>
  <c r="AL139" i="28"/>
  <c r="AL87" i="28"/>
  <c r="AL59" i="28"/>
  <c r="AL106" i="28"/>
  <c r="AL81" i="28"/>
  <c r="AL91" i="28"/>
  <c r="AL80" i="28"/>
  <c r="AL79" i="28"/>
  <c r="AL102" i="28"/>
  <c r="AL25" i="28"/>
  <c r="AL65" i="28"/>
  <c r="AL100" i="28"/>
  <c r="AL60" i="28"/>
  <c r="C33" i="24"/>
  <c r="AL86" i="28"/>
  <c r="AL96" i="28"/>
  <c r="AL49" i="28"/>
  <c r="AL55" i="28"/>
  <c r="C37" i="24"/>
  <c r="AL37" i="28"/>
  <c r="AL76" i="28"/>
  <c r="AL62" i="28"/>
  <c r="AL34" i="28"/>
  <c r="C39" i="24"/>
  <c r="C38" i="24"/>
  <c r="G26" i="45"/>
  <c r="AL28" i="28"/>
  <c r="I22" i="53"/>
  <c r="AL47" i="28"/>
  <c r="AL94" i="28"/>
  <c r="AL43" i="28"/>
  <c r="S22" i="76"/>
  <c r="G23" i="45"/>
  <c r="AL143" i="28"/>
  <c r="G21" i="45"/>
  <c r="AL133" i="28"/>
  <c r="AL30" i="28"/>
  <c r="AL121" i="28"/>
  <c r="AL122" i="28"/>
  <c r="AL35" i="28"/>
  <c r="AL82" i="28"/>
  <c r="AL57" i="28"/>
  <c r="AL31" i="28"/>
  <c r="AL56" i="28"/>
  <c r="AL23" i="28"/>
  <c r="AL78" i="28"/>
  <c r="AL135" i="28"/>
  <c r="AL17" i="28"/>
  <c r="AL20" i="28"/>
  <c r="AL40" i="28"/>
  <c r="R18" i="76"/>
  <c r="C26" i="24"/>
  <c r="AL137" i="28"/>
  <c r="G22" i="45"/>
  <c r="AL19" i="28"/>
  <c r="AL70" i="28"/>
  <c r="AL45" i="28"/>
  <c r="G24" i="45"/>
  <c r="AL44" i="28"/>
  <c r="C34" i="24"/>
  <c r="AL66" i="28"/>
  <c r="AL108" i="28"/>
  <c r="AL29" i="28"/>
  <c r="AL64" i="28"/>
  <c r="AL50" i="28"/>
  <c r="AL21" i="28"/>
  <c r="R21" i="76"/>
  <c r="I20" i="53"/>
  <c r="AL72" i="28"/>
  <c r="C35" i="24"/>
  <c r="C19" i="24"/>
  <c r="AL58" i="28"/>
  <c r="AL33" i="28"/>
  <c r="C41" i="24"/>
  <c r="AL32" i="28"/>
  <c r="C31" i="24"/>
  <c r="AL54" i="28"/>
  <c r="AL48" i="28"/>
  <c r="C32" i="24"/>
  <c r="AL52" i="28"/>
  <c r="AL111" i="28"/>
  <c r="C27" i="24"/>
  <c r="AL38" i="28"/>
  <c r="AL145" i="28"/>
  <c r="I24" i="53"/>
  <c r="AL46" i="28"/>
  <c r="AL42" i="28"/>
  <c r="AL99" i="28"/>
  <c r="C25" i="24"/>
  <c r="AL132" i="28"/>
  <c r="AL51" i="28"/>
  <c r="Q70" i="69" l="1"/>
  <c r="H113" i="69"/>
  <c r="R26" i="28" s="1"/>
  <c r="R76" i="69"/>
  <c r="D113" i="69"/>
  <c r="N26" i="28" s="1"/>
  <c r="AL5" i="28"/>
  <c r="AL6" i="28"/>
  <c r="AL7" i="28"/>
  <c r="AL8" i="28"/>
  <c r="AL9" i="28"/>
  <c r="AL10" i="28"/>
  <c r="AL11" i="28"/>
  <c r="AL12" i="28"/>
  <c r="AL13" i="28"/>
  <c r="AL14" i="28"/>
  <c r="AL15" i="28"/>
  <c r="C40" i="75"/>
  <c r="N71" i="69"/>
  <c r="E114" i="69"/>
  <c r="O27" i="28" s="1"/>
  <c r="R83" i="69"/>
  <c r="N82" i="69"/>
  <c r="Q81" i="69"/>
  <c r="L70" i="69"/>
  <c r="P70" i="69"/>
  <c r="R82" i="69"/>
  <c r="R65" i="69"/>
  <c r="P66" i="69"/>
  <c r="Q76" i="69"/>
  <c r="I113" i="69"/>
  <c r="S26" i="28" s="1"/>
  <c r="Q78" i="69"/>
  <c r="R72" i="69"/>
  <c r="Q71" i="69"/>
  <c r="D71" i="69"/>
  <c r="M71" i="69" s="1"/>
  <c r="R71" i="69"/>
  <c r="D81" i="69"/>
  <c r="C80" i="69"/>
  <c r="P79" i="69"/>
  <c r="E75" i="69"/>
  <c r="R75" i="69"/>
  <c r="W71" i="69"/>
  <c r="W73" i="69"/>
  <c r="N72" i="69"/>
  <c r="D83" i="69"/>
  <c r="Q82" i="69"/>
  <c r="H110" i="69"/>
  <c r="R23" i="28" s="1"/>
  <c r="H109" i="69"/>
  <c r="R22" i="28" s="1"/>
  <c r="Q83" i="69"/>
  <c r="E68" i="69"/>
  <c r="R68" i="69"/>
  <c r="I95" i="69"/>
  <c r="S8" i="28" s="1"/>
  <c r="G105" i="69"/>
  <c r="Q18" i="28" s="1"/>
  <c r="C78" i="69"/>
  <c r="P78" i="69"/>
  <c r="H97" i="69"/>
  <c r="R10" i="28" s="1"/>
  <c r="Q65" i="69"/>
  <c r="H92" i="69"/>
  <c r="R5" i="28" s="1"/>
  <c r="D65" i="69"/>
  <c r="I111" i="69"/>
  <c r="S24" i="28" s="1"/>
  <c r="R84" i="69"/>
  <c r="I110" i="69"/>
  <c r="S23" i="28" s="1"/>
  <c r="E84" i="69"/>
  <c r="E80" i="69"/>
  <c r="I107" i="69"/>
  <c r="S20" i="28" s="1"/>
  <c r="R80" i="69"/>
  <c r="G96" i="69"/>
  <c r="Q9" i="28" s="1"/>
  <c r="P68" i="69"/>
  <c r="P69" i="69"/>
  <c r="C69" i="69"/>
  <c r="G95" i="69"/>
  <c r="Q8" i="28" s="1"/>
  <c r="R77" i="69"/>
  <c r="E78" i="69"/>
  <c r="R78" i="69"/>
  <c r="I105" i="69"/>
  <c r="S18" i="28" s="1"/>
  <c r="G38" i="37"/>
  <c r="K41" i="46"/>
  <c r="M41" i="46" s="1"/>
  <c r="E70" i="69"/>
  <c r="I97" i="69"/>
  <c r="S10" i="28" s="1"/>
  <c r="R70" i="69"/>
  <c r="C114" i="69"/>
  <c r="M27" i="28" s="1"/>
  <c r="U87" i="69"/>
  <c r="I102" i="69"/>
  <c r="S15" i="28" s="1"/>
  <c r="H103" i="69"/>
  <c r="R16" i="28" s="1"/>
  <c r="D68" i="69"/>
  <c r="Q68" i="69"/>
  <c r="H95" i="69"/>
  <c r="R8" i="28" s="1"/>
  <c r="C86" i="69"/>
  <c r="P85" i="69"/>
  <c r="G113" i="69"/>
  <c r="Q26" i="28" s="1"/>
  <c r="P82" i="69"/>
  <c r="C82" i="69"/>
  <c r="G109" i="69"/>
  <c r="Q22" i="28" s="1"/>
  <c r="I106" i="69"/>
  <c r="S19" i="28" s="1"/>
  <c r="G104" i="69"/>
  <c r="Q17" i="28" s="1"/>
  <c r="D80" i="69"/>
  <c r="Q80" i="69"/>
  <c r="H107" i="69"/>
  <c r="R20" i="28" s="1"/>
  <c r="D75" i="69"/>
  <c r="M74" i="69" s="1"/>
  <c r="Q74" i="69"/>
  <c r="H102" i="69"/>
  <c r="R15" i="28" s="1"/>
  <c r="Q75" i="69"/>
  <c r="E74" i="69"/>
  <c r="I101" i="69"/>
  <c r="S14" i="28" s="1"/>
  <c r="R73" i="69"/>
  <c r="I98" i="69"/>
  <c r="S11" i="28" s="1"/>
  <c r="I99" i="69"/>
  <c r="S12" i="28" s="1"/>
  <c r="R74" i="69"/>
  <c r="I100" i="69"/>
  <c r="S13" i="28" s="1"/>
  <c r="C72" i="69"/>
  <c r="P71" i="69"/>
  <c r="G99" i="69"/>
  <c r="Q12" i="28" s="1"/>
  <c r="P72" i="69"/>
  <c r="I96" i="69"/>
  <c r="S9" i="28" s="1"/>
  <c r="H108" i="69"/>
  <c r="R21" i="28" s="1"/>
  <c r="E77" i="69"/>
  <c r="N76" i="69" s="1"/>
  <c r="I103" i="69"/>
  <c r="S16" i="28" s="1"/>
  <c r="I104" i="69"/>
  <c r="S17" i="28" s="1"/>
  <c r="H106" i="69"/>
  <c r="R19" i="28" s="1"/>
  <c r="Q79" i="69"/>
  <c r="D79" i="69"/>
  <c r="AB39" i="37"/>
  <c r="AP39" i="39"/>
  <c r="E37" i="32"/>
  <c r="M37" i="32" s="1"/>
  <c r="O37" i="32" s="1"/>
  <c r="S37" i="32" s="1"/>
  <c r="S40" i="29"/>
  <c r="H101" i="69"/>
  <c r="R14" i="28" s="1"/>
  <c r="H96" i="69"/>
  <c r="R9" i="28" s="1"/>
  <c r="Q69" i="69"/>
  <c r="D69" i="69"/>
  <c r="C81" i="69"/>
  <c r="G107" i="69"/>
  <c r="Q20" i="28" s="1"/>
  <c r="G108" i="69"/>
  <c r="Q21" i="28" s="1"/>
  <c r="P80" i="69"/>
  <c r="P81" i="69"/>
  <c r="C74" i="69"/>
  <c r="P74" i="69"/>
  <c r="G101" i="69"/>
  <c r="Q14" i="28" s="1"/>
  <c r="G106" i="69"/>
  <c r="Q19" i="28" s="1"/>
  <c r="D73" i="69"/>
  <c r="Q72" i="69"/>
  <c r="Q73" i="69"/>
  <c r="H99" i="69"/>
  <c r="R12" i="28" s="1"/>
  <c r="H100" i="69"/>
  <c r="R13" i="28" s="1"/>
  <c r="W76" i="69"/>
  <c r="C73" i="69"/>
  <c r="G100" i="69"/>
  <c r="Q13" i="28" s="1"/>
  <c r="P73" i="69"/>
  <c r="I92" i="69"/>
  <c r="S5" i="28" s="1"/>
  <c r="G110" i="69"/>
  <c r="Q23" i="28" s="1"/>
  <c r="G93" i="69"/>
  <c r="Q6" i="28" s="1"/>
  <c r="D77" i="69"/>
  <c r="H104" i="69"/>
  <c r="R17" i="28" s="1"/>
  <c r="Q77" i="69"/>
  <c r="W65" i="69"/>
  <c r="N65" i="69"/>
  <c r="E113" i="69"/>
  <c r="O26" i="28" s="1"/>
  <c r="W86" i="69"/>
  <c r="C75" i="69"/>
  <c r="G102" i="69"/>
  <c r="Q15" i="28" s="1"/>
  <c r="P75" i="69"/>
  <c r="R69" i="69"/>
  <c r="G112" i="69"/>
  <c r="Q25" i="28" s="1"/>
  <c r="H112" i="69"/>
  <c r="R25" i="28" s="1"/>
  <c r="Q84" i="69"/>
  <c r="H111" i="69"/>
  <c r="R24" i="28" s="1"/>
  <c r="Q85" i="69"/>
  <c r="D85" i="69"/>
  <c r="E81" i="69"/>
  <c r="I108" i="69"/>
  <c r="S21" i="28" s="1"/>
  <c r="R81" i="69"/>
  <c r="P65" i="69"/>
  <c r="C65" i="69"/>
  <c r="G92" i="69"/>
  <c r="Q5" i="28" s="1"/>
  <c r="H105" i="69"/>
  <c r="R18" i="28" s="1"/>
  <c r="H93" i="69"/>
  <c r="R6" i="28" s="1"/>
  <c r="H94" i="69"/>
  <c r="R7" i="28" s="1"/>
  <c r="Q67" i="69"/>
  <c r="Q66" i="69"/>
  <c r="D67" i="69"/>
  <c r="E67" i="69"/>
  <c r="I93" i="69"/>
  <c r="S6" i="28" s="1"/>
  <c r="I94" i="69"/>
  <c r="S7" i="28" s="1"/>
  <c r="R66" i="69"/>
  <c r="R67" i="69"/>
  <c r="G94" i="69"/>
  <c r="Q7" i="28" s="1"/>
  <c r="P67" i="69"/>
  <c r="C67" i="69"/>
  <c r="R79" i="69"/>
  <c r="P77" i="69"/>
  <c r="G98" i="69"/>
  <c r="Q11" i="28" s="1"/>
  <c r="G97" i="69"/>
  <c r="Q10" i="28" s="1"/>
  <c r="R85" i="69"/>
  <c r="I112" i="69"/>
  <c r="S25" i="28" s="1"/>
  <c r="E85" i="69"/>
  <c r="P84" i="69"/>
  <c r="C84" i="69"/>
  <c r="G111" i="69"/>
  <c r="Q24" i="28" s="1"/>
  <c r="G103" i="69"/>
  <c r="Q16" i="28" s="1"/>
  <c r="P76" i="69"/>
  <c r="C76" i="69"/>
  <c r="I109" i="69"/>
  <c r="S22" i="28" s="1"/>
  <c r="H98" i="69"/>
  <c r="R11" i="28" s="1"/>
  <c r="P83" i="69"/>
  <c r="K40" i="75"/>
  <c r="Q20" i="76"/>
  <c r="T20" i="76" s="1"/>
  <c r="E20" i="76" s="1"/>
  <c r="G20" i="76" s="1"/>
  <c r="Q23" i="76"/>
  <c r="T23" i="76" s="1"/>
  <c r="E23" i="76" s="1"/>
  <c r="G23" i="76" s="1"/>
  <c r="Q19" i="76"/>
  <c r="T19" i="76" s="1"/>
  <c r="E19" i="76" s="1"/>
  <c r="BE20" i="37" s="1"/>
  <c r="Q21" i="76"/>
  <c r="T21" i="76" s="1"/>
  <c r="E21" i="76" s="1"/>
  <c r="K23" i="77" s="1"/>
  <c r="K29" i="77" s="1"/>
  <c r="Q24" i="76"/>
  <c r="T24" i="76" s="1"/>
  <c r="E24" i="76" s="1"/>
  <c r="G24" i="76" s="1"/>
  <c r="Q22" i="76"/>
  <c r="T22" i="76" s="1"/>
  <c r="E22" i="76" s="1"/>
  <c r="M23" i="77" s="1"/>
  <c r="M29" i="77" s="1"/>
  <c r="Q18" i="76"/>
  <c r="T18" i="76" s="1"/>
  <c r="E18" i="76" s="1"/>
  <c r="E23" i="77" s="1"/>
  <c r="E29" i="77" s="1"/>
  <c r="S32" i="32"/>
  <c r="E23" i="24"/>
  <c r="I23" i="24" s="1"/>
  <c r="E22" i="50"/>
  <c r="G22" i="50" s="1"/>
  <c r="K22" i="50" s="1"/>
  <c r="M22" i="50" s="1"/>
  <c r="E20" i="50"/>
  <c r="G20" i="50" s="1"/>
  <c r="K20" i="50" s="1"/>
  <c r="I22" i="38" s="1"/>
  <c r="E21" i="24"/>
  <c r="I21" i="24" s="1"/>
  <c r="E26" i="24"/>
  <c r="I26" i="24" s="1"/>
  <c r="I22" i="45"/>
  <c r="M22" i="45" s="1"/>
  <c r="U20" i="76"/>
  <c r="E31" i="24"/>
  <c r="I31" i="24" s="1"/>
  <c r="E25" i="24"/>
  <c r="E40" i="24"/>
  <c r="U22" i="76"/>
  <c r="I26" i="45"/>
  <c r="M26" i="45" s="1"/>
  <c r="E29" i="24"/>
  <c r="I29" i="24" s="1"/>
  <c r="E39" i="24"/>
  <c r="I39" i="24" s="1"/>
  <c r="I24" i="45"/>
  <c r="E23" i="38" s="1"/>
  <c r="I23" i="45"/>
  <c r="M23" i="45" s="1"/>
  <c r="E23" i="50"/>
  <c r="G23" i="50" s="1"/>
  <c r="K23" i="50" s="1"/>
  <c r="M23" i="50" s="1"/>
  <c r="E32" i="24"/>
  <c r="I32" i="24" s="1"/>
  <c r="E22" i="24"/>
  <c r="U18" i="76"/>
  <c r="U24" i="76"/>
  <c r="E19" i="50"/>
  <c r="G19" i="50" s="1"/>
  <c r="E36" i="24"/>
  <c r="I19" i="45"/>
  <c r="M19" i="45" s="1"/>
  <c r="Q17" i="76"/>
  <c r="T17" i="76" s="1"/>
  <c r="E17" i="76" s="1"/>
  <c r="G17" i="76" s="1"/>
  <c r="U17" i="76"/>
  <c r="I25" i="45"/>
  <c r="E24" i="38" s="1"/>
  <c r="E35" i="24"/>
  <c r="E27" i="24"/>
  <c r="E38" i="24"/>
  <c r="I20" i="45"/>
  <c r="M20" i="45" s="1"/>
  <c r="U21" i="76"/>
  <c r="U23" i="76"/>
  <c r="E37" i="24"/>
  <c r="E24" i="24"/>
  <c r="I24" i="24" s="1"/>
  <c r="E42" i="24"/>
  <c r="I42" i="24" s="1"/>
  <c r="K42" i="24" s="1"/>
  <c r="E41" i="24"/>
  <c r="E33" i="24"/>
  <c r="I33" i="24" s="1"/>
  <c r="E34" i="24"/>
  <c r="E28" i="24"/>
  <c r="E19" i="24"/>
  <c r="I19" i="24" s="1"/>
  <c r="U19" i="76"/>
  <c r="E21" i="50"/>
  <c r="G21" i="50" s="1"/>
  <c r="K21" i="50" s="1"/>
  <c r="M21" i="50" s="1"/>
  <c r="E30" i="24"/>
  <c r="I30" i="24" s="1"/>
  <c r="E20" i="24"/>
  <c r="I20" i="24" s="1"/>
  <c r="I21" i="45"/>
  <c r="M21" i="45" s="1"/>
  <c r="M39" i="75"/>
  <c r="O39" i="75" s="1"/>
  <c r="K39" i="75"/>
  <c r="AO29" i="28"/>
  <c r="AN43" i="28"/>
  <c r="AM52" i="28"/>
  <c r="AN32" i="28"/>
  <c r="AO112" i="28"/>
  <c r="AN68" i="28"/>
  <c r="AM53" i="28"/>
  <c r="AO67" i="28"/>
  <c r="AN81" i="28"/>
  <c r="AN26" i="28"/>
  <c r="AM30" i="28"/>
  <c r="AO44" i="28"/>
  <c r="AN58" i="28"/>
  <c r="AO86" i="28"/>
  <c r="AM43" i="28"/>
  <c r="AO57" i="28"/>
  <c r="AN71" i="28"/>
  <c r="AN28" i="28"/>
  <c r="AM56" i="28"/>
  <c r="AO70" i="28"/>
  <c r="AN84" i="28"/>
  <c r="AO98" i="28"/>
  <c r="AM21" i="28"/>
  <c r="AO35" i="28"/>
  <c r="AN49" i="28"/>
  <c r="AM48" i="28"/>
  <c r="AM34" i="28"/>
  <c r="AO48" i="28"/>
  <c r="AN62" i="28"/>
  <c r="AM108" i="28"/>
  <c r="AN138" i="28"/>
  <c r="AO110" i="28"/>
  <c r="AM55" i="28"/>
  <c r="AN83" i="28"/>
  <c r="AN76" i="28"/>
  <c r="AM46" i="28"/>
  <c r="AM19" i="28"/>
  <c r="AO81" i="28"/>
  <c r="AM45" i="28"/>
  <c r="AM58" i="28"/>
  <c r="AO49" i="28"/>
  <c r="AM98" i="28"/>
  <c r="AM27" i="28"/>
  <c r="AO41" i="28"/>
  <c r="AN55" i="28"/>
  <c r="AM76" i="28"/>
  <c r="AN56" i="28"/>
  <c r="AN78" i="28"/>
  <c r="AN92" i="28"/>
  <c r="AM65" i="28"/>
  <c r="AO79" i="28"/>
  <c r="AN93" i="28"/>
  <c r="AN100" i="28"/>
  <c r="AO56" i="28"/>
  <c r="AO69" i="28"/>
  <c r="AN124" i="28"/>
  <c r="AO47" i="28"/>
  <c r="AO37" i="28"/>
  <c r="AN108" i="28"/>
  <c r="AN86" i="28"/>
  <c r="AM130" i="28"/>
  <c r="AM39" i="28"/>
  <c r="AO53" i="28"/>
  <c r="AN67" i="28"/>
  <c r="AM88" i="28"/>
  <c r="AN80" i="28"/>
  <c r="AM26" i="28"/>
  <c r="AN116" i="28"/>
  <c r="AM77" i="28"/>
  <c r="AO91" i="28"/>
  <c r="AN105" i="28"/>
  <c r="AM37" i="28"/>
  <c r="AM54" i="28"/>
  <c r="AO68" i="28"/>
  <c r="AN82" i="28"/>
  <c r="AN136" i="28"/>
  <c r="AM67" i="28"/>
  <c r="AM80" i="28"/>
  <c r="AO50" i="28"/>
  <c r="AM51" i="28"/>
  <c r="AO65" i="28"/>
  <c r="AN79" i="28"/>
  <c r="AM112" i="28"/>
  <c r="AN104" i="28"/>
  <c r="AM64" i="28"/>
  <c r="AN140" i="28"/>
  <c r="AM89" i="28"/>
  <c r="AO103" i="28"/>
  <c r="AN117" i="28"/>
  <c r="AM109" i="28"/>
  <c r="AM66" i="28"/>
  <c r="AO80" i="28"/>
  <c r="AN94" i="28"/>
  <c r="AM17" i="28"/>
  <c r="AM79" i="28"/>
  <c r="AO93" i="28"/>
  <c r="AN107" i="28"/>
  <c r="AO63" i="28"/>
  <c r="AM92" i="28"/>
  <c r="AO106" i="28"/>
  <c r="AN120" i="28"/>
  <c r="AM61" i="28"/>
  <c r="AM57" i="28"/>
  <c r="AO71" i="28"/>
  <c r="AN85" i="28"/>
  <c r="AO122" i="28"/>
  <c r="AM70" i="28"/>
  <c r="AO84" i="28"/>
  <c r="AN98" i="28"/>
  <c r="AN88" i="28"/>
  <c r="AM47" i="28"/>
  <c r="AO61" i="28"/>
  <c r="AM49" i="28"/>
  <c r="AM59" i="28"/>
  <c r="AM97" i="28"/>
  <c r="AN25" i="28"/>
  <c r="G20" i="53"/>
  <c r="AM95" i="28"/>
  <c r="AO121" i="28"/>
  <c r="AN99" i="28"/>
  <c r="G26" i="42"/>
  <c r="AM63" i="28"/>
  <c r="AO77" i="28"/>
  <c r="AN91" i="28"/>
  <c r="AM124" i="28"/>
  <c r="AN128" i="28"/>
  <c r="AM100" i="28"/>
  <c r="AO135" i="28"/>
  <c r="AM101" i="28"/>
  <c r="AO115" i="28"/>
  <c r="AN129" i="28"/>
  <c r="AO51" i="28"/>
  <c r="AM78" i="28"/>
  <c r="AO92" i="28"/>
  <c r="AN106" i="28"/>
  <c r="AM121" i="28"/>
  <c r="AM91" i="28"/>
  <c r="AO105" i="28"/>
  <c r="AN119" i="28"/>
  <c r="AN65" i="28"/>
  <c r="AM104" i="28"/>
  <c r="AO118" i="28"/>
  <c r="AN132" i="28"/>
  <c r="AM145" i="28"/>
  <c r="AM69" i="28"/>
  <c r="AO83" i="28"/>
  <c r="AN97" i="28"/>
  <c r="AN52" i="28"/>
  <c r="AM82" i="28"/>
  <c r="AO96" i="28"/>
  <c r="AN110" i="28"/>
  <c r="AM73" i="28"/>
  <c r="AO73" i="28"/>
  <c r="AO111" i="28"/>
  <c r="AN142" i="28"/>
  <c r="G21" i="53"/>
  <c r="AN19" i="28"/>
  <c r="AM16" i="28"/>
  <c r="AM50" i="28"/>
  <c r="AM75" i="28"/>
  <c r="AO89" i="28"/>
  <c r="AN103" i="28"/>
  <c r="AO24" i="28"/>
  <c r="G20" i="42"/>
  <c r="AM136" i="28"/>
  <c r="AM62" i="28"/>
  <c r="AM113" i="28"/>
  <c r="AO127" i="28"/>
  <c r="AN141" i="28"/>
  <c r="AN29" i="28"/>
  <c r="AM90" i="28"/>
  <c r="AO104" i="28"/>
  <c r="AN118" i="28"/>
  <c r="AO75" i="28"/>
  <c r="AM103" i="28"/>
  <c r="AO117" i="28"/>
  <c r="AN131" i="28"/>
  <c r="AM74" i="28"/>
  <c r="AM116" i="28"/>
  <c r="AO130" i="28"/>
  <c r="AN144" i="28"/>
  <c r="AO87" i="28"/>
  <c r="AM81" i="28"/>
  <c r="AO95" i="28"/>
  <c r="AN109" i="28"/>
  <c r="AN112" i="28"/>
  <c r="AM94" i="28"/>
  <c r="AO108" i="28"/>
  <c r="AN122" i="28"/>
  <c r="AO27" i="28"/>
  <c r="AM71" i="28"/>
  <c r="AO85" i="28"/>
  <c r="AO39" i="28"/>
  <c r="AO120" i="28"/>
  <c r="AO97" i="28"/>
  <c r="AM127" i="28"/>
  <c r="AO145" i="28"/>
  <c r="AO119" i="28"/>
  <c r="AM118" i="28"/>
  <c r="AN89" i="28"/>
  <c r="AN101" i="28"/>
  <c r="AM139" i="28"/>
  <c r="AN36" i="28"/>
  <c r="AO144" i="28"/>
  <c r="AM87" i="28"/>
  <c r="AO101" i="28"/>
  <c r="AN115" i="28"/>
  <c r="AO42" i="28"/>
  <c r="AM133" i="28"/>
  <c r="AO30" i="28"/>
  <c r="AO26" i="28"/>
  <c r="AM125" i="28"/>
  <c r="AO139" i="28"/>
  <c r="G25" i="42"/>
  <c r="AN113" i="28"/>
  <c r="AM102" i="28"/>
  <c r="AO116" i="28"/>
  <c r="AN130" i="28"/>
  <c r="AN53" i="28"/>
  <c r="AM115" i="28"/>
  <c r="AO129" i="28"/>
  <c r="AN143" i="28"/>
  <c r="AO28" i="28"/>
  <c r="AM128" i="28"/>
  <c r="AO142" i="28"/>
  <c r="G18" i="53"/>
  <c r="AN41" i="28"/>
  <c r="AM93" i="28"/>
  <c r="AO107" i="28"/>
  <c r="AN121" i="28"/>
  <c r="AO123" i="28"/>
  <c r="AM106" i="28"/>
  <c r="AN134" i="28"/>
  <c r="AM83" i="28"/>
  <c r="AO128" i="28"/>
  <c r="AO124" i="28"/>
  <c r="AN18" i="28"/>
  <c r="AM105" i="28"/>
  <c r="AN137" i="28"/>
  <c r="G23" i="53"/>
  <c r="AO20" i="28"/>
  <c r="AO131" i="28"/>
  <c r="AM107" i="28"/>
  <c r="AM99" i="28"/>
  <c r="AO113" i="28"/>
  <c r="AN127" i="28"/>
  <c r="AO54" i="28"/>
  <c r="AO99" i="28"/>
  <c r="AO66" i="28"/>
  <c r="AO136" i="28"/>
  <c r="AM137" i="28"/>
  <c r="AN21" i="28"/>
  <c r="AO133" i="28"/>
  <c r="AM86" i="28"/>
  <c r="AM114" i="28"/>
  <c r="AO141" i="28"/>
  <c r="AM140" i="28"/>
  <c r="AN125" i="28"/>
  <c r="AN133" i="28"/>
  <c r="AO132" i="28"/>
  <c r="AN39" i="28"/>
  <c r="AO64" i="28"/>
  <c r="AM117" i="28"/>
  <c r="AM111" i="28"/>
  <c r="AO125" i="28"/>
  <c r="AN139" i="28"/>
  <c r="AO78" i="28"/>
  <c r="AN77" i="28"/>
  <c r="AO90" i="28"/>
  <c r="AN102" i="28"/>
  <c r="AO23" i="28"/>
  <c r="AN33" i="28"/>
  <c r="AN87" i="28"/>
  <c r="AO52" i="28"/>
  <c r="AM126" i="28"/>
  <c r="AO140" i="28"/>
  <c r="G24" i="42"/>
  <c r="AN90" i="28"/>
  <c r="AN145" i="28"/>
  <c r="AM123" i="28"/>
  <c r="AO137" i="28"/>
  <c r="G19" i="53"/>
  <c r="AO102" i="28"/>
  <c r="G19" i="42"/>
  <c r="AO114" i="28"/>
  <c r="AM25" i="28"/>
  <c r="AO31" i="28"/>
  <c r="AN45" i="28"/>
  <c r="AM18" i="28"/>
  <c r="AN24" i="28"/>
  <c r="AM138" i="28"/>
  <c r="AN20" i="28"/>
  <c r="AN27" i="28"/>
  <c r="AN114" i="28"/>
  <c r="AO21" i="28"/>
  <c r="AN35" i="28"/>
  <c r="AN123" i="28"/>
  <c r="AM22" i="28"/>
  <c r="AO34" i="28"/>
  <c r="AN48" i="28"/>
  <c r="G22" i="42"/>
  <c r="AM110" i="28"/>
  <c r="AM129" i="28"/>
  <c r="AO143" i="28"/>
  <c r="G21" i="42"/>
  <c r="AN42" i="28"/>
  <c r="AM142" i="28"/>
  <c r="AN16" i="28"/>
  <c r="AN51" i="28"/>
  <c r="AM122" i="28"/>
  <c r="AM119" i="28"/>
  <c r="AN135" i="28"/>
  <c r="AO100" i="28"/>
  <c r="AM72" i="28"/>
  <c r="AN70" i="28"/>
  <c r="AN96" i="28"/>
  <c r="AM120" i="28"/>
  <c r="AO62" i="28"/>
  <c r="AN95" i="28"/>
  <c r="G23" i="42"/>
  <c r="G22" i="53"/>
  <c r="AM135" i="28"/>
  <c r="AN23" i="28"/>
  <c r="AM28" i="28"/>
  <c r="AO126" i="28"/>
  <c r="AM38" i="28"/>
  <c r="AN22" i="28"/>
  <c r="AM29" i="28"/>
  <c r="AO43" i="28"/>
  <c r="AN57" i="28"/>
  <c r="AM132" i="28"/>
  <c r="AN126" i="28"/>
  <c r="AO22" i="28"/>
  <c r="AN34" i="28"/>
  <c r="AN111" i="28"/>
  <c r="AM23" i="28"/>
  <c r="AO33" i="28"/>
  <c r="AN47" i="28"/>
  <c r="AM60" i="28"/>
  <c r="AM32" i="28"/>
  <c r="AO46" i="28"/>
  <c r="AN60" i="28"/>
  <c r="AM84" i="28"/>
  <c r="AO88" i="28"/>
  <c r="AM141" i="28"/>
  <c r="AN17" i="28"/>
  <c r="AO109" i="28"/>
  <c r="G24" i="53"/>
  <c r="AO18" i="28"/>
  <c r="AN38" i="28"/>
  <c r="G17" i="53"/>
  <c r="AO76" i="28"/>
  <c r="AM131" i="28"/>
  <c r="AN54" i="28"/>
  <c r="AN40" i="28"/>
  <c r="AM68" i="28"/>
  <c r="AM33" i="28"/>
  <c r="AO60" i="28"/>
  <c r="AN64" i="28"/>
  <c r="AO94" i="28"/>
  <c r="AN73" i="28"/>
  <c r="AO134" i="28"/>
  <c r="AO40" i="28"/>
  <c r="AO25" i="28"/>
  <c r="AN31" i="28"/>
  <c r="AM40" i="28"/>
  <c r="AO138" i="28"/>
  <c r="AM134" i="28"/>
  <c r="AN44" i="28"/>
  <c r="AM41" i="28"/>
  <c r="AO55" i="28"/>
  <c r="AN69" i="28"/>
  <c r="AO74" i="28"/>
  <c r="AM24" i="28"/>
  <c r="AO32" i="28"/>
  <c r="AN46" i="28"/>
  <c r="AM96" i="28"/>
  <c r="AM31" i="28"/>
  <c r="AO45" i="28"/>
  <c r="AN59" i="28"/>
  <c r="AO38" i="28"/>
  <c r="AM44" i="28"/>
  <c r="AO58" i="28"/>
  <c r="AN72" i="28"/>
  <c r="AM144" i="28"/>
  <c r="AN66" i="28"/>
  <c r="AO19" i="28"/>
  <c r="AN37" i="28"/>
  <c r="AN75" i="28"/>
  <c r="AM20" i="28"/>
  <c r="AO36" i="28"/>
  <c r="AN50" i="28"/>
  <c r="AM36" i="28"/>
  <c r="AN30" i="28"/>
  <c r="AM143" i="28"/>
  <c r="AO16" i="28"/>
  <c r="AO17" i="28"/>
  <c r="AM42" i="28"/>
  <c r="AO82" i="28"/>
  <c r="AN61" i="28"/>
  <c r="AN74" i="28"/>
  <c r="AM85" i="28"/>
  <c r="AO59" i="28"/>
  <c r="AO72" i="28"/>
  <c r="AM35" i="28"/>
  <c r="AN63" i="28"/>
  <c r="AO11" i="28" l="1"/>
  <c r="AO12" i="28"/>
  <c r="AO13" i="28"/>
  <c r="AO14" i="28"/>
  <c r="AO15" i="28"/>
  <c r="AN11" i="28"/>
  <c r="AN12" i="28"/>
  <c r="AN13" i="28"/>
  <c r="AN14" i="28"/>
  <c r="AN15" i="28"/>
  <c r="AM5" i="28"/>
  <c r="AM6" i="28"/>
  <c r="AM7" i="28"/>
  <c r="AM8" i="28"/>
  <c r="AM9" i="28"/>
  <c r="AM10" i="28"/>
  <c r="AM11" i="28"/>
  <c r="AM12" i="28"/>
  <c r="AM13" i="28"/>
  <c r="AM14" i="28"/>
  <c r="AM15" i="28"/>
  <c r="AO5" i="28"/>
  <c r="AO6" i="28"/>
  <c r="AO7" i="28"/>
  <c r="AO8" i="28"/>
  <c r="AO9" i="28"/>
  <c r="AO10" i="28"/>
  <c r="AN5" i="28"/>
  <c r="AN6" i="28"/>
  <c r="AN7" i="28"/>
  <c r="AN8" i="28"/>
  <c r="AN9" i="28"/>
  <c r="AN10" i="28"/>
  <c r="V81" i="69"/>
  <c r="M81" i="69"/>
  <c r="D101" i="69"/>
  <c r="N14" i="28" s="1"/>
  <c r="E103" i="69"/>
  <c r="O16" i="28" s="1"/>
  <c r="W75" i="69"/>
  <c r="N75" i="69"/>
  <c r="V71" i="69"/>
  <c r="M70" i="69"/>
  <c r="L79" i="69"/>
  <c r="U80" i="69"/>
  <c r="M85" i="69"/>
  <c r="D112" i="69"/>
  <c r="N25" i="28" s="1"/>
  <c r="D111" i="69"/>
  <c r="N24" i="28" s="1"/>
  <c r="V85" i="69"/>
  <c r="M84" i="69"/>
  <c r="AC39" i="37"/>
  <c r="AD39" i="37"/>
  <c r="AO39" i="39"/>
  <c r="AQ39" i="39" s="1"/>
  <c r="AK39" i="37"/>
  <c r="AE39" i="37"/>
  <c r="L72" i="69"/>
  <c r="U72" i="69"/>
  <c r="C97" i="69"/>
  <c r="M10" i="28" s="1"/>
  <c r="L71" i="69"/>
  <c r="C98" i="69"/>
  <c r="M11" i="28" s="1"/>
  <c r="C99" i="69"/>
  <c r="M12" i="28" s="1"/>
  <c r="N85" i="69"/>
  <c r="E112" i="69"/>
  <c r="O25" i="28" s="1"/>
  <c r="W85" i="69"/>
  <c r="U75" i="69"/>
  <c r="C102" i="69"/>
  <c r="M15" i="28" s="1"/>
  <c r="L75" i="69"/>
  <c r="V73" i="69"/>
  <c r="M72" i="69"/>
  <c r="D99" i="69"/>
  <c r="N12" i="28" s="1"/>
  <c r="M73" i="69"/>
  <c r="D100" i="69"/>
  <c r="N13" i="28" s="1"/>
  <c r="U74" i="69"/>
  <c r="C101" i="69"/>
  <c r="M14" i="28" s="1"/>
  <c r="L74" i="69"/>
  <c r="V79" i="69"/>
  <c r="M79" i="69"/>
  <c r="M78" i="69"/>
  <c r="D105" i="69"/>
  <c r="N18" i="28" s="1"/>
  <c r="D106" i="69"/>
  <c r="N19" i="28" s="1"/>
  <c r="V68" i="69"/>
  <c r="D95" i="69"/>
  <c r="N8" i="28" s="1"/>
  <c r="M68" i="69"/>
  <c r="N70" i="69"/>
  <c r="W70" i="69"/>
  <c r="E97" i="69"/>
  <c r="O10" i="28" s="1"/>
  <c r="E96" i="69"/>
  <c r="O9" i="28" s="1"/>
  <c r="N69" i="69"/>
  <c r="W84" i="69"/>
  <c r="N84" i="69"/>
  <c r="E109" i="69"/>
  <c r="O22" i="28" s="1"/>
  <c r="E111" i="69"/>
  <c r="O24" i="28" s="1"/>
  <c r="N83" i="69"/>
  <c r="E110" i="69"/>
  <c r="O23" i="28" s="1"/>
  <c r="V65" i="69"/>
  <c r="D92" i="69"/>
  <c r="N5" i="28" s="1"/>
  <c r="M65" i="69"/>
  <c r="C94" i="69"/>
  <c r="M7" i="28" s="1"/>
  <c r="C93" i="69"/>
  <c r="M6" i="28" s="1"/>
  <c r="L66" i="69"/>
  <c r="U67" i="69"/>
  <c r="L67" i="69"/>
  <c r="V67" i="69"/>
  <c r="M66" i="69"/>
  <c r="M67" i="69"/>
  <c r="D93" i="69"/>
  <c r="N6" i="28" s="1"/>
  <c r="D94" i="69"/>
  <c r="N7" i="28" s="1"/>
  <c r="V77" i="69"/>
  <c r="M77" i="69"/>
  <c r="D103" i="69"/>
  <c r="N16" i="28" s="1"/>
  <c r="D104" i="69"/>
  <c r="N17" i="28" s="1"/>
  <c r="M76" i="69"/>
  <c r="S76" i="29"/>
  <c r="U38" i="37"/>
  <c r="W38" i="37" s="1"/>
  <c r="G43" i="37"/>
  <c r="W80" i="69"/>
  <c r="N79" i="69"/>
  <c r="N80" i="69"/>
  <c r="E106" i="69"/>
  <c r="O19" i="28" s="1"/>
  <c r="E107" i="69"/>
  <c r="O20" i="28" s="1"/>
  <c r="D98" i="69"/>
  <c r="N11" i="28" s="1"/>
  <c r="U73" i="69"/>
  <c r="L73" i="69"/>
  <c r="C100" i="69"/>
  <c r="M13" i="28" s="1"/>
  <c r="U81" i="69"/>
  <c r="C108" i="69"/>
  <c r="M21" i="28" s="1"/>
  <c r="C106" i="69"/>
  <c r="M19" i="28" s="1"/>
  <c r="C107" i="69"/>
  <c r="M20" i="28" s="1"/>
  <c r="L80" i="69"/>
  <c r="L81" i="69"/>
  <c r="W37" i="32"/>
  <c r="C38" i="75"/>
  <c r="E38" i="75" s="1"/>
  <c r="G38" i="75" s="1"/>
  <c r="W77" i="69"/>
  <c r="E104" i="69"/>
  <c r="O17" i="28" s="1"/>
  <c r="E102" i="69"/>
  <c r="O15" i="28" s="1"/>
  <c r="N77" i="69"/>
  <c r="V80" i="69"/>
  <c r="M80" i="69"/>
  <c r="D107" i="69"/>
  <c r="N20" i="28" s="1"/>
  <c r="L82" i="69"/>
  <c r="U82" i="69"/>
  <c r="C109" i="69"/>
  <c r="M22" i="28" s="1"/>
  <c r="C113" i="69"/>
  <c r="M26" i="28" s="1"/>
  <c r="U86" i="69"/>
  <c r="C112" i="69"/>
  <c r="M25" i="28" s="1"/>
  <c r="L85" i="69"/>
  <c r="U69" i="69"/>
  <c r="L68" i="69"/>
  <c r="C96" i="69"/>
  <c r="M9" i="28" s="1"/>
  <c r="L69" i="69"/>
  <c r="C95" i="69"/>
  <c r="M8" i="28" s="1"/>
  <c r="U78" i="69"/>
  <c r="C104" i="69"/>
  <c r="M17" i="28" s="1"/>
  <c r="L77" i="69"/>
  <c r="L78" i="69"/>
  <c r="C105" i="69"/>
  <c r="M18" i="28" s="1"/>
  <c r="W68" i="69"/>
  <c r="N68" i="69"/>
  <c r="E95" i="69"/>
  <c r="O8" i="28" s="1"/>
  <c r="L76" i="69"/>
  <c r="U76" i="69"/>
  <c r="C103" i="69"/>
  <c r="M16" i="28" s="1"/>
  <c r="U84" i="69"/>
  <c r="L83" i="69"/>
  <c r="C111" i="69"/>
  <c r="M24" i="28" s="1"/>
  <c r="C110" i="69"/>
  <c r="M23" i="28" s="1"/>
  <c r="L84" i="69"/>
  <c r="W67" i="69"/>
  <c r="N67" i="69"/>
  <c r="E94" i="69"/>
  <c r="O7" i="28" s="1"/>
  <c r="E92" i="69"/>
  <c r="O5" i="28" s="1"/>
  <c r="N66" i="69"/>
  <c r="E93" i="69"/>
  <c r="O6" i="28" s="1"/>
  <c r="U65" i="69"/>
  <c r="C92" i="69"/>
  <c r="M5" i="28" s="1"/>
  <c r="L65" i="69"/>
  <c r="W81" i="69"/>
  <c r="N81" i="69"/>
  <c r="E108" i="69"/>
  <c r="O21" i="28" s="1"/>
  <c r="D97" i="69"/>
  <c r="N10" i="28" s="1"/>
  <c r="M69" i="69"/>
  <c r="V69" i="69"/>
  <c r="D96" i="69"/>
  <c r="N9" i="28" s="1"/>
  <c r="W74" i="69"/>
  <c r="N74" i="69"/>
  <c r="N73" i="69"/>
  <c r="E100" i="69"/>
  <c r="O13" i="28" s="1"/>
  <c r="E101" i="69"/>
  <c r="O14" i="28" s="1"/>
  <c r="E99" i="69"/>
  <c r="O12" i="28" s="1"/>
  <c r="E98" i="69"/>
  <c r="O11" i="28" s="1"/>
  <c r="M75" i="69"/>
  <c r="V75" i="69"/>
  <c r="D102" i="69"/>
  <c r="N15" i="28" s="1"/>
  <c r="W78" i="69"/>
  <c r="N78" i="69"/>
  <c r="E105" i="69"/>
  <c r="O18" i="28" s="1"/>
  <c r="V83" i="69"/>
  <c r="M82" i="69"/>
  <c r="D108" i="69"/>
  <c r="N21" i="28" s="1"/>
  <c r="D110" i="69"/>
  <c r="N23" i="28" s="1"/>
  <c r="M83" i="69"/>
  <c r="D109" i="69"/>
  <c r="N22" i="28" s="1"/>
  <c r="C23" i="77"/>
  <c r="C29" i="77" s="1"/>
  <c r="G40" i="24"/>
  <c r="G37" i="24"/>
  <c r="E19" i="47"/>
  <c r="G19" i="47" s="1"/>
  <c r="K20" i="53"/>
  <c r="M20" i="53" s="1"/>
  <c r="O20" i="53" s="1"/>
  <c r="I25" i="42"/>
  <c r="I24" i="42"/>
  <c r="I23" i="42"/>
  <c r="K18" i="53"/>
  <c r="M18" i="53" s="1"/>
  <c r="K19" i="38" s="1"/>
  <c r="E23" i="47"/>
  <c r="G23" i="47" s="1"/>
  <c r="K23" i="47" s="1"/>
  <c r="M23" i="47" s="1"/>
  <c r="K24" i="53"/>
  <c r="M24" i="53" s="1"/>
  <c r="O24" i="53" s="1"/>
  <c r="E22" i="47"/>
  <c r="G22" i="47" s="1"/>
  <c r="K22" i="47" s="1"/>
  <c r="M22" i="47" s="1"/>
  <c r="K23" i="53"/>
  <c r="M23" i="53" s="1"/>
  <c r="O23" i="53" s="1"/>
  <c r="I21" i="42"/>
  <c r="I19" i="42"/>
  <c r="E21" i="47"/>
  <c r="G21" i="47" s="1"/>
  <c r="K21" i="47" s="1"/>
  <c r="M21" i="47" s="1"/>
  <c r="K22" i="53"/>
  <c r="M22" i="53" s="1"/>
  <c r="O22" i="53" s="1"/>
  <c r="K17" i="53"/>
  <c r="M17" i="53" s="1"/>
  <c r="O17" i="53" s="1"/>
  <c r="E20" i="47"/>
  <c r="G20" i="47" s="1"/>
  <c r="K20" i="47" s="1"/>
  <c r="K21" i="53"/>
  <c r="M21" i="53" s="1"/>
  <c r="O21" i="53" s="1"/>
  <c r="I22" i="42"/>
  <c r="I26" i="42"/>
  <c r="K19" i="53"/>
  <c r="M19" i="53" s="1"/>
  <c r="O19" i="53" s="1"/>
  <c r="I20" i="42"/>
  <c r="G41" i="24"/>
  <c r="G38" i="24"/>
  <c r="G36" i="24"/>
  <c r="G25" i="24"/>
  <c r="G28" i="24"/>
  <c r="G27" i="24"/>
  <c r="G22" i="24"/>
  <c r="G34" i="24"/>
  <c r="G35" i="24"/>
  <c r="BE18" i="37"/>
  <c r="AG17" i="76" s="1"/>
  <c r="G32" i="24"/>
  <c r="G29" i="24"/>
  <c r="C33" i="75"/>
  <c r="W32" i="32"/>
  <c r="E18" i="38"/>
  <c r="I37" i="24"/>
  <c r="I25" i="38"/>
  <c r="I23" i="77"/>
  <c r="I29" i="77" s="1"/>
  <c r="M20" i="50"/>
  <c r="G23" i="77"/>
  <c r="G29" i="77" s="1"/>
  <c r="M24" i="45"/>
  <c r="G33" i="24"/>
  <c r="M25" i="45"/>
  <c r="G23" i="24"/>
  <c r="I40" i="24"/>
  <c r="E19" i="38"/>
  <c r="BE21" i="37"/>
  <c r="BF21" i="37" s="1"/>
  <c r="G19" i="76"/>
  <c r="M19" i="76" s="1"/>
  <c r="O19" i="76" s="1"/>
  <c r="BE24" i="37"/>
  <c r="AG23" i="76" s="1"/>
  <c r="BE19" i="37"/>
  <c r="AG18" i="76" s="1"/>
  <c r="G24" i="24"/>
  <c r="I35" i="24"/>
  <c r="K19" i="50"/>
  <c r="G18" i="76"/>
  <c r="G30" i="24"/>
  <c r="G21" i="24"/>
  <c r="I34" i="24"/>
  <c r="E22" i="38"/>
  <c r="G31" i="24"/>
  <c r="I27" i="24"/>
  <c r="G26" i="24"/>
  <c r="BE22" i="37"/>
  <c r="BF22" i="37" s="1"/>
  <c r="M24" i="76"/>
  <c r="O24" i="76" s="1"/>
  <c r="I24" i="38"/>
  <c r="G39" i="24"/>
  <c r="I22" i="24"/>
  <c r="G21" i="76"/>
  <c r="M21" i="76" s="1"/>
  <c r="O21" i="76" s="1"/>
  <c r="I23" i="38"/>
  <c r="I28" i="24"/>
  <c r="E25" i="38"/>
  <c r="G20" i="24"/>
  <c r="G42" i="24"/>
  <c r="M42" i="24" s="1"/>
  <c r="J27" i="70" s="1"/>
  <c r="M23" i="76"/>
  <c r="O23" i="76" s="1"/>
  <c r="E21" i="38"/>
  <c r="I25" i="24"/>
  <c r="G19" i="24"/>
  <c r="I38" i="24"/>
  <c r="I36" i="24"/>
  <c r="BE23" i="37"/>
  <c r="AG22" i="76" s="1"/>
  <c r="E20" i="38"/>
  <c r="I41" i="24"/>
  <c r="K41" i="24" s="1"/>
  <c r="O23" i="77"/>
  <c r="O29" i="77" s="1"/>
  <c r="G22" i="76"/>
  <c r="M22" i="76" s="1"/>
  <c r="O22" i="76" s="1"/>
  <c r="M20" i="76"/>
  <c r="O20" i="76" s="1"/>
  <c r="M17" i="76"/>
  <c r="BF20" i="37"/>
  <c r="AG19" i="76"/>
  <c r="AJ133" i="28"/>
  <c r="AI25" i="28"/>
  <c r="AI102" i="28"/>
  <c r="AJ16" i="28"/>
  <c r="AK40" i="28"/>
  <c r="AI54" i="28"/>
  <c r="AJ36" i="28"/>
  <c r="AJ123" i="28"/>
  <c r="AK137" i="28"/>
  <c r="AK43" i="28"/>
  <c r="AJ143" i="28"/>
  <c r="AJ100" i="28"/>
  <c r="AK114" i="28"/>
  <c r="AI128" i="28"/>
  <c r="AK109" i="28"/>
  <c r="AJ89" i="28"/>
  <c r="AI117" i="28"/>
  <c r="AJ24" i="28"/>
  <c r="AK32" i="28"/>
  <c r="AI46" i="28"/>
  <c r="AI96" i="28"/>
  <c r="AI40" i="28"/>
  <c r="AK21" i="28"/>
  <c r="AI35" i="28"/>
  <c r="AI48" i="28"/>
  <c r="AJ56" i="28"/>
  <c r="AK70" i="28"/>
  <c r="AJ59" i="28"/>
  <c r="AJ93" i="28"/>
  <c r="AK107" i="28"/>
  <c r="AI121" i="28"/>
  <c r="AJ145" i="28"/>
  <c r="AI29" i="28"/>
  <c r="AI126" i="28"/>
  <c r="AJ38" i="28"/>
  <c r="AK52" i="28"/>
  <c r="AI66" i="28"/>
  <c r="AJ132" i="28"/>
  <c r="AJ135" i="28"/>
  <c r="AI23" i="28"/>
  <c r="AK91" i="28"/>
  <c r="AK121" i="28"/>
  <c r="AJ112" i="28"/>
  <c r="AK126" i="28"/>
  <c r="AI140" i="28"/>
  <c r="AI99" i="28"/>
  <c r="AJ101" i="28"/>
  <c r="AJ58" i="28"/>
  <c r="AJ30" i="28"/>
  <c r="AK44" i="28"/>
  <c r="AI58" i="28"/>
  <c r="AI108" i="28"/>
  <c r="AJ23" i="28"/>
  <c r="AK33" i="28"/>
  <c r="AI47" i="28"/>
  <c r="AI84" i="28"/>
  <c r="AJ68" i="28"/>
  <c r="AK82" i="28"/>
  <c r="AK49" i="28"/>
  <c r="AJ105" i="28"/>
  <c r="AK119" i="28"/>
  <c r="AI133" i="28"/>
  <c r="AJ20" i="28"/>
  <c r="AK142" i="28"/>
  <c r="AI76" i="28"/>
  <c r="AK27" i="28"/>
  <c r="AI41" i="28"/>
  <c r="AJ94" i="28"/>
  <c r="AJ50" i="28"/>
  <c r="AK64" i="28"/>
  <c r="AI90" i="28"/>
  <c r="AK110" i="28"/>
  <c r="AK25" i="28"/>
  <c r="AI31" i="28"/>
  <c r="AK127" i="28"/>
  <c r="AI87" i="28"/>
  <c r="AJ124" i="28"/>
  <c r="AK138" i="28"/>
  <c r="AK31" i="28"/>
  <c r="AJ48" i="28"/>
  <c r="AJ113" i="28"/>
  <c r="AJ130" i="28"/>
  <c r="AJ42" i="28"/>
  <c r="AK56" i="28"/>
  <c r="AI70" i="28"/>
  <c r="AI132" i="28"/>
  <c r="AJ31" i="28"/>
  <c r="AK45" i="28"/>
  <c r="AI59" i="28"/>
  <c r="AI120" i="28"/>
  <c r="AJ80" i="28"/>
  <c r="AK118" i="28"/>
  <c r="AI39" i="28"/>
  <c r="AJ117" i="28"/>
  <c r="AK131" i="28"/>
  <c r="AI145" i="28"/>
  <c r="AK120" i="28"/>
  <c r="AK143" i="28"/>
  <c r="AJ70" i="28"/>
  <c r="AJ119" i="28"/>
  <c r="AJ81" i="28"/>
  <c r="AJ17" i="28"/>
  <c r="AK39" i="28"/>
  <c r="AI53" i="28"/>
  <c r="AK132" i="28"/>
  <c r="AJ62" i="28"/>
  <c r="AK76" i="28"/>
  <c r="AI114" i="28"/>
  <c r="AI88" i="28"/>
  <c r="AK29" i="28"/>
  <c r="AI43" i="28"/>
  <c r="AI33" i="28"/>
  <c r="AK98" i="28"/>
  <c r="AJ136" i="28"/>
  <c r="AI22" i="28"/>
  <c r="AK103" i="28"/>
  <c r="AK38" i="28"/>
  <c r="AJ125" i="28"/>
  <c r="AK84" i="28"/>
  <c r="AJ54" i="28"/>
  <c r="AK68" i="28"/>
  <c r="AI82" i="28"/>
  <c r="AJ34" i="28"/>
  <c r="AJ43" i="28"/>
  <c r="AK57" i="28"/>
  <c r="AI71" i="28"/>
  <c r="AK96" i="28"/>
  <c r="AJ92" i="28"/>
  <c r="AK130" i="28"/>
  <c r="AJ108" i="28"/>
  <c r="AJ129" i="28"/>
  <c r="AJ37" i="28"/>
  <c r="AK51" i="28"/>
  <c r="AI65" i="28"/>
  <c r="AI98" i="28"/>
  <c r="AJ74" i="28"/>
  <c r="AK88" i="28"/>
  <c r="AI138" i="28"/>
  <c r="AJ27" i="28"/>
  <c r="AK41" i="28"/>
  <c r="AI55" i="28"/>
  <c r="AI57" i="28"/>
  <c r="AI124" i="28"/>
  <c r="AK24" i="28"/>
  <c r="AI32" i="28"/>
  <c r="AK139" i="28"/>
  <c r="AI28" i="28"/>
  <c r="AJ137" i="28"/>
  <c r="AI50" i="28"/>
  <c r="AJ66" i="28"/>
  <c r="AK80" i="28"/>
  <c r="AI94" i="28"/>
  <c r="AK48" i="28"/>
  <c r="AJ55" i="28"/>
  <c r="AK69" i="28"/>
  <c r="AI83" i="28"/>
  <c r="AJ35" i="28"/>
  <c r="AJ104" i="28"/>
  <c r="AI36" i="28"/>
  <c r="AK86" i="28"/>
  <c r="AJ141" i="28"/>
  <c r="AI17" i="28"/>
  <c r="AK36" i="28"/>
  <c r="AK133" i="28"/>
  <c r="AK55" i="28"/>
  <c r="AI118" i="28"/>
  <c r="AK93" i="28"/>
  <c r="AJ128" i="28"/>
  <c r="AK35" i="28"/>
  <c r="AJ120" i="28"/>
  <c r="AK47" i="28"/>
  <c r="AI42" i="28"/>
  <c r="AJ95" i="28"/>
  <c r="AK50" i="28"/>
  <c r="AK95" i="28"/>
  <c r="AJ49" i="28"/>
  <c r="AK63" i="28"/>
  <c r="AI77" i="28"/>
  <c r="AJ83" i="28"/>
  <c r="AJ86" i="28"/>
  <c r="AK100" i="28"/>
  <c r="AJ118" i="28"/>
  <c r="AJ39" i="28"/>
  <c r="AK53" i="28"/>
  <c r="AI67" i="28"/>
  <c r="AI93" i="28"/>
  <c r="AJ26" i="28"/>
  <c r="AK30" i="28"/>
  <c r="AI44" i="28"/>
  <c r="AI45" i="28"/>
  <c r="AI136" i="28"/>
  <c r="AK23" i="28"/>
  <c r="AJ47" i="28"/>
  <c r="AJ78" i="28"/>
  <c r="AK92" i="28"/>
  <c r="AI106" i="28"/>
  <c r="AI86" i="28"/>
  <c r="AJ67" i="28"/>
  <c r="AK81" i="28"/>
  <c r="AI95" i="28"/>
  <c r="AK73" i="28"/>
  <c r="AJ116" i="28"/>
  <c r="AI72" i="28"/>
  <c r="AI64" i="28"/>
  <c r="AK19" i="28"/>
  <c r="AI37" i="28"/>
  <c r="AK108" i="28"/>
  <c r="AI123" i="28"/>
  <c r="AK17" i="28"/>
  <c r="AJ19" i="28"/>
  <c r="AI107" i="28"/>
  <c r="AI111" i="28"/>
  <c r="AJ21" i="28"/>
  <c r="AI49" i="28"/>
  <c r="AI62" i="28"/>
  <c r="AJ140" i="28"/>
  <c r="AJ33" i="28"/>
  <c r="AK74" i="28"/>
  <c r="AJ111" i="28"/>
  <c r="AI34" i="28"/>
  <c r="AK62" i="28"/>
  <c r="AJ61" i="28"/>
  <c r="AK75" i="28"/>
  <c r="AI89" i="28"/>
  <c r="AK61" i="28"/>
  <c r="AJ98" i="28"/>
  <c r="AK112" i="28"/>
  <c r="AI16" i="28"/>
  <c r="AJ51" i="28"/>
  <c r="AK65" i="28"/>
  <c r="AI79" i="28"/>
  <c r="AI129" i="28"/>
  <c r="AJ28" i="28"/>
  <c r="AK42" i="28"/>
  <c r="AI56" i="28"/>
  <c r="AI81" i="28"/>
  <c r="AJ25" i="28"/>
  <c r="AJ90" i="28"/>
  <c r="AK104" i="28"/>
  <c r="AJ79" i="28"/>
  <c r="AI144" i="28"/>
  <c r="AJ96" i="28"/>
  <c r="AI61" i="28"/>
  <c r="AK28" i="28"/>
  <c r="AJ88" i="28"/>
  <c r="AI100" i="28"/>
  <c r="AI110" i="28"/>
  <c r="AJ73" i="28"/>
  <c r="AK87" i="28"/>
  <c r="AI101" i="28"/>
  <c r="AI51" i="28"/>
  <c r="AJ110" i="28"/>
  <c r="AK124" i="28"/>
  <c r="AI122" i="28"/>
  <c r="AJ63" i="28"/>
  <c r="AK77" i="28"/>
  <c r="AI91" i="28"/>
  <c r="AJ82" i="28"/>
  <c r="AJ40" i="28"/>
  <c r="AK54" i="28"/>
  <c r="AI68" i="28"/>
  <c r="AI105" i="28"/>
  <c r="AJ29" i="28"/>
  <c r="AK67" i="28"/>
  <c r="AI27" i="28"/>
  <c r="AJ102" i="28"/>
  <c r="AK116" i="28"/>
  <c r="AI130" i="28"/>
  <c r="AJ131" i="28"/>
  <c r="AJ91" i="28"/>
  <c r="AK105" i="28"/>
  <c r="AI119" i="28"/>
  <c r="AJ46" i="28"/>
  <c r="AJ107" i="28"/>
  <c r="AI139" i="28"/>
  <c r="AI60" i="28"/>
  <c r="AI109" i="28"/>
  <c r="AJ85" i="28"/>
  <c r="AK99" i="28"/>
  <c r="AI113" i="28"/>
  <c r="AJ72" i="28"/>
  <c r="AJ122" i="28"/>
  <c r="AK136" i="28"/>
  <c r="AJ71" i="28"/>
  <c r="AJ75" i="28"/>
  <c r="AK89" i="28"/>
  <c r="AI103" i="28"/>
  <c r="AK18" i="28"/>
  <c r="AJ52" i="28"/>
  <c r="AK66" i="28"/>
  <c r="AI80" i="28"/>
  <c r="AI141" i="28"/>
  <c r="AJ41" i="28"/>
  <c r="AK79" i="28"/>
  <c r="AJ18" i="28"/>
  <c r="AJ114" i="28"/>
  <c r="AK128" i="28"/>
  <c r="AI142" i="28"/>
  <c r="AK85" i="28"/>
  <c r="AJ103" i="28"/>
  <c r="AK117" i="28"/>
  <c r="AI131" i="28"/>
  <c r="AI26" i="28"/>
  <c r="AK20" i="28"/>
  <c r="AJ106" i="28"/>
  <c r="AJ45" i="28"/>
  <c r="AK59" i="28"/>
  <c r="AI73" i="28"/>
  <c r="AK97" i="28"/>
  <c r="AI52" i="28"/>
  <c r="AK106" i="28"/>
  <c r="AJ115" i="28"/>
  <c r="AI143" i="28"/>
  <c r="AK34" i="28"/>
  <c r="AK60" i="28"/>
  <c r="AK71" i="28"/>
  <c r="AI75" i="28"/>
  <c r="AK135" i="28"/>
  <c r="AI116" i="28"/>
  <c r="AI19" i="28"/>
  <c r="AJ97" i="28"/>
  <c r="AK111" i="28"/>
  <c r="AI125" i="28"/>
  <c r="AK16" i="28"/>
  <c r="AJ134" i="28"/>
  <c r="AI24" i="28"/>
  <c r="AK37" i="28"/>
  <c r="AJ87" i="28"/>
  <c r="AK101" i="28"/>
  <c r="AI115" i="28"/>
  <c r="AK72" i="28"/>
  <c r="AJ64" i="28"/>
  <c r="AK78" i="28"/>
  <c r="AI92" i="28"/>
  <c r="AJ142" i="28"/>
  <c r="AJ53" i="28"/>
  <c r="AK115" i="28"/>
  <c r="AJ144" i="28"/>
  <c r="AJ126" i="28"/>
  <c r="AK140" i="28"/>
  <c r="AI63" i="28"/>
  <c r="AK129" i="28"/>
  <c r="AJ22" i="28"/>
  <c r="AJ57" i="28"/>
  <c r="AI85" i="28"/>
  <c r="AI78" i="28"/>
  <c r="AK102" i="28"/>
  <c r="AJ139" i="28"/>
  <c r="AJ109" i="28"/>
  <c r="AK123" i="28"/>
  <c r="AI137" i="28"/>
  <c r="AK134" i="28"/>
  <c r="AK26" i="28"/>
  <c r="AI30" i="28"/>
  <c r="AK145" i="28"/>
  <c r="AJ99" i="28"/>
  <c r="AK113" i="28"/>
  <c r="AI127" i="28"/>
  <c r="AI38" i="28"/>
  <c r="AJ76" i="28"/>
  <c r="AK90" i="28"/>
  <c r="AI104" i="28"/>
  <c r="AI74" i="28"/>
  <c r="AJ65" i="28"/>
  <c r="AI21" i="28"/>
  <c r="AK122" i="28"/>
  <c r="AJ138" i="28"/>
  <c r="AI20" i="28"/>
  <c r="AI18" i="28"/>
  <c r="AJ84" i="28"/>
  <c r="AJ127" i="28"/>
  <c r="AK141" i="28"/>
  <c r="AK94" i="28"/>
  <c r="AJ32" i="28"/>
  <c r="AK46" i="28"/>
  <c r="AK144" i="28"/>
  <c r="AJ69" i="28"/>
  <c r="AK83" i="28"/>
  <c r="AI97" i="28"/>
  <c r="AJ60" i="28"/>
  <c r="AI112" i="28"/>
  <c r="AK125" i="28"/>
  <c r="AI134" i="28"/>
  <c r="AJ77" i="28"/>
  <c r="AK22" i="28"/>
  <c r="AK58" i="28"/>
  <c r="AJ121" i="28"/>
  <c r="AI135" i="28"/>
  <c r="AI69" i="28"/>
  <c r="AJ44" i="28"/>
  <c r="AI5" i="28" l="1"/>
  <c r="AI6" i="28"/>
  <c r="AI7" i="28"/>
  <c r="AI8" i="28"/>
  <c r="AI9" i="28"/>
  <c r="AI10" i="28"/>
  <c r="AK11" i="28"/>
  <c r="AK12" i="28"/>
  <c r="AK13" i="28"/>
  <c r="AK14" i="28"/>
  <c r="AK15" i="28"/>
  <c r="AK5" i="28"/>
  <c r="AK6" i="28"/>
  <c r="AK7" i="28"/>
  <c r="AK8" i="28"/>
  <c r="AK9" i="28"/>
  <c r="AK10" i="28"/>
  <c r="AJ11" i="28"/>
  <c r="AJ12" i="28"/>
  <c r="AJ13" i="28"/>
  <c r="AJ14" i="28"/>
  <c r="AJ15" i="28"/>
  <c r="AI11" i="28"/>
  <c r="AI12" i="28"/>
  <c r="AI13" i="28"/>
  <c r="AI14" i="28"/>
  <c r="AI15" i="28"/>
  <c r="AJ5" i="28"/>
  <c r="AJ6" i="28"/>
  <c r="AJ7" i="28"/>
  <c r="AJ8" i="28"/>
  <c r="AJ9" i="28"/>
  <c r="AJ10" i="28"/>
  <c r="E36" i="32"/>
  <c r="U43" i="37"/>
  <c r="W43" i="37" s="1"/>
  <c r="AP38" i="39"/>
  <c r="AB38" i="37"/>
  <c r="S39" i="29"/>
  <c r="K38" i="75"/>
  <c r="M38" i="75"/>
  <c r="O38" i="75" s="1"/>
  <c r="O18" i="53"/>
  <c r="K22" i="38"/>
  <c r="K25" i="38"/>
  <c r="K21" i="38"/>
  <c r="K23" i="38"/>
  <c r="K24" i="38"/>
  <c r="M41" i="24"/>
  <c r="J26" i="70" s="1"/>
  <c r="K26" i="24"/>
  <c r="M26" i="24" s="1"/>
  <c r="J11" i="70" s="1"/>
  <c r="K24" i="24"/>
  <c r="M24" i="24" s="1"/>
  <c r="J9" i="70" s="1"/>
  <c r="K19" i="24"/>
  <c r="M19" i="24" s="1"/>
  <c r="J4" i="70" s="1"/>
  <c r="K28" i="24"/>
  <c r="M28" i="24" s="1"/>
  <c r="J13" i="70" s="1"/>
  <c r="G22" i="38"/>
  <c r="M20" i="47"/>
  <c r="M24" i="42"/>
  <c r="C23" i="38"/>
  <c r="K34" i="24"/>
  <c r="M34" i="24" s="1"/>
  <c r="J19" i="70" s="1"/>
  <c r="K21" i="24"/>
  <c r="M21" i="24" s="1"/>
  <c r="J6" i="70" s="1"/>
  <c r="C25" i="38"/>
  <c r="M26" i="42"/>
  <c r="M21" i="42"/>
  <c r="C20" i="38"/>
  <c r="G25" i="38"/>
  <c r="M25" i="42"/>
  <c r="C24" i="38"/>
  <c r="M19" i="42"/>
  <c r="C18" i="38"/>
  <c r="K27" i="24"/>
  <c r="M27" i="24" s="1"/>
  <c r="J12" i="70" s="1"/>
  <c r="K20" i="38"/>
  <c r="K29" i="24"/>
  <c r="M29" i="24" s="1"/>
  <c r="J14" i="70" s="1"/>
  <c r="K31" i="24"/>
  <c r="M31" i="24" s="1"/>
  <c r="J16" i="70" s="1"/>
  <c r="C21" i="38"/>
  <c r="M22" i="42"/>
  <c r="K30" i="24"/>
  <c r="M30" i="24" s="1"/>
  <c r="J15" i="70" s="1"/>
  <c r="K36" i="24"/>
  <c r="M36" i="24" s="1"/>
  <c r="J21" i="70" s="1"/>
  <c r="K38" i="24"/>
  <c r="M38" i="24" s="1"/>
  <c r="J23" i="70" s="1"/>
  <c r="K25" i="24"/>
  <c r="M25" i="24" s="1"/>
  <c r="J10" i="70" s="1"/>
  <c r="K22" i="24"/>
  <c r="M22" i="24" s="1"/>
  <c r="J7" i="70" s="1"/>
  <c r="K35" i="24"/>
  <c r="M35" i="24" s="1"/>
  <c r="J20" i="70" s="1"/>
  <c r="K40" i="24"/>
  <c r="M40" i="24" s="1"/>
  <c r="J25" i="70" s="1"/>
  <c r="K37" i="24"/>
  <c r="M37" i="24" s="1"/>
  <c r="J22" i="70" s="1"/>
  <c r="K32" i="24"/>
  <c r="M32" i="24" s="1"/>
  <c r="J17" i="70" s="1"/>
  <c r="K23" i="24"/>
  <c r="M23" i="24" s="1"/>
  <c r="J8" i="70" s="1"/>
  <c r="K39" i="24"/>
  <c r="M39" i="24" s="1"/>
  <c r="J24" i="70" s="1"/>
  <c r="K20" i="24"/>
  <c r="M20" i="24" s="1"/>
  <c r="J5" i="70" s="1"/>
  <c r="K33" i="24"/>
  <c r="M33" i="24" s="1"/>
  <c r="J18" i="70" s="1"/>
  <c r="M20" i="42"/>
  <c r="C19" i="38"/>
  <c r="G23" i="38"/>
  <c r="G24" i="38"/>
  <c r="C22" i="38"/>
  <c r="M23" i="42"/>
  <c r="K19" i="47"/>
  <c r="BF18" i="37"/>
  <c r="K18" i="38"/>
  <c r="E33" i="75"/>
  <c r="AG20" i="76"/>
  <c r="BF24" i="37"/>
  <c r="BF23" i="37"/>
  <c r="BF19" i="37"/>
  <c r="M18" i="76"/>
  <c r="O18" i="76" s="1"/>
  <c r="M19" i="50"/>
  <c r="I21" i="38"/>
  <c r="AG21" i="76"/>
  <c r="O17" i="76"/>
  <c r="U60" i="70"/>
  <c r="C19" i="26"/>
  <c r="U43" i="70"/>
  <c r="C37" i="25"/>
  <c r="I39" i="53"/>
  <c r="S27" i="76"/>
  <c r="U24" i="70"/>
  <c r="C34" i="27"/>
  <c r="U82" i="70"/>
  <c r="S36" i="76"/>
  <c r="C39" i="26"/>
  <c r="I34" i="53"/>
  <c r="U53" i="70"/>
  <c r="R30" i="76"/>
  <c r="G38" i="45"/>
  <c r="G36" i="53"/>
  <c r="C22" i="26"/>
  <c r="S28" i="76"/>
  <c r="U66" i="70"/>
  <c r="R35" i="76"/>
  <c r="C32" i="26"/>
  <c r="U131" i="70"/>
  <c r="G38" i="42"/>
  <c r="U26" i="70"/>
  <c r="U95" i="70"/>
  <c r="G26" i="53"/>
  <c r="U103" i="70"/>
  <c r="U37" i="70"/>
  <c r="G41" i="42"/>
  <c r="U137" i="70"/>
  <c r="C27" i="27"/>
  <c r="C25" i="25"/>
  <c r="U45" i="70"/>
  <c r="C34" i="26"/>
  <c r="U68" i="70"/>
  <c r="U100" i="70"/>
  <c r="U106" i="70"/>
  <c r="C26" i="25"/>
  <c r="U11" i="70"/>
  <c r="U127" i="70"/>
  <c r="U124" i="70"/>
  <c r="U67" i="70"/>
  <c r="U116" i="70"/>
  <c r="U35" i="70"/>
  <c r="U70" i="70"/>
  <c r="R39" i="76"/>
  <c r="U87" i="70"/>
  <c r="I40" i="53"/>
  <c r="U86" i="70"/>
  <c r="U10" i="70"/>
  <c r="C40" i="25"/>
  <c r="C28" i="27"/>
  <c r="C33" i="27"/>
  <c r="U48" i="70"/>
  <c r="G42" i="45"/>
  <c r="C22" i="25"/>
  <c r="C33" i="25"/>
  <c r="U30" i="70"/>
  <c r="U89" i="70"/>
  <c r="G27" i="45"/>
  <c r="U79" i="70"/>
  <c r="U80" i="70"/>
  <c r="I35" i="53"/>
  <c r="U81" i="70"/>
  <c r="C35" i="27"/>
  <c r="C21" i="25"/>
  <c r="U84" i="70"/>
  <c r="U64" i="70"/>
  <c r="G39" i="45"/>
  <c r="S39" i="76"/>
  <c r="U119" i="70"/>
  <c r="C20" i="27"/>
  <c r="I38" i="53"/>
  <c r="U112" i="70"/>
  <c r="G27" i="42"/>
  <c r="U41" i="70"/>
  <c r="U78" i="70"/>
  <c r="U93" i="70"/>
  <c r="R27" i="76"/>
  <c r="U128" i="70"/>
  <c r="C37" i="27"/>
  <c r="U39" i="70"/>
  <c r="U144" i="70"/>
  <c r="U114" i="70"/>
  <c r="C35" i="25"/>
  <c r="U117" i="70"/>
  <c r="U83" i="70"/>
  <c r="I32" i="53"/>
  <c r="U19" i="70"/>
  <c r="G37" i="42"/>
  <c r="C34" i="25"/>
  <c r="U22" i="70"/>
  <c r="G31" i="42"/>
  <c r="R32" i="76"/>
  <c r="U111" i="70"/>
  <c r="G40" i="45"/>
  <c r="U57" i="70"/>
  <c r="G34" i="45"/>
  <c r="U75" i="70"/>
  <c r="G33" i="53"/>
  <c r="R29" i="76"/>
  <c r="U77" i="70"/>
  <c r="U50" i="70"/>
  <c r="G30" i="42"/>
  <c r="C23" i="27"/>
  <c r="U25" i="70"/>
  <c r="U29" i="70"/>
  <c r="R37" i="76"/>
  <c r="I31" i="53"/>
  <c r="I28" i="53"/>
  <c r="U92" i="70"/>
  <c r="C26" i="26"/>
  <c r="U115" i="70"/>
  <c r="U65" i="70"/>
  <c r="C24" i="26"/>
  <c r="C40" i="27"/>
  <c r="U105" i="70"/>
  <c r="U143" i="70"/>
  <c r="U122" i="70"/>
  <c r="G31" i="45"/>
  <c r="U101" i="70"/>
  <c r="S26" i="76"/>
  <c r="G33" i="42"/>
  <c r="U125" i="70"/>
  <c r="U121" i="70"/>
  <c r="R31" i="76"/>
  <c r="R26" i="76"/>
  <c r="U113" i="70"/>
  <c r="S33" i="76"/>
  <c r="U16" i="70"/>
  <c r="U94" i="70"/>
  <c r="R41" i="76"/>
  <c r="U90" i="70"/>
  <c r="G32" i="42"/>
  <c r="U51" i="70"/>
  <c r="I33" i="53"/>
  <c r="U52" i="70"/>
  <c r="G42" i="42"/>
  <c r="C30" i="26"/>
  <c r="U104" i="70"/>
  <c r="U14" i="70"/>
  <c r="U28" i="70"/>
  <c r="C38" i="27"/>
  <c r="U120" i="70"/>
  <c r="C24" i="27"/>
  <c r="U36" i="70"/>
  <c r="G37" i="53"/>
  <c r="S34" i="76"/>
  <c r="C26" i="27"/>
  <c r="U99" i="70"/>
  <c r="G25" i="53"/>
  <c r="C21" i="26"/>
  <c r="U126" i="70"/>
  <c r="U118" i="70"/>
  <c r="R28" i="76"/>
  <c r="S35" i="76"/>
  <c r="I26" i="53"/>
  <c r="C20" i="25"/>
  <c r="U6" i="70"/>
  <c r="U98" i="70"/>
  <c r="G30" i="45"/>
  <c r="U18" i="70"/>
  <c r="G34" i="53"/>
  <c r="C33" i="26"/>
  <c r="C20" i="26"/>
  <c r="C30" i="27"/>
  <c r="C38" i="26"/>
  <c r="C31" i="27"/>
  <c r="C22" i="27"/>
  <c r="C32" i="25"/>
  <c r="S32" i="76"/>
  <c r="U32" i="70"/>
  <c r="G36" i="42"/>
  <c r="U59" i="70"/>
  <c r="G39" i="53"/>
  <c r="C41" i="27"/>
  <c r="C29" i="27"/>
  <c r="C21" i="27"/>
  <c r="U46" i="70"/>
  <c r="S30" i="76"/>
  <c r="C29" i="26"/>
  <c r="C32" i="27"/>
  <c r="U102" i="70"/>
  <c r="G27" i="53"/>
  <c r="S29" i="76"/>
  <c r="U55" i="70"/>
  <c r="U130" i="70"/>
  <c r="C19" i="25"/>
  <c r="U85" i="70"/>
  <c r="C27" i="25"/>
  <c r="G28" i="53"/>
  <c r="C24" i="25"/>
  <c r="U20" i="70"/>
  <c r="R38" i="76"/>
  <c r="R34" i="76"/>
  <c r="G40" i="53"/>
  <c r="U141" i="70"/>
  <c r="C36" i="26"/>
  <c r="C40" i="26"/>
  <c r="U88" i="70"/>
  <c r="U34" i="70"/>
  <c r="U96" i="70"/>
  <c r="U134" i="70"/>
  <c r="G39" i="42"/>
  <c r="U129" i="70"/>
  <c r="U108" i="70"/>
  <c r="U133" i="70"/>
  <c r="C39" i="27"/>
  <c r="G36" i="45"/>
  <c r="U8" i="70"/>
  <c r="C41" i="25"/>
  <c r="C27" i="26"/>
  <c r="U58" i="70"/>
  <c r="R36" i="76"/>
  <c r="U31" i="70"/>
  <c r="C25" i="26"/>
  <c r="C36" i="27"/>
  <c r="I36" i="53"/>
  <c r="U5" i="70"/>
  <c r="C35" i="26"/>
  <c r="S38" i="76"/>
  <c r="I29" i="53"/>
  <c r="U139" i="70"/>
  <c r="C19" i="27"/>
  <c r="S37" i="76"/>
  <c r="C39" i="25"/>
  <c r="G37" i="45"/>
  <c r="U13" i="70"/>
  <c r="U142" i="70"/>
  <c r="U23" i="70"/>
  <c r="G35" i="42"/>
  <c r="U33" i="70"/>
  <c r="G30" i="53"/>
  <c r="U44" i="70"/>
  <c r="U110" i="70"/>
  <c r="R40" i="76"/>
  <c r="C30" i="25"/>
  <c r="U71" i="70"/>
  <c r="U109" i="70"/>
  <c r="C23" i="25"/>
  <c r="C31" i="26"/>
  <c r="G40" i="42"/>
  <c r="U40" i="70"/>
  <c r="U97" i="70"/>
  <c r="I25" i="53"/>
  <c r="U72" i="70"/>
  <c r="U61" i="70"/>
  <c r="U47" i="70"/>
  <c r="G28" i="45"/>
  <c r="C23" i="26"/>
  <c r="U69" i="70"/>
  <c r="C31" i="25"/>
  <c r="G33" i="45"/>
  <c r="U4" i="70"/>
  <c r="G38" i="53"/>
  <c r="U63" i="70"/>
  <c r="I37" i="53"/>
  <c r="U135" i="70"/>
  <c r="U138" i="70"/>
  <c r="U123" i="70"/>
  <c r="G35" i="45"/>
  <c r="G29" i="53"/>
  <c r="U73" i="70"/>
  <c r="G32" i="53"/>
  <c r="C36" i="25"/>
  <c r="U54" i="70"/>
  <c r="C25" i="27"/>
  <c r="C28" i="25"/>
  <c r="S31" i="76"/>
  <c r="R33" i="76"/>
  <c r="U107" i="70"/>
  <c r="U12" i="70"/>
  <c r="C29" i="25"/>
  <c r="U9" i="70"/>
  <c r="U38" i="70"/>
  <c r="I27" i="53"/>
  <c r="U74" i="70"/>
  <c r="C41" i="26"/>
  <c r="C37" i="26"/>
  <c r="G41" i="45"/>
  <c r="U7" i="70"/>
  <c r="U21" i="70"/>
  <c r="G34" i="42"/>
  <c r="R25" i="76"/>
  <c r="U56" i="70"/>
  <c r="U132" i="70"/>
  <c r="G31" i="53"/>
  <c r="S25" i="76"/>
  <c r="I30" i="53"/>
  <c r="U140" i="70"/>
  <c r="G29" i="42"/>
  <c r="U49" i="70"/>
  <c r="C28" i="26"/>
  <c r="U62" i="70"/>
  <c r="U42" i="70"/>
  <c r="U15" i="70"/>
  <c r="C38" i="25"/>
  <c r="G29" i="45"/>
  <c r="G28" i="42"/>
  <c r="U76" i="70"/>
  <c r="U136" i="70"/>
  <c r="U27" i="70"/>
  <c r="G35" i="53"/>
  <c r="U91" i="70"/>
  <c r="G32" i="45"/>
  <c r="S40" i="76"/>
  <c r="U17" i="70"/>
  <c r="E25" i="26" l="1"/>
  <c r="I25" i="26" s="1"/>
  <c r="E39" i="27"/>
  <c r="I39" i="27" s="1"/>
  <c r="E35" i="25"/>
  <c r="I35" i="25" s="1"/>
  <c r="E39" i="26"/>
  <c r="I39" i="26" s="1"/>
  <c r="E38" i="50"/>
  <c r="G38" i="50" s="1"/>
  <c r="K38" i="50" s="1"/>
  <c r="M38" i="50" s="1"/>
  <c r="E33" i="50"/>
  <c r="G33" i="50" s="1"/>
  <c r="K33" i="50" s="1"/>
  <c r="M33" i="50" s="1"/>
  <c r="Q38" i="76"/>
  <c r="T38" i="76" s="1"/>
  <c r="I40" i="45"/>
  <c r="E39" i="38" s="1"/>
  <c r="E40" i="26"/>
  <c r="I40" i="26" s="1"/>
  <c r="E27" i="25"/>
  <c r="I27" i="25" s="1"/>
  <c r="E40" i="25"/>
  <c r="E36" i="27"/>
  <c r="I36" i="27" s="1"/>
  <c r="E20" i="25"/>
  <c r="I20" i="25" s="1"/>
  <c r="U34" i="76"/>
  <c r="E31" i="26"/>
  <c r="I31" i="26" s="1"/>
  <c r="I28" i="45"/>
  <c r="M28" i="45" s="1"/>
  <c r="Q26" i="76"/>
  <c r="T26" i="76" s="1"/>
  <c r="E26" i="76" s="1"/>
  <c r="G26" i="76" s="1"/>
  <c r="E23" i="27"/>
  <c r="I23" i="27" s="1"/>
  <c r="E34" i="27"/>
  <c r="I34" i="27" s="1"/>
  <c r="U30" i="76"/>
  <c r="E35" i="26"/>
  <c r="I35" i="26" s="1"/>
  <c r="E38" i="25"/>
  <c r="I38" i="25" s="1"/>
  <c r="I34" i="45"/>
  <c r="E33" i="38" s="1"/>
  <c r="Q32" i="76"/>
  <c r="T32" i="76" s="1"/>
  <c r="E32" i="76" s="1"/>
  <c r="G32" i="76" s="1"/>
  <c r="U28" i="76"/>
  <c r="E27" i="27"/>
  <c r="I27" i="27" s="1"/>
  <c r="U27" i="76"/>
  <c r="E25" i="27"/>
  <c r="E37" i="25"/>
  <c r="I37" i="25" s="1"/>
  <c r="E41" i="25"/>
  <c r="E42" i="25"/>
  <c r="I42" i="25" s="1"/>
  <c r="K42" i="25" s="1"/>
  <c r="E20" i="26"/>
  <c r="I20" i="26" s="1"/>
  <c r="E30" i="26"/>
  <c r="I30" i="26" s="1"/>
  <c r="E27" i="26"/>
  <c r="I27" i="26" s="1"/>
  <c r="E37" i="27"/>
  <c r="I37" i="27" s="1"/>
  <c r="E32" i="25"/>
  <c r="I32" i="25" s="1"/>
  <c r="E30" i="50"/>
  <c r="G30" i="50" s="1"/>
  <c r="K30" i="50" s="1"/>
  <c r="M30" i="50" s="1"/>
  <c r="E28" i="26"/>
  <c r="I28" i="26" s="1"/>
  <c r="E23" i="26"/>
  <c r="I23" i="26" s="1"/>
  <c r="E19" i="27"/>
  <c r="I19" i="27" s="1"/>
  <c r="E34" i="50"/>
  <c r="G34" i="50" s="1"/>
  <c r="K34" i="50" s="1"/>
  <c r="M34" i="50" s="1"/>
  <c r="E32" i="27"/>
  <c r="I32" i="27" s="1"/>
  <c r="U33" i="76"/>
  <c r="E25" i="50"/>
  <c r="G25" i="50" s="1"/>
  <c r="K25" i="50" s="1"/>
  <c r="M25" i="50" s="1"/>
  <c r="U39" i="76"/>
  <c r="E22" i="26"/>
  <c r="I22" i="26" s="1"/>
  <c r="E21" i="27"/>
  <c r="I21" i="27" s="1"/>
  <c r="E29" i="50"/>
  <c r="G29" i="50" s="1"/>
  <c r="K29" i="50" s="1"/>
  <c r="M29" i="50" s="1"/>
  <c r="E26" i="25"/>
  <c r="I26" i="25" s="1"/>
  <c r="Q25" i="76"/>
  <c r="T25" i="76" s="1"/>
  <c r="I27" i="45"/>
  <c r="M27" i="45" s="1"/>
  <c r="E36" i="26"/>
  <c r="I36" i="26" s="1"/>
  <c r="I39" i="45"/>
  <c r="E38" i="38" s="1"/>
  <c r="Q37" i="76"/>
  <c r="T37" i="76" s="1"/>
  <c r="E30" i="25"/>
  <c r="I30" i="25" s="1"/>
  <c r="E29" i="25"/>
  <c r="I29" i="25" s="1"/>
  <c r="I37" i="45"/>
  <c r="M37" i="45" s="1"/>
  <c r="Q35" i="76"/>
  <c r="T35" i="76" s="1"/>
  <c r="E35" i="76" s="1"/>
  <c r="G35" i="76" s="1"/>
  <c r="E35" i="27"/>
  <c r="I35" i="27" s="1"/>
  <c r="I30" i="45"/>
  <c r="E29" i="38" s="1"/>
  <c r="Q28" i="76"/>
  <c r="T28" i="76" s="1"/>
  <c r="E28" i="76" s="1"/>
  <c r="G28" i="76" s="1"/>
  <c r="M28" i="76" s="1"/>
  <c r="O28" i="76" s="1"/>
  <c r="E32" i="50"/>
  <c r="G32" i="50" s="1"/>
  <c r="K32" i="50" s="1"/>
  <c r="M32" i="50" s="1"/>
  <c r="E24" i="26"/>
  <c r="I24" i="26" s="1"/>
  <c r="E28" i="50"/>
  <c r="G28" i="50" s="1"/>
  <c r="K28" i="50" s="1"/>
  <c r="M28" i="50" s="1"/>
  <c r="E42" i="27"/>
  <c r="I42" i="27" s="1"/>
  <c r="K42" i="27" s="1"/>
  <c r="E41" i="27"/>
  <c r="I41" i="27" s="1"/>
  <c r="E28" i="27"/>
  <c r="I28" i="27" s="1"/>
  <c r="U25" i="76"/>
  <c r="Q40" i="76"/>
  <c r="T40" i="76" s="1"/>
  <c r="I42" i="45"/>
  <c r="M42" i="45" s="1"/>
  <c r="E19" i="25"/>
  <c r="I19" i="25" s="1"/>
  <c r="E37" i="26"/>
  <c r="E39" i="25"/>
  <c r="I39" i="25" s="1"/>
  <c r="E20" i="27"/>
  <c r="I20" i="27" s="1"/>
  <c r="E32" i="26"/>
  <c r="I32" i="26" s="1"/>
  <c r="E40" i="27"/>
  <c r="E23" i="25"/>
  <c r="I23" i="25" s="1"/>
  <c r="E34" i="25"/>
  <c r="I34" i="25" s="1"/>
  <c r="E31" i="27"/>
  <c r="I31" i="27" s="1"/>
  <c r="E37" i="50"/>
  <c r="G37" i="50" s="1"/>
  <c r="K37" i="50" s="1"/>
  <c r="M37" i="50" s="1"/>
  <c r="E38" i="26"/>
  <c r="I38" i="26" s="1"/>
  <c r="I31" i="45"/>
  <c r="M31" i="45" s="1"/>
  <c r="Q29" i="76"/>
  <c r="T29" i="76" s="1"/>
  <c r="E29" i="76" s="1"/>
  <c r="G29" i="76" s="1"/>
  <c r="I29" i="45"/>
  <c r="M29" i="45" s="1"/>
  <c r="Q27" i="76"/>
  <c r="T27" i="76" s="1"/>
  <c r="E27" i="76" s="1"/>
  <c r="G27" i="76" s="1"/>
  <c r="Q33" i="76"/>
  <c r="T33" i="76" s="1"/>
  <c r="E33" i="76" s="1"/>
  <c r="G33" i="76" s="1"/>
  <c r="I35" i="45"/>
  <c r="M35" i="45" s="1"/>
  <c r="E26" i="27"/>
  <c r="E26" i="50"/>
  <c r="G26" i="50" s="1"/>
  <c r="K26" i="50" s="1"/>
  <c r="M26" i="50" s="1"/>
  <c r="U29" i="76"/>
  <c r="E21" i="25"/>
  <c r="I21" i="25" s="1"/>
  <c r="E22" i="25"/>
  <c r="I22" i="25" s="1"/>
  <c r="U36" i="76"/>
  <c r="E33" i="26"/>
  <c r="I33" i="26" s="1"/>
  <c r="U37" i="76"/>
  <c r="E24" i="27"/>
  <c r="E35" i="50"/>
  <c r="G35" i="50" s="1"/>
  <c r="K35" i="50" s="1"/>
  <c r="M35" i="50" s="1"/>
  <c r="E38" i="27"/>
  <c r="I38" i="27" s="1"/>
  <c r="E29" i="27"/>
  <c r="I29" i="27" s="1"/>
  <c r="E31" i="25"/>
  <c r="I31" i="25" s="1"/>
  <c r="E31" i="50"/>
  <c r="G31" i="50" s="1"/>
  <c r="K31" i="50" s="1"/>
  <c r="M31" i="50" s="1"/>
  <c r="I33" i="45"/>
  <c r="M33" i="45" s="1"/>
  <c r="Q31" i="76"/>
  <c r="T31" i="76" s="1"/>
  <c r="E31" i="76" s="1"/>
  <c r="G31" i="76" s="1"/>
  <c r="E33" i="27"/>
  <c r="E36" i="50"/>
  <c r="G36" i="50" s="1"/>
  <c r="K36" i="50" s="1"/>
  <c r="M36" i="50" s="1"/>
  <c r="I41" i="45"/>
  <c r="M41" i="45" s="1"/>
  <c r="Q39" i="76"/>
  <c r="T39" i="76" s="1"/>
  <c r="U40" i="76"/>
  <c r="E22" i="27"/>
  <c r="I22" i="27" s="1"/>
  <c r="Q30" i="76"/>
  <c r="T30" i="76" s="1"/>
  <c r="E30" i="76" s="1"/>
  <c r="G30" i="76" s="1"/>
  <c r="I32" i="45"/>
  <c r="E31" i="38" s="1"/>
  <c r="E28" i="25"/>
  <c r="U32" i="76"/>
  <c r="E19" i="26"/>
  <c r="I19" i="26" s="1"/>
  <c r="E24" i="50"/>
  <c r="G24" i="50" s="1"/>
  <c r="K24" i="50" s="1"/>
  <c r="M24" i="50" s="1"/>
  <c r="U31" i="76"/>
  <c r="U35" i="76"/>
  <c r="E24" i="25"/>
  <c r="I24" i="25" s="1"/>
  <c r="E34" i="26"/>
  <c r="I34" i="26" s="1"/>
  <c r="E27" i="50"/>
  <c r="G27" i="50" s="1"/>
  <c r="K27" i="50" s="1"/>
  <c r="M27" i="50" s="1"/>
  <c r="U38" i="76"/>
  <c r="E26" i="26"/>
  <c r="I26" i="26" s="1"/>
  <c r="E33" i="25"/>
  <c r="I33" i="25" s="1"/>
  <c r="E36" i="25"/>
  <c r="I36" i="25" s="1"/>
  <c r="E21" i="26"/>
  <c r="I21" i="26" s="1"/>
  <c r="E39" i="50"/>
  <c r="G39" i="50" s="1"/>
  <c r="K39" i="50" s="1"/>
  <c r="M39" i="50" s="1"/>
  <c r="Q34" i="76"/>
  <c r="T34" i="76" s="1"/>
  <c r="I36" i="45"/>
  <c r="M36" i="45" s="1"/>
  <c r="I38" i="45"/>
  <c r="E37" i="38" s="1"/>
  <c r="Q36" i="76"/>
  <c r="T36" i="76" s="1"/>
  <c r="U26" i="76"/>
  <c r="E29" i="26"/>
  <c r="E25" i="25"/>
  <c r="I25" i="25" s="1"/>
  <c r="E42" i="26"/>
  <c r="G42" i="26" s="1"/>
  <c r="E41" i="26"/>
  <c r="I41" i="26" s="1"/>
  <c r="E30" i="27"/>
  <c r="I30" i="27" s="1"/>
  <c r="E25" i="47"/>
  <c r="G25" i="47" s="1"/>
  <c r="K25" i="47" s="1"/>
  <c r="M25" i="47" s="1"/>
  <c r="K26" i="53"/>
  <c r="M26" i="53" s="1"/>
  <c r="O26" i="53" s="1"/>
  <c r="I28" i="42"/>
  <c r="K27" i="53"/>
  <c r="M27" i="53" s="1"/>
  <c r="O27" i="53" s="1"/>
  <c r="E26" i="47"/>
  <c r="G26" i="47" s="1"/>
  <c r="K26" i="47" s="1"/>
  <c r="M26" i="47" s="1"/>
  <c r="K25" i="53"/>
  <c r="E24" i="47"/>
  <c r="G24" i="47" s="1"/>
  <c r="I27" i="42"/>
  <c r="I30" i="42"/>
  <c r="I29" i="42"/>
  <c r="K28" i="53"/>
  <c r="M28" i="53" s="1"/>
  <c r="O28" i="53" s="1"/>
  <c r="E27" i="47"/>
  <c r="G27" i="47" s="1"/>
  <c r="K27" i="47" s="1"/>
  <c r="M27" i="47" s="1"/>
  <c r="I39" i="42"/>
  <c r="E36" i="47"/>
  <c r="G36" i="47" s="1"/>
  <c r="K36" i="47" s="1"/>
  <c r="M36" i="47" s="1"/>
  <c r="K37" i="53"/>
  <c r="M37" i="53" s="1"/>
  <c r="O37" i="53" s="1"/>
  <c r="I40" i="42"/>
  <c r="K38" i="53"/>
  <c r="M38" i="53" s="1"/>
  <c r="O38" i="53" s="1"/>
  <c r="E37" i="47"/>
  <c r="G37" i="47" s="1"/>
  <c r="K37" i="47" s="1"/>
  <c r="M37" i="47" s="1"/>
  <c r="I42" i="42"/>
  <c r="I38" i="42"/>
  <c r="E31" i="47"/>
  <c r="G31" i="47" s="1"/>
  <c r="K31" i="47" s="1"/>
  <c r="M31" i="47" s="1"/>
  <c r="K32" i="53"/>
  <c r="M32" i="53" s="1"/>
  <c r="O32" i="53" s="1"/>
  <c r="I41" i="42"/>
  <c r="I31" i="42"/>
  <c r="I35" i="42"/>
  <c r="K33" i="53"/>
  <c r="M33" i="53" s="1"/>
  <c r="O33" i="53" s="1"/>
  <c r="E32" i="47"/>
  <c r="G32" i="47" s="1"/>
  <c r="K32" i="47" s="1"/>
  <c r="M32" i="47" s="1"/>
  <c r="E39" i="47"/>
  <c r="G39" i="47" s="1"/>
  <c r="K39" i="47" s="1"/>
  <c r="M39" i="47" s="1"/>
  <c r="K40" i="53"/>
  <c r="M40" i="53" s="1"/>
  <c r="O40" i="53" s="1"/>
  <c r="K30" i="53"/>
  <c r="M30" i="53" s="1"/>
  <c r="O30" i="53" s="1"/>
  <c r="E29" i="47"/>
  <c r="G29" i="47" s="1"/>
  <c r="K29" i="47" s="1"/>
  <c r="M29" i="47" s="1"/>
  <c r="I32" i="42"/>
  <c r="E38" i="47"/>
  <c r="G38" i="47" s="1"/>
  <c r="K38" i="47" s="1"/>
  <c r="M38" i="47" s="1"/>
  <c r="K39" i="53"/>
  <c r="M39" i="53" s="1"/>
  <c r="O39" i="53" s="1"/>
  <c r="K34" i="53"/>
  <c r="M34" i="53" s="1"/>
  <c r="O34" i="53" s="1"/>
  <c r="E33" i="47"/>
  <c r="G33" i="47" s="1"/>
  <c r="K33" i="47" s="1"/>
  <c r="M33" i="47" s="1"/>
  <c r="E35" i="47"/>
  <c r="G35" i="47" s="1"/>
  <c r="K35" i="47" s="1"/>
  <c r="M35" i="47" s="1"/>
  <c r="K36" i="53"/>
  <c r="M36" i="53" s="1"/>
  <c r="O36" i="53" s="1"/>
  <c r="I36" i="42"/>
  <c r="E30" i="47"/>
  <c r="G30" i="47" s="1"/>
  <c r="K30" i="47" s="1"/>
  <c r="M30" i="47" s="1"/>
  <c r="K31" i="53"/>
  <c r="M31" i="53" s="1"/>
  <c r="O31" i="53" s="1"/>
  <c r="K29" i="53"/>
  <c r="M29" i="53" s="1"/>
  <c r="O29" i="53" s="1"/>
  <c r="E28" i="47"/>
  <c r="G28" i="47" s="1"/>
  <c r="K28" i="47" s="1"/>
  <c r="M28" i="47" s="1"/>
  <c r="E34" i="47"/>
  <c r="G34" i="47" s="1"/>
  <c r="K34" i="47" s="1"/>
  <c r="M34" i="47" s="1"/>
  <c r="K35" i="53"/>
  <c r="M35" i="53" s="1"/>
  <c r="O35" i="53" s="1"/>
  <c r="I34" i="42"/>
  <c r="I33" i="42"/>
  <c r="I37" i="42"/>
  <c r="S75" i="29"/>
  <c r="S80" i="29" s="1"/>
  <c r="S44" i="29"/>
  <c r="AO38" i="39"/>
  <c r="AQ38" i="39" s="1"/>
  <c r="AC38" i="37"/>
  <c r="AE38" i="37"/>
  <c r="AB49" i="37"/>
  <c r="AB47" i="37"/>
  <c r="AB43" i="37"/>
  <c r="AK38" i="37"/>
  <c r="AB50" i="37"/>
  <c r="AD38" i="37"/>
  <c r="M36" i="32"/>
  <c r="E41" i="32"/>
  <c r="I35" i="38"/>
  <c r="I41" i="25"/>
  <c r="V17" i="33"/>
  <c r="AD17" i="33" s="1"/>
  <c r="AE17" i="33" s="1"/>
  <c r="E32" i="71"/>
  <c r="E36" i="71" s="1"/>
  <c r="Q17" i="33" s="1"/>
  <c r="G32" i="71"/>
  <c r="G36" i="71" s="1"/>
  <c r="Q18" i="33" s="1"/>
  <c r="V18" i="33"/>
  <c r="AD18" i="33" s="1"/>
  <c r="AE18" i="33" s="1"/>
  <c r="Z18" i="76"/>
  <c r="AH18" i="76" s="1"/>
  <c r="AI18" i="76" s="1"/>
  <c r="E32" i="77"/>
  <c r="E36" i="77" s="1"/>
  <c r="K18" i="76" s="1"/>
  <c r="V16" i="33"/>
  <c r="AD16" i="33" s="1"/>
  <c r="AE16" i="33" s="1"/>
  <c r="C32" i="71"/>
  <c r="C36" i="71" s="1"/>
  <c r="Q16" i="33" s="1"/>
  <c r="G32" i="77"/>
  <c r="G36" i="77" s="1"/>
  <c r="K19" i="76" s="1"/>
  <c r="Z19" i="76"/>
  <c r="AH19" i="76" s="1"/>
  <c r="AI19" i="76" s="1"/>
  <c r="C32" i="77"/>
  <c r="C36" i="77" s="1"/>
  <c r="K17" i="76" s="1"/>
  <c r="Z17" i="76"/>
  <c r="AH17" i="76" s="1"/>
  <c r="AI17" i="76" s="1"/>
  <c r="I32" i="77"/>
  <c r="I36" i="77" s="1"/>
  <c r="K20" i="76" s="1"/>
  <c r="Z20" i="76"/>
  <c r="AH20" i="76" s="1"/>
  <c r="AI20" i="76" s="1"/>
  <c r="I32" i="71"/>
  <c r="I36" i="71" s="1"/>
  <c r="Q19" i="33" s="1"/>
  <c r="V19" i="33"/>
  <c r="AD19" i="33" s="1"/>
  <c r="AE19" i="33" s="1"/>
  <c r="K32" i="71"/>
  <c r="K36" i="71" s="1"/>
  <c r="Q20" i="33" s="1"/>
  <c r="V20" i="33"/>
  <c r="AD20" i="33" s="1"/>
  <c r="AE20" i="33" s="1"/>
  <c r="Z23" i="76"/>
  <c r="AH23" i="76" s="1"/>
  <c r="AI23" i="76" s="1"/>
  <c r="O32" i="77"/>
  <c r="O36" i="77" s="1"/>
  <c r="K23" i="76" s="1"/>
  <c r="V23" i="33"/>
  <c r="O23" i="33" s="1"/>
  <c r="Q23" i="33" s="1"/>
  <c r="O32" i="71"/>
  <c r="O36" i="71" s="1"/>
  <c r="Q22" i="33" s="1"/>
  <c r="V22" i="33"/>
  <c r="AD22" i="33" s="1"/>
  <c r="AE22" i="33" s="1"/>
  <c r="Z24" i="76"/>
  <c r="I24" i="76" s="1"/>
  <c r="K24" i="76" s="1"/>
  <c r="Z22" i="76"/>
  <c r="AH22" i="76" s="1"/>
  <c r="AI22" i="76" s="1"/>
  <c r="M32" i="77"/>
  <c r="M36" i="77" s="1"/>
  <c r="K22" i="76" s="1"/>
  <c r="V21" i="33"/>
  <c r="AD21" i="33" s="1"/>
  <c r="AE21" i="33" s="1"/>
  <c r="M32" i="71"/>
  <c r="M36" i="71" s="1"/>
  <c r="Q21" i="33" s="1"/>
  <c r="K32" i="77"/>
  <c r="K36" i="77" s="1"/>
  <c r="K21" i="76" s="1"/>
  <c r="Z21" i="76"/>
  <c r="AH21" i="76" s="1"/>
  <c r="AI21" i="76" s="1"/>
  <c r="M19" i="47"/>
  <c r="G21" i="38"/>
  <c r="G33" i="75"/>
  <c r="I36" i="38" l="1"/>
  <c r="E26" i="38"/>
  <c r="E32" i="38"/>
  <c r="E34" i="38"/>
  <c r="M32" i="45"/>
  <c r="I37" i="38"/>
  <c r="M39" i="45"/>
  <c r="G40" i="25"/>
  <c r="I38" i="38"/>
  <c r="G41" i="25"/>
  <c r="G42" i="25"/>
  <c r="M42" i="25" s="1"/>
  <c r="I27" i="70" s="1"/>
  <c r="I42" i="26"/>
  <c r="K42" i="26" s="1"/>
  <c r="M42" i="26" s="1"/>
  <c r="H27" i="70" s="1"/>
  <c r="G41" i="26"/>
  <c r="I32" i="38"/>
  <c r="M27" i="76"/>
  <c r="O27" i="76" s="1"/>
  <c r="I41" i="38"/>
  <c r="G41" i="27"/>
  <c r="E40" i="38"/>
  <c r="I40" i="25"/>
  <c r="K38" i="25" s="1"/>
  <c r="G37" i="25"/>
  <c r="G35" i="25"/>
  <c r="M34" i="45"/>
  <c r="G39" i="25"/>
  <c r="G42" i="27"/>
  <c r="M42" i="27" s="1"/>
  <c r="G27" i="70" s="1"/>
  <c r="I34" i="38"/>
  <c r="M29" i="76"/>
  <c r="O29" i="76" s="1"/>
  <c r="M35" i="76"/>
  <c r="O35" i="76" s="1"/>
  <c r="I33" i="38"/>
  <c r="E30" i="38"/>
  <c r="I28" i="38"/>
  <c r="E41" i="38"/>
  <c r="M38" i="45"/>
  <c r="G38" i="25"/>
  <c r="I40" i="38"/>
  <c r="E36" i="38"/>
  <c r="G40" i="26"/>
  <c r="M33" i="76"/>
  <c r="O33" i="76" s="1"/>
  <c r="G29" i="27"/>
  <c r="E28" i="38"/>
  <c r="M26" i="76"/>
  <c r="O26" i="76" s="1"/>
  <c r="G24" i="26"/>
  <c r="M31" i="76"/>
  <c r="O31" i="76" s="1"/>
  <c r="G31" i="27"/>
  <c r="G37" i="27"/>
  <c r="G37" i="26"/>
  <c r="M32" i="76"/>
  <c r="O32" i="76" s="1"/>
  <c r="M30" i="76"/>
  <c r="O30" i="76" s="1"/>
  <c r="G24" i="25"/>
  <c r="G26" i="27"/>
  <c r="G29" i="26"/>
  <c r="G31" i="26"/>
  <c r="E35" i="38"/>
  <c r="I37" i="26"/>
  <c r="G26" i="25"/>
  <c r="G40" i="27"/>
  <c r="G23" i="27"/>
  <c r="I39" i="38"/>
  <c r="I26" i="27"/>
  <c r="G31" i="25"/>
  <c r="I28" i="25"/>
  <c r="G33" i="26"/>
  <c r="G19" i="25"/>
  <c r="G19" i="27"/>
  <c r="G20" i="26"/>
  <c r="G25" i="27"/>
  <c r="G36" i="27"/>
  <c r="M30" i="45"/>
  <c r="G19" i="26"/>
  <c r="G38" i="27"/>
  <c r="G29" i="25"/>
  <c r="G30" i="25"/>
  <c r="G25" i="25"/>
  <c r="G41" i="50"/>
  <c r="I29" i="26"/>
  <c r="M40" i="45"/>
  <c r="I44" i="45"/>
  <c r="M44" i="45" s="1"/>
  <c r="G32" i="26"/>
  <c r="G30" i="26"/>
  <c r="G24" i="27"/>
  <c r="G27" i="26"/>
  <c r="G27" i="27"/>
  <c r="G32" i="27"/>
  <c r="I25" i="27"/>
  <c r="I33" i="27"/>
  <c r="G33" i="25"/>
  <c r="G20" i="25"/>
  <c r="G38" i="26"/>
  <c r="G39" i="26"/>
  <c r="G28" i="26"/>
  <c r="I30" i="38"/>
  <c r="G22" i="26"/>
  <c r="G26" i="26"/>
  <c r="I40" i="27"/>
  <c r="K36" i="27" s="1"/>
  <c r="G21" i="25"/>
  <c r="G21" i="27"/>
  <c r="G20" i="27"/>
  <c r="G39" i="27"/>
  <c r="G22" i="27"/>
  <c r="I24" i="27"/>
  <c r="G36" i="26"/>
  <c r="G35" i="26"/>
  <c r="G33" i="27"/>
  <c r="I27" i="38"/>
  <c r="E27" i="38"/>
  <c r="G22" i="25"/>
  <c r="G36" i="25"/>
  <c r="G35" i="27"/>
  <c r="G30" i="27"/>
  <c r="G32" i="25"/>
  <c r="I29" i="38"/>
  <c r="G34" i="25"/>
  <c r="G23" i="25"/>
  <c r="G27" i="25"/>
  <c r="G23" i="26"/>
  <c r="I31" i="38"/>
  <c r="G34" i="26"/>
  <c r="G28" i="27"/>
  <c r="G34" i="27"/>
  <c r="G28" i="25"/>
  <c r="G21" i="26"/>
  <c r="G25" i="26"/>
  <c r="G36" i="38"/>
  <c r="G41" i="38"/>
  <c r="C37" i="38"/>
  <c r="M38" i="42"/>
  <c r="K28" i="38"/>
  <c r="K33" i="25"/>
  <c r="C32" i="38"/>
  <c r="M33" i="42"/>
  <c r="G30" i="38"/>
  <c r="C35" i="38"/>
  <c r="M36" i="42"/>
  <c r="K35" i="38"/>
  <c r="G31" i="38"/>
  <c r="G34" i="38"/>
  <c r="M41" i="42"/>
  <c r="C40" i="38"/>
  <c r="M42" i="42"/>
  <c r="C41" i="38"/>
  <c r="K38" i="38"/>
  <c r="K29" i="38"/>
  <c r="K24" i="47"/>
  <c r="M24" i="47" s="1"/>
  <c r="G41" i="47"/>
  <c r="C27" i="38"/>
  <c r="M28" i="42"/>
  <c r="G35" i="38"/>
  <c r="C26" i="38"/>
  <c r="I44" i="42"/>
  <c r="M44" i="42" s="1"/>
  <c r="M27" i="42"/>
  <c r="K41" i="25"/>
  <c r="AE43" i="37"/>
  <c r="AD43" i="37"/>
  <c r="AB46" i="37"/>
  <c r="M34" i="42"/>
  <c r="C33" i="38"/>
  <c r="K30" i="38"/>
  <c r="K37" i="38"/>
  <c r="K40" i="38"/>
  <c r="K31" i="38"/>
  <c r="K34" i="38"/>
  <c r="K33" i="38"/>
  <c r="G39" i="38"/>
  <c r="G38" i="38"/>
  <c r="M29" i="42"/>
  <c r="C28" i="38"/>
  <c r="M25" i="53"/>
  <c r="O25" i="53" s="1"/>
  <c r="K42" i="53"/>
  <c r="K27" i="38"/>
  <c r="I26" i="38"/>
  <c r="K41" i="50"/>
  <c r="M41" i="50" s="1"/>
  <c r="M37" i="42"/>
  <c r="C36" i="38"/>
  <c r="G32" i="38"/>
  <c r="C31" i="38"/>
  <c r="M32" i="42"/>
  <c r="C30" i="38"/>
  <c r="M31" i="42"/>
  <c r="M40" i="42"/>
  <c r="C39" i="38"/>
  <c r="G29" i="38"/>
  <c r="O36" i="32"/>
  <c r="M41" i="32"/>
  <c r="K41" i="27"/>
  <c r="K36" i="38"/>
  <c r="K32" i="38"/>
  <c r="G37" i="38"/>
  <c r="U37" i="38" s="1"/>
  <c r="W37" i="38" s="1"/>
  <c r="G40" i="38"/>
  <c r="K41" i="38"/>
  <c r="C34" i="38"/>
  <c r="M35" i="42"/>
  <c r="G33" i="38"/>
  <c r="K39" i="38"/>
  <c r="M39" i="42"/>
  <c r="C38" i="38"/>
  <c r="M30" i="42"/>
  <c r="C29" i="38"/>
  <c r="G28" i="38"/>
  <c r="G27" i="38"/>
  <c r="AJ19" i="76"/>
  <c r="I18" i="76"/>
  <c r="O17" i="33"/>
  <c r="I23" i="76"/>
  <c r="O19" i="33"/>
  <c r="O18" i="33"/>
  <c r="O22" i="33"/>
  <c r="I20" i="76"/>
  <c r="I19" i="76"/>
  <c r="I21" i="76"/>
  <c r="O20" i="33"/>
  <c r="AJ20" i="76"/>
  <c r="AF19" i="33"/>
  <c r="AJ17" i="76"/>
  <c r="AF18" i="33"/>
  <c r="O16" i="33"/>
  <c r="I17" i="76"/>
  <c r="AF16" i="33"/>
  <c r="AJ18" i="76"/>
  <c r="AF17" i="33"/>
  <c r="AJ22" i="76"/>
  <c r="I22" i="76"/>
  <c r="AF20" i="33"/>
  <c r="AF22" i="33"/>
  <c r="AJ21" i="76"/>
  <c r="AF21" i="33"/>
  <c r="AJ23" i="76"/>
  <c r="O21" i="33"/>
  <c r="M33" i="75"/>
  <c r="K33" i="75"/>
  <c r="M41" i="25" l="1"/>
  <c r="I26" i="70" s="1"/>
  <c r="K34" i="25"/>
  <c r="M34" i="25" s="1"/>
  <c r="I19" i="70" s="1"/>
  <c r="K37" i="25"/>
  <c r="M37" i="25" s="1"/>
  <c r="I22" i="70" s="1"/>
  <c r="K32" i="25"/>
  <c r="M32" i="25" s="1"/>
  <c r="I17" i="70" s="1"/>
  <c r="K40" i="25"/>
  <c r="M40" i="25" s="1"/>
  <c r="I25" i="70" s="1"/>
  <c r="K36" i="25"/>
  <c r="M36" i="25" s="1"/>
  <c r="I21" i="70" s="1"/>
  <c r="K31" i="25"/>
  <c r="M31" i="25" s="1"/>
  <c r="I16" i="70" s="1"/>
  <c r="K20" i="25"/>
  <c r="M20" i="25" s="1"/>
  <c r="I5" i="70" s="1"/>
  <c r="K39" i="25"/>
  <c r="M39" i="25" s="1"/>
  <c r="I24" i="70" s="1"/>
  <c r="M41" i="27"/>
  <c r="G26" i="70" s="1"/>
  <c r="U41" i="38"/>
  <c r="W41" i="38" s="1"/>
  <c r="K29" i="25"/>
  <c r="M29" i="25" s="1"/>
  <c r="I14" i="70" s="1"/>
  <c r="K35" i="25"/>
  <c r="M35" i="25" s="1"/>
  <c r="I20" i="70" s="1"/>
  <c r="K30" i="25"/>
  <c r="M30" i="25" s="1"/>
  <c r="I15" i="70" s="1"/>
  <c r="K40" i="26"/>
  <c r="M40" i="26" s="1"/>
  <c r="H25" i="70" s="1"/>
  <c r="U38" i="38"/>
  <c r="W38" i="38" s="1"/>
  <c r="K28" i="27"/>
  <c r="M28" i="27" s="1"/>
  <c r="G13" i="70" s="1"/>
  <c r="M36" i="27"/>
  <c r="G21" i="70" s="1"/>
  <c r="K38" i="26"/>
  <c r="M38" i="26" s="1"/>
  <c r="H23" i="70" s="1"/>
  <c r="K35" i="26"/>
  <c r="M35" i="26" s="1"/>
  <c r="H20" i="70" s="1"/>
  <c r="K39" i="26"/>
  <c r="M39" i="26" s="1"/>
  <c r="H24" i="70" s="1"/>
  <c r="K41" i="26"/>
  <c r="M41" i="26" s="1"/>
  <c r="H26" i="70" s="1"/>
  <c r="K37" i="26"/>
  <c r="M37" i="26" s="1"/>
  <c r="H22" i="70" s="1"/>
  <c r="U40" i="38"/>
  <c r="W40" i="38" s="1"/>
  <c r="K35" i="27"/>
  <c r="M35" i="27" s="1"/>
  <c r="G20" i="70" s="1"/>
  <c r="K34" i="27"/>
  <c r="M34" i="27" s="1"/>
  <c r="G19" i="70" s="1"/>
  <c r="K29" i="26"/>
  <c r="M29" i="26" s="1"/>
  <c r="H14" i="70" s="1"/>
  <c r="K31" i="26"/>
  <c r="M31" i="26" s="1"/>
  <c r="H16" i="70" s="1"/>
  <c r="K33" i="26"/>
  <c r="M33" i="26" s="1"/>
  <c r="H18" i="70" s="1"/>
  <c r="U39" i="38"/>
  <c r="W39" i="38" s="1"/>
  <c r="K28" i="26"/>
  <c r="M28" i="26" s="1"/>
  <c r="H13" i="70" s="1"/>
  <c r="K20" i="26"/>
  <c r="M20" i="26" s="1"/>
  <c r="H5" i="70" s="1"/>
  <c r="K19" i="26"/>
  <c r="M19" i="26" s="1"/>
  <c r="H4" i="70" s="1"/>
  <c r="K27" i="27"/>
  <c r="M27" i="27" s="1"/>
  <c r="G12" i="70" s="1"/>
  <c r="K40" i="27"/>
  <c r="M40" i="27" s="1"/>
  <c r="G25" i="70" s="1"/>
  <c r="K30" i="26"/>
  <c r="M30" i="26" s="1"/>
  <c r="H15" i="70" s="1"/>
  <c r="K21" i="26"/>
  <c r="M21" i="26" s="1"/>
  <c r="H6" i="70" s="1"/>
  <c r="K24" i="26"/>
  <c r="M24" i="26" s="1"/>
  <c r="H9" i="70" s="1"/>
  <c r="K25" i="26"/>
  <c r="M25" i="26" s="1"/>
  <c r="H10" i="70" s="1"/>
  <c r="K22" i="26"/>
  <c r="M22" i="26" s="1"/>
  <c r="H7" i="70" s="1"/>
  <c r="K26" i="26"/>
  <c r="M26" i="26" s="1"/>
  <c r="H11" i="70" s="1"/>
  <c r="K36" i="26"/>
  <c r="M36" i="26" s="1"/>
  <c r="H21" i="70" s="1"/>
  <c r="K34" i="26"/>
  <c r="M34" i="26" s="1"/>
  <c r="H19" i="70" s="1"/>
  <c r="K32" i="26"/>
  <c r="M32" i="26" s="1"/>
  <c r="H17" i="70" s="1"/>
  <c r="K27" i="26"/>
  <c r="M27" i="26" s="1"/>
  <c r="H12" i="70" s="1"/>
  <c r="E43" i="38"/>
  <c r="K24" i="25"/>
  <c r="M24" i="25" s="1"/>
  <c r="I9" i="70" s="1"/>
  <c r="I43" i="38"/>
  <c r="K23" i="26"/>
  <c r="M23" i="26" s="1"/>
  <c r="H8" i="70" s="1"/>
  <c r="K37" i="27"/>
  <c r="M37" i="27" s="1"/>
  <c r="G22" i="70" s="1"/>
  <c r="K39" i="27"/>
  <c r="M39" i="27" s="1"/>
  <c r="G24" i="70" s="1"/>
  <c r="K38" i="27"/>
  <c r="M38" i="27" s="1"/>
  <c r="G23" i="70" s="1"/>
  <c r="M38" i="25"/>
  <c r="I23" i="70" s="1"/>
  <c r="M33" i="25"/>
  <c r="I18" i="70" s="1"/>
  <c r="K26" i="25"/>
  <c r="M26" i="25" s="1"/>
  <c r="I11" i="70" s="1"/>
  <c r="K28" i="25"/>
  <c r="M28" i="25" s="1"/>
  <c r="I13" i="70" s="1"/>
  <c r="K21" i="25"/>
  <c r="M21" i="25" s="1"/>
  <c r="I6" i="70" s="1"/>
  <c r="K27" i="25"/>
  <c r="M27" i="25" s="1"/>
  <c r="I12" i="70" s="1"/>
  <c r="K22" i="25"/>
  <c r="M22" i="25" s="1"/>
  <c r="I7" i="70" s="1"/>
  <c r="K24" i="27"/>
  <c r="M24" i="27" s="1"/>
  <c r="G9" i="70" s="1"/>
  <c r="K19" i="25"/>
  <c r="M19" i="25" s="1"/>
  <c r="I4" i="70" s="1"/>
  <c r="K23" i="25"/>
  <c r="M23" i="25" s="1"/>
  <c r="I8" i="70" s="1"/>
  <c r="K25" i="25"/>
  <c r="M25" i="25" s="1"/>
  <c r="I10" i="70" s="1"/>
  <c r="K33" i="27"/>
  <c r="M33" i="27" s="1"/>
  <c r="G18" i="70" s="1"/>
  <c r="K23" i="27"/>
  <c r="M23" i="27" s="1"/>
  <c r="G8" i="70" s="1"/>
  <c r="K20" i="27"/>
  <c r="M20" i="27" s="1"/>
  <c r="G5" i="70" s="1"/>
  <c r="K22" i="27"/>
  <c r="M22" i="27" s="1"/>
  <c r="G7" i="70" s="1"/>
  <c r="K26" i="27"/>
  <c r="M26" i="27" s="1"/>
  <c r="G11" i="70" s="1"/>
  <c r="K21" i="27"/>
  <c r="M21" i="27" s="1"/>
  <c r="G6" i="70" s="1"/>
  <c r="K25" i="27"/>
  <c r="M25" i="27" s="1"/>
  <c r="G10" i="70" s="1"/>
  <c r="K31" i="27"/>
  <c r="M31" i="27" s="1"/>
  <c r="G16" i="70" s="1"/>
  <c r="K30" i="27"/>
  <c r="M30" i="27" s="1"/>
  <c r="G15" i="70" s="1"/>
  <c r="K32" i="27"/>
  <c r="M32" i="27" s="1"/>
  <c r="G17" i="70" s="1"/>
  <c r="K29" i="27"/>
  <c r="M29" i="27" s="1"/>
  <c r="G14" i="70" s="1"/>
  <c r="K19" i="27"/>
  <c r="M19" i="27" s="1"/>
  <c r="G4" i="70" s="1"/>
  <c r="U35" i="38"/>
  <c r="S36" i="32"/>
  <c r="O41" i="32"/>
  <c r="K26" i="38"/>
  <c r="K43" i="38" s="1"/>
  <c r="M42" i="53"/>
  <c r="O42" i="53" s="1"/>
  <c r="G26" i="38"/>
  <c r="G43" i="38" s="1"/>
  <c r="K41" i="47"/>
  <c r="M41" i="47" s="1"/>
  <c r="AB37" i="38"/>
  <c r="AH37" i="38" s="1"/>
  <c r="AT37" i="37"/>
  <c r="AX37" i="37" s="1"/>
  <c r="C35" i="33" s="1"/>
  <c r="K35" i="33" s="1"/>
  <c r="M35" i="33" s="1"/>
  <c r="C36" i="76" s="1"/>
  <c r="E36" i="76" s="1"/>
  <c r="G36" i="76" s="1"/>
  <c r="M36" i="76" s="1"/>
  <c r="O36" i="76" s="1"/>
  <c r="S38" i="30"/>
  <c r="C43" i="38"/>
  <c r="O33" i="75"/>
  <c r="AB41" i="38" l="1"/>
  <c r="AH41" i="38" s="1"/>
  <c r="AT40" i="37"/>
  <c r="AX40" i="37" s="1"/>
  <c r="C38" i="33" s="1"/>
  <c r="K38" i="33" s="1"/>
  <c r="M38" i="33" s="1"/>
  <c r="C39" i="76" s="1"/>
  <c r="E39" i="76" s="1"/>
  <c r="G39" i="76" s="1"/>
  <c r="M39" i="76" s="1"/>
  <c r="O39" i="76" s="1"/>
  <c r="AB38" i="38"/>
  <c r="AH38" i="38" s="1"/>
  <c r="AT38" i="37"/>
  <c r="AX38" i="37" s="1"/>
  <c r="C36" i="33" s="1"/>
  <c r="K36" i="33" s="1"/>
  <c r="M36" i="33" s="1"/>
  <c r="C37" i="76" s="1"/>
  <c r="E37" i="76" s="1"/>
  <c r="G37" i="76" s="1"/>
  <c r="S39" i="30"/>
  <c r="S75" i="30" s="1"/>
  <c r="AT41" i="37"/>
  <c r="AX41" i="37" s="1"/>
  <c r="C39" i="33" s="1"/>
  <c r="K39" i="33" s="1"/>
  <c r="M39" i="33" s="1"/>
  <c r="C40" i="76" s="1"/>
  <c r="AB40" i="38"/>
  <c r="AH40" i="38" s="1"/>
  <c r="S42" i="30"/>
  <c r="S78" i="30" s="1"/>
  <c r="S41" i="30"/>
  <c r="S77" i="30" s="1"/>
  <c r="F27" i="36"/>
  <c r="H27" i="36" s="1"/>
  <c r="AT39" i="37"/>
  <c r="AX39" i="37" s="1"/>
  <c r="C37" i="33" s="1"/>
  <c r="K37" i="33" s="1"/>
  <c r="M37" i="33" s="1"/>
  <c r="C38" i="76" s="1"/>
  <c r="E38" i="76" s="1"/>
  <c r="G38" i="76" s="1"/>
  <c r="AB39" i="38"/>
  <c r="AH39" i="38" s="1"/>
  <c r="S40" i="30"/>
  <c r="S76" i="30" s="1"/>
  <c r="AT35" i="37"/>
  <c r="AX35" i="37" s="1"/>
  <c r="C33" i="33" s="1"/>
  <c r="K33" i="33" s="1"/>
  <c r="W35" i="38"/>
  <c r="AB35" i="38"/>
  <c r="AH35" i="38" s="1"/>
  <c r="S36" i="30"/>
  <c r="S72" i="30" s="1"/>
  <c r="U26" i="38"/>
  <c r="W26" i="38" s="1"/>
  <c r="AD37" i="38"/>
  <c r="AC37" i="38"/>
  <c r="S74" i="30"/>
  <c r="W36" i="32"/>
  <c r="W41" i="32" s="1"/>
  <c r="C37" i="75"/>
  <c r="S41" i="32"/>
  <c r="F23" i="79" s="1"/>
  <c r="R51" i="70"/>
  <c r="T88" i="70"/>
  <c r="S76" i="70"/>
  <c r="S49" i="70"/>
  <c r="R33" i="70"/>
  <c r="T40" i="70"/>
  <c r="S96" i="70"/>
  <c r="R35" i="70"/>
  <c r="S6" i="70"/>
  <c r="T129" i="70"/>
  <c r="S123" i="70"/>
  <c r="T85" i="70"/>
  <c r="R12" i="70"/>
  <c r="S132" i="70"/>
  <c r="T37" i="70"/>
  <c r="R108" i="70"/>
  <c r="S44" i="70"/>
  <c r="T52" i="70"/>
  <c r="R69" i="70"/>
  <c r="S35" i="70"/>
  <c r="T16" i="70"/>
  <c r="S101" i="70"/>
  <c r="T140" i="70"/>
  <c r="T68" i="70"/>
  <c r="R21" i="70"/>
  <c r="T91" i="70"/>
  <c r="T51" i="70"/>
  <c r="R101" i="70"/>
  <c r="S8" i="70"/>
  <c r="R37" i="70"/>
  <c r="R91" i="70"/>
  <c r="T136" i="70"/>
  <c r="R61" i="70"/>
  <c r="T45" i="70"/>
  <c r="R95" i="70"/>
  <c r="S141" i="70"/>
  <c r="R76" i="70"/>
  <c r="T138" i="70"/>
  <c r="T72" i="70"/>
  <c r="S25" i="70"/>
  <c r="R77" i="70"/>
  <c r="R68" i="70"/>
  <c r="T71" i="70"/>
  <c r="T89" i="70"/>
  <c r="S135" i="70"/>
  <c r="R6" i="70"/>
  <c r="T123" i="70"/>
  <c r="R106" i="70"/>
  <c r="T124" i="70"/>
  <c r="S92" i="70"/>
  <c r="T11" i="70"/>
  <c r="S53" i="70"/>
  <c r="R80" i="70"/>
  <c r="S28" i="70"/>
  <c r="S129" i="70"/>
  <c r="T60" i="70"/>
  <c r="R32" i="70"/>
  <c r="T74" i="70"/>
  <c r="R74" i="70"/>
  <c r="R13" i="70"/>
  <c r="T39" i="70"/>
  <c r="T100" i="70"/>
  <c r="S83" i="70"/>
  <c r="T81" i="70"/>
  <c r="R71" i="70"/>
  <c r="T7" i="70"/>
  <c r="S48" i="70"/>
  <c r="S16" i="70"/>
  <c r="S47" i="70"/>
  <c r="T121" i="70"/>
  <c r="T21" i="70"/>
  <c r="R31" i="70"/>
  <c r="T44" i="70"/>
  <c r="S110" i="70"/>
  <c r="R128" i="70"/>
  <c r="S41" i="70"/>
  <c r="S56" i="70"/>
  <c r="S99" i="70"/>
  <c r="S14" i="70"/>
  <c r="T64" i="70"/>
  <c r="R115" i="70"/>
  <c r="R137" i="70"/>
  <c r="R46" i="70"/>
  <c r="S98" i="70"/>
  <c r="R88" i="70"/>
  <c r="S140" i="70"/>
  <c r="S24" i="70"/>
  <c r="S93" i="70"/>
  <c r="R17" i="70"/>
  <c r="R105" i="70"/>
  <c r="S85" i="70"/>
  <c r="S60" i="70"/>
  <c r="R129" i="70"/>
  <c r="R110" i="70"/>
  <c r="T50" i="70"/>
  <c r="R5" i="70"/>
  <c r="S38" i="70"/>
  <c r="T34" i="70"/>
  <c r="R90" i="70"/>
  <c r="R34" i="70"/>
  <c r="R142" i="70"/>
  <c r="T32" i="70"/>
  <c r="T142" i="70"/>
  <c r="R130" i="70"/>
  <c r="S100" i="70"/>
  <c r="R54" i="70"/>
  <c r="S103" i="70"/>
  <c r="S13" i="70"/>
  <c r="R47" i="70"/>
  <c r="T79" i="70"/>
  <c r="R125" i="70"/>
  <c r="S52" i="70"/>
  <c r="R70" i="70"/>
  <c r="S62" i="70"/>
  <c r="T30" i="70"/>
  <c r="T56" i="70"/>
  <c r="S108" i="70"/>
  <c r="T54" i="70"/>
  <c r="T120" i="70"/>
  <c r="R58" i="70"/>
  <c r="R121" i="70"/>
  <c r="R24" i="70"/>
  <c r="R111" i="70"/>
  <c r="S117" i="70"/>
  <c r="S45" i="70"/>
  <c r="T41" i="70"/>
  <c r="S7" i="70"/>
  <c r="S127" i="70"/>
  <c r="S139" i="70"/>
  <c r="R16" i="70"/>
  <c r="T93" i="70"/>
  <c r="R50" i="70"/>
  <c r="R39" i="70"/>
  <c r="R78" i="70"/>
  <c r="R92" i="70"/>
  <c r="S74" i="70"/>
  <c r="T9" i="70"/>
  <c r="R10" i="70"/>
  <c r="R63" i="70"/>
  <c r="T143" i="70"/>
  <c r="T55" i="70"/>
  <c r="S11" i="70"/>
  <c r="S113" i="70"/>
  <c r="S73" i="70"/>
  <c r="T115" i="70"/>
  <c r="S23" i="70"/>
  <c r="R112" i="70"/>
  <c r="S143" i="70"/>
  <c r="S39" i="70"/>
  <c r="R19" i="70"/>
  <c r="T13" i="70"/>
  <c r="T104" i="70"/>
  <c r="S5" i="70"/>
  <c r="T106" i="70"/>
  <c r="T48" i="70"/>
  <c r="T47" i="70"/>
  <c r="S95" i="70"/>
  <c r="S59" i="70"/>
  <c r="T116" i="70"/>
  <c r="R138" i="70"/>
  <c r="T76" i="70"/>
  <c r="R104" i="70"/>
  <c r="R18" i="70"/>
  <c r="S122" i="70"/>
  <c r="T92" i="70"/>
  <c r="R60" i="70"/>
  <c r="S30" i="70"/>
  <c r="T112" i="70"/>
  <c r="T87" i="70"/>
  <c r="S102" i="70"/>
  <c r="S61" i="70"/>
  <c r="R8" i="70"/>
  <c r="S121" i="70"/>
  <c r="R85" i="70"/>
  <c r="S20" i="70"/>
  <c r="T135" i="70"/>
  <c r="R20" i="70"/>
  <c r="R44" i="70"/>
  <c r="S77" i="70"/>
  <c r="R36" i="70"/>
  <c r="T57" i="70"/>
  <c r="R89" i="70"/>
  <c r="R99" i="70"/>
  <c r="T19" i="70"/>
  <c r="S15" i="70"/>
  <c r="R83" i="70"/>
  <c r="R45" i="70"/>
  <c r="T15" i="70"/>
  <c r="S70" i="70"/>
  <c r="S68" i="70"/>
  <c r="T101" i="70"/>
  <c r="R38" i="70"/>
  <c r="S78" i="70"/>
  <c r="R25" i="70"/>
  <c r="S91" i="70"/>
  <c r="T8" i="70"/>
  <c r="S105" i="70"/>
  <c r="T42" i="70"/>
  <c r="T125" i="70"/>
  <c r="R144" i="70"/>
  <c r="T18" i="70"/>
  <c r="T131" i="70"/>
  <c r="T75" i="70"/>
  <c r="S32" i="70"/>
  <c r="T6" i="70"/>
  <c r="S18" i="70"/>
  <c r="T126" i="70"/>
  <c r="T113" i="70"/>
  <c r="R40" i="70"/>
  <c r="T111" i="70"/>
  <c r="T98" i="70"/>
  <c r="T12" i="70"/>
  <c r="S37" i="70"/>
  <c r="S42" i="70"/>
  <c r="T118" i="70"/>
  <c r="T59" i="70"/>
  <c r="S29" i="70"/>
  <c r="S50" i="70"/>
  <c r="R29" i="70"/>
  <c r="R114" i="70"/>
  <c r="T20" i="70"/>
  <c r="S17" i="70"/>
  <c r="R119" i="70"/>
  <c r="S130" i="70"/>
  <c r="R26" i="70"/>
  <c r="S86" i="70"/>
  <c r="T27" i="70"/>
  <c r="T82" i="70"/>
  <c r="S43" i="70"/>
  <c r="S97" i="70"/>
  <c r="S63" i="70"/>
  <c r="T33" i="70"/>
  <c r="S36" i="70"/>
  <c r="S65" i="70"/>
  <c r="T96" i="70"/>
  <c r="R30" i="70"/>
  <c r="R14" i="70"/>
  <c r="R135" i="70"/>
  <c r="S88" i="70"/>
  <c r="T105" i="70"/>
  <c r="R133" i="70"/>
  <c r="R42" i="70"/>
  <c r="R107" i="70"/>
  <c r="S120" i="70"/>
  <c r="S69" i="70"/>
  <c r="T84" i="70"/>
  <c r="R66" i="70"/>
  <c r="T63" i="70"/>
  <c r="R102" i="70"/>
  <c r="S128" i="70"/>
  <c r="S55" i="70"/>
  <c r="R103" i="70"/>
  <c r="T83" i="70"/>
  <c r="R117" i="70"/>
  <c r="T122" i="70"/>
  <c r="T23" i="70"/>
  <c r="T130" i="70"/>
  <c r="S64" i="70"/>
  <c r="T97" i="70"/>
  <c r="R57" i="70"/>
  <c r="S9" i="70"/>
  <c r="T73" i="70"/>
  <c r="S94" i="70"/>
  <c r="T53" i="70"/>
  <c r="T70" i="70"/>
  <c r="S142" i="70"/>
  <c r="T133" i="70"/>
  <c r="T14" i="70"/>
  <c r="R97" i="70"/>
  <c r="R56" i="70"/>
  <c r="T141" i="70"/>
  <c r="T10" i="70"/>
  <c r="T103" i="70"/>
  <c r="T17" i="70"/>
  <c r="R100" i="70"/>
  <c r="R131" i="70"/>
  <c r="R27" i="70"/>
  <c r="R75" i="70"/>
  <c r="S137" i="70"/>
  <c r="T22" i="70"/>
  <c r="R7" i="70"/>
  <c r="T43" i="70"/>
  <c r="T78" i="70"/>
  <c r="R118" i="70"/>
  <c r="S26" i="70"/>
  <c r="T69" i="70"/>
  <c r="S118" i="70"/>
  <c r="R9" i="70"/>
  <c r="T144" i="70"/>
  <c r="T128" i="70"/>
  <c r="T4" i="70"/>
  <c r="T94" i="70"/>
  <c r="T28" i="70"/>
  <c r="R124" i="70"/>
  <c r="S46" i="70"/>
  <c r="S106" i="70"/>
  <c r="S119" i="70"/>
  <c r="S84" i="70"/>
  <c r="S104" i="70"/>
  <c r="R79" i="70"/>
  <c r="S116" i="70"/>
  <c r="S75" i="70"/>
  <c r="T25" i="70"/>
  <c r="R65" i="70"/>
  <c r="S80" i="70"/>
  <c r="R11" i="70"/>
  <c r="T67" i="70"/>
  <c r="S58" i="70"/>
  <c r="T109" i="70"/>
  <c r="T5" i="70"/>
  <c r="R72" i="70"/>
  <c r="S109" i="70"/>
  <c r="R116" i="70"/>
  <c r="T110" i="70"/>
  <c r="T66" i="70"/>
  <c r="R98" i="70"/>
  <c r="S114" i="70"/>
  <c r="T99" i="70"/>
  <c r="S134" i="70"/>
  <c r="S144" i="70"/>
  <c r="S57" i="70"/>
  <c r="R113" i="70"/>
  <c r="S21" i="70"/>
  <c r="R136" i="70"/>
  <c r="R82" i="70"/>
  <c r="T107" i="70"/>
  <c r="T24" i="70"/>
  <c r="R15" i="70"/>
  <c r="S112" i="70"/>
  <c r="T134" i="70"/>
  <c r="T117" i="70"/>
  <c r="S31" i="70"/>
  <c r="T31" i="70"/>
  <c r="S90" i="70"/>
  <c r="R143" i="70"/>
  <c r="S66" i="70"/>
  <c r="R87" i="70"/>
  <c r="R93" i="70"/>
  <c r="S72" i="70"/>
  <c r="T46" i="70"/>
  <c r="T127" i="70"/>
  <c r="T26" i="70"/>
  <c r="R94" i="70"/>
  <c r="T86" i="70"/>
  <c r="S107" i="70"/>
  <c r="T90" i="70"/>
  <c r="T36" i="70"/>
  <c r="S138" i="70"/>
  <c r="R48" i="70"/>
  <c r="R126" i="70"/>
  <c r="R53" i="70"/>
  <c r="R67" i="70"/>
  <c r="R132" i="70"/>
  <c r="R28" i="70"/>
  <c r="S81" i="70"/>
  <c r="R96" i="70"/>
  <c r="R41" i="70"/>
  <c r="T38" i="70"/>
  <c r="R55" i="70"/>
  <c r="S34" i="70"/>
  <c r="R49" i="70"/>
  <c r="T58" i="70"/>
  <c r="R120" i="70"/>
  <c r="S89" i="70"/>
  <c r="T132" i="70"/>
  <c r="R134" i="70"/>
  <c r="S54" i="70"/>
  <c r="R139" i="70"/>
  <c r="T95" i="70"/>
  <c r="S87" i="70"/>
  <c r="T61" i="70"/>
  <c r="R127" i="70"/>
  <c r="S4" i="70"/>
  <c r="R62" i="70"/>
  <c r="S71" i="70"/>
  <c r="S12" i="70"/>
  <c r="S51" i="70"/>
  <c r="R52" i="70"/>
  <c r="S136" i="70"/>
  <c r="R84" i="70"/>
  <c r="R81" i="70"/>
  <c r="T102" i="70"/>
  <c r="S19" i="70"/>
  <c r="S115" i="70"/>
  <c r="R22" i="70"/>
  <c r="R64" i="70"/>
  <c r="T77" i="70"/>
  <c r="S82" i="70"/>
  <c r="R23" i="70"/>
  <c r="R73" i="70"/>
  <c r="T80" i="70"/>
  <c r="R86" i="70"/>
  <c r="S111" i="70"/>
  <c r="T35" i="70"/>
  <c r="R4" i="70"/>
  <c r="S22" i="70"/>
  <c r="R140" i="70"/>
  <c r="T49" i="70"/>
  <c r="R109" i="70"/>
  <c r="R141" i="70"/>
  <c r="S131" i="70"/>
  <c r="S125" i="70"/>
  <c r="R122" i="70"/>
  <c r="S79" i="70"/>
  <c r="S27" i="70"/>
  <c r="T137" i="70"/>
  <c r="T114" i="70"/>
  <c r="S33" i="70"/>
  <c r="R123" i="70"/>
  <c r="T65" i="70"/>
  <c r="S67" i="70"/>
  <c r="T119" i="70"/>
  <c r="S10" i="70"/>
  <c r="T139" i="70"/>
  <c r="S124" i="70"/>
  <c r="T108" i="70"/>
  <c r="S126" i="70"/>
  <c r="R59" i="70"/>
  <c r="S133" i="70"/>
  <c r="R43" i="70"/>
  <c r="S40" i="70"/>
  <c r="T29" i="70"/>
  <c r="T62" i="70"/>
  <c r="AC41" i="38" l="1"/>
  <c r="AD41" i="38"/>
  <c r="AD38" i="38"/>
  <c r="AC38" i="38"/>
  <c r="E40" i="76"/>
  <c r="G40" i="76" s="1"/>
  <c r="M40" i="76" s="1"/>
  <c r="O40" i="76" s="1"/>
  <c r="AD40" i="38"/>
  <c r="AC40" i="38"/>
  <c r="O43" i="33"/>
  <c r="Q43" i="33" s="1"/>
  <c r="AB47" i="38"/>
  <c r="AD39" i="38"/>
  <c r="AC39" i="38"/>
  <c r="AB50" i="38"/>
  <c r="V30" i="33"/>
  <c r="O30" i="33" s="1"/>
  <c r="Q30" i="33" s="1"/>
  <c r="V38" i="33"/>
  <c r="O38" i="33" s="1"/>
  <c r="Q38" i="33" s="1"/>
  <c r="Z38" i="76"/>
  <c r="I38" i="76" s="1"/>
  <c r="K38" i="76" s="1"/>
  <c r="V31" i="33"/>
  <c r="O31" i="33" s="1"/>
  <c r="Q31" i="33" s="1"/>
  <c r="V28" i="33"/>
  <c r="O28" i="33" s="1"/>
  <c r="Q28" i="33" s="1"/>
  <c r="Z36" i="76"/>
  <c r="I36" i="76" s="1"/>
  <c r="K36" i="76" s="1"/>
  <c r="Z35" i="76"/>
  <c r="I35" i="76" s="1"/>
  <c r="K35" i="76" s="1"/>
  <c r="V39" i="33"/>
  <c r="O39" i="33" s="1"/>
  <c r="Q39" i="33" s="1"/>
  <c r="Z34" i="76"/>
  <c r="I34" i="76" s="1"/>
  <c r="Z37" i="76"/>
  <c r="I37" i="76" s="1"/>
  <c r="K37" i="76" s="1"/>
  <c r="V32" i="33"/>
  <c r="O32" i="33" s="1"/>
  <c r="Q32" i="33" s="1"/>
  <c r="Z32" i="76"/>
  <c r="I32" i="76" s="1"/>
  <c r="K32" i="76" s="1"/>
  <c r="V35" i="33"/>
  <c r="O35" i="33" s="1"/>
  <c r="Q35" i="33" s="1"/>
  <c r="V25" i="33"/>
  <c r="O25" i="33" s="1"/>
  <c r="Q25" i="33" s="1"/>
  <c r="V26" i="33"/>
  <c r="O26" i="33" s="1"/>
  <c r="Q26" i="33" s="1"/>
  <c r="Z33" i="76"/>
  <c r="I33" i="76" s="1"/>
  <c r="K33" i="76" s="1"/>
  <c r="Z29" i="76"/>
  <c r="I29" i="76" s="1"/>
  <c r="K29" i="76" s="1"/>
  <c r="V27" i="33"/>
  <c r="O27" i="33" s="1"/>
  <c r="Q27" i="33" s="1"/>
  <c r="V37" i="33"/>
  <c r="O37" i="33" s="1"/>
  <c r="Q37" i="33" s="1"/>
  <c r="Z30" i="76"/>
  <c r="I30" i="76" s="1"/>
  <c r="K30" i="76" s="1"/>
  <c r="Z31" i="76"/>
  <c r="I31" i="76" s="1"/>
  <c r="K31" i="76" s="1"/>
  <c r="V34" i="33"/>
  <c r="O34" i="33" s="1"/>
  <c r="Q34" i="33" s="1"/>
  <c r="Z28" i="76"/>
  <c r="I28" i="76" s="1"/>
  <c r="K28" i="76" s="1"/>
  <c r="Z25" i="76"/>
  <c r="I25" i="76" s="1"/>
  <c r="Z40" i="76"/>
  <c r="I40" i="76" s="1"/>
  <c r="Z27" i="76"/>
  <c r="I27" i="76" s="1"/>
  <c r="K27" i="76" s="1"/>
  <c r="V36" i="33"/>
  <c r="O36" i="33" s="1"/>
  <c r="Q36" i="33" s="1"/>
  <c r="V33" i="33"/>
  <c r="O33" i="33" s="1"/>
  <c r="Z26" i="76"/>
  <c r="I26" i="76" s="1"/>
  <c r="K26" i="76" s="1"/>
  <c r="V24" i="33"/>
  <c r="O24" i="33" s="1"/>
  <c r="Z39" i="76"/>
  <c r="I39" i="76" s="1"/>
  <c r="K39" i="76" s="1"/>
  <c r="V29" i="33"/>
  <c r="O29" i="33" s="1"/>
  <c r="Q29" i="33" s="1"/>
  <c r="AC35" i="38"/>
  <c r="AB48" i="38"/>
  <c r="AD35" i="38"/>
  <c r="AB49" i="38"/>
  <c r="H32" i="36"/>
  <c r="H17" i="31"/>
  <c r="U41" i="32"/>
  <c r="S27" i="30"/>
  <c r="AT26" i="37"/>
  <c r="AB26" i="38"/>
  <c r="AH26" i="38" s="1"/>
  <c r="U43" i="38"/>
  <c r="W43" i="38" s="1"/>
  <c r="E37" i="75"/>
  <c r="C42" i="75"/>
  <c r="M37" i="76"/>
  <c r="O37" i="76" s="1"/>
  <c r="D17" i="31"/>
  <c r="M38" i="76"/>
  <c r="O38" i="76" s="1"/>
  <c r="M33" i="33"/>
  <c r="F32" i="36" l="1"/>
  <c r="F33" i="36" s="1"/>
  <c r="H13" i="72"/>
  <c r="H50" i="36"/>
  <c r="K40" i="76"/>
  <c r="D19" i="31"/>
  <c r="D18" i="31"/>
  <c r="D20" i="31"/>
  <c r="D22" i="31"/>
  <c r="C10" i="72"/>
  <c r="D21" i="31"/>
  <c r="G37" i="75"/>
  <c r="E42" i="75"/>
  <c r="C27" i="79" s="1"/>
  <c r="S63" i="30"/>
  <c r="S80" i="30" s="1"/>
  <c r="S44" i="30"/>
  <c r="C14" i="72"/>
  <c r="F17" i="31"/>
  <c r="F18" i="31" s="1"/>
  <c r="F19" i="31" s="1"/>
  <c r="F20" i="31" s="1"/>
  <c r="F21" i="31" s="1"/>
  <c r="F22" i="31" s="1"/>
  <c r="AX26" i="37"/>
  <c r="AT43" i="37"/>
  <c r="AD26" i="38"/>
  <c r="AC26" i="38"/>
  <c r="AB43" i="38"/>
  <c r="C34" i="76"/>
  <c r="Q33" i="33"/>
  <c r="F34" i="36" l="1"/>
  <c r="H33" i="36"/>
  <c r="H22" i="31"/>
  <c r="K37" i="75"/>
  <c r="K42" i="75" s="1"/>
  <c r="M37" i="75"/>
  <c r="G42" i="75"/>
  <c r="D17" i="78" s="1"/>
  <c r="H20" i="31"/>
  <c r="C24" i="33"/>
  <c r="AX43" i="37"/>
  <c r="H21" i="31"/>
  <c r="H18" i="31"/>
  <c r="AB46" i="38"/>
  <c r="AD43" i="38"/>
  <c r="AC43" i="38"/>
  <c r="H19" i="31"/>
  <c r="E34" i="76"/>
  <c r="F35" i="36" l="1"/>
  <c r="H34" i="36"/>
  <c r="O37" i="75"/>
  <c r="O42" i="75" s="1"/>
  <c r="M42" i="75"/>
  <c r="T53" i="75" s="1"/>
  <c r="H17" i="78"/>
  <c r="I42" i="75"/>
  <c r="D22" i="78"/>
  <c r="C11" i="72"/>
  <c r="D19" i="78"/>
  <c r="D21" i="78"/>
  <c r="D18" i="78"/>
  <c r="D20" i="78"/>
  <c r="K24" i="33"/>
  <c r="X24" i="33"/>
  <c r="C41" i="33"/>
  <c r="G34" i="76"/>
  <c r="F36" i="36" l="1"/>
  <c r="H35" i="36"/>
  <c r="C15" i="72"/>
  <c r="F17" i="78"/>
  <c r="F18" i="78" s="1"/>
  <c r="F19" i="78" s="1"/>
  <c r="F20" i="78" s="1"/>
  <c r="F21" i="78" s="1"/>
  <c r="F22" i="78" s="1"/>
  <c r="H22" i="78" s="1"/>
  <c r="M24" i="33"/>
  <c r="K41" i="33"/>
  <c r="M44" i="75"/>
  <c r="Q42" i="75"/>
  <c r="M34" i="76"/>
  <c r="K34" i="76"/>
  <c r="F37" i="36" l="1"/>
  <c r="H37" i="36" s="1"/>
  <c r="H36" i="36"/>
  <c r="H18" i="78"/>
  <c r="H20" i="78"/>
  <c r="Q44" i="75"/>
  <c r="O44" i="75"/>
  <c r="H21" i="78"/>
  <c r="Q24" i="33"/>
  <c r="Q41" i="33" s="1"/>
  <c r="C25" i="76"/>
  <c r="M41" i="33"/>
  <c r="D27" i="31" s="1"/>
  <c r="D32" i="31" s="1"/>
  <c r="H19" i="78"/>
  <c r="O34" i="76"/>
  <c r="H27" i="31" l="1"/>
  <c r="O41" i="33"/>
  <c r="E25" i="76"/>
  <c r="E42" i="76" s="1"/>
  <c r="C42" i="76"/>
  <c r="D34" i="31"/>
  <c r="D36" i="31"/>
  <c r="D33" i="31"/>
  <c r="D10" i="72"/>
  <c r="D35" i="31"/>
  <c r="D37" i="31"/>
  <c r="G25" i="76" l="1"/>
  <c r="M25" i="76" s="1"/>
  <c r="M42" i="76" s="1"/>
  <c r="H32" i="31"/>
  <c r="F27" i="31"/>
  <c r="K41" i="61"/>
  <c r="K40" i="63"/>
  <c r="K40" i="62"/>
  <c r="K42" i="63"/>
  <c r="K40" i="64"/>
  <c r="K42" i="64"/>
  <c r="G42" i="76" l="1"/>
  <c r="D27" i="78" s="1"/>
  <c r="D32" i="78" s="1"/>
  <c r="D11" i="72" s="1"/>
  <c r="K25" i="76"/>
  <c r="K42" i="76" s="1"/>
  <c r="H27" i="78" s="1"/>
  <c r="O25" i="76"/>
  <c r="O42" i="76" s="1"/>
  <c r="D14" i="72"/>
  <c r="F32" i="31"/>
  <c r="F33" i="31" s="1"/>
  <c r="M44" i="76"/>
  <c r="K44" i="63"/>
  <c r="S46" i="63" s="1"/>
  <c r="K42" i="62"/>
  <c r="Q42" i="76" l="1"/>
  <c r="D37" i="78"/>
  <c r="I42" i="76"/>
  <c r="D34" i="78"/>
  <c r="D33" i="78"/>
  <c r="D35" i="78"/>
  <c r="D36" i="78"/>
  <c r="F34" i="31"/>
  <c r="H33" i="31"/>
  <c r="O44" i="76"/>
  <c r="Q44" i="76"/>
  <c r="H32" i="78"/>
  <c r="F27" i="78"/>
  <c r="M23" i="63"/>
  <c r="O23" i="63" s="1"/>
  <c r="Q23" i="63" s="1"/>
  <c r="M19" i="63"/>
  <c r="O19" i="63" s="1"/>
  <c r="Q19" i="63" s="1"/>
  <c r="M22" i="63"/>
  <c r="O22" i="63" s="1"/>
  <c r="Q22" i="63" s="1"/>
  <c r="M20" i="63"/>
  <c r="O20" i="63" s="1"/>
  <c r="Q20" i="63" s="1"/>
  <c r="M26" i="63"/>
  <c r="M25" i="63"/>
  <c r="M21" i="63"/>
  <c r="M17" i="63"/>
  <c r="M27" i="63"/>
  <c r="M28" i="63"/>
  <c r="M16" i="63"/>
  <c r="M30" i="63"/>
  <c r="M32" i="63"/>
  <c r="M29" i="63"/>
  <c r="M18" i="63"/>
  <c r="M24" i="63"/>
  <c r="M31" i="63"/>
  <c r="K44" i="62"/>
  <c r="S46" i="62" s="1"/>
  <c r="K42" i="61"/>
  <c r="X23" i="63" l="1"/>
  <c r="N20" i="80" s="1"/>
  <c r="D15" i="72"/>
  <c r="F32" i="78"/>
  <c r="F33" i="78" s="1"/>
  <c r="F35" i="31"/>
  <c r="H34" i="31"/>
  <c r="M17" i="62"/>
  <c r="O17" i="62" s="1"/>
  <c r="Q17" i="62" s="1"/>
  <c r="X22" i="63"/>
  <c r="N19" i="80" s="1"/>
  <c r="X19" i="63"/>
  <c r="N44" i="55" s="1"/>
  <c r="X20" i="63"/>
  <c r="N45" i="55" s="1"/>
  <c r="M22" i="62"/>
  <c r="O22" i="62" s="1"/>
  <c r="Q22" i="62" s="1"/>
  <c r="M21" i="62"/>
  <c r="X21" i="62" s="1"/>
  <c r="M18" i="80" s="1"/>
  <c r="M19" i="62"/>
  <c r="X19" i="62" s="1"/>
  <c r="M16" i="80" s="1"/>
  <c r="M29" i="62"/>
  <c r="M18" i="62"/>
  <c r="X18" i="62" s="1"/>
  <c r="M15" i="80" s="1"/>
  <c r="X16" i="63"/>
  <c r="O16" i="63"/>
  <c r="M31" i="62"/>
  <c r="M24" i="62"/>
  <c r="M28" i="62"/>
  <c r="M30" i="62"/>
  <c r="O29" i="63"/>
  <c r="Q29" i="63" s="1"/>
  <c r="X29" i="63"/>
  <c r="O28" i="63"/>
  <c r="Q28" i="63" s="1"/>
  <c r="X28" i="63"/>
  <c r="X25" i="63"/>
  <c r="O25" i="63"/>
  <c r="Q25" i="63" s="1"/>
  <c r="M23" i="62"/>
  <c r="O23" i="62" s="1"/>
  <c r="Q23" i="62" s="1"/>
  <c r="X24" i="63"/>
  <c r="O24" i="63"/>
  <c r="Q24" i="63" s="1"/>
  <c r="O30" i="63"/>
  <c r="Q30" i="63" s="1"/>
  <c r="X30" i="63"/>
  <c r="X17" i="63"/>
  <c r="O17" i="63"/>
  <c r="Q17" i="63" s="1"/>
  <c r="M25" i="62"/>
  <c r="X18" i="63"/>
  <c r="O18" i="63"/>
  <c r="Q18" i="63" s="1"/>
  <c r="X21" i="63"/>
  <c r="O21" i="63"/>
  <c r="Q21" i="63" s="1"/>
  <c r="M16" i="62"/>
  <c r="M32" i="62"/>
  <c r="M26" i="62"/>
  <c r="M20" i="62"/>
  <c r="X20" i="62" s="1"/>
  <c r="M17" i="80" s="1"/>
  <c r="X31" i="63"/>
  <c r="O31" i="63"/>
  <c r="Q31" i="63" s="1"/>
  <c r="O32" i="63"/>
  <c r="Q32" i="63" s="1"/>
  <c r="X32" i="63"/>
  <c r="O27" i="63"/>
  <c r="Q27" i="63" s="1"/>
  <c r="X27" i="63"/>
  <c r="X26" i="63"/>
  <c r="O26" i="63"/>
  <c r="Q26" i="63" s="1"/>
  <c r="M27" i="62"/>
  <c r="K44" i="61"/>
  <c r="S46" i="61" s="1"/>
  <c r="K41" i="63"/>
  <c r="K40" i="61"/>
  <c r="K41" i="64"/>
  <c r="N48" i="55" l="1"/>
  <c r="F36" i="31"/>
  <c r="H35" i="31"/>
  <c r="F34" i="78"/>
  <c r="H33" i="78"/>
  <c r="X17" i="62"/>
  <c r="M14" i="80" s="1"/>
  <c r="N16" i="80"/>
  <c r="X22" i="62"/>
  <c r="M19" i="80" s="1"/>
  <c r="M20" i="61"/>
  <c r="O20" i="61" s="1"/>
  <c r="Q20" i="61" s="1"/>
  <c r="N47" i="55"/>
  <c r="O21" i="62"/>
  <c r="Q21" i="62" s="1"/>
  <c r="N17" i="80"/>
  <c r="O18" i="62"/>
  <c r="Q18" i="62" s="1"/>
  <c r="M23" i="61"/>
  <c r="O23" i="61" s="1"/>
  <c r="Q23" i="61" s="1"/>
  <c r="O20" i="62"/>
  <c r="Q20" i="62" s="1"/>
  <c r="X23" i="62"/>
  <c r="M20" i="80" s="1"/>
  <c r="O19" i="62"/>
  <c r="Q19" i="62" s="1"/>
  <c r="M19" i="61"/>
  <c r="O19" i="61" s="1"/>
  <c r="Q19" i="61" s="1"/>
  <c r="M21" i="61"/>
  <c r="O21" i="61" s="1"/>
  <c r="Q21" i="61" s="1"/>
  <c r="M28" i="61"/>
  <c r="O28" i="61" s="1"/>
  <c r="Q28" i="61" s="1"/>
  <c r="N56" i="55"/>
  <c r="N28" i="80"/>
  <c r="X32" i="62"/>
  <c r="M29" i="80" s="1"/>
  <c r="O32" i="62"/>
  <c r="Q32" i="62" s="1"/>
  <c r="N14" i="80"/>
  <c r="N42" i="55"/>
  <c r="N49" i="55"/>
  <c r="N21" i="80"/>
  <c r="N53" i="55"/>
  <c r="N25" i="80"/>
  <c r="O30" i="62"/>
  <c r="Q30" i="62" s="1"/>
  <c r="X30" i="62"/>
  <c r="M27" i="80" s="1"/>
  <c r="X31" i="62"/>
  <c r="M28" i="80" s="1"/>
  <c r="O31" i="62"/>
  <c r="Q31" i="62" s="1"/>
  <c r="X29" i="62"/>
  <c r="M26" i="80" s="1"/>
  <c r="O29" i="62"/>
  <c r="Q29" i="62" s="1"/>
  <c r="N57" i="55"/>
  <c r="N29" i="80"/>
  <c r="X16" i="62"/>
  <c r="M13" i="80" s="1"/>
  <c r="O16" i="62"/>
  <c r="N43" i="55"/>
  <c r="N15" i="80"/>
  <c r="N55" i="55"/>
  <c r="N27" i="80"/>
  <c r="Q16" i="63"/>
  <c r="O34" i="63"/>
  <c r="Q34" i="63" s="1"/>
  <c r="N23" i="80"/>
  <c r="N51" i="55"/>
  <c r="X26" i="62"/>
  <c r="M23" i="80" s="1"/>
  <c r="O26" i="62"/>
  <c r="Q26" i="62" s="1"/>
  <c r="O25" i="62"/>
  <c r="Q25" i="62" s="1"/>
  <c r="X25" i="62"/>
  <c r="M22" i="80" s="1"/>
  <c r="N54" i="55"/>
  <c r="N26" i="80"/>
  <c r="O28" i="62"/>
  <c r="Q28" i="62" s="1"/>
  <c r="X28" i="62"/>
  <c r="M25" i="80" s="1"/>
  <c r="N13" i="80"/>
  <c r="N41" i="55"/>
  <c r="N52" i="55"/>
  <c r="N24" i="80"/>
  <c r="N46" i="55"/>
  <c r="N18" i="80"/>
  <c r="N22" i="80"/>
  <c r="N50" i="55"/>
  <c r="O24" i="62"/>
  <c r="Q24" i="62" s="1"/>
  <c r="X24" i="62"/>
  <c r="M21" i="80" s="1"/>
  <c r="M32" i="61"/>
  <c r="M25" i="61"/>
  <c r="M29" i="61"/>
  <c r="M30" i="61"/>
  <c r="M22" i="61"/>
  <c r="M18" i="61"/>
  <c r="M31" i="61"/>
  <c r="M16" i="61"/>
  <c r="M24" i="61"/>
  <c r="M17" i="61"/>
  <c r="M27" i="61"/>
  <c r="M26" i="61"/>
  <c r="X27" i="62"/>
  <c r="M24" i="80" s="1"/>
  <c r="O27" i="62"/>
  <c r="Q27" i="62" s="1"/>
  <c r="K44" i="64"/>
  <c r="S46" i="64" s="1"/>
  <c r="K41" i="62"/>
  <c r="F35" i="78" l="1"/>
  <c r="H34" i="78"/>
  <c r="F37" i="31"/>
  <c r="H37" i="31" s="1"/>
  <c r="H36" i="31"/>
  <c r="X20" i="61"/>
  <c r="L17" i="80" s="1"/>
  <c r="M23" i="64"/>
  <c r="X23" i="64" s="1"/>
  <c r="O20" i="80" s="1"/>
  <c r="X19" i="61"/>
  <c r="L16" i="80" s="1"/>
  <c r="X23" i="61"/>
  <c r="L20" i="80" s="1"/>
  <c r="X28" i="61"/>
  <c r="L25" i="80" s="1"/>
  <c r="X21" i="61"/>
  <c r="L18" i="80" s="1"/>
  <c r="M19" i="64"/>
  <c r="X19" i="64" s="1"/>
  <c r="O16" i="80" s="1"/>
  <c r="M20" i="64"/>
  <c r="X20" i="64" s="1"/>
  <c r="O17" i="80" s="1"/>
  <c r="M26" i="64"/>
  <c r="O26" i="64" s="1"/>
  <c r="Q26" i="64" s="1"/>
  <c r="M16" i="64"/>
  <c r="X16" i="64" s="1"/>
  <c r="O13" i="80" s="1"/>
  <c r="M27" i="64"/>
  <c r="X27" i="64" s="1"/>
  <c r="O24" i="80" s="1"/>
  <c r="M18" i="64"/>
  <c r="O18" i="64" s="1"/>
  <c r="Q18" i="64" s="1"/>
  <c r="M24" i="64"/>
  <c r="X24" i="64" s="1"/>
  <c r="O21" i="80" s="1"/>
  <c r="M21" i="64"/>
  <c r="X21" i="64" s="1"/>
  <c r="O18" i="80" s="1"/>
  <c r="M32" i="64"/>
  <c r="O32" i="64" s="1"/>
  <c r="Q32" i="64" s="1"/>
  <c r="M25" i="64"/>
  <c r="O25" i="64" s="1"/>
  <c r="Q25" i="64" s="1"/>
  <c r="M17" i="64"/>
  <c r="O17" i="64" s="1"/>
  <c r="Q17" i="64" s="1"/>
  <c r="M31" i="64"/>
  <c r="X31" i="64" s="1"/>
  <c r="O28" i="80" s="1"/>
  <c r="M28" i="64"/>
  <c r="O28" i="64" s="1"/>
  <c r="Q28" i="64" s="1"/>
  <c r="M29" i="64"/>
  <c r="O29" i="64" s="1"/>
  <c r="Q29" i="64" s="1"/>
  <c r="M22" i="64"/>
  <c r="O22" i="64" s="1"/>
  <c r="Q22" i="64" s="1"/>
  <c r="O34" i="62"/>
  <c r="Q34" i="62" s="1"/>
  <c r="Q16" i="62"/>
  <c r="M30" i="64"/>
  <c r="X18" i="61"/>
  <c r="L15" i="80" s="1"/>
  <c r="O18" i="61"/>
  <c r="Q18" i="61" s="1"/>
  <c r="O26" i="61"/>
  <c r="Q26" i="61" s="1"/>
  <c r="X26" i="61"/>
  <c r="L23" i="80" s="1"/>
  <c r="X22" i="61"/>
  <c r="L19" i="80" s="1"/>
  <c r="O22" i="61"/>
  <c r="Q22" i="61" s="1"/>
  <c r="X29" i="61"/>
  <c r="L26" i="80" s="1"/>
  <c r="O29" i="61"/>
  <c r="Q29" i="61" s="1"/>
  <c r="X32" i="61"/>
  <c r="L29" i="80" s="1"/>
  <c r="O32" i="61"/>
  <c r="Q32" i="61" s="1"/>
  <c r="X27" i="61"/>
  <c r="L24" i="80" s="1"/>
  <c r="O27" i="61"/>
  <c r="Q27" i="61" s="1"/>
  <c r="O16" i="61"/>
  <c r="X16" i="61"/>
  <c r="L13" i="80" s="1"/>
  <c r="X24" i="61"/>
  <c r="L21" i="80" s="1"/>
  <c r="O24" i="61"/>
  <c r="Q24" i="61" s="1"/>
  <c r="O17" i="61"/>
  <c r="Q17" i="61" s="1"/>
  <c r="X17" i="61"/>
  <c r="L14" i="80" s="1"/>
  <c r="O31" i="61"/>
  <c r="Q31" i="61" s="1"/>
  <c r="X31" i="61"/>
  <c r="L28" i="80" s="1"/>
  <c r="X30" i="61"/>
  <c r="L27" i="80" s="1"/>
  <c r="O30" i="61"/>
  <c r="Q30" i="61" s="1"/>
  <c r="X25" i="61"/>
  <c r="L22" i="80" s="1"/>
  <c r="O25" i="61"/>
  <c r="Q25" i="61" s="1"/>
  <c r="T51" i="57"/>
  <c r="T52" i="57" s="1"/>
  <c r="T51" i="60"/>
  <c r="T52" i="60" s="1"/>
  <c r="T51" i="58"/>
  <c r="T52" i="58" s="1"/>
  <c r="T51" i="59"/>
  <c r="T52" i="59" s="1"/>
  <c r="O23" i="64" l="1"/>
  <c r="Q23" i="64" s="1"/>
  <c r="F36" i="78"/>
  <c r="H35" i="78"/>
  <c r="X25" i="64"/>
  <c r="O22" i="80" s="1"/>
  <c r="O19" i="64"/>
  <c r="Q19" i="64" s="1"/>
  <c r="O31" i="64"/>
  <c r="Q31" i="64" s="1"/>
  <c r="O21" i="64"/>
  <c r="Q21" i="64" s="1"/>
  <c r="O16" i="64"/>
  <c r="Q16" i="64" s="1"/>
  <c r="X29" i="64"/>
  <c r="O26" i="80" s="1"/>
  <c r="O20" i="64"/>
  <c r="Q20" i="64" s="1"/>
  <c r="X17" i="64"/>
  <c r="O14" i="80" s="1"/>
  <c r="O27" i="64"/>
  <c r="Q27" i="64" s="1"/>
  <c r="X22" i="64"/>
  <c r="O19" i="80" s="1"/>
  <c r="O24" i="64"/>
  <c r="Q24" i="64" s="1"/>
  <c r="X32" i="64"/>
  <c r="O29" i="80" s="1"/>
  <c r="X26" i="64"/>
  <c r="O23" i="80" s="1"/>
  <c r="X28" i="64"/>
  <c r="O25" i="80" s="1"/>
  <c r="X18" i="64"/>
  <c r="O15" i="80" s="1"/>
  <c r="X30" i="64"/>
  <c r="O27" i="80" s="1"/>
  <c r="O30" i="64"/>
  <c r="Q30" i="64" s="1"/>
  <c r="Q16" i="61"/>
  <c r="O34" i="61"/>
  <c r="Q34" i="61" s="1"/>
  <c r="F37" i="78" l="1"/>
  <c r="H37" i="78" s="1"/>
  <c r="H36" i="78"/>
  <c r="O34" i="64"/>
  <c r="Q34" i="64" s="1"/>
  <c r="Q52" i="59" l="1"/>
  <c r="Q53" i="59" s="1"/>
  <c r="Q52" i="57"/>
  <c r="Q53" i="57" s="1"/>
  <c r="Q52" i="58"/>
  <c r="Q53" i="58" s="1"/>
  <c r="V48" i="56"/>
  <c r="V52" i="56"/>
  <c r="V50" i="56"/>
  <c r="V51" i="56"/>
  <c r="V65" i="56"/>
  <c r="V61" i="56"/>
  <c r="V64" i="56"/>
  <c r="V60" i="56"/>
  <c r="V67" i="56"/>
  <c r="V59" i="56"/>
  <c r="V62" i="56"/>
  <c r="V66" i="56"/>
  <c r="C77" i="30"/>
  <c r="C74" i="30"/>
  <c r="C72" i="30"/>
  <c r="C63" i="30"/>
  <c r="C78" i="30"/>
  <c r="C71" i="29"/>
  <c r="C74" i="29"/>
  <c r="C77" i="29"/>
  <c r="C75" i="29"/>
  <c r="C76" i="29"/>
  <c r="K72" i="30"/>
  <c r="K62" i="30"/>
  <c r="K67" i="30"/>
  <c r="I59" i="30"/>
  <c r="I68" i="30"/>
  <c r="I73" i="30"/>
  <c r="K71" i="30"/>
  <c r="K74" i="30"/>
  <c r="K61" i="30"/>
  <c r="I62" i="30"/>
  <c r="I76" i="30"/>
  <c r="I74" i="30"/>
  <c r="I75" i="30"/>
  <c r="K63" i="30"/>
  <c r="K69" i="30"/>
  <c r="I65" i="30"/>
  <c r="I67" i="30"/>
  <c r="I78" i="30"/>
  <c r="K56" i="30"/>
  <c r="K77" i="30"/>
  <c r="K75" i="30"/>
  <c r="K70" i="30"/>
  <c r="K58" i="30"/>
  <c r="K57" i="30"/>
  <c r="I58" i="30"/>
  <c r="I69" i="30"/>
  <c r="I66" i="30"/>
  <c r="K55" i="30"/>
  <c r="I70" i="30"/>
  <c r="K76" i="30"/>
  <c r="I77" i="30"/>
  <c r="K73" i="30"/>
  <c r="I56" i="30"/>
  <c r="K78" i="30"/>
  <c r="I57" i="30"/>
  <c r="K68" i="30"/>
  <c r="K60" i="30"/>
  <c r="K66" i="30"/>
  <c r="K59" i="30"/>
  <c r="I72" i="30"/>
  <c r="I64" i="30"/>
  <c r="I55" i="30"/>
  <c r="K64" i="30"/>
  <c r="I63" i="30"/>
  <c r="I60" i="30"/>
  <c r="K65" i="30"/>
  <c r="I61" i="30"/>
  <c r="I71" i="30"/>
  <c r="Q51" i="60" l="1"/>
  <c r="Q52" i="60" s="1"/>
  <c r="Q53" i="60" s="1"/>
  <c r="Y66" i="56"/>
  <c r="Y67" i="56"/>
  <c r="Y65" i="56"/>
  <c r="Y64" i="56"/>
  <c r="O64" i="30"/>
  <c r="Q64" i="30" s="1"/>
  <c r="O68" i="30"/>
  <c r="Q68" i="30" s="1"/>
  <c r="O73" i="30"/>
  <c r="Q73" i="30" s="1"/>
  <c r="O74" i="30"/>
  <c r="Q74" i="30" s="1"/>
  <c r="O60" i="30"/>
  <c r="Q60" i="30" s="1"/>
  <c r="O62" i="30"/>
  <c r="Q62" i="30" s="1"/>
  <c r="O74" i="29"/>
  <c r="Q74" i="29" s="1"/>
  <c r="O66" i="30"/>
  <c r="Q66" i="30" s="1"/>
  <c r="O70" i="30"/>
  <c r="Q70" i="30" s="1"/>
  <c r="O65" i="30"/>
  <c r="Q65" i="30" s="1"/>
  <c r="O72" i="30"/>
  <c r="Q72" i="30" s="1"/>
  <c r="O77" i="30"/>
  <c r="Q77" i="30" s="1"/>
  <c r="O78" i="30"/>
  <c r="Q78" i="30" s="1"/>
  <c r="O57" i="30"/>
  <c r="Q57" i="30" s="1"/>
  <c r="O59" i="30"/>
  <c r="Q59" i="30" s="1"/>
  <c r="C76" i="30"/>
  <c r="O76" i="30" s="1"/>
  <c r="Q76" i="30" s="1"/>
  <c r="O35" i="29"/>
  <c r="Q35" i="29" s="1"/>
  <c r="AF34" i="37" s="1"/>
  <c r="O75" i="29"/>
  <c r="Q75" i="29" s="1"/>
  <c r="O71" i="29"/>
  <c r="Q71" i="29" s="1"/>
  <c r="O39" i="29"/>
  <c r="Q39" i="29" s="1"/>
  <c r="AF38" i="37" s="1"/>
  <c r="O76" i="29"/>
  <c r="Q76" i="29" s="1"/>
  <c r="O63" i="30"/>
  <c r="Q63" i="30" s="1"/>
  <c r="O67" i="30"/>
  <c r="Q67" i="30" s="1"/>
  <c r="O71" i="30"/>
  <c r="Q71" i="30" s="1"/>
  <c r="O55" i="30"/>
  <c r="Q55" i="30" s="1"/>
  <c r="O61" i="30"/>
  <c r="Q61" i="30" s="1"/>
  <c r="O77" i="29"/>
  <c r="Q77" i="29" s="1"/>
  <c r="O40" i="29"/>
  <c r="Q40" i="29" s="1"/>
  <c r="AF39" i="37" s="1"/>
  <c r="O41" i="29"/>
  <c r="Q41" i="29" s="1"/>
  <c r="AF40" i="37" s="1"/>
  <c r="O69" i="30"/>
  <c r="Q69" i="30" s="1"/>
  <c r="O56" i="30"/>
  <c r="Q56" i="30" s="1"/>
  <c r="O58" i="30"/>
  <c r="Q58" i="30" s="1"/>
  <c r="O38" i="29"/>
  <c r="Q38" i="29" s="1"/>
  <c r="AF37" i="37" s="1"/>
  <c r="I29" i="30"/>
  <c r="K34" i="30"/>
  <c r="K21" i="30"/>
  <c r="I24" i="30"/>
  <c r="K35" i="30"/>
  <c r="I20" i="30"/>
  <c r="K22" i="30"/>
  <c r="I27" i="30"/>
  <c r="I22" i="30"/>
  <c r="K19" i="30"/>
  <c r="K29" i="30"/>
  <c r="K31" i="30"/>
  <c r="I25" i="30"/>
  <c r="K38" i="30"/>
  <c r="K28" i="30"/>
  <c r="K25" i="30"/>
  <c r="K41" i="30"/>
  <c r="K33" i="30"/>
  <c r="I19" i="30"/>
  <c r="K32" i="30"/>
  <c r="I26" i="30"/>
  <c r="I34" i="30"/>
  <c r="K20" i="30"/>
  <c r="I41" i="30"/>
  <c r="I30" i="30"/>
  <c r="I36" i="30"/>
  <c r="I40" i="30"/>
  <c r="K23" i="30"/>
  <c r="I21" i="30"/>
  <c r="K30" i="30"/>
  <c r="I28" i="30"/>
  <c r="K24" i="30"/>
  <c r="K42" i="30"/>
  <c r="I38" i="30"/>
  <c r="I39" i="30"/>
  <c r="K39" i="30"/>
  <c r="K40" i="30"/>
  <c r="I23" i="30"/>
  <c r="I33" i="30"/>
  <c r="I32" i="30"/>
  <c r="K27" i="30"/>
  <c r="K37" i="30"/>
  <c r="I31" i="30"/>
  <c r="K36" i="30"/>
  <c r="I37" i="30"/>
  <c r="K26" i="30"/>
  <c r="I42" i="30"/>
  <c r="I35" i="30"/>
  <c r="O30" i="30" l="1"/>
  <c r="Q30" i="30" s="1"/>
  <c r="AE29" i="38" s="1"/>
  <c r="AG29" i="38" s="1"/>
  <c r="O19" i="30"/>
  <c r="Q19" i="30" s="1"/>
  <c r="AE18" i="38" s="1"/>
  <c r="O21" i="30"/>
  <c r="Q21" i="30" s="1"/>
  <c r="AE20" i="38" s="1"/>
  <c r="AG20" i="38" s="1"/>
  <c r="O42" i="30"/>
  <c r="Q42" i="30" s="1"/>
  <c r="AE41" i="38" s="1"/>
  <c r="O37" i="30"/>
  <c r="Q37" i="30" s="1"/>
  <c r="AE36" i="38" s="1"/>
  <c r="AG36" i="38" s="1"/>
  <c r="O35" i="30"/>
  <c r="Q35" i="30" s="1"/>
  <c r="AE34" i="38" s="1"/>
  <c r="AG34" i="38" s="1"/>
  <c r="O29" i="30"/>
  <c r="Q29" i="30" s="1"/>
  <c r="AE28" i="38" s="1"/>
  <c r="AG28" i="38" s="1"/>
  <c r="O26" i="30"/>
  <c r="Q26" i="30" s="1"/>
  <c r="AE25" i="38" s="1"/>
  <c r="AG25" i="38" s="1"/>
  <c r="O24" i="30"/>
  <c r="Q24" i="30" s="1"/>
  <c r="AE23" i="38" s="1"/>
  <c r="AG23" i="38" s="1"/>
  <c r="O38" i="30"/>
  <c r="Q38" i="30" s="1"/>
  <c r="AE37" i="38" s="1"/>
  <c r="O33" i="30"/>
  <c r="Q33" i="30" s="1"/>
  <c r="AE32" i="38" s="1"/>
  <c r="AG32" i="38" s="1"/>
  <c r="O31" i="30"/>
  <c r="Q31" i="30" s="1"/>
  <c r="AE30" i="38" s="1"/>
  <c r="AG30" i="38" s="1"/>
  <c r="O28" i="30"/>
  <c r="Q28" i="30" s="1"/>
  <c r="AE27" i="38" s="1"/>
  <c r="AG27" i="38" s="1"/>
  <c r="O22" i="30"/>
  <c r="Q22" i="30" s="1"/>
  <c r="AE21" i="38" s="1"/>
  <c r="AG21" i="38" s="1"/>
  <c r="O20" i="30"/>
  <c r="Q20" i="30" s="1"/>
  <c r="AE19" i="38" s="1"/>
  <c r="AG19" i="38" s="1"/>
  <c r="O34" i="30"/>
  <c r="Q34" i="30" s="1"/>
  <c r="AE33" i="38" s="1"/>
  <c r="AG33" i="38" s="1"/>
  <c r="O36" i="30"/>
  <c r="Q36" i="30" s="1"/>
  <c r="AE35" i="38" s="1"/>
  <c r="O40" i="30"/>
  <c r="Q40" i="30" s="1"/>
  <c r="AE39" i="38" s="1"/>
  <c r="O27" i="30"/>
  <c r="Q27" i="30" s="1"/>
  <c r="AE26" i="38" s="1"/>
  <c r="O25" i="30"/>
  <c r="Q25" i="30" s="1"/>
  <c r="AE24" i="38" s="1"/>
  <c r="AG24" i="38" s="1"/>
  <c r="O23" i="30"/>
  <c r="Q23" i="30" s="1"/>
  <c r="AE22" i="38" s="1"/>
  <c r="AG22" i="38" s="1"/>
  <c r="O41" i="30"/>
  <c r="Q41" i="30" s="1"/>
  <c r="AE40" i="38" s="1"/>
  <c r="O32" i="30"/>
  <c r="Q32" i="30" s="1"/>
  <c r="AE31" i="38" s="1"/>
  <c r="AG31" i="38" s="1"/>
  <c r="O39" i="30"/>
  <c r="Q39" i="30" s="1"/>
  <c r="AE38" i="38" s="1"/>
  <c r="O42" i="29"/>
  <c r="O44" i="29" s="1"/>
  <c r="C44" i="30"/>
  <c r="C78" i="29"/>
  <c r="O78" i="29" s="1"/>
  <c r="C44" i="29"/>
  <c r="C75" i="30"/>
  <c r="O75" i="30" s="1"/>
  <c r="AK37" i="39"/>
  <c r="W52" i="56"/>
  <c r="W62" i="56"/>
  <c r="W60" i="56"/>
  <c r="W48" i="56"/>
  <c r="W50" i="56"/>
  <c r="W61" i="56"/>
  <c r="W59" i="56"/>
  <c r="W51" i="56"/>
  <c r="AC17" i="56"/>
  <c r="AC15" i="56"/>
  <c r="AC16" i="56"/>
  <c r="AC21" i="56"/>
  <c r="AC34" i="56"/>
  <c r="AC31" i="56"/>
  <c r="AC30" i="56"/>
  <c r="AC27" i="56"/>
  <c r="AC22" i="56"/>
  <c r="AC19" i="56"/>
  <c r="AC23" i="56"/>
  <c r="W64" i="56"/>
  <c r="W65" i="56"/>
  <c r="AC37" i="56"/>
  <c r="AC18" i="56"/>
  <c r="W67" i="56"/>
  <c r="AE27" i="56"/>
  <c r="AE32" i="56"/>
  <c r="AE33" i="56"/>
  <c r="AC32" i="56"/>
  <c r="R30" i="46"/>
  <c r="AC38" i="56"/>
  <c r="AC42" i="56"/>
  <c r="R25" i="46"/>
  <c r="AE23" i="56"/>
  <c r="AE28" i="56"/>
  <c r="AE38" i="56"/>
  <c r="AE26" i="56"/>
  <c r="AE42" i="56"/>
  <c r="AC26" i="56"/>
  <c r="AC28" i="56"/>
  <c r="AC33" i="56"/>
  <c r="R28" i="46"/>
  <c r="R27" i="46"/>
  <c r="R26" i="46"/>
  <c r="AC20" i="56"/>
  <c r="AE29" i="56"/>
  <c r="AE25" i="56"/>
  <c r="AE34" i="56"/>
  <c r="AE24" i="56"/>
  <c r="AK41" i="39"/>
  <c r="AC25" i="56"/>
  <c r="AC24" i="56"/>
  <c r="R32" i="46"/>
  <c r="AC29" i="56"/>
  <c r="R33" i="46"/>
  <c r="AE36" i="56"/>
  <c r="AE35" i="56"/>
  <c r="AE31" i="56"/>
  <c r="AE30" i="56"/>
  <c r="AK39" i="39"/>
  <c r="R24" i="46"/>
  <c r="R34" i="46"/>
  <c r="R29" i="46"/>
  <c r="R38" i="46"/>
  <c r="AE37" i="56"/>
  <c r="AE16" i="56"/>
  <c r="R35" i="46"/>
  <c r="AE19" i="56"/>
  <c r="AE17" i="56"/>
  <c r="AK40" i="39"/>
  <c r="R23" i="46"/>
  <c r="R22" i="46"/>
  <c r="AE22" i="56"/>
  <c r="AE15" i="56"/>
  <c r="R16" i="46"/>
  <c r="R31" i="46"/>
  <c r="W66" i="56"/>
  <c r="AE18" i="56"/>
  <c r="AE20" i="56"/>
  <c r="AE21" i="56"/>
  <c r="R18" i="46"/>
  <c r="R21" i="46"/>
  <c r="R20" i="46"/>
  <c r="R19" i="46"/>
  <c r="R17" i="46"/>
  <c r="R39" i="46"/>
  <c r="AC35" i="56"/>
  <c r="AC36" i="56"/>
  <c r="U42" i="29"/>
  <c r="AG41" i="37" s="1"/>
  <c r="R37" i="46"/>
  <c r="U35" i="29"/>
  <c r="R36" i="46"/>
  <c r="U41" i="29"/>
  <c r="U38" i="29"/>
  <c r="U40" i="29"/>
  <c r="U39" i="29"/>
  <c r="U36" i="30"/>
  <c r="AF35" i="38" s="1"/>
  <c r="U38" i="30"/>
  <c r="AF37" i="38" s="1"/>
  <c r="U40" i="30"/>
  <c r="AF39" i="38" s="1"/>
  <c r="U41" i="30"/>
  <c r="AF40" i="38" s="1"/>
  <c r="U39" i="30"/>
  <c r="AF38" i="38" s="1"/>
  <c r="U42" i="30"/>
  <c r="U78" i="30" s="1"/>
  <c r="U27" i="30"/>
  <c r="U63" i="30" s="1"/>
  <c r="U75" i="29" l="1"/>
  <c r="AB39" i="29"/>
  <c r="AG39" i="37"/>
  <c r="AH39" i="37" s="1"/>
  <c r="AB40" i="29"/>
  <c r="AG37" i="37"/>
  <c r="AH37" i="37" s="1"/>
  <c r="AB38" i="29"/>
  <c r="U77" i="29"/>
  <c r="AB41" i="29"/>
  <c r="U71" i="29"/>
  <c r="AB35" i="29"/>
  <c r="AG34" i="37"/>
  <c r="AH34" i="37" s="1"/>
  <c r="U74" i="30"/>
  <c r="AF41" i="38"/>
  <c r="AG41" i="38" s="1"/>
  <c r="AG40" i="37"/>
  <c r="AH40" i="37" s="1"/>
  <c r="U74" i="29"/>
  <c r="AJ43" i="39"/>
  <c r="AF26" i="38"/>
  <c r="AG26" i="38" s="1"/>
  <c r="U72" i="30"/>
  <c r="U75" i="30"/>
  <c r="C80" i="30"/>
  <c r="AG38" i="38"/>
  <c r="U44" i="29"/>
  <c r="AG39" i="38"/>
  <c r="Q78" i="29"/>
  <c r="Q80" i="29" s="1"/>
  <c r="C19" i="79" s="1"/>
  <c r="O80" i="29"/>
  <c r="C80" i="29"/>
  <c r="AG35" i="38"/>
  <c r="U44" i="30"/>
  <c r="U77" i="30"/>
  <c r="AG38" i="37"/>
  <c r="AH38" i="37" s="1"/>
  <c r="U76" i="29"/>
  <c r="AG37" i="38"/>
  <c r="Q75" i="30"/>
  <c r="Q80" i="30" s="1"/>
  <c r="O80" i="30"/>
  <c r="AG40" i="38"/>
  <c r="AG18" i="38"/>
  <c r="AE43" i="38"/>
  <c r="U76" i="30"/>
  <c r="U78" i="29"/>
  <c r="AK38" i="39"/>
  <c r="Q44" i="30"/>
  <c r="O44" i="30"/>
  <c r="Q42" i="29"/>
  <c r="C17" i="79" l="1"/>
  <c r="AB44" i="29"/>
  <c r="C21" i="79" s="1"/>
  <c r="AF43" i="38"/>
  <c r="U80" i="29"/>
  <c r="AG43" i="37"/>
  <c r="U80" i="30"/>
  <c r="Q44" i="29"/>
  <c r="AF41" i="37"/>
  <c r="C23" i="79" l="1"/>
  <c r="C29" i="79" s="1"/>
  <c r="E29" i="79" s="1"/>
  <c r="AF43" i="37"/>
  <c r="AH41" i="37"/>
  <c r="E23" i="79" l="1"/>
  <c r="U113" i="40" l="1"/>
  <c r="V113" i="40"/>
  <c r="U41" i="41"/>
  <c r="V41" i="41"/>
  <c r="V77" i="40"/>
  <c r="U77" i="40"/>
  <c r="U77" i="41"/>
  <c r="V77" i="41"/>
  <c r="U41" i="40"/>
  <c r="V41" i="40"/>
  <c r="U62" i="40" l="1"/>
  <c r="V62" i="40"/>
  <c r="U66" i="40"/>
  <c r="V66" i="40"/>
  <c r="V70" i="40"/>
  <c r="U70" i="40"/>
  <c r="U74" i="40"/>
  <c r="V74" i="40"/>
  <c r="U98" i="40"/>
  <c r="V98" i="40"/>
  <c r="U102" i="40"/>
  <c r="V102" i="40"/>
  <c r="V106" i="40"/>
  <c r="U106" i="40"/>
  <c r="U110" i="40"/>
  <c r="V110" i="40"/>
  <c r="U76" i="41"/>
  <c r="V76" i="41"/>
  <c r="V72" i="41"/>
  <c r="U72" i="41"/>
  <c r="U68" i="41"/>
  <c r="V68" i="41"/>
  <c r="U64" i="41"/>
  <c r="V64" i="41"/>
  <c r="V40" i="41"/>
  <c r="U40" i="41"/>
  <c r="U36" i="41"/>
  <c r="V36" i="41"/>
  <c r="V32" i="41"/>
  <c r="U32" i="41"/>
  <c r="U28" i="41"/>
  <c r="V28" i="41"/>
  <c r="U25" i="40"/>
  <c r="V25" i="40"/>
  <c r="S43" i="40"/>
  <c r="U43" i="40" s="1"/>
  <c r="U29" i="40"/>
  <c r="V29" i="40"/>
  <c r="U33" i="40"/>
  <c r="V33" i="40"/>
  <c r="V37" i="40"/>
  <c r="U37" i="40"/>
  <c r="U63" i="40"/>
  <c r="V63" i="40"/>
  <c r="V67" i="40"/>
  <c r="U67" i="40"/>
  <c r="U71" i="40"/>
  <c r="V71" i="40"/>
  <c r="V75" i="40"/>
  <c r="U75" i="40"/>
  <c r="U99" i="40"/>
  <c r="V99" i="40"/>
  <c r="U103" i="40"/>
  <c r="V103" i="40"/>
  <c r="V107" i="40"/>
  <c r="U107" i="40"/>
  <c r="U111" i="40"/>
  <c r="V111" i="40"/>
  <c r="V75" i="41"/>
  <c r="U75" i="41"/>
  <c r="V71" i="41"/>
  <c r="U71" i="41"/>
  <c r="V67" i="41"/>
  <c r="U67" i="41"/>
  <c r="V63" i="41"/>
  <c r="U63" i="41"/>
  <c r="U39" i="41"/>
  <c r="V39" i="41"/>
  <c r="U35" i="41"/>
  <c r="V35" i="41"/>
  <c r="V31" i="41"/>
  <c r="U31" i="41"/>
  <c r="U27" i="41"/>
  <c r="V27" i="41"/>
  <c r="V26" i="40"/>
  <c r="U26" i="40"/>
  <c r="U30" i="40"/>
  <c r="V30" i="40"/>
  <c r="U34" i="40"/>
  <c r="V34" i="40"/>
  <c r="U38" i="40"/>
  <c r="V38" i="40"/>
  <c r="U64" i="40"/>
  <c r="V64" i="40"/>
  <c r="V68" i="40"/>
  <c r="U68" i="40"/>
  <c r="V72" i="40"/>
  <c r="U72" i="40"/>
  <c r="V76" i="40"/>
  <c r="U76" i="40"/>
  <c r="U100" i="40"/>
  <c r="V100" i="40"/>
  <c r="U104" i="40"/>
  <c r="V104" i="40"/>
  <c r="U108" i="40"/>
  <c r="V108" i="40"/>
  <c r="U112" i="40"/>
  <c r="V112" i="40"/>
  <c r="V74" i="41"/>
  <c r="U74" i="41"/>
  <c r="V70" i="41"/>
  <c r="U70" i="41"/>
  <c r="V66" i="41"/>
  <c r="U66" i="41"/>
  <c r="V62" i="41"/>
  <c r="U62" i="41"/>
  <c r="V38" i="41"/>
  <c r="U38" i="41"/>
  <c r="V34" i="41"/>
  <c r="U34" i="41"/>
  <c r="U30" i="41"/>
  <c r="V30" i="41"/>
  <c r="U26" i="41"/>
  <c r="V26" i="41"/>
  <c r="U27" i="40"/>
  <c r="V27" i="40"/>
  <c r="U31" i="40"/>
  <c r="V31" i="40"/>
  <c r="V35" i="40"/>
  <c r="U35" i="40"/>
  <c r="U39" i="40"/>
  <c r="V39" i="40"/>
  <c r="U61" i="40"/>
  <c r="V61" i="40"/>
  <c r="S79" i="40"/>
  <c r="U79" i="40" s="1"/>
  <c r="U65" i="40"/>
  <c r="V65" i="40"/>
  <c r="U69" i="40"/>
  <c r="V69" i="40"/>
  <c r="V73" i="40"/>
  <c r="U73" i="40"/>
  <c r="U97" i="40"/>
  <c r="V97" i="40"/>
  <c r="S115" i="40"/>
  <c r="U115" i="40" s="1"/>
  <c r="U101" i="40"/>
  <c r="V101" i="40"/>
  <c r="V105" i="40"/>
  <c r="U105" i="40"/>
  <c r="U109" i="40"/>
  <c r="V109" i="40"/>
  <c r="U61" i="41"/>
  <c r="V61" i="41"/>
  <c r="S79" i="41"/>
  <c r="U79" i="41" s="1"/>
  <c r="V73" i="41"/>
  <c r="U73" i="41"/>
  <c r="V69" i="41"/>
  <c r="U69" i="41"/>
  <c r="U65" i="41"/>
  <c r="V65" i="41"/>
  <c r="U25" i="41"/>
  <c r="V25" i="41"/>
  <c r="S43" i="41"/>
  <c r="U43" i="41" s="1"/>
  <c r="V37" i="41"/>
  <c r="U37" i="41"/>
  <c r="U33" i="41"/>
  <c r="V33" i="41"/>
  <c r="U29" i="41"/>
  <c r="V29" i="41"/>
  <c r="V40" i="40"/>
  <c r="U40" i="40"/>
  <c r="U28" i="40"/>
  <c r="V28" i="40"/>
  <c r="U32" i="40"/>
  <c r="V32" i="40"/>
  <c r="V36" i="40"/>
  <c r="U36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Phan</author>
  </authors>
  <commentList>
    <comment ref="H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See JKP and Will Powell's email on 10/25/2017..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AC15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Mainly due to exposure lvl adjustments. </t>
        </r>
      </text>
    </comment>
    <comment ref="V44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19/20 Exp Lvl Adj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X13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Benefit Level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X13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Benefit Level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X13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Benefit Level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X1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Benefit Level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A8" authorId="0" shapeId="0" xr:uid="{098B08B6-1D01-4A52-B228-C46A06A0DFF8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Should we say excluding LCA, TXNS, CORP, and/or PREMIER here?</t>
        </r>
      </text>
    </comment>
    <comment ref="E16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Per JKP, linking to prior for Atlantic Mutual years since no updated data provided</t>
        </r>
      </text>
    </comment>
    <comment ref="I16" authorId="0" shapeId="0" xr:uid="{751F90C5-DFB4-40BE-8780-D7AF11BCB776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Per JKP, linking to prior for Atlantic Mutual years since no updated data provided</t>
        </r>
      </text>
    </comment>
    <comment ref="Q16" authorId="0" shapeId="0" xr:uid="{6D90AB7D-2434-4321-818B-D759FF96086D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Per JKP, linking to prior for Atlantic Mutual years since no updated data provided</t>
        </r>
      </text>
    </comment>
    <comment ref="U16" authorId="0" shapeId="0" xr:uid="{D178CAE6-5A82-4A78-A654-31B502E27C02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Per JKP, linking to prior for Atlantic Mutual years since no updated data provided</t>
        </r>
      </text>
    </comment>
    <comment ref="Y16" authorId="0" shapeId="0" xr:uid="{FD13BD62-03E0-4D12-A4C4-C07E30E9BEAC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Per JKP, linking to prior for Atlantic Mutual years since no updated data provided</t>
        </r>
      </text>
    </comment>
    <comment ref="U49" authorId="0" shapeId="0" xr:uid="{00000000-0006-0000-2400-000002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claims XS 750K</t>
        </r>
      </text>
    </comment>
    <comment ref="Y49" authorId="0" shapeId="0" xr:uid="{00000000-0006-0000-2400-000003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claims XS 750K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P11" authorId="0" shapeId="0" xr:uid="{27EA7484-7C37-44B8-AC5F-7B8A6D7CCE1C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Actually 10/31/18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P11" authorId="0" shapeId="0" xr:uid="{02222B77-4088-4F2F-B6A5-2319F2C8D664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Actually 10/31/18</t>
        </r>
      </text>
    </comment>
    <comment ref="A26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Prior incorrectly stated $1000 payroll here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B4" authorId="0" shapeId="0" xr:uid="{FF98D110-C74D-44CB-A079-A89128B2EC4F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  <comment ref="G4" authorId="0" shapeId="0" xr:uid="{71F9FB01-5CAD-4E34-AFDD-F45BF4E63507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  <comment ref="X4" authorId="0" shapeId="0" xr:uid="{6259280E-A282-4CCC-86D6-AEB149308F5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  <comment ref="AC4" authorId="0" shapeId="0" xr:uid="{6C0F7BCF-9A4C-44DD-9EE4-2BF74849F88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B6" authorId="0" shapeId="0" xr:uid="{172B560E-AB0B-4B2E-8285-0D92FC2A52A8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  <comment ref="G6" authorId="0" shapeId="0" xr:uid="{D3794637-8C43-4701-8DAC-E117A6DD9563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Unlimited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Price</author>
  </authors>
  <commentList>
    <comment ref="C15" authorId="0" shapeId="0" xr:uid="{6DD59F69-3B5D-498C-B94C-E80FC16D9B93}">
      <text>
        <r>
          <rPr>
            <b/>
            <sz val="9"/>
            <color indexed="81"/>
            <rFont val="Tahoma"/>
            <family val="2"/>
          </rPr>
          <t>Jennifer Price:</t>
        </r>
        <r>
          <rPr>
            <sz val="9"/>
            <color indexed="81"/>
            <rFont val="Tahoma"/>
            <family val="2"/>
          </rPr>
          <t xml:space="preserve">
adjust for change in LCF unpaid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Price</author>
  </authors>
  <commentList>
    <comment ref="R40" authorId="0" shapeId="0" xr:uid="{CD44B0AC-7E01-4F30-853E-28F82B131F91}">
      <text>
        <r>
          <rPr>
            <b/>
            <sz val="9"/>
            <color indexed="81"/>
            <rFont val="Tahoma"/>
            <family val="2"/>
          </rPr>
          <t>Jennifer Price:</t>
        </r>
        <r>
          <rPr>
            <sz val="9"/>
            <color indexed="81"/>
            <rFont val="Tahoma"/>
            <family val="2"/>
          </rPr>
          <t xml:space="preserve">
adjusted for short accident period</t>
        </r>
      </text>
    </comment>
    <comment ref="R41" authorId="0" shapeId="0" xr:uid="{4A1463FE-C64D-41BA-88A4-DB0A70BC812C}">
      <text>
        <r>
          <rPr>
            <b/>
            <sz val="9"/>
            <color indexed="81"/>
            <rFont val="Tahoma"/>
            <family val="2"/>
          </rPr>
          <t>Jennifer Price:</t>
        </r>
        <r>
          <rPr>
            <sz val="9"/>
            <color indexed="81"/>
            <rFont val="Tahoma"/>
            <family val="2"/>
          </rPr>
          <t xml:space="preserve">
not adjusted for short accident period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Price</author>
  </authors>
  <commentList>
    <comment ref="R40" authorId="0" shapeId="0" xr:uid="{C53AFBA1-93D9-46D7-8C27-A415D61CAFA8}">
      <text>
        <r>
          <rPr>
            <b/>
            <sz val="9"/>
            <color indexed="81"/>
            <rFont val="Tahoma"/>
            <family val="2"/>
          </rPr>
          <t>Jennifer Price:</t>
        </r>
        <r>
          <rPr>
            <sz val="9"/>
            <color indexed="81"/>
            <rFont val="Tahoma"/>
            <family val="2"/>
          </rPr>
          <t xml:space="preserve">
9 month accident period</t>
        </r>
      </text>
    </comment>
    <comment ref="R41" authorId="0" shapeId="0" xr:uid="{0F3687CC-2F01-4DDC-92B8-E3F32D10D14A}">
      <text>
        <r>
          <rPr>
            <b/>
            <sz val="9"/>
            <color indexed="81"/>
            <rFont val="Tahoma"/>
            <family val="2"/>
          </rPr>
          <t>Jennifer Price:</t>
        </r>
        <r>
          <rPr>
            <sz val="9"/>
            <color indexed="81"/>
            <rFont val="Tahoma"/>
            <family val="2"/>
          </rPr>
          <t xml:space="preserve">
12 month accident period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AC23" authorId="0" shapeId="0" xr:uid="{5FDAA012-C7EA-4C7A-8A45-AD22849745B2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- want to match prior. Only 100 in rx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U31" authorId="0" shapeId="0" xr:uid="{7A010D42-CDD0-4FEC-85BB-A4FB7D308193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1 open clm XS 250K (Ryan, Kelly)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S14" authorId="0" shapeId="0" xr:uid="{67E360AD-D5AF-4702-9E37-3C167E42257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Excludes XS and $0 rx clms</t>
        </r>
      </text>
    </comment>
    <comment ref="Q31" authorId="0" shapeId="0" xr:uid="{5EC18D44-3A4B-4AC9-892F-23675718271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1 open clm XS 250K (Ryan, Kelly)</t>
        </r>
      </text>
    </comment>
    <comment ref="Q37" authorId="0" shapeId="0" xr:uid="{632928E8-C690-48EB-8C5E-8B76E4BE0E85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assigning max ibnr</t>
        </r>
      </text>
    </comment>
    <comment ref="S50" authorId="0" shapeId="0" xr:uid="{D7DBECD4-03D9-433A-B53B-2D3AAF84CF55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Excludes XS and $0 rx clms</t>
        </r>
      </text>
    </comment>
    <comment ref="Q56" authorId="0" shapeId="0" xr:uid="{3A5C4348-6915-4038-9D0E-7522DA04D88D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250-350 layer ibnr since no case</t>
        </r>
      </text>
    </comment>
    <comment ref="Q57" authorId="0" shapeId="0" xr:uid="{7DCB2E13-0196-4113-B09A-B1A7A539B987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250-350 layer ibnr since no case</t>
        </r>
      </text>
    </comment>
    <comment ref="Q59" authorId="0" shapeId="0" xr:uid="{8C72F73E-176B-455A-99BC-9F5C51A19F2C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250-350 layer ibnr since no case</t>
        </r>
      </text>
    </comment>
    <comment ref="Q68" authorId="0" shapeId="0" xr:uid="{A9B21FE8-400F-4A83-821D-63E9304A09B5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250-350 layer ibnr since no case</t>
        </r>
      </text>
    </comment>
    <comment ref="Q71" authorId="0" shapeId="0" xr:uid="{037F3497-07B8-4647-9D14-8CDFCA19D177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250-350 layer ibnr since no case</t>
        </r>
      </text>
    </comment>
    <comment ref="Q73" authorId="0" shapeId="0" xr:uid="{1CE58A36-A026-4586-9D47-FABE0AD8218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assigning max ibnr</t>
        </r>
      </text>
    </comment>
    <comment ref="S86" authorId="0" shapeId="0" xr:uid="{19659B47-CE6D-442D-9C37-62E2ACCCFCA1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Excludes XS and $0 rx clms</t>
        </r>
      </text>
    </comment>
    <comment ref="Q92" authorId="0" shapeId="0" xr:uid="{8FC19648-BF63-42DA-9964-313C3D1403E3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93" authorId="0" shapeId="0" xr:uid="{154D3667-5455-4824-B127-2D32082BD0D2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94" authorId="0" shapeId="0" xr:uid="{AD0BD656-A6B3-4CC2-8F9A-6BA17FD217EA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95" authorId="0" shapeId="0" xr:uid="{6B250BCD-B40F-4CC8-8967-21D17149084F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103" authorId="0" shapeId="0" xr:uid="{F40F9EBC-D950-43F0-8884-182529BEB90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104" authorId="0" shapeId="0" xr:uid="{C398E15F-5FA7-4A25-9106-74741530E4BB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106" authorId="0" shapeId="0" xr:uid="{01B8731B-80C4-4E20-8CAD-1B4DA08599A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Q107" authorId="0" shapeId="0" xr:uid="{96518B3D-EDA1-4B00-9123-0DCD6DC1FCA9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350-500 layer ibnr since no case</t>
        </r>
      </text>
    </comment>
    <comment ref="AO111" authorId="0" shapeId="0" xr:uid="{5E6AD653-C8A2-47BB-ABC7-A78E050A0D4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  <comment ref="AO112" authorId="0" shapeId="0" xr:uid="{8B1E2BBA-C4D1-4B6F-B2E6-81AA27D18DBF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  <comment ref="AO113" authorId="0" shapeId="0" xr:uid="{EE82FD02-C9EA-4178-ACF1-E7E320A17C45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S14" authorId="0" shapeId="0" xr:uid="{10D82BAC-A886-4C21-AE99-BE377B2815AD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Excludes XS and $0 rx clms</t>
        </r>
      </text>
    </comment>
    <comment ref="Q20" authorId="0" shapeId="0" xr:uid="{11D61921-E2D9-4BDD-934D-5E0781E12831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Q23" authorId="0" shapeId="0" xr:uid="{CCCAB8FC-D245-4645-8068-666AC2E7823D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Q31" authorId="0" shapeId="0" xr:uid="{B0734322-ADF4-4CC3-8BC1-7E1BBFF8FE7B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Q32" authorId="0" shapeId="0" xr:uid="{85C44E3D-BE9D-4A83-B829-22EF74EBCFD4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Q34" authorId="0" shapeId="0" xr:uid="{F9238511-799C-4ABA-9162-90135566DEFD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Q37" authorId="0" shapeId="0" xr:uid="{CF36A2A7-993C-4269-B1F0-2D43F5056A31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zeroing out Ret-Unl layer ibnr since no case</t>
        </r>
      </text>
    </comment>
    <comment ref="AO39" authorId="0" shapeId="0" xr:uid="{2612AEF2-70EE-47BE-8806-268EDAA16648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  <comment ref="AO40" authorId="0" shapeId="0" xr:uid="{9FFDD5DF-3CA9-424C-BCDA-396951B53EB8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  <comment ref="AO41" authorId="0" shapeId="0" xr:uid="{795C270C-56D7-4257-910D-6B6E6814569A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OK since recent period</t>
        </r>
      </text>
    </comment>
    <comment ref="S50" authorId="0" shapeId="0" xr:uid="{3C59A20F-33BD-492D-8496-B5E5B0D43391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Excludes XS and $0 rx clms</t>
        </r>
      </text>
    </comment>
    <comment ref="AM58" authorId="0" shapeId="0" xr:uid="{D36326EC-19E4-400A-80D5-8BDD045DFDA4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(250K)</t>
        </r>
      </text>
    </comment>
    <comment ref="AN58" authorId="0" shapeId="0" xr:uid="{AA32E46E-A72A-4F92-9632-3C3D929F6BC9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(250K)</t>
        </r>
      </text>
    </comment>
    <comment ref="AM60" authorId="0" shapeId="0" xr:uid="{5F591E13-5781-419B-AC96-7E1E3031BF86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(250K)</t>
        </r>
      </text>
    </comment>
    <comment ref="AN60" authorId="0" shapeId="0" xr:uid="{4984CC18-5E34-47C6-9D5C-D2FEA5C5E3DB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(250K)</t>
        </r>
      </text>
    </comment>
    <comment ref="AM62" authorId="0" shapeId="0" xr:uid="{1F18FBD7-D880-4DFD-9AD2-0EE11BB29ED5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(350K)</t>
        </r>
      </text>
    </comment>
    <comment ref="AN62" authorId="0" shapeId="0" xr:uid="{BA0E9B6E-B69A-4AA3-8DD4-D4F50C62649E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500K minus Ret (350K)</t>
        </r>
      </text>
    </comment>
    <comment ref="Q74" authorId="0" shapeId="0" xr:uid="{684F65CE-6C7A-4CAF-B523-0DE75615F6FB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claims &gt;750K for 2016 or 2017</t>
        </r>
      </text>
    </comment>
    <comment ref="Q75" authorId="0" shapeId="0" xr:uid="{8A1ABD7B-F534-437C-9153-4FBED3C9AF13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claims &gt;750K for 2016 or 2017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Briggs</author>
  </authors>
  <commentList>
    <comment ref="M12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Exposure Adjustments</t>
        </r>
      </text>
    </comment>
    <comment ref="N12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No Exposure Adjustments</t>
        </r>
      </text>
    </comment>
    <comment ref="M40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 Lvl</t>
        </r>
      </text>
    </comment>
    <comment ref="N40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 Lvl</t>
        </r>
      </text>
    </comment>
    <comment ref="M69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 and Exposure Mix Lvl</t>
        </r>
      </text>
    </comment>
    <comment ref="N69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Jimmy Briggs:</t>
        </r>
        <r>
          <rPr>
            <sz val="9"/>
            <color indexed="81"/>
            <rFont val="Tahoma"/>
            <family val="2"/>
          </rPr>
          <t xml:space="preserve">
Current Ben and Exposure Mix Lvl</t>
        </r>
      </text>
    </comment>
  </commentList>
</comments>
</file>

<file path=xl/sharedStrings.xml><?xml version="1.0" encoding="utf-8"?>
<sst xmlns="http://schemas.openxmlformats.org/spreadsheetml/2006/main" count="3792" uniqueCount="838">
  <si>
    <t>Client:</t>
  </si>
  <si>
    <t>Coverage:</t>
  </si>
  <si>
    <t>Workers Compensation</t>
  </si>
  <si>
    <t>Policy</t>
  </si>
  <si>
    <t>Period</t>
  </si>
  <si>
    <t>Payroll</t>
  </si>
  <si>
    <t>($000's)</t>
  </si>
  <si>
    <t>Loss Type:</t>
  </si>
  <si>
    <t>Loss &amp; ALAE</t>
  </si>
  <si>
    <t>Tri Start:</t>
  </si>
  <si>
    <t>Tri Incr:</t>
  </si>
  <si>
    <t>Exposure</t>
  </si>
  <si>
    <t>($00's)</t>
  </si>
  <si>
    <t>($Millions)</t>
  </si>
  <si>
    <t>Unl</t>
  </si>
  <si>
    <t>Retention</t>
  </si>
  <si>
    <t>Ret</t>
  </si>
  <si>
    <t>Eval</t>
  </si>
  <si>
    <t>Prior</t>
  </si>
  <si>
    <t>Ages</t>
  </si>
  <si>
    <t>Aggregate</t>
  </si>
  <si>
    <t>Start</t>
  </si>
  <si>
    <t>End</t>
  </si>
  <si>
    <t>AAD</t>
  </si>
  <si>
    <t>Length</t>
  </si>
  <si>
    <t>Age</t>
  </si>
  <si>
    <t>TPA</t>
  </si>
  <si>
    <t>Ending 9/30</t>
  </si>
  <si>
    <t>Exposure:</t>
  </si>
  <si>
    <t>Evals:</t>
  </si>
  <si>
    <t>Old:</t>
  </si>
  <si>
    <t>Limited to $250,000</t>
  </si>
  <si>
    <t>Limited to $350,000</t>
  </si>
  <si>
    <t>Limited to $500,000</t>
  </si>
  <si>
    <t>Unlimited</t>
  </si>
  <si>
    <t>Limited to Retention</t>
  </si>
  <si>
    <t>Excess</t>
  </si>
  <si>
    <t>XS</t>
  </si>
  <si>
    <t>Excess of Retention</t>
  </si>
  <si>
    <t>Limits:</t>
  </si>
  <si>
    <t>Combined</t>
  </si>
  <si>
    <t>PYE 9/30</t>
  </si>
  <si>
    <t>Policy Periods:</t>
  </si>
  <si>
    <t>Limited to $750,000</t>
  </si>
  <si>
    <t>Broadspire</t>
  </si>
  <si>
    <t>Argonaut</t>
  </si>
  <si>
    <t>Insurer</t>
  </si>
  <si>
    <t>Atlantic Mutual</t>
  </si>
  <si>
    <t>Travelers</t>
  </si>
  <si>
    <t>Hartford</t>
  </si>
  <si>
    <t>Ace</t>
  </si>
  <si>
    <t>Safety National</t>
  </si>
  <si>
    <t>Corvel</t>
  </si>
  <si>
    <t>Abbr.</t>
  </si>
  <si>
    <t>Exposures - Payroll ($000's)</t>
  </si>
  <si>
    <t>Adjusted</t>
  </si>
  <si>
    <t>% Chg</t>
  </si>
  <si>
    <t>Yr-Yr</t>
  </si>
  <si>
    <t>Per Occ.</t>
  </si>
  <si>
    <t>Retention(s)</t>
  </si>
  <si>
    <t>BLAF</t>
  </si>
  <si>
    <t>Unadj.</t>
  </si>
  <si>
    <t>Adj.</t>
  </si>
  <si>
    <t>Adj. Fact.</t>
  </si>
  <si>
    <t>Ret Short</t>
  </si>
  <si>
    <t>Tris</t>
  </si>
  <si>
    <t>Yr Type:</t>
  </si>
  <si>
    <t>Current Policy Period:</t>
  </si>
  <si>
    <t>Title:</t>
  </si>
  <si>
    <t>Division:</t>
  </si>
  <si>
    <t>All Operations</t>
  </si>
  <si>
    <t>Reported</t>
  </si>
  <si>
    <t>Unlimited Loss &amp; ALAE</t>
  </si>
  <si>
    <t/>
  </si>
  <si>
    <t>Case</t>
  </si>
  <si>
    <t>Paid</t>
  </si>
  <si>
    <t>Reserves</t>
  </si>
  <si>
    <t>*</t>
  </si>
  <si>
    <t>Total</t>
  </si>
  <si>
    <t>Losses and ALAE Limited to $250,000</t>
  </si>
  <si>
    <t>Losses and ALAE Limited to $350,000</t>
  </si>
  <si>
    <t>Losses and ALAE Limited to $500,000</t>
  </si>
  <si>
    <t>Aggregate Adjusted</t>
  </si>
  <si>
    <t>Notes:</t>
  </si>
  <si>
    <t>Lost-Time</t>
  </si>
  <si>
    <t>Losses &amp; ALAE Limited to Retention</t>
  </si>
  <si>
    <t>Excess of</t>
  </si>
  <si>
    <t>Losses and ALAE Limited to $750,000</t>
  </si>
  <si>
    <t>Reported Claim Counts</t>
  </si>
  <si>
    <t>Check Retained</t>
  </si>
  <si>
    <t>Limit</t>
  </si>
  <si>
    <t>XS Paid</t>
  </si>
  <si>
    <t>XS Rept</t>
  </si>
  <si>
    <t>Rept</t>
  </si>
  <si>
    <t>Open Claim Counts</t>
  </si>
  <si>
    <t>Case reserves equal reported minus paid losses.</t>
  </si>
  <si>
    <t>Limited reported and paid losses equal statutory limits (unlimited) losses minus excess losses on a per occurrence basis.</t>
  </si>
  <si>
    <t>Reported Loss &amp; ALAE Limited to $250,000</t>
  </si>
  <si>
    <t>Evaluation Date in Months:</t>
  </si>
  <si>
    <t>Age-Age Development:</t>
  </si>
  <si>
    <t>All Years Average</t>
  </si>
  <si>
    <t>All Years Weighted</t>
  </si>
  <si>
    <t>4 Years Weighted</t>
  </si>
  <si>
    <t>3 Years Weighted</t>
  </si>
  <si>
    <t>Industry</t>
  </si>
  <si>
    <t>Selected</t>
  </si>
  <si>
    <t>Age to Age</t>
  </si>
  <si>
    <t>Age to Ultimate</t>
  </si>
  <si>
    <t>Year:</t>
  </si>
  <si>
    <t>Rept 250K</t>
  </si>
  <si>
    <t>Rept 350K</t>
  </si>
  <si>
    <t>Rept 500K</t>
  </si>
  <si>
    <t>Rept Unl</t>
  </si>
  <si>
    <t>Rept 750K</t>
  </si>
  <si>
    <t>Paid Unl</t>
  </si>
  <si>
    <t>Paid 750K</t>
  </si>
  <si>
    <t>Paid 500K</t>
  </si>
  <si>
    <t>Paid 350K</t>
  </si>
  <si>
    <t>Paid 250K</t>
  </si>
  <si>
    <t>Rept 300K</t>
  </si>
  <si>
    <t>Paid 300K</t>
  </si>
  <si>
    <t>Avg</t>
  </si>
  <si>
    <t>Expected Loss State Blended Industry CDFs :</t>
  </si>
  <si>
    <t>Not all averages are shown.  Selected age to age factors are based on a review of all averages and actuarial judgment.</t>
  </si>
  <si>
    <t>SheetList</t>
  </si>
  <si>
    <t>Print</t>
  </si>
  <si>
    <t>RH_1</t>
  </si>
  <si>
    <t>RH_2</t>
  </si>
  <si>
    <t>RH_3</t>
  </si>
  <si>
    <t>RH_4</t>
  </si>
  <si>
    <t>LH_1</t>
  </si>
  <si>
    <t>LH_2</t>
  </si>
  <si>
    <t>LH_3</t>
  </si>
  <si>
    <t>LH_4</t>
  </si>
  <si>
    <t>LFooter</t>
  </si>
  <si>
    <t>CFooter</t>
  </si>
  <si>
    <t>RFooter</t>
  </si>
  <si>
    <t>HFfont</t>
  </si>
  <si>
    <t>OptionalTabName</t>
  </si>
  <si>
    <t>Index</t>
  </si>
  <si>
    <t>N</t>
  </si>
  <si>
    <t>Intro</t>
  </si>
  <si>
    <t>P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</si>
  <si>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</si>
  <si>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</si>
  <si>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</si>
  <si>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</si>
  <si>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</si>
  <si>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</si>
  <si>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</si>
  <si>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</si>
  <si>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</si>
  <si>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</si>
  <si>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e8.11</t>
  </si>
  <si>
    <t>DNP -&gt;</t>
  </si>
  <si>
    <t>Industry LDF</t>
  </si>
  <si>
    <t>Exhibit 7</t>
  </si>
  <si>
    <t>Exhibit 8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</si>
  <si>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</si>
  <si>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</si>
  <si>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</si>
  <si>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</si>
  <si>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</si>
  <si>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</si>
  <si>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</si>
  <si>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</si>
  <si>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</si>
  <si>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Sheet 10</t>
  </si>
  <si>
    <t>Sheet 11</t>
  </si>
  <si>
    <t>OWAC</t>
  </si>
  <si>
    <t>Arial</t>
  </si>
  <si>
    <t>Industry based on information published by National Council on Compensation Insurance (NCCI).</t>
  </si>
  <si>
    <t>Checks</t>
  </si>
  <si>
    <t>Pattern</t>
  </si>
  <si>
    <t>Paid &gt; Rept</t>
  </si>
  <si>
    <t>Paid Loss &amp; ALAE Limited to $250,000</t>
  </si>
  <si>
    <t>Reported Loss &amp; ALAE Limited to $350,000</t>
  </si>
  <si>
    <t>Paid Loss &amp; ALAE Limited to $350,000</t>
  </si>
  <si>
    <t>Reported Loss &amp; ALAE Limited to $500,000</t>
  </si>
  <si>
    <t>Paid Loss &amp; ALAE Limited to $500,000</t>
  </si>
  <si>
    <t>Unlimited Reported Loss &amp; ALAE</t>
  </si>
  <si>
    <t>Unlimited Paid Loss &amp; ALAE</t>
  </si>
  <si>
    <t>Prior LDF</t>
  </si>
  <si>
    <t>LT Cnt</t>
  </si>
  <si>
    <t>Reported Lost-Time Claim Counts</t>
  </si>
  <si>
    <t>Open Lost-Time Claim Counts</t>
  </si>
  <si>
    <t xml:space="preserve">Average Case Reserve per Open Lost-Time Claim - Loss &amp; ALAE Limited to $250,000 </t>
  </si>
  <si>
    <t>Reported Lost-Time Claim Frequency per $1,000,000 of Payroll</t>
  </si>
  <si>
    <t>($Million)</t>
  </si>
  <si>
    <t>Derivation of Present Value Factors</t>
  </si>
  <si>
    <t>750K / 500K Relativities</t>
  </si>
  <si>
    <t>IBNR</t>
  </si>
  <si>
    <t>UNPD</t>
  </si>
  <si>
    <t>750K Derivation</t>
  </si>
  <si>
    <t>Prelim CDF</t>
  </si>
  <si>
    <t>Incr</t>
  </si>
  <si>
    <t>Final CDF</t>
  </si>
  <si>
    <t>Interpolated LDFs:</t>
  </si>
  <si>
    <t>Persistencies</t>
  </si>
  <si>
    <t>Cnts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</si>
  <si>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</si>
  <si>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</si>
  <si>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</si>
  <si>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</si>
  <si>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</si>
  <si>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</si>
  <si>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</si>
  <si>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</si>
  <si>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</si>
  <si>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Exhibit 9</t>
  </si>
  <si>
    <t>Loss &amp; ALAE Limited to $250,000</t>
  </si>
  <si>
    <t>Loss &amp; ALAE Limited to $350,000</t>
  </si>
  <si>
    <t>Loss &amp; ALAE Limited to $500,000</t>
  </si>
  <si>
    <t>Loss &amp; ALAE Limited to $750,000</t>
  </si>
  <si>
    <t>(1)  Anticipated rate of return</t>
  </si>
  <si>
    <t>Present</t>
  </si>
  <si>
    <t>Months</t>
  </si>
  <si>
    <t>Cumulative</t>
  </si>
  <si>
    <t>Incremental</t>
  </si>
  <si>
    <t>Upward</t>
  </si>
  <si>
    <t>Value</t>
  </si>
  <si>
    <t>at</t>
  </si>
  <si>
    <t>Percent</t>
  </si>
  <si>
    <t>Sum of</t>
  </si>
  <si>
    <t>at Time</t>
  </si>
  <si>
    <t>Time t</t>
  </si>
  <si>
    <t>Column 4</t>
  </si>
  <si>
    <t>t = 0</t>
  </si>
  <si>
    <t>Column 6</t>
  </si>
  <si>
    <t>Factor</t>
  </si>
  <si>
    <t>(2)</t>
  </si>
  <si>
    <t>(3)</t>
  </si>
  <si>
    <t>(4)</t>
  </si>
  <si>
    <t>(5)</t>
  </si>
  <si>
    <t>(6)</t>
  </si>
  <si>
    <t>(7)</t>
  </si>
  <si>
    <t>(8)</t>
  </si>
  <si>
    <t>Column (4) equals incremental differences of Column (3).</t>
  </si>
  <si>
    <t>Column (6) equals  [ (4) / ( { 1.0 + (1) } ^ { ( (2) - 6.0 ) / 12.0 } ) ].</t>
  </si>
  <si>
    <t>Column (8) equals  [ ( { 1.0 + (1) } ^ { ( (2) - 12.0 ) / 12.0 } ) x (7) / (5) ].</t>
  </si>
  <si>
    <t>+</t>
  </si>
  <si>
    <t>Retained Loss &amp; ALAE - Before Aggregate</t>
  </si>
  <si>
    <t>Actual</t>
  </si>
  <si>
    <t>Change in</t>
  </si>
  <si>
    <t>Expected</t>
  </si>
  <si>
    <t>Ultimate</t>
  </si>
  <si>
    <t>Expected Percent</t>
  </si>
  <si>
    <t>Minus</t>
  </si>
  <si>
    <t>Change In</t>
  </si>
  <si>
    <t>Losses at</t>
  </si>
  <si>
    <t>Actual Reported Losses as of</t>
  </si>
  <si>
    <t>Reported as of</t>
  </si>
  <si>
    <t>Losses</t>
  </si>
  <si>
    <t>(1)</t>
  </si>
  <si>
    <t>(2a)</t>
  </si>
  <si>
    <t>(2b)</t>
  </si>
  <si>
    <t>(3a)</t>
  </si>
  <si>
    <t>(3b)</t>
  </si>
  <si>
    <t>SECTION II - PAID LOSS</t>
  </si>
  <si>
    <t>Actual Paid Losses as of</t>
  </si>
  <si>
    <t>Paid as of</t>
  </si>
  <si>
    <t>Column (5) equals [{Column (1) - Column (2a)} x {{Column (3b) - Column (3a)} / {1.00 - Column (3a)}}].</t>
  </si>
  <si>
    <t>Losses are prior to Aggregate Limits.</t>
  </si>
  <si>
    <t>250K</t>
  </si>
  <si>
    <t>350K</t>
  </si>
  <si>
    <t>500K</t>
  </si>
  <si>
    <t>750K</t>
  </si>
  <si>
    <t xml:space="preserve">Rept </t>
  </si>
  <si>
    <t>Current:</t>
  </si>
  <si>
    <t>Triangle:</t>
  </si>
  <si>
    <t>CHECKS</t>
  </si>
  <si>
    <t>Current</t>
  </si>
  <si>
    <t xml:space="preserve">Paid </t>
  </si>
  <si>
    <t>Column (4) equals (2b) - (2a).</t>
  </si>
  <si>
    <t>Column (6) equals (4) - (5).</t>
  </si>
  <si>
    <t>Column (7) from Exhibit 2, Sheet 1, Column (9).</t>
  </si>
  <si>
    <t>Column (8) equals (7) - (1).</t>
  </si>
  <si>
    <t>SECTION I - REPORTED LOSS</t>
  </si>
  <si>
    <t>Excess Loss &amp; ALAE - Before Aggregate</t>
  </si>
  <si>
    <t>e1.4</t>
  </si>
  <si>
    <t>e2.1</t>
  </si>
  <si>
    <t>e2.2</t>
  </si>
  <si>
    <t>e2.3</t>
  </si>
  <si>
    <t>e3.1A</t>
  </si>
  <si>
    <t>e3.1B</t>
  </si>
  <si>
    <t>e3.1C</t>
  </si>
  <si>
    <t>e3.2A</t>
  </si>
  <si>
    <t>e3.2B</t>
  </si>
  <si>
    <t>e3.2C</t>
  </si>
  <si>
    <t>e3.3A</t>
  </si>
  <si>
    <t>e3.3B</t>
  </si>
  <si>
    <t>e3.3C</t>
  </si>
  <si>
    <t>e3.4A</t>
  </si>
  <si>
    <t>e3.4B</t>
  </si>
  <si>
    <t>e3.4C</t>
  </si>
  <si>
    <t>e3.5A</t>
  </si>
  <si>
    <t>e3.5B</t>
  </si>
  <si>
    <t>e3.5C</t>
  </si>
  <si>
    <t>e4.1</t>
  </si>
  <si>
    <t>e5.1</t>
  </si>
  <si>
    <t>e5.2</t>
  </si>
  <si>
    <t>e5.3</t>
  </si>
  <si>
    <t>e5.4</t>
  </si>
  <si>
    <t>e6.1</t>
  </si>
  <si>
    <t>e6.2</t>
  </si>
  <si>
    <t>e10.1</t>
  </si>
  <si>
    <t>e10.2</t>
  </si>
  <si>
    <t>Exhibit 6</t>
  </si>
  <si>
    <t>Exhibit 5</t>
  </si>
  <si>
    <t>Exhibit 4</t>
  </si>
  <si>
    <t>Sheet 2A</t>
  </si>
  <si>
    <t>Sheet 2B</t>
  </si>
  <si>
    <t>Sheet 2C</t>
  </si>
  <si>
    <t>Exhibit 3</t>
  </si>
  <si>
    <t>Sheet 5C</t>
  </si>
  <si>
    <t>Sheet 5A</t>
  </si>
  <si>
    <t>Sheet 5B</t>
  </si>
  <si>
    <t>Sheet 1A</t>
  </si>
  <si>
    <t>Sheet 1B</t>
  </si>
  <si>
    <t>Sheet 1C</t>
  </si>
  <si>
    <t>Sheet 3A</t>
  </si>
  <si>
    <t>Sheet 3B</t>
  </si>
  <si>
    <t>Sheet 3C</t>
  </si>
  <si>
    <t>Sheet 4A</t>
  </si>
  <si>
    <t>Sheet 4B</t>
  </si>
  <si>
    <t>Sheet 4C</t>
  </si>
  <si>
    <t>Exhibit 2</t>
  </si>
  <si>
    <t>Exhibit 1</t>
  </si>
  <si>
    <t>Exhibit 10</t>
  </si>
  <si>
    <t>Reported Lost-Time Claim Methods</t>
  </si>
  <si>
    <t>Estimated</t>
  </si>
  <si>
    <t>Age to</t>
  </si>
  <si>
    <t>Indicated</t>
  </si>
  <si>
    <t>Bornhuetter-</t>
  </si>
  <si>
    <t>as of</t>
  </si>
  <si>
    <t>Frequency</t>
  </si>
  <si>
    <t>Fitted</t>
  </si>
  <si>
    <t>Ferguson</t>
  </si>
  <si>
    <t>Factors</t>
  </si>
  <si>
    <t>Method</t>
  </si>
  <si>
    <t>Columns (1) and (4) provided by Aveanna Healthcare.</t>
  </si>
  <si>
    <t>The age to ultimate factors in Column (2) are derived from Exhibit 8, Sheet 9.</t>
  </si>
  <si>
    <t>Column (8) equals { Column (1) + Column (4) x Column (7) x [ 1.0 - 1.0 / Column (2) ] / 1,000 }.</t>
  </si>
  <si>
    <t>Claim Cnts</t>
  </si>
  <si>
    <t>Trended to</t>
  </si>
  <si>
    <t>Adjustment</t>
  </si>
  <si>
    <t>Log</t>
  </si>
  <si>
    <t>Loss</t>
  </si>
  <si>
    <t>Severity</t>
  </si>
  <si>
    <t>Cost</t>
  </si>
  <si>
    <t>Level</t>
  </si>
  <si>
    <t>LOST-TIME FREQUENCY TREND</t>
  </si>
  <si>
    <t>Mid-Mid</t>
  </si>
  <si>
    <t>Trend</t>
  </si>
  <si>
    <t>&lt;- Prior Untrended</t>
  </si>
  <si>
    <t>&lt;- Prior Trended</t>
  </si>
  <si>
    <t>&lt;- % Diff</t>
  </si>
  <si>
    <t>Column (5) equals (3) / (4) x 1,000</t>
  </si>
  <si>
    <t>Column (3) equals (1) x (2).</t>
  </si>
  <si>
    <t>Estimate of Ultimate Lost-Time Claim Counts</t>
  </si>
  <si>
    <t>Closed</t>
  </si>
  <si>
    <t>Claim</t>
  </si>
  <si>
    <t>Implied</t>
  </si>
  <si>
    <t>Columns (1) and (2) are from Exhibit 6, Sheet 2, Columns (3) and (8), respectively.</t>
  </si>
  <si>
    <t>Column (3) based on Columns (1) and (2) and actuarial judgment.</t>
  </si>
  <si>
    <t>Column (4) equals Column (3) divided by Payroll ($000's) and multiplied by 1,000.</t>
  </si>
  <si>
    <t>Column (5) provided by Aveanna Healthcare.</t>
  </si>
  <si>
    <t>Dev't</t>
  </si>
  <si>
    <t>Open &amp;</t>
  </si>
  <si>
    <t>Counts</t>
  </si>
  <si>
    <t>BF</t>
  </si>
  <si>
    <t xml:space="preserve"> </t>
  </si>
  <si>
    <t>Column (6) equals (3) - (5).</t>
  </si>
  <si>
    <t>Initial</t>
  </si>
  <si>
    <t>Trended</t>
  </si>
  <si>
    <t>Benefit</t>
  </si>
  <si>
    <t>Average</t>
  </si>
  <si>
    <t>Claim Counts</t>
  </si>
  <si>
    <t>Column (2) based on insurance industry information.</t>
  </si>
  <si>
    <t>Column (3) is from Exhibit 6, Sheet 1, Column (3).</t>
  </si>
  <si>
    <t>e4.2</t>
  </si>
  <si>
    <t>e4.3</t>
  </si>
  <si>
    <t>e4.4</t>
  </si>
  <si>
    <t>e4.5</t>
  </si>
  <si>
    <t>e4.6</t>
  </si>
  <si>
    <t xml:space="preserve">Average Severity Method - Unlimited Loss &amp; ALAE </t>
  </si>
  <si>
    <t>Average Severity Method - Loss &amp; ALAE Limited to $250,000</t>
  </si>
  <si>
    <t>Average Severity Method - Loss &amp; ALAE Limited to $350,000</t>
  </si>
  <si>
    <t>Average Severity Method - Loss &amp; ALAE Limited to $500,000</t>
  </si>
  <si>
    <t xml:space="preserve">Loss Cost Method - Unlimited Loss &amp; ALAE </t>
  </si>
  <si>
    <t>Loss Cost Method - Loss &amp; ALAE Limited to $250,000</t>
  </si>
  <si>
    <t>Loss Cost Method - Loss &amp; ALAE Limited to $350,000</t>
  </si>
  <si>
    <t>Loss Cost Method - Loss &amp; ALAE Limited to $500,000</t>
  </si>
  <si>
    <t>Loss Cost Method Summary</t>
  </si>
  <si>
    <t>Frequency, Severity, and Loss Cost Trends</t>
  </si>
  <si>
    <t>Case Development Method - Loss &amp; ALAE Limited to $250,000</t>
  </si>
  <si>
    <t>Case Development Method - Loss &amp; ALAE Excess Retention</t>
  </si>
  <si>
    <t>Case Development Method - Loss &amp; ALAE Limited to Retention</t>
  </si>
  <si>
    <t>Paid Bornhuetter-Ferguson Method - Loss &amp; ALAE Limited to $250,000</t>
  </si>
  <si>
    <t>Paid Bornhuetter-Ferguson Method - Loss &amp; ALAE Excess Retention</t>
  </si>
  <si>
    <t>Paid Bornhuetter-Ferguson Method - Loss &amp; ALAE Limited to Retention</t>
  </si>
  <si>
    <t>Reported Bornhuetter-Ferguson Method - Loss &amp; ALAE Limited to Retention</t>
  </si>
  <si>
    <t>Reported Bornhuetter-Ferguson Method - Loss &amp; ALAE Excess Retention</t>
  </si>
  <si>
    <t>Reported Bornhuetter-Ferguson Method - Loss &amp; ALAE Limited to $250,000</t>
  </si>
  <si>
    <t>Reported Development Method</t>
  </si>
  <si>
    <t>Paid Development Method</t>
  </si>
  <si>
    <t>Section IV - Unlimited Loss &amp; ALAE</t>
  </si>
  <si>
    <t>Section V - Loss &amp; ALAE Limited to Retention</t>
  </si>
  <si>
    <t>Col</t>
  </si>
  <si>
    <t>Ult</t>
  </si>
  <si>
    <t>A Priori</t>
  </si>
  <si>
    <t>IBNR per</t>
  </si>
  <si>
    <t>Open</t>
  </si>
  <si>
    <t>Section I - Loss &amp; ALAE Limited to $250,000</t>
  </si>
  <si>
    <t>Section II - Loss &amp; ALAE Limited to $350,000</t>
  </si>
  <si>
    <t>Section III - Loss &amp; ALAE Limited to $500,000</t>
  </si>
  <si>
    <t>Loss Cost</t>
  </si>
  <si>
    <t>Unadjusted</t>
  </si>
  <si>
    <t>&lt;- Freq/Sev</t>
  </si>
  <si>
    <t>Columns (2) and (4) derived from insurance industry information.</t>
  </si>
  <si>
    <t>Column (3) provided by Aveanna Healthcare.</t>
  </si>
  <si>
    <t>Column (6) equals [Column (1) x Column (2) / Column (5)].</t>
  </si>
  <si>
    <t>Column (7) equals [Column (6) x trend].</t>
  </si>
  <si>
    <t>Retained</t>
  </si>
  <si>
    <t>(1a)</t>
  </si>
  <si>
    <t>(1b)</t>
  </si>
  <si>
    <t>(1c)</t>
  </si>
  <si>
    <t>(1d)</t>
  </si>
  <si>
    <t>(1e)</t>
  </si>
  <si>
    <t>Selected Loss Cost - Limited to $250,000</t>
  </si>
  <si>
    <t>Indicated Loss Cost - Limited to $350,000</t>
  </si>
  <si>
    <t>Indicated Loss Cost - Limited to $500,000</t>
  </si>
  <si>
    <t>Indicated Loss Cost - Unlimited</t>
  </si>
  <si>
    <t>Selected Lost Cost - Limited to $350,000</t>
  </si>
  <si>
    <t>Selected Lost Cost - Limited to $500,000</t>
  </si>
  <si>
    <t>Selected Lost Cost - Limited to $750,000</t>
  </si>
  <si>
    <t>Selected Lost Cost - Unlimited</t>
  </si>
  <si>
    <t xml:space="preserve">   the cost level, benefit level, and average payroll mix level of the respective policy periods.</t>
  </si>
  <si>
    <t>Column (2) provided by Aveanna Healthcare.</t>
  </si>
  <si>
    <t>* Increased limits factors based on NCCI Industry factors.</t>
  </si>
  <si>
    <t>Smoothed Selected Loss &amp; ALAE Cost at:</t>
  </si>
  <si>
    <t>Adj. Factor</t>
  </si>
  <si>
    <t>Increased Limits Factor from $250K to $350K *</t>
  </si>
  <si>
    <t>Increased Limits Factor from $250K to $500K *</t>
  </si>
  <si>
    <t>Increased Limits Factor from $250K to $750K *</t>
  </si>
  <si>
    <t>Increased Limits Factor from $250K to Unlimited *</t>
  </si>
  <si>
    <t>Indicated Lost Cost - Limited to $350,000 Using Industry ILF:</t>
  </si>
  <si>
    <t>Indicated Lost Cost - Limited to $500,000 Using Industry ILF:</t>
  </si>
  <si>
    <t>Indicated Lost Cost - Limited to $750,000 Using Industry ILF:</t>
  </si>
  <si>
    <t>Indicated Unlimited Lost Cost - Using Industry ILF:</t>
  </si>
  <si>
    <t>Indicated /</t>
  </si>
  <si>
    <t>ILF Derived</t>
  </si>
  <si>
    <t>Untrended</t>
  </si>
  <si>
    <t>%</t>
  </si>
  <si>
    <t>Diff</t>
  </si>
  <si>
    <t>Trend Factors</t>
  </si>
  <si>
    <t>(1f)</t>
  </si>
  <si>
    <t>SEVERITY TREND - LOSS &amp; ALAE LIMITED TO $500,000</t>
  </si>
  <si>
    <t>LOSS COST TREND - LOSS &amp; ALAE LIMITED TO $500,000</t>
  </si>
  <si>
    <t>Policy Period Ending 9/30</t>
  </si>
  <si>
    <t>Outstanding</t>
  </si>
  <si>
    <t>Incurred</t>
  </si>
  <si>
    <t>of Ultimate</t>
  </si>
  <si>
    <t>But Not</t>
  </si>
  <si>
    <t>Column (7) equals { (6) / Payroll ($000's) }.</t>
  </si>
  <si>
    <t>Column (5) equals { (2) x [ 1.0 - (3) ] / [ (3) - (4) ] }.</t>
  </si>
  <si>
    <t>Column (6) equals [ (1) + (2) + (5) ].</t>
  </si>
  <si>
    <t>Estimate</t>
  </si>
  <si>
    <t>Unpaid</t>
  </si>
  <si>
    <t>Column (3) equals [ (1) x { 1.0 - 1.0 / (2) } ].</t>
  </si>
  <si>
    <t>Column (6) equals [ (5) / Payroll ($000's) ].</t>
  </si>
  <si>
    <t>Column (5) equals (3) + (4).</t>
  </si>
  <si>
    <t>Column (5) equals (3) / (4).</t>
  </si>
  <si>
    <t>Section VI - Loss &amp; ALAE Excess of Retention</t>
  </si>
  <si>
    <t>The age to ultimate factors in Column (2) are derived from Exhibit 8.</t>
  </si>
  <si>
    <t>Check</t>
  </si>
  <si>
    <t>Derivation of XS LDFs:</t>
  </si>
  <si>
    <t>ELAPPF :</t>
  </si>
  <si>
    <t>Loss Cost :</t>
  </si>
  <si>
    <t>Ltd / Unl :</t>
  </si>
  <si>
    <t>Unl / XS :</t>
  </si>
  <si>
    <t>Percent Paid / Reported:</t>
  </si>
  <si>
    <t>Prelim Excess CDFs:</t>
  </si>
  <si>
    <t>Incremental Excess LDFs:</t>
  </si>
  <si>
    <t>Final Excess CDFs:</t>
  </si>
  <si>
    <t>Selected CDFs from Triangles / XS Derivations:</t>
  </si>
  <si>
    <t>Sel</t>
  </si>
  <si>
    <t>XS Paid 250K</t>
  </si>
  <si>
    <t>Loss &amp; ALAE Excess of $250,000</t>
  </si>
  <si>
    <t>Loss &amp; ALAE Excess of $350,000</t>
  </si>
  <si>
    <t>Loss &amp; ALAE Excess of $500,000</t>
  </si>
  <si>
    <t>Loss &amp; ALAE Excess of $750,000</t>
  </si>
  <si>
    <t>12/31/17</t>
  </si>
  <si>
    <t>Excess Paid</t>
  </si>
  <si>
    <t>Unreported</t>
  </si>
  <si>
    <t>Estimate of Ultimate Losses - Loss &amp; ALAE Limited to Retention</t>
  </si>
  <si>
    <t>Estimate of Ultimate Losses - Loss &amp; ALAE Excess of Retention</t>
  </si>
  <si>
    <t>Estimate of Ultimate Losses - Loss &amp; ALAE Limited to $250,000</t>
  </si>
  <si>
    <t>Lost Time</t>
  </si>
  <si>
    <t>Development</t>
  </si>
  <si>
    <t>within the</t>
  </si>
  <si>
    <t>Open &gt;</t>
  </si>
  <si>
    <t>Rptd</t>
  </si>
  <si>
    <t>UIt</t>
  </si>
  <si>
    <t>AvE</t>
  </si>
  <si>
    <t>Chg</t>
  </si>
  <si>
    <t>Max IBNR</t>
  </si>
  <si>
    <t>(8a)</t>
  </si>
  <si>
    <t>(8b)</t>
  </si>
  <si>
    <t>Open &amp; IBNR</t>
  </si>
  <si>
    <t>IBNR /</t>
  </si>
  <si>
    <t>Column (3) is from Exhibit 3, Sheet 3A, Column (5).</t>
  </si>
  <si>
    <t>Column (4) is from Exhibit 3, Sheet 4A, Column (5).</t>
  </si>
  <si>
    <t>Column (5) is from Exhibit 3, Sheet 5A, Column (6).</t>
  </si>
  <si>
    <t>Column (8a) is from Exhibit 6, Sheet 1, Column (6).</t>
  </si>
  <si>
    <t>Column (8b) based on Column (8a) and analysis of large open claims.</t>
  </si>
  <si>
    <t>Column (9) based on Columns (1) through (8b) and actuarial judgment.</t>
  </si>
  <si>
    <t>Column (10) equals Column (9) divided by Payroll ($000's).</t>
  </si>
  <si>
    <t>XS Paid 750K</t>
  </si>
  <si>
    <t>XS Paid 500K</t>
  </si>
  <si>
    <t>XS Paid 350K</t>
  </si>
  <si>
    <t>XS Open</t>
  </si>
  <si>
    <t>Under</t>
  </si>
  <si>
    <t>Undiscounted</t>
  </si>
  <si>
    <t>Expected Value</t>
  </si>
  <si>
    <t>50% Confidence Level</t>
  </si>
  <si>
    <t>60% Confidence Level</t>
  </si>
  <si>
    <t>70% Confidence Level</t>
  </si>
  <si>
    <t>80% Confidence Level</t>
  </si>
  <si>
    <t>90% Confidence Level</t>
  </si>
  <si>
    <t>3.0% Interest</t>
  </si>
  <si>
    <t>Projected Policy Period:</t>
  </si>
  <si>
    <t>Discount</t>
  </si>
  <si>
    <t>Factor at</t>
  </si>
  <si>
    <t>Discounted</t>
  </si>
  <si>
    <t>II. Loss &amp; ALAE Excess Retention:</t>
  </si>
  <si>
    <t>III. Unlimited Loss &amp; ALAE</t>
  </si>
  <si>
    <t>I. Retained* Loss &amp; ALAE:</t>
  </si>
  <si>
    <t>CL</t>
  </si>
  <si>
    <t>On an unlimited basis, expected value estimates equal retained plus excess.</t>
  </si>
  <si>
    <t>The confidence level estimates were produced with a Monte Carlo simulation model.</t>
  </si>
  <si>
    <t>Column (4) equals Column (2) - Column (3).</t>
  </si>
  <si>
    <t>Column (5) equals Column (1) - Column (2).</t>
  </si>
  <si>
    <t>Column (6) equals Column (4) + Column (5).</t>
  </si>
  <si>
    <t>Column (7) is from Exhibit 9.</t>
  </si>
  <si>
    <t>Excess Layer</t>
  </si>
  <si>
    <t>Interpolation of Discount Factors:</t>
  </si>
  <si>
    <t>XS 750K</t>
  </si>
  <si>
    <t>XS 500K</t>
  </si>
  <si>
    <t>XS 350K</t>
  </si>
  <si>
    <t>XS 250K</t>
  </si>
  <si>
    <t>Selected Discount Factors:</t>
  </si>
  <si>
    <t>PVF</t>
  </si>
  <si>
    <t>Disc Age</t>
  </si>
  <si>
    <t>Primary Layer - XS Aggregate</t>
  </si>
  <si>
    <t>Total Combined Excess</t>
  </si>
  <si>
    <t>Primary</t>
  </si>
  <si>
    <t>Layer</t>
  </si>
  <si>
    <t>Layer XS</t>
  </si>
  <si>
    <t xml:space="preserve">na </t>
  </si>
  <si>
    <t>I. Retained Loss &amp; ALAE:</t>
  </si>
  <si>
    <t>09-17</t>
  </si>
  <si>
    <t>10-17</t>
  </si>
  <si>
    <t>11-17</t>
  </si>
  <si>
    <t>14-17</t>
  </si>
  <si>
    <t>XS LDF</t>
  </si>
  <si>
    <t>Disc</t>
  </si>
  <si>
    <t>Discount Factors are derived from Exhibit 9 and assume monthly funding.</t>
  </si>
  <si>
    <t>Column (1b) based on Exhibit 2, Sheet 1, Column (9) limited to the aggregate amounts in (1a).</t>
  </si>
  <si>
    <t xml:space="preserve">Column (8) equals (6) x (7). </t>
  </si>
  <si>
    <t>Columns (6) and (7) provided by Aveanna Healthcare.</t>
  </si>
  <si>
    <t>Primary Layer - Excess Agg</t>
  </si>
  <si>
    <t>Column (4) equals (2) - (3).</t>
  </si>
  <si>
    <t>Column (5) equals (1) - (2).</t>
  </si>
  <si>
    <t>Column (6) equals (4) + (5).</t>
  </si>
  <si>
    <t>On a retained basis, expected value estimates are from Exhibit 4, Sheet 2, Column (3).</t>
  </si>
  <si>
    <t>On an excess basis, expected value estimates are derived from Exhibit 4, Sheet 2, Columns (3) and (4).</t>
  </si>
  <si>
    <t>Discount Factors are from Exhibit 9 and assume monthly funding.</t>
  </si>
  <si>
    <t>Column (1) is from Exhibit 3, Sheet 1B, Section V, Column (3).</t>
  </si>
  <si>
    <t>Column (2) is from Exhibit 3, Sheet 2B, Section V, Column (3).</t>
  </si>
  <si>
    <t>Column (1) is from Exhibit 3, Sheet 1C, Column (3).</t>
  </si>
  <si>
    <t>Column (2) is from Exhibit 3, Sheet 2C, Column (3).</t>
  </si>
  <si>
    <t>Column (3) is from Exhibit 3, Sheet 3B, Column (5).</t>
  </si>
  <si>
    <t>Column (4) is from Exhibit 3, Sheet 4B, Column (5).</t>
  </si>
  <si>
    <t>Column (1) is from Exhibit 3, Sheet 1A, Column (3).</t>
  </si>
  <si>
    <t>Column (2) is from Exhibit 3, Sheet 2A, Column (3).</t>
  </si>
  <si>
    <t>Column (3) is from Exhibit 3, Sheet 3C, Column (5).</t>
  </si>
  <si>
    <t>Column (4) is from Exhibit 3, Sheet 4C, Column (5).</t>
  </si>
  <si>
    <t>Column (5) is from Exhibit 3, Sheet 5C, Column (6).</t>
  </si>
  <si>
    <t>Column (1) from Exhibit 4, Sheet 2, Column (3).</t>
  </si>
  <si>
    <t>Column (1) from Exhibit 4, Sheet 2.</t>
  </si>
  <si>
    <t>Column (1f) is the selected policy period loss cost at the respective historical retention.</t>
  </si>
  <si>
    <t>Column (3) equals Column (1f) x Column (2).</t>
  </si>
  <si>
    <t>Column (4) equals Column (1e) x Column (2).</t>
  </si>
  <si>
    <t>and Exhibit 3, Sheet 2A, Column (3).</t>
  </si>
  <si>
    <t>Column (1) based on the reported and paid development methods from Exhibit 3, Sheet 1A, Column (3),</t>
  </si>
  <si>
    <t>Column (5) equals (3) x (4).</t>
  </si>
  <si>
    <t>Column (7) equals (3) x (6).</t>
  </si>
  <si>
    <t>Column (4) equals [ (1) x (2) / (3) ].</t>
  </si>
  <si>
    <t>Column (8) equals (7) divided by Payroll ($000's).</t>
  </si>
  <si>
    <t>Column (3) based on paid loss development factor selections in Exhibit 8 and industry information.</t>
  </si>
  <si>
    <t>All Yrs</t>
  </si>
  <si>
    <t>Avg Rx per Open LT</t>
  </si>
  <si>
    <t>05-17</t>
  </si>
  <si>
    <t>07-16</t>
  </si>
  <si>
    <t>08-15</t>
  </si>
  <si>
    <t>Max</t>
  </si>
  <si>
    <t>15-18*</t>
  </si>
  <si>
    <t>$250K to Retained Layer</t>
  </si>
  <si>
    <t>PY Begin</t>
  </si>
  <si>
    <t>PY End</t>
  </si>
  <si>
    <t>Before Aggregate:</t>
  </si>
  <si>
    <t>After Aggregate:</t>
  </si>
  <si>
    <t>Discounting of Unpaid Losses for Policy Years with Agggregate Limits:</t>
  </si>
  <si>
    <t>XS Retention:</t>
  </si>
  <si>
    <t>Retained - Under Agg</t>
  </si>
  <si>
    <t>Retained - XS Agg</t>
  </si>
  <si>
    <t>Retained Before Agg</t>
  </si>
  <si>
    <t>XS Retention</t>
  </si>
  <si>
    <t>Retained Disc. Factor</t>
  </si>
  <si>
    <t>XS Disc Factor</t>
  </si>
  <si>
    <t>Undiscounted Unpaid:</t>
  </si>
  <si>
    <t>Discounted Unpaid:</t>
  </si>
  <si>
    <t>Total XS</t>
  </si>
  <si>
    <t>Aggregate Discounting Adjustments:</t>
  </si>
  <si>
    <t>% Paid</t>
  </si>
  <si>
    <t>CDF</t>
  </si>
  <si>
    <t>Incr.</t>
  </si>
  <si>
    <t>$ Paid</t>
  </si>
  <si>
    <t>Unl Incr</t>
  </si>
  <si>
    <t>Unl Cum.</t>
  </si>
  <si>
    <t>Agg Incr.</t>
  </si>
  <si>
    <t>XS Agg Incr.</t>
  </si>
  <si>
    <t>Conversion</t>
  </si>
  <si>
    <t>Fee</t>
  </si>
  <si>
    <t>Loss &amp; LAE</t>
  </si>
  <si>
    <t>Column (9) is derived from Exhibit 9.</t>
  </si>
  <si>
    <t xml:space="preserve">Column (10) equals (8) x (9). </t>
  </si>
  <si>
    <t>Column (8) equals (6) + (7).</t>
  </si>
  <si>
    <t>Column (7) based on 10% of the reserve amount limited to $250,000 for policy years 2004/05, 2007/08 through 2009/10 and 8% for 2010/11 through 2012/13.</t>
  </si>
  <si>
    <t>Agg Disc</t>
  </si>
  <si>
    <t>Discounted Using 3.0% Annual Interest Rate</t>
  </si>
  <si>
    <t>Estimated Unpaid Loss and ALAE</t>
  </si>
  <si>
    <t>Ultimate Loss and ALAE ($000s)</t>
  </si>
  <si>
    <t>Factor to</t>
  </si>
  <si>
    <t>Policy Year</t>
  </si>
  <si>
    <t>Benchmark</t>
  </si>
  <si>
    <t>Beginning 10/1</t>
  </si>
  <si>
    <t>Policy Period</t>
  </si>
  <si>
    <t>Aggregate Retention Level</t>
  </si>
  <si>
    <t>Per Occurrence Retention Level</t>
  </si>
  <si>
    <t>Carrier</t>
  </si>
  <si>
    <t>Tbls for Txt</t>
  </si>
  <si>
    <t>For Text:</t>
  </si>
  <si>
    <t>Prior 1:</t>
  </si>
  <si>
    <t>Prior 2:</t>
  </si>
  <si>
    <t>Roll Fwd:</t>
  </si>
  <si>
    <t>NA:</t>
  </si>
  <si>
    <t>Prior 1</t>
  </si>
  <si>
    <t>Prior 2</t>
  </si>
  <si>
    <t>Roll</t>
  </si>
  <si>
    <t>Pr %</t>
  </si>
  <si>
    <t>Column (7) from Exhibit 2, Sheet 2, Column (9).</t>
  </si>
  <si>
    <t>ReptLT</t>
  </si>
  <si>
    <t>$ Chg</t>
  </si>
  <si>
    <t>Rept LT</t>
  </si>
  <si>
    <t>Rept XS</t>
  </si>
  <si>
    <t>Paid XS</t>
  </si>
  <si>
    <t>Derivation of A Priori Selected Ultimates by Limit</t>
  </si>
  <si>
    <t>Paid /</t>
  </si>
  <si>
    <t>250K Max</t>
  </si>
  <si>
    <t>% Rept'd 250K</t>
  </si>
  <si>
    <t>Open Cnt</t>
  </si>
  <si>
    <t>Selection</t>
  </si>
  <si>
    <t>Ult Chg</t>
  </si>
  <si>
    <t>350K Max</t>
  </si>
  <si>
    <t>% Rept'd 350K</t>
  </si>
  <si>
    <t>250K - 350K Layer</t>
  </si>
  <si>
    <t>500K Max</t>
  </si>
  <si>
    <t>350K - 500K Layer</t>
  </si>
  <si>
    <t>% Rept'd Unl</t>
  </si>
  <si>
    <t>Ret - Unlimited Layer</t>
  </si>
  <si>
    <t>Loss &amp; ALAE Limited to Retention</t>
  </si>
  <si>
    <t>Ret Max</t>
  </si>
  <si>
    <t>% Rept'd Retained</t>
  </si>
  <si>
    <t>500K - Ret Layer</t>
  </si>
  <si>
    <t>A Priori Selections Limited to:</t>
  </si>
  <si>
    <t>Costs</t>
  </si>
  <si>
    <t>Column (3) based on paid loss development factor selections from Exhibit 8, Sheet 2.</t>
  </si>
  <si>
    <t>Column (3) based on paid loss development factor selections from Exhibit 8, Sheet 4.</t>
  </si>
  <si>
    <t>Column (3) based on paid loss development factor selections from Exhibit 8, Sheet 6.</t>
  </si>
  <si>
    <t>Column (3) based on paid loss development factor selections from Exhibit 8, Sheet 8.</t>
  </si>
  <si>
    <t>e7</t>
  </si>
  <si>
    <t xml:space="preserve">  </t>
  </si>
  <si>
    <t>LDF</t>
  </si>
  <si>
    <t>The age to ultimate factors in Column (2) are derived from Exhibit 8 and industry information.</t>
  </si>
  <si>
    <t>$250K</t>
  </si>
  <si>
    <t>Change</t>
  </si>
  <si>
    <t>Payments</t>
  </si>
  <si>
    <t>Projected</t>
  </si>
  <si>
    <t>Year</t>
  </si>
  <si>
    <t>XS Agg</t>
  </si>
  <si>
    <t>Roll Fwd Calcs</t>
  </si>
  <si>
    <t xml:space="preserve">Column (1) from Column (6) of Exhibit 1, Sheet 3B. </t>
  </si>
  <si>
    <t>Column (2) derived based on Column (1) and payment patterns derived from Exhibit 8.</t>
  </si>
  <si>
    <t>Column (3) equals (1) - (2).</t>
  </si>
  <si>
    <t>Column (4) is from Exhibit 9.</t>
  </si>
  <si>
    <t xml:space="preserve">Column (1) from Column (8) of Exhibit 1, Sheet 3A. </t>
  </si>
  <si>
    <t>Reconciliation of Unpaid Loss &amp; ALAE</t>
  </si>
  <si>
    <t>Unpaid Reconciliation</t>
  </si>
  <si>
    <t>e1.1A</t>
  </si>
  <si>
    <t>e1.1B</t>
  </si>
  <si>
    <t>e1.2A</t>
  </si>
  <si>
    <t>e1.2B</t>
  </si>
  <si>
    <t>e1.3A</t>
  </si>
  <si>
    <t>e1.3B</t>
  </si>
  <si>
    <t>Agg Disc Roll</t>
  </si>
  <si>
    <t>Lost-Time Frequency Trend</t>
  </si>
  <si>
    <t>Severity Trends</t>
  </si>
  <si>
    <t>Lost Cost Trends</t>
  </si>
  <si>
    <t>Unadjusted Exposure</t>
  </si>
  <si>
    <t>Unadjusted Exposure &amp; Current Benefit Level</t>
  </si>
  <si>
    <t>Adjusted Exposure &amp; Current Benefit Level</t>
  </si>
  <si>
    <t>PYE</t>
  </si>
  <si>
    <t>9/30</t>
  </si>
  <si>
    <t>X-Coeficient at:</t>
  </si>
  <si>
    <t>Indicated Trend at:</t>
  </si>
  <si>
    <t>X-Coef</t>
  </si>
  <si>
    <t>03-17</t>
  </si>
  <si>
    <t>Text</t>
  </si>
  <si>
    <t>On a retained basis, expected value estimates are from Exhibit 1, Sheet 3A.</t>
  </si>
  <si>
    <t>On an excess basis, expected value estimates are from Exhibit 1, Sheet 3B.</t>
  </si>
  <si>
    <t>On a retained basis, expected value estimates are from Exhibit 1, Sheet 2A.</t>
  </si>
  <si>
    <t>On an excess basis, expected value estimates are from Exhibit 1, Sheet 2B.</t>
  </si>
  <si>
    <t>(Short Term)</t>
  </si>
  <si>
    <t>(Long Term)</t>
  </si>
  <si>
    <t>(8) Total Discounted at 3.0%</t>
  </si>
  <si>
    <t>% ST</t>
  </si>
  <si>
    <t>Column (6) is based on Column (3) and payment pattern derived from Exhibit 8.</t>
  </si>
  <si>
    <t>Column (7) equals [ (3) - (6) ].</t>
  </si>
  <si>
    <t>Retained Loss &amp; ALAE</t>
  </si>
  <si>
    <t>Reconcile</t>
  </si>
  <si>
    <t>03-19</t>
  </si>
  <si>
    <t xml:space="preserve">Column (5) equals (3) x (4). </t>
  </si>
  <si>
    <t>15-19*</t>
  </si>
  <si>
    <t>Column (1) based on the reported and paid development methods from Exhibit 3, Sheet 1B, Column (3),</t>
  </si>
  <si>
    <t>and Exhibit 3, Sheet 2B, Column (3).</t>
  </si>
  <si>
    <t>($000s)</t>
  </si>
  <si>
    <t>Undiscounted Expected Value</t>
  </si>
  <si>
    <t>Discounted Using 3.0% Annual Interest Rate Expected Value</t>
  </si>
  <si>
    <t>Estimated Policy Period 2019/2020</t>
  </si>
  <si>
    <t>OK</t>
  </si>
  <si>
    <t>OK -&gt; Claim XS Incurred</t>
  </si>
  <si>
    <t>Exhibit 1, Sheet 1A</t>
  </si>
  <si>
    <t>Exhibit 1, Sheet 1B</t>
  </si>
  <si>
    <t>Exhibit 1, Sheet 2A</t>
  </si>
  <si>
    <t>Exhibit 1, Sheet 2B</t>
  </si>
  <si>
    <t>Exhibit 1, Sheet 3A</t>
  </si>
  <si>
    <t>Exhibit 1, Sheet 3B</t>
  </si>
  <si>
    <t>Exhibit 1, Sheet 4</t>
  </si>
  <si>
    <t>Exhibit 2, Sheet 1</t>
  </si>
  <si>
    <t>Exhibit 2, Sheet 2</t>
  </si>
  <si>
    <t>Exhibit 2, Sheet 3</t>
  </si>
  <si>
    <t>Exhibit 3, Sheet 1A</t>
  </si>
  <si>
    <t>Exhibit 3, Sheet 1B</t>
  </si>
  <si>
    <t>Exhibit 3, Sheet 1C</t>
  </si>
  <si>
    <t>Exhibit 3, Sheet 2A</t>
  </si>
  <si>
    <t>Exhibit 3, Sheet 2B</t>
  </si>
  <si>
    <t>Exhibit 3, Sheet 2C</t>
  </si>
  <si>
    <t>Exhibit 3, Sheet 3A</t>
  </si>
  <si>
    <t>Exhibit 3, Sheet 3B</t>
  </si>
  <si>
    <t>Exhibit 3, Sheet 3C</t>
  </si>
  <si>
    <t>Exhibit 3, Sheet 4A</t>
  </si>
  <si>
    <t>Exhibit 3, Sheet 4B</t>
  </si>
  <si>
    <t>Exhibit 3, Sheet 4C</t>
  </si>
  <si>
    <t>Exhibit 3, Sheet 5A</t>
  </si>
  <si>
    <t>Exhibit 3, Sheet 5B</t>
  </si>
  <si>
    <t>Exhibit 3, Sheet 5C</t>
  </si>
  <si>
    <t>Exhibit 4, Sheet 1</t>
  </si>
  <si>
    <t>Exhibit 4, Sheet 2</t>
  </si>
  <si>
    <t>Exhibit 4, Sheet 3</t>
  </si>
  <si>
    <t>Exhibit 4, Sheet 4</t>
  </si>
  <si>
    <t>Exhibit 4, Sheet 5</t>
  </si>
  <si>
    <t>Exhibit 4, Sheet 6</t>
  </si>
  <si>
    <t>Exhibit 5, Sheet 1</t>
  </si>
  <si>
    <t>Exhibit 5, Sheet 2</t>
  </si>
  <si>
    <t>Exhibit 5, Sheet 3</t>
  </si>
  <si>
    <t>Exhibit 5, Sheet 4</t>
  </si>
  <si>
    <t>Exhibit 6, Sheet 1</t>
  </si>
  <si>
    <t>Exhibit 6, Sheet 2</t>
  </si>
  <si>
    <t>Exhibit 8, Sheet 1</t>
  </si>
  <si>
    <t>Exhibit 8, Sheet 2</t>
  </si>
  <si>
    <t>Exhibit 8, Sheet 3</t>
  </si>
  <si>
    <t>Exhibit 8, Sheet 4</t>
  </si>
  <si>
    <t>Exhibit 8, Sheet 5</t>
  </si>
  <si>
    <t>Exhibit 8, Sheet 6</t>
  </si>
  <si>
    <t>Exhibit 8, Sheet 7</t>
  </si>
  <si>
    <t>Exhibit 8, Sheet 8</t>
  </si>
  <si>
    <t>Exhibit 8, Sheet 9</t>
  </si>
  <si>
    <t>Exhibit 8, Sheet 10</t>
  </si>
  <si>
    <t>Exhibit 8, Sheet 11</t>
  </si>
  <si>
    <t>Exhibit 9, Sheet 1</t>
  </si>
  <si>
    <t>Exhibit 9, Sheet 2</t>
  </si>
  <si>
    <t>Exhibit 9, Sheet 3</t>
  </si>
  <si>
    <t>Exhibit 9, Sheet 4</t>
  </si>
  <si>
    <t>Exhibit 9, Sheet 5</t>
  </si>
  <si>
    <t>Exhibit 9, Sheet 6</t>
  </si>
  <si>
    <t>Exhibit 9, Sheet 7</t>
  </si>
  <si>
    <t>Exhibit 9, Sheet 8</t>
  </si>
  <si>
    <t>Exhibit 9, Sheet 9</t>
  </si>
  <si>
    <t>Exhibit 10, Sheet 1</t>
  </si>
  <si>
    <t>Exhibit 10, Sheet 2</t>
  </si>
  <si>
    <t>Exhibit 10, Sheet 3</t>
  </si>
  <si>
    <t>&lt;- Added for use in AvE to use Persistencies as opposed to interpolating with LDFSIR</t>
  </si>
  <si>
    <t>From Ave</t>
  </si>
  <si>
    <t>Trend?</t>
  </si>
  <si>
    <t>XS IBNR</t>
  </si>
  <si>
    <t>per Total</t>
  </si>
  <si>
    <t>ST %</t>
  </si>
  <si>
    <t>Prior with Current Exposures</t>
  </si>
  <si>
    <t>BF Rept</t>
  </si>
  <si>
    <t>BF Pd</t>
  </si>
  <si>
    <t>Select</t>
  </si>
  <si>
    <t>New Exposure Prior through 4/30</t>
  </si>
  <si>
    <t>Actual Prior through 4/30</t>
  </si>
  <si>
    <t>Current through 4/30</t>
  </si>
  <si>
    <t>Chg in</t>
  </si>
  <si>
    <t>through 4/30</t>
  </si>
  <si>
    <t>As of 4/30/2019</t>
  </si>
  <si>
    <t>As of 6/30/2019</t>
  </si>
  <si>
    <t>Column (5) is from Exhibit 3, Sheet 5B, Column (6).</t>
  </si>
  <si>
    <t>Column (1) derived from Column (9) of Exhibit 2, Sheet 2 plus the amount excess of the aggregate from Column (9) of Exhibit 2, Sheet 1.</t>
  </si>
  <si>
    <t>Columns (2) and (3) provided by Aveanna Healthcare; plus the amount excess of the aggregate from Exhibit 2, Sheet 1, Columns (6) and (7).</t>
  </si>
  <si>
    <t>**</t>
  </si>
  <si>
    <t>CLIENT XYZ</t>
  </si>
  <si>
    <t>LINEAR</t>
  </si>
  <si>
    <t>DBL EXP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</si>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</sst>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m/d/yy;@"/>
    <numFmt numFmtId="165" formatCode="#,##0.0_);[Red]\(#,##0.0\)"/>
    <numFmt numFmtId="166" formatCode="#,##0.000_);[Red]\(#,##0.000\)"/>
    <numFmt numFmtId="167" formatCode="0.0%"/>
    <numFmt numFmtId="168" formatCode="0_);\(0\)"/>
    <numFmt numFmtId="169" formatCode="0.000_)"/>
    <numFmt numFmtId="170" formatCode="mm/dd/yy;@"/>
    <numFmt numFmtId="171" formatCode="mm/dd/yy"/>
    <numFmt numFmtId="172" formatCode="&quot;$&quot;#,##0;\(&quot;$&quot;#,##0\)"/>
    <numFmt numFmtId="173" formatCode="\(#\)"/>
    <numFmt numFmtId="174" formatCode="&quot;$&quot;#,##0.000_);[Red]\(&quot;$&quot;#,##0.000\)"/>
    <numFmt numFmtId="175" formatCode="_(* #,##0.000_);_(* \(#,##0.000\);_(* &quot;-&quot;??_);_(@_)"/>
    <numFmt numFmtId="176" formatCode="_(* #,##0_);_(* \(#,##0\);_(* &quot;-&quot;??_);_(@_)"/>
    <numFmt numFmtId="177" formatCode="&quot;$&quot;#,##0,,&quot;M&quot;"/>
    <numFmt numFmtId="178" formatCode="&quot;$&quot;#,##0,\K"/>
    <numFmt numFmtId="179" formatCode="&quot;Unlimited&quot;"/>
    <numFmt numFmtId="180" formatCode="#,##0.0000_);[Red]\(#,##0.0000\)"/>
    <numFmt numFmtId="181" formatCode="0.0000000"/>
  </numFmts>
  <fonts count="6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sz val="10"/>
      <color rgb="FF0000FF"/>
      <name val="Arial"/>
      <family val="2"/>
    </font>
    <font>
      <sz val="10"/>
      <color rgb="FFFF00FF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 Black"/>
      <family val="2"/>
    </font>
    <font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FF"/>
      <name val="Arial"/>
      <family val="2"/>
      <scheme val="minor"/>
    </font>
    <font>
      <b/>
      <sz val="10"/>
      <color rgb="FFFF00FF"/>
      <name val="Arial"/>
      <family val="2"/>
      <scheme val="minor"/>
    </font>
    <font>
      <sz val="11"/>
      <color indexed="18"/>
      <name val="Arial"/>
      <family val="2"/>
      <scheme val="minor"/>
    </font>
    <font>
      <b/>
      <i/>
      <sz val="9"/>
      <color indexed="9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9"/>
      <name val="Arial"/>
      <family val="2"/>
    </font>
    <font>
      <sz val="10"/>
      <name val="Book Antiqua"/>
      <family val="1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sz val="10"/>
      <color rgb="FF00B050"/>
      <name val="Arial"/>
      <family val="2"/>
    </font>
    <font>
      <sz val="9"/>
      <color theme="1"/>
      <name val="Arial"/>
      <family val="2"/>
    </font>
    <font>
      <i/>
      <u/>
      <sz val="10"/>
      <name val="Arial"/>
      <family val="2"/>
    </font>
    <font>
      <b/>
      <i/>
      <u/>
      <sz val="10"/>
      <name val="Arial"/>
      <family val="2"/>
    </font>
    <font>
      <u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rgb="FF0000FF"/>
      <name val="Arial"/>
      <family val="2"/>
    </font>
    <font>
      <sz val="10"/>
      <color theme="8" tint="-0.499984740745262"/>
      <name val="Arial"/>
      <family val="2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sz val="11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50" fillId="0" borderId="0"/>
    <xf numFmtId="0" fontId="50" fillId="0" borderId="0"/>
    <xf numFmtId="0" fontId="66" fillId="0" borderId="0"/>
  </cellStyleXfs>
  <cellXfs count="715">
    <xf numFmtId="0" fontId="0" fillId="0" borderId="0" xfId="0"/>
    <xf numFmtId="0" fontId="25" fillId="0" borderId="0" xfId="0" applyFont="1"/>
    <xf numFmtId="164" fontId="26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/>
    <xf numFmtId="0" fontId="25" fillId="0" borderId="0" xfId="2" applyFont="1"/>
    <xf numFmtId="0" fontId="28" fillId="0" borderId="0" xfId="2" applyFont="1" applyAlignment="1"/>
    <xf numFmtId="0" fontId="28" fillId="0" borderId="0" xfId="2" applyFont="1"/>
    <xf numFmtId="0" fontId="28" fillId="0" borderId="0" xfId="2" applyFont="1" applyAlignment="1">
      <alignment horizontal="center"/>
    </xf>
    <xf numFmtId="6" fontId="28" fillId="0" borderId="0" xfId="2" applyNumberFormat="1" applyFont="1" applyAlignment="1">
      <alignment horizontal="center"/>
    </xf>
    <xf numFmtId="38" fontId="28" fillId="0" borderId="0" xfId="2" applyNumberFormat="1" applyFont="1" applyAlignment="1">
      <alignment horizontal="center"/>
    </xf>
    <xf numFmtId="0" fontId="25" fillId="0" borderId="0" xfId="2" applyFont="1" applyAlignment="1">
      <alignment horizontal="center"/>
    </xf>
    <xf numFmtId="0" fontId="25" fillId="0" borderId="2" xfId="2" applyFont="1" applyBorder="1" applyAlignment="1">
      <alignment horizontal="centerContinuous"/>
    </xf>
    <xf numFmtId="0" fontId="25" fillId="0" borderId="3" xfId="2" applyFont="1" applyBorder="1" applyAlignment="1">
      <alignment horizontal="centerContinuous"/>
    </xf>
    <xf numFmtId="0" fontId="25" fillId="0" borderId="0" xfId="2" applyFont="1" applyBorder="1" applyAlignment="1">
      <alignment horizontal="center"/>
    </xf>
    <xf numFmtId="164" fontId="29" fillId="0" borderId="6" xfId="2" applyNumberFormat="1" applyFont="1" applyBorder="1" applyAlignment="1">
      <alignment horizontal="center"/>
    </xf>
    <xf numFmtId="164" fontId="29" fillId="0" borderId="0" xfId="2" applyNumberFormat="1" applyFont="1" applyBorder="1" applyAlignment="1">
      <alignment horizontal="center"/>
    </xf>
    <xf numFmtId="164" fontId="25" fillId="0" borderId="0" xfId="2" applyNumberFormat="1" applyFont="1" applyBorder="1" applyAlignment="1">
      <alignment horizontal="center"/>
    </xf>
    <xf numFmtId="165" fontId="25" fillId="0" borderId="0" xfId="2" applyNumberFormat="1" applyFont="1" applyBorder="1" applyAlignment="1">
      <alignment horizontal="center"/>
    </xf>
    <xf numFmtId="164" fontId="31" fillId="0" borderId="0" xfId="2" applyNumberFormat="1" applyFont="1" applyBorder="1" applyAlignment="1">
      <alignment horizontal="center"/>
    </xf>
    <xf numFmtId="0" fontId="25" fillId="0" borderId="9" xfId="2" applyFont="1" applyBorder="1"/>
    <xf numFmtId="0" fontId="28" fillId="0" borderId="0" xfId="0" applyFont="1"/>
    <xf numFmtId="0" fontId="25" fillId="0" borderId="0" xfId="0" applyFont="1" applyAlignment="1">
      <alignment horizontal="left"/>
    </xf>
    <xf numFmtId="6" fontId="25" fillId="0" borderId="0" xfId="0" applyNumberFormat="1" applyFont="1" applyAlignment="1">
      <alignment horizontal="center"/>
    </xf>
    <xf numFmtId="0" fontId="27" fillId="0" borderId="0" xfId="2" applyFont="1"/>
    <xf numFmtId="0" fontId="27" fillId="0" borderId="0" xfId="0" applyFont="1" applyAlignment="1">
      <alignment horizontal="left" indent="1"/>
    </xf>
    <xf numFmtId="0" fontId="34" fillId="0" borderId="0" xfId="2" applyFont="1"/>
    <xf numFmtId="38" fontId="25" fillId="0" borderId="0" xfId="2" applyNumberFormat="1" applyFont="1" applyBorder="1" applyAlignment="1">
      <alignment horizontal="center"/>
    </xf>
    <xf numFmtId="165" fontId="29" fillId="0" borderId="0" xfId="2" applyNumberFormat="1" applyFont="1" applyFill="1" applyBorder="1" applyAlignment="1">
      <alignment horizontal="center"/>
    </xf>
    <xf numFmtId="165" fontId="24" fillId="0" borderId="0" xfId="2" applyNumberFormat="1" applyFont="1" applyFill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5" fillId="0" borderId="0" xfId="0" applyFont="1" applyBorder="1"/>
    <xf numFmtId="6" fontId="28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5" fillId="0" borderId="0" xfId="2" applyFont="1" applyBorder="1" applyAlignment="1"/>
    <xf numFmtId="0" fontId="25" fillId="0" borderId="0" xfId="0" applyFont="1" applyBorder="1" applyAlignment="1"/>
    <xf numFmtId="0" fontId="30" fillId="0" borderId="0" xfId="2" applyFont="1" applyBorder="1" applyAlignment="1"/>
    <xf numFmtId="0" fontId="27" fillId="0" borderId="0" xfId="2" applyFont="1" applyBorder="1" applyAlignment="1"/>
    <xf numFmtId="0" fontId="27" fillId="0" borderId="0" xfId="2" applyFont="1" applyBorder="1" applyAlignment="1">
      <alignment horizontal="center"/>
    </xf>
    <xf numFmtId="0" fontId="27" fillId="0" borderId="5" xfId="2" applyFont="1" applyBorder="1" applyAlignment="1">
      <alignment horizontal="center"/>
    </xf>
    <xf numFmtId="164" fontId="29" fillId="0" borderId="0" xfId="2" applyNumberFormat="1" applyFont="1" applyFill="1" applyBorder="1" applyAlignment="1">
      <alignment horizontal="center"/>
    </xf>
    <xf numFmtId="164" fontId="33" fillId="0" borderId="0" xfId="2" applyNumberFormat="1" applyFont="1" applyBorder="1" applyAlignment="1">
      <alignment horizontal="center"/>
    </xf>
    <xf numFmtId="0" fontId="27" fillId="0" borderId="5" xfId="2" applyFont="1" applyBorder="1" applyAlignment="1">
      <alignment horizontal="centerContinuous"/>
    </xf>
    <xf numFmtId="0" fontId="30" fillId="0" borderId="0" xfId="2" applyFont="1" applyBorder="1" applyAlignment="1">
      <alignment horizontal="centerContinuous"/>
    </xf>
    <xf numFmtId="0" fontId="25" fillId="0" borderId="5" xfId="0" applyFont="1" applyBorder="1" applyAlignment="1">
      <alignment horizontal="centerContinuous"/>
    </xf>
    <xf numFmtId="0" fontId="27" fillId="0" borderId="5" xfId="0" applyFont="1" applyBorder="1" applyAlignment="1">
      <alignment horizontal="centerContinuous"/>
    </xf>
    <xf numFmtId="38" fontId="25" fillId="0" borderId="0" xfId="0" applyNumberFormat="1" applyFont="1" applyBorder="1"/>
    <xf numFmtId="10" fontId="25" fillId="0" borderId="0" xfId="1" applyNumberFormat="1" applyFont="1" applyBorder="1" applyAlignment="1">
      <alignment horizontal="center"/>
    </xf>
    <xf numFmtId="0" fontId="27" fillId="0" borderId="1" xfId="0" applyFont="1" applyBorder="1" applyAlignment="1">
      <alignment horizontal="centerContinuous"/>
    </xf>
    <xf numFmtId="166" fontId="26" fillId="0" borderId="0" xfId="0" applyNumberFormat="1" applyFont="1" applyBorder="1" applyAlignment="1">
      <alignment horizontal="center"/>
    </xf>
    <xf numFmtId="38" fontId="25" fillId="0" borderId="7" xfId="2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/>
    <xf numFmtId="38" fontId="26" fillId="0" borderId="0" xfId="0" applyNumberFormat="1" applyFont="1" applyBorder="1"/>
    <xf numFmtId="164" fontId="29" fillId="0" borderId="2" xfId="2" applyNumberFormat="1" applyFont="1" applyFill="1" applyBorder="1" applyAlignment="1">
      <alignment horizontal="center"/>
    </xf>
    <xf numFmtId="38" fontId="26" fillId="0" borderId="7" xfId="2" applyNumberFormat="1" applyFont="1" applyBorder="1" applyAlignment="1">
      <alignment horizontal="center"/>
    </xf>
    <xf numFmtId="38" fontId="25" fillId="0" borderId="6" xfId="2" applyNumberFormat="1" applyFont="1" applyBorder="1" applyAlignment="1">
      <alignment horizontal="center"/>
    </xf>
    <xf numFmtId="38" fontId="25" fillId="0" borderId="8" xfId="2" applyNumberFormat="1" applyFont="1" applyBorder="1" applyAlignment="1">
      <alignment horizontal="center"/>
    </xf>
    <xf numFmtId="167" fontId="33" fillId="0" borderId="0" xfId="1" applyNumberFormat="1" applyFont="1" applyAlignment="1">
      <alignment horizontal="center"/>
    </xf>
    <xf numFmtId="38" fontId="28" fillId="0" borderId="0" xfId="0" applyNumberFormat="1" applyFont="1" applyBorder="1" applyAlignment="1">
      <alignment horizontal="center"/>
    </xf>
    <xf numFmtId="0" fontId="34" fillId="0" borderId="0" xfId="2" applyFont="1" applyFill="1"/>
    <xf numFmtId="38" fontId="28" fillId="0" borderId="2" xfId="2" applyNumberFormat="1" applyFont="1" applyFill="1" applyBorder="1" applyAlignment="1">
      <alignment horizontal="center"/>
    </xf>
    <xf numFmtId="38" fontId="28" fillId="0" borderId="2" xfId="0" applyNumberFormat="1" applyFont="1" applyFill="1" applyBorder="1" applyAlignment="1">
      <alignment horizontal="center"/>
    </xf>
    <xf numFmtId="166" fontId="28" fillId="0" borderId="2" xfId="0" applyNumberFormat="1" applyFont="1" applyFill="1" applyBorder="1" applyAlignment="1">
      <alignment horizontal="center"/>
    </xf>
    <xf numFmtId="38" fontId="28" fillId="0" borderId="2" xfId="0" applyNumberFormat="1" applyFont="1" applyFill="1" applyBorder="1"/>
    <xf numFmtId="0" fontId="28" fillId="0" borderId="2" xfId="0" applyFont="1" applyFill="1" applyBorder="1" applyAlignment="1">
      <alignment horizontal="center"/>
    </xf>
    <xf numFmtId="165" fontId="29" fillId="0" borderId="2" xfId="2" applyNumberFormat="1" applyFont="1" applyFill="1" applyBorder="1" applyAlignment="1">
      <alignment horizontal="center"/>
    </xf>
    <xf numFmtId="38" fontId="28" fillId="0" borderId="3" xfId="2" applyNumberFormat="1" applyFont="1" applyFill="1" applyBorder="1" applyAlignment="1">
      <alignment horizontal="center"/>
    </xf>
    <xf numFmtId="164" fontId="27" fillId="0" borderId="4" xfId="0" applyNumberFormat="1" applyFont="1" applyBorder="1" applyAlignment="1">
      <alignment horizontal="center"/>
    </xf>
    <xf numFmtId="164" fontId="27" fillId="0" borderId="4" xfId="2" applyNumberFormat="1" applyFont="1" applyBorder="1" applyAlignment="1">
      <alignment horizontal="center"/>
    </xf>
    <xf numFmtId="0" fontId="27" fillId="0" borderId="4" xfId="2" applyFont="1" applyBorder="1" applyAlignment="1">
      <alignment horizontal="center"/>
    </xf>
    <xf numFmtId="0" fontId="28" fillId="0" borderId="0" xfId="2" applyFont="1" applyAlignment="1">
      <alignment horizontal="left"/>
    </xf>
    <xf numFmtId="38" fontId="28" fillId="0" borderId="0" xfId="2" applyNumberFormat="1" applyFont="1" applyBorder="1" applyAlignment="1">
      <alignment horizontal="center"/>
    </xf>
    <xf numFmtId="164" fontId="29" fillId="0" borderId="1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164" fontId="28" fillId="0" borderId="2" xfId="2" applyNumberFormat="1" applyFont="1" applyFill="1" applyBorder="1" applyAlignment="1">
      <alignment horizontal="center"/>
    </xf>
    <xf numFmtId="165" fontId="28" fillId="0" borderId="2" xfId="2" applyNumberFormat="1" applyFont="1" applyFill="1" applyBorder="1" applyAlignment="1">
      <alignment horizontal="center"/>
    </xf>
    <xf numFmtId="0" fontId="3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8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25" fillId="0" borderId="5" xfId="0" applyFont="1" applyBorder="1" applyAlignment="1">
      <alignment horizontal="center"/>
    </xf>
    <xf numFmtId="168" fontId="25" fillId="0" borderId="0" xfId="0" applyNumberFormat="1" applyFont="1" applyAlignment="1">
      <alignment horizontal="center"/>
    </xf>
    <xf numFmtId="0" fontId="25" fillId="0" borderId="10" xfId="0" applyFont="1" applyBorder="1" applyAlignment="1">
      <alignment horizontal="center"/>
    </xf>
    <xf numFmtId="38" fontId="25" fillId="0" borderId="0" xfId="0" applyNumberFormat="1" applyFont="1"/>
    <xf numFmtId="6" fontId="25" fillId="0" borderId="0" xfId="0" applyNumberFormat="1" applyFont="1"/>
    <xf numFmtId="38" fontId="32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38" fontId="26" fillId="0" borderId="0" xfId="0" applyNumberFormat="1" applyFont="1"/>
    <xf numFmtId="6" fontId="32" fillId="0" borderId="0" xfId="0" applyNumberFormat="1" applyFont="1"/>
    <xf numFmtId="38" fontId="28" fillId="0" borderId="0" xfId="0" applyNumberFormat="1" applyFont="1"/>
    <xf numFmtId="38" fontId="26" fillId="0" borderId="5" xfId="0" applyNumberFormat="1" applyFont="1" applyBorder="1"/>
    <xf numFmtId="38" fontId="28" fillId="0" borderId="5" xfId="0" applyNumberFormat="1" applyFont="1" applyBorder="1"/>
    <xf numFmtId="38" fontId="28" fillId="0" borderId="0" xfId="0" applyNumberFormat="1" applyFont="1" applyBorder="1"/>
    <xf numFmtId="38" fontId="25" fillId="0" borderId="5" xfId="0" applyNumberFormat="1" applyFont="1" applyBorder="1"/>
    <xf numFmtId="0" fontId="25" fillId="0" borderId="0" xfId="0" applyFont="1" applyAlignment="1"/>
    <xf numFmtId="6" fontId="28" fillId="0" borderId="0" xfId="0" applyNumberFormat="1" applyFont="1"/>
    <xf numFmtId="6" fontId="25" fillId="0" borderId="0" xfId="0" applyNumberFormat="1" applyFont="1" applyBorder="1"/>
    <xf numFmtId="6" fontId="28" fillId="0" borderId="0" xfId="0" applyNumberFormat="1" applyFont="1" applyBorder="1"/>
    <xf numFmtId="0" fontId="0" fillId="0" borderId="5" xfId="0" applyBorder="1" applyAlignment="1">
      <alignment horizontal="centerContinuous"/>
    </xf>
    <xf numFmtId="0" fontId="39" fillId="0" borderId="0" xfId="0" applyFont="1"/>
    <xf numFmtId="0" fontId="40" fillId="0" borderId="0" xfId="0" applyFont="1"/>
    <xf numFmtId="0" fontId="0" fillId="0" borderId="5" xfId="0" applyBorder="1" applyAlignment="1">
      <alignment horizontal="center"/>
    </xf>
    <xf numFmtId="38" fontId="25" fillId="0" borderId="0" xfId="0" applyNumberFormat="1" applyFont="1" applyAlignment="1">
      <alignment horizontal="center"/>
    </xf>
    <xf numFmtId="0" fontId="41" fillId="0" borderId="0" xfId="0" applyFont="1"/>
    <xf numFmtId="38" fontId="33" fillId="0" borderId="0" xfId="0" applyNumberFormat="1" applyFont="1"/>
    <xf numFmtId="0" fontId="25" fillId="0" borderId="2" xfId="0" applyFont="1" applyBorder="1" applyAlignment="1">
      <alignment horizontal="center"/>
    </xf>
    <xf numFmtId="166" fontId="25" fillId="0" borderId="0" xfId="0" applyNumberFormat="1" applyFont="1"/>
    <xf numFmtId="0" fontId="26" fillId="0" borderId="0" xfId="0" applyFont="1" applyAlignment="1">
      <alignment horizontal="center"/>
    </xf>
    <xf numFmtId="166" fontId="26" fillId="0" borderId="0" xfId="0" applyNumberFormat="1" applyFont="1" applyAlignment="1">
      <alignment horizontal="center"/>
    </xf>
    <xf numFmtId="0" fontId="42" fillId="0" borderId="5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3" fillId="0" borderId="0" xfId="0" applyFont="1" applyAlignment="1">
      <alignment horizontal="center"/>
    </xf>
    <xf numFmtId="9" fontId="33" fillId="0" borderId="0" xfId="1" applyFont="1" applyAlignment="1">
      <alignment horizontal="center"/>
    </xf>
    <xf numFmtId="166" fontId="32" fillId="0" borderId="0" xfId="0" applyNumberFormat="1" applyFont="1" applyAlignment="1">
      <alignment horizontal="center"/>
    </xf>
    <xf numFmtId="9" fontId="33" fillId="0" borderId="0" xfId="0" applyNumberFormat="1" applyFont="1" applyAlignment="1">
      <alignment horizontal="center"/>
    </xf>
    <xf numFmtId="166" fontId="25" fillId="0" borderId="0" xfId="0" applyNumberFormat="1" applyFont="1" applyAlignment="1">
      <alignment horizontal="center"/>
    </xf>
    <xf numFmtId="166" fontId="25" fillId="0" borderId="5" xfId="0" applyNumberFormat="1" applyFont="1" applyBorder="1" applyAlignment="1">
      <alignment horizontal="center"/>
    </xf>
    <xf numFmtId="166" fontId="33" fillId="0" borderId="0" xfId="0" applyNumberFormat="1" applyFont="1" applyAlignment="1">
      <alignment horizontal="center"/>
    </xf>
    <xf numFmtId="0" fontId="43" fillId="3" borderId="11" xfId="0" applyFont="1" applyFill="1" applyBorder="1"/>
    <xf numFmtId="0" fontId="43" fillId="3" borderId="0" xfId="0" applyFont="1" applyFill="1" applyBorder="1"/>
    <xf numFmtId="0" fontId="43" fillId="3" borderId="14" xfId="0" applyFont="1" applyFill="1" applyBorder="1"/>
    <xf numFmtId="0" fontId="43" fillId="3" borderId="12" xfId="0" applyFont="1" applyFill="1" applyBorder="1"/>
    <xf numFmtId="0" fontId="43" fillId="3" borderId="13" xfId="0" applyFont="1" applyFill="1" applyBorder="1"/>
    <xf numFmtId="0" fontId="43" fillId="3" borderId="15" xfId="0" applyFont="1" applyFill="1" applyBorder="1"/>
    <xf numFmtId="0" fontId="44" fillId="4" borderId="16" xfId="0" applyFont="1" applyFill="1" applyBorder="1" applyAlignment="1">
      <alignment horizontal="center"/>
    </xf>
    <xf numFmtId="0" fontId="44" fillId="4" borderId="17" xfId="0" applyFont="1" applyFill="1" applyBorder="1" applyAlignment="1">
      <alignment horizontal="center"/>
    </xf>
    <xf numFmtId="0" fontId="44" fillId="4" borderId="18" xfId="0" applyFont="1" applyFill="1" applyBorder="1" applyAlignment="1">
      <alignment horizontal="center"/>
    </xf>
    <xf numFmtId="0" fontId="44" fillId="5" borderId="17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43" fillId="3" borderId="13" xfId="0" applyFont="1" applyFill="1" applyBorder="1" applyAlignment="1">
      <alignment horizontal="center"/>
    </xf>
    <xf numFmtId="0" fontId="45" fillId="0" borderId="0" xfId="0" applyFont="1"/>
    <xf numFmtId="0" fontId="26" fillId="6" borderId="0" xfId="0" applyFont="1" applyFill="1" applyAlignment="1">
      <alignment horizontal="center"/>
    </xf>
    <xf numFmtId="166" fontId="26" fillId="6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0" fontId="46" fillId="0" borderId="0" xfId="0" applyFont="1" applyFill="1" applyAlignment="1">
      <alignment horizontal="left"/>
    </xf>
    <xf numFmtId="38" fontId="33" fillId="0" borderId="0" xfId="0" applyNumberFormat="1" applyFont="1" applyAlignment="1">
      <alignment horizontal="center"/>
    </xf>
    <xf numFmtId="0" fontId="25" fillId="0" borderId="5" xfId="0" quotePrefix="1" applyFont="1" applyBorder="1" applyAlignment="1">
      <alignment horizontal="center"/>
    </xf>
    <xf numFmtId="166" fontId="28" fillId="0" borderId="0" xfId="0" applyNumberFormat="1" applyFont="1" applyAlignment="1">
      <alignment horizontal="center"/>
    </xf>
    <xf numFmtId="0" fontId="27" fillId="0" borderId="2" xfId="0" applyFont="1" applyBorder="1" applyAlignment="1">
      <alignment horizontal="center"/>
    </xf>
    <xf numFmtId="166" fontId="25" fillId="0" borderId="0" xfId="1" applyNumberFormat="1" applyFont="1" applyAlignment="1">
      <alignment horizontal="center"/>
    </xf>
    <xf numFmtId="166" fontId="25" fillId="0" borderId="0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0" fontId="32" fillId="0" borderId="0" xfId="1" applyNumberFormat="1" applyFont="1" applyAlignment="1">
      <alignment horizontal="center"/>
    </xf>
    <xf numFmtId="0" fontId="29" fillId="0" borderId="0" xfId="0" applyFont="1" applyAlignment="1" applyProtection="1">
      <alignment horizontal="left"/>
    </xf>
    <xf numFmtId="0" fontId="29" fillId="0" borderId="0" xfId="0" applyFont="1"/>
    <xf numFmtId="167" fontId="47" fillId="0" borderId="0" xfId="0" applyNumberFormat="1" applyFont="1" applyProtection="1"/>
    <xf numFmtId="0" fontId="29" fillId="0" borderId="0" xfId="0" applyFont="1" applyAlignment="1" applyProtection="1">
      <alignment horizontal="center"/>
    </xf>
    <xf numFmtId="0" fontId="29" fillId="0" borderId="0" xfId="0" applyFont="1" applyAlignment="1">
      <alignment horizontal="center"/>
    </xf>
    <xf numFmtId="0" fontId="29" fillId="0" borderId="19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center"/>
    </xf>
    <xf numFmtId="0" fontId="29" fillId="0" borderId="5" xfId="0" applyFont="1" applyBorder="1" applyAlignment="1" applyProtection="1">
      <alignment horizontal="center"/>
    </xf>
    <xf numFmtId="1" fontId="29" fillId="0" borderId="0" xfId="0" applyNumberFormat="1" applyFont="1" applyAlignment="1" applyProtection="1">
      <alignment horizontal="center"/>
    </xf>
    <xf numFmtId="167" fontId="29" fillId="0" borderId="0" xfId="0" applyNumberFormat="1" applyFont="1" applyProtection="1"/>
    <xf numFmtId="169" fontId="47" fillId="0" borderId="0" xfId="0" applyNumberFormat="1" applyFont="1" applyProtection="1"/>
    <xf numFmtId="169" fontId="29" fillId="0" borderId="0" xfId="0" applyNumberFormat="1" applyFont="1" applyProtection="1"/>
    <xf numFmtId="169" fontId="48" fillId="0" borderId="0" xfId="0" applyNumberFormat="1" applyFont="1" applyProtection="1"/>
    <xf numFmtId="0" fontId="29" fillId="0" borderId="0" xfId="0" quotePrefix="1" applyFont="1" applyAlignment="1" applyProtection="1">
      <alignment horizontal="left"/>
    </xf>
    <xf numFmtId="167" fontId="31" fillId="0" borderId="0" xfId="0" applyNumberFormat="1" applyFont="1" applyProtection="1"/>
    <xf numFmtId="0" fontId="49" fillId="0" borderId="0" xfId="0" applyFont="1"/>
    <xf numFmtId="0" fontId="46" fillId="0" borderId="0" xfId="0" applyFont="1"/>
    <xf numFmtId="0" fontId="46" fillId="0" borderId="0" xfId="0" applyFont="1" applyAlignment="1" applyProtection="1">
      <alignment horizontal="left"/>
    </xf>
    <xf numFmtId="0" fontId="46" fillId="0" borderId="0" xfId="0" quotePrefix="1" applyFont="1" applyAlignment="1" applyProtection="1">
      <alignment horizontal="left"/>
    </xf>
    <xf numFmtId="0" fontId="29" fillId="0" borderId="0" xfId="4" applyFont="1" applyAlignment="1">
      <alignment horizontal="left"/>
    </xf>
    <xf numFmtId="0" fontId="29" fillId="0" borderId="0" xfId="5" applyFont="1"/>
    <xf numFmtId="0" fontId="29" fillId="0" borderId="0" xfId="5" applyFont="1" applyAlignment="1">
      <alignment horizontal="center"/>
    </xf>
    <xf numFmtId="0" fontId="29" fillId="0" borderId="0" xfId="5" quotePrefix="1" applyFont="1" applyAlignment="1">
      <alignment horizontal="center"/>
    </xf>
    <xf numFmtId="0" fontId="29" fillId="0" borderId="0" xfId="5" applyFont="1" applyAlignment="1">
      <alignment horizontal="centerContinuous"/>
    </xf>
    <xf numFmtId="0" fontId="29" fillId="0" borderId="0" xfId="5" applyFont="1" applyBorder="1" applyAlignment="1">
      <alignment horizontal="center"/>
    </xf>
    <xf numFmtId="0" fontId="29" fillId="0" borderId="5" xfId="5" applyFont="1" applyBorder="1" applyAlignment="1">
      <alignment horizontal="centerContinuous"/>
    </xf>
    <xf numFmtId="14" fontId="29" fillId="0" borderId="5" xfId="5" quotePrefix="1" applyNumberFormat="1" applyFont="1" applyBorder="1" applyAlignment="1">
      <alignment horizontal="center"/>
    </xf>
    <xf numFmtId="0" fontId="29" fillId="0" borderId="0" xfId="5" applyFont="1" applyBorder="1" applyAlignment="1">
      <alignment horizontal="centerContinuous"/>
    </xf>
    <xf numFmtId="0" fontId="29" fillId="0" borderId="0" xfId="5" applyFont="1" applyFill="1"/>
    <xf numFmtId="0" fontId="29" fillId="0" borderId="5" xfId="0" applyFont="1" applyBorder="1" applyAlignment="1">
      <alignment horizontal="center"/>
    </xf>
    <xf numFmtId="170" fontId="29" fillId="0" borderId="5" xfId="5" quotePrefix="1" applyNumberFormat="1" applyFont="1" applyBorder="1" applyAlignment="1">
      <alignment horizontal="center"/>
    </xf>
    <xf numFmtId="170" fontId="29" fillId="0" borderId="0" xfId="5" applyNumberFormat="1" applyFont="1"/>
    <xf numFmtId="171" fontId="29" fillId="0" borderId="5" xfId="0" applyNumberFormat="1" applyFont="1" applyBorder="1" applyAlignment="1">
      <alignment horizontal="center"/>
    </xf>
    <xf numFmtId="0" fontId="29" fillId="0" borderId="5" xfId="5" quotePrefix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7" fontId="29" fillId="0" borderId="0" xfId="1" applyNumberFormat="1" applyFont="1" applyFill="1"/>
    <xf numFmtId="38" fontId="29" fillId="0" borderId="0" xfId="5" applyNumberFormat="1" applyFont="1"/>
    <xf numFmtId="38" fontId="29" fillId="0" borderId="0" xfId="5" applyNumberFormat="1" applyFont="1" applyFill="1"/>
    <xf numFmtId="167" fontId="29" fillId="0" borderId="0" xfId="1" applyNumberFormat="1" applyFont="1"/>
    <xf numFmtId="38" fontId="51" fillId="0" borderId="10" xfId="3" applyNumberFormat="1" applyFont="1" applyBorder="1"/>
    <xf numFmtId="38" fontId="51" fillId="0" borderId="10" xfId="3" applyNumberFormat="1" applyFont="1" applyFill="1" applyBorder="1"/>
    <xf numFmtId="167" fontId="29" fillId="0" borderId="0" xfId="5" applyNumberFormat="1" applyFont="1"/>
    <xf numFmtId="167" fontId="29" fillId="0" borderId="0" xfId="5" applyNumberFormat="1" applyFont="1" applyFill="1"/>
    <xf numFmtId="38" fontId="51" fillId="0" borderId="0" xfId="3" applyNumberFormat="1" applyFont="1"/>
    <xf numFmtId="38" fontId="51" fillId="0" borderId="0" xfId="5" applyNumberFormat="1" applyFont="1"/>
    <xf numFmtId="0" fontId="29" fillId="0" borderId="5" xfId="5" applyFont="1" applyFill="1" applyBorder="1" applyAlignment="1">
      <alignment horizontal="centerContinuous"/>
    </xf>
    <xf numFmtId="0" fontId="29" fillId="0" borderId="0" xfId="5" quotePrefix="1" applyFont="1" applyFill="1" applyAlignment="1">
      <alignment horizontal="center"/>
    </xf>
    <xf numFmtId="38" fontId="29" fillId="0" borderId="0" xfId="5" applyNumberFormat="1" applyFont="1" applyBorder="1"/>
    <xf numFmtId="0" fontId="29" fillId="0" borderId="0" xfId="5" applyFont="1" applyBorder="1"/>
    <xf numFmtId="5" fontId="29" fillId="0" borderId="0" xfId="5" applyNumberFormat="1" applyFont="1"/>
    <xf numFmtId="172" fontId="51" fillId="0" borderId="0" xfId="5" applyNumberFormat="1" applyFont="1"/>
    <xf numFmtId="3" fontId="51" fillId="0" borderId="0" xfId="5" applyNumberFormat="1" applyFont="1"/>
    <xf numFmtId="3" fontId="51" fillId="0" borderId="0" xfId="5" applyNumberFormat="1" applyFont="1" applyFill="1"/>
    <xf numFmtId="0" fontId="52" fillId="0" borderId="0" xfId="4" applyFont="1" applyAlignment="1">
      <alignment horizontal="left"/>
    </xf>
    <xf numFmtId="173" fontId="29" fillId="0" borderId="0" xfId="5" quotePrefix="1" applyNumberFormat="1" applyFont="1" applyAlignment="1">
      <alignment horizontal="center"/>
    </xf>
    <xf numFmtId="38" fontId="31" fillId="0" borderId="0" xfId="5" applyNumberFormat="1" applyFont="1"/>
    <xf numFmtId="38" fontId="53" fillId="0" borderId="0" xfId="5" applyNumberFormat="1" applyFont="1"/>
    <xf numFmtId="6" fontId="31" fillId="0" borderId="0" xfId="5" applyNumberFormat="1" applyFont="1"/>
    <xf numFmtId="6" fontId="29" fillId="0" borderId="0" xfId="3" applyNumberFormat="1" applyFont="1"/>
    <xf numFmtId="6" fontId="29" fillId="0" borderId="0" xfId="5" applyNumberFormat="1" applyFont="1"/>
    <xf numFmtId="6" fontId="29" fillId="0" borderId="0" xfId="5" applyNumberFormat="1" applyFont="1" applyFill="1"/>
    <xf numFmtId="0" fontId="29" fillId="0" borderId="5" xfId="5" applyFont="1" applyBorder="1" applyAlignment="1">
      <alignment horizontal="center"/>
    </xf>
    <xf numFmtId="38" fontId="28" fillId="0" borderId="0" xfId="0" applyNumberFormat="1" applyFont="1" applyAlignment="1">
      <alignment horizontal="center"/>
    </xf>
    <xf numFmtId="0" fontId="28" fillId="0" borderId="0" xfId="2" applyFont="1" applyBorder="1" applyAlignment="1">
      <alignment horizontal="centerContinuous"/>
    </xf>
    <xf numFmtId="38" fontId="29" fillId="2" borderId="0" xfId="5" applyNumberFormat="1" applyFont="1" applyFill="1"/>
    <xf numFmtId="38" fontId="29" fillId="0" borderId="0" xfId="3" applyNumberFormat="1" applyFont="1" applyFill="1" applyBorder="1"/>
    <xf numFmtId="6" fontId="29" fillId="0" borderId="0" xfId="3" applyNumberFormat="1" applyFont="1" applyFill="1" applyBorder="1"/>
    <xf numFmtId="6" fontId="31" fillId="0" borderId="0" xfId="5" quotePrefix="1" applyNumberFormat="1" applyFont="1" applyAlignment="1">
      <alignment horizontal="center"/>
    </xf>
    <xf numFmtId="6" fontId="29" fillId="0" borderId="0" xfId="5" applyNumberFormat="1" applyFont="1" applyBorder="1"/>
    <xf numFmtId="0" fontId="46" fillId="0" borderId="0" xfId="0" quotePrefix="1" applyFont="1" applyAlignment="1">
      <alignment horizontal="left"/>
    </xf>
    <xf numFmtId="0" fontId="46" fillId="0" borderId="0" xfId="0" quotePrefix="1" applyFont="1" applyFill="1" applyAlignment="1">
      <alignment horizontal="left"/>
    </xf>
    <xf numFmtId="0" fontId="46" fillId="0" borderId="0" xfId="5" applyFont="1" applyFill="1"/>
    <xf numFmtId="0" fontId="29" fillId="0" borderId="0" xfId="5" quotePrefix="1" applyFont="1" applyBorder="1" applyAlignment="1">
      <alignment horizontal="center"/>
    </xf>
    <xf numFmtId="38" fontId="29" fillId="0" borderId="0" xfId="5" applyNumberFormat="1" applyFont="1" applyFill="1" applyBorder="1"/>
    <xf numFmtId="38" fontId="29" fillId="0" borderId="5" xfId="5" applyNumberFormat="1" applyFont="1" applyFill="1" applyBorder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0" xfId="0" applyFont="1" applyFill="1" applyAlignment="1">
      <alignment horizontal="centerContinuous"/>
    </xf>
    <xf numFmtId="0" fontId="29" fillId="0" borderId="0" xfId="0" applyFont="1" applyFill="1"/>
    <xf numFmtId="0" fontId="29" fillId="0" borderId="0" xfId="0" applyFont="1" applyBorder="1"/>
    <xf numFmtId="0" fontId="29" fillId="0" borderId="0" xfId="0" applyFont="1" applyFill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0" xfId="0" applyNumberFormat="1" applyFont="1" applyFill="1" applyBorder="1" applyAlignment="1">
      <alignment horizontal="center"/>
    </xf>
    <xf numFmtId="0" fontId="29" fillId="0" borderId="5" xfId="0" quotePrefix="1" applyFont="1" applyBorder="1" applyAlignment="1">
      <alignment horizontal="center"/>
    </xf>
    <xf numFmtId="0" fontId="29" fillId="0" borderId="5" xfId="0" applyNumberFormat="1" applyFont="1" applyFill="1" applyBorder="1" applyAlignment="1">
      <alignment horizontal="center"/>
    </xf>
    <xf numFmtId="0" fontId="29" fillId="0" borderId="10" xfId="0" applyFont="1" applyBorder="1"/>
    <xf numFmtId="38" fontId="29" fillId="0" borderId="0" xfId="0" applyNumberFormat="1" applyFont="1"/>
    <xf numFmtId="166" fontId="29" fillId="0" borderId="0" xfId="0" applyNumberFormat="1" applyFont="1"/>
    <xf numFmtId="38" fontId="29" fillId="0" borderId="0" xfId="0" applyNumberFormat="1" applyFont="1" applyFill="1" applyAlignment="1">
      <alignment horizontal="right"/>
    </xf>
    <xf numFmtId="40" fontId="29" fillId="0" borderId="0" xfId="0" applyNumberFormat="1" applyFont="1" applyAlignment="1">
      <alignment horizontal="right"/>
    </xf>
    <xf numFmtId="40" fontId="29" fillId="0" borderId="0" xfId="0" applyNumberFormat="1" applyFont="1"/>
    <xf numFmtId="38" fontId="29" fillId="0" borderId="0" xfId="0" applyNumberFormat="1" applyFont="1" applyBorder="1" applyAlignment="1">
      <alignment horizontal="right"/>
    </xf>
    <xf numFmtId="38" fontId="29" fillId="0" borderId="0" xfId="0" applyNumberFormat="1" applyFont="1" applyFill="1"/>
    <xf numFmtId="0" fontId="29" fillId="0" borderId="10" xfId="0" applyFont="1" applyFill="1" applyBorder="1"/>
    <xf numFmtId="40" fontId="29" fillId="0" borderId="0" xfId="0" applyNumberFormat="1" applyFont="1" applyFill="1"/>
    <xf numFmtId="0" fontId="29" fillId="0" borderId="5" xfId="0" applyFont="1" applyFill="1" applyBorder="1" applyAlignment="1">
      <alignment horizontal="center"/>
    </xf>
    <xf numFmtId="0" fontId="54" fillId="0" borderId="0" xfId="0" applyFont="1"/>
    <xf numFmtId="173" fontId="29" fillId="0" borderId="0" xfId="0" quotePrefix="1" applyNumberFormat="1" applyFont="1" applyAlignment="1">
      <alignment horizontal="center"/>
    </xf>
    <xf numFmtId="38" fontId="29" fillId="0" borderId="0" xfId="0" applyNumberFormat="1" applyFont="1" applyBorder="1"/>
    <xf numFmtId="38" fontId="29" fillId="0" borderId="5" xfId="0" applyNumberFormat="1" applyFont="1" applyBorder="1"/>
    <xf numFmtId="6" fontId="29" fillId="0" borderId="0" xfId="0" applyNumberFormat="1" applyFont="1"/>
    <xf numFmtId="6" fontId="29" fillId="0" borderId="0" xfId="0" applyNumberFormat="1" applyFont="1" applyFill="1" applyAlignment="1">
      <alignment horizontal="right"/>
    </xf>
    <xf numFmtId="0" fontId="22" fillId="0" borderId="5" xfId="0" applyFont="1" applyBorder="1" applyAlignment="1">
      <alignment horizontal="center"/>
    </xf>
    <xf numFmtId="38" fontId="22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66" fontId="29" fillId="0" borderId="0" xfId="0" applyNumberFormat="1" applyFont="1" applyAlignment="1">
      <alignment horizontal="right"/>
    </xf>
    <xf numFmtId="166" fontId="29" fillId="0" borderId="0" xfId="0" applyNumberFormat="1" applyFont="1" applyBorder="1" applyAlignment="1">
      <alignment horizontal="right"/>
    </xf>
    <xf numFmtId="0" fontId="29" fillId="0" borderId="0" xfId="0" quotePrefix="1" applyFont="1" applyBorder="1" applyAlignment="1">
      <alignment horizontal="left"/>
    </xf>
    <xf numFmtId="14" fontId="29" fillId="0" borderId="5" xfId="0" applyNumberFormat="1" applyFont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4" fontId="29" fillId="0" borderId="11" xfId="0" applyNumberFormat="1" applyFont="1" applyBorder="1" applyAlignment="1">
      <alignment horizontal="center"/>
    </xf>
    <xf numFmtId="166" fontId="29" fillId="0" borderId="5" xfId="0" applyNumberFormat="1" applyFont="1" applyBorder="1" applyAlignment="1">
      <alignment horizontal="right"/>
    </xf>
    <xf numFmtId="0" fontId="31" fillId="0" borderId="0" xfId="0" quotePrefix="1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6" fontId="29" fillId="0" borderId="0" xfId="0" applyNumberFormat="1" applyFont="1" applyFill="1"/>
    <xf numFmtId="166" fontId="51" fillId="0" borderId="0" xfId="0" applyNumberFormat="1" applyFont="1" applyFill="1" applyBorder="1"/>
    <xf numFmtId="38" fontId="29" fillId="0" borderId="5" xfId="0" applyNumberFormat="1" applyFont="1" applyBorder="1" applyAlignment="1">
      <alignment horizontal="right"/>
    </xf>
    <xf numFmtId="166" fontId="51" fillId="0" borderId="0" xfId="0" applyNumberFormat="1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/>
    </xf>
    <xf numFmtId="10" fontId="22" fillId="0" borderId="0" xfId="1" applyNumberFormat="1" applyFont="1" applyAlignment="1">
      <alignment horizontal="center"/>
    </xf>
    <xf numFmtId="0" fontId="22" fillId="0" borderId="0" xfId="0" applyFont="1" applyAlignment="1"/>
    <xf numFmtId="0" fontId="29" fillId="0" borderId="0" xfId="0" applyNumberFormat="1" applyFont="1" applyAlignment="1">
      <alignment horizontal="center"/>
    </xf>
    <xf numFmtId="0" fontId="29" fillId="0" borderId="5" xfId="0" applyNumberFormat="1" applyFont="1" applyBorder="1" applyAlignment="1">
      <alignment horizontal="center"/>
    </xf>
    <xf numFmtId="40" fontId="29" fillId="0" borderId="10" xfId="0" applyNumberFormat="1" applyFont="1" applyBorder="1"/>
    <xf numFmtId="38" fontId="53" fillId="0" borderId="5" xfId="0" applyNumberFormat="1" applyFont="1" applyBorder="1"/>
    <xf numFmtId="9" fontId="29" fillId="0" borderId="0" xfId="1" applyFont="1"/>
    <xf numFmtId="40" fontId="29" fillId="0" borderId="0" xfId="0" applyNumberFormat="1" applyFont="1" applyBorder="1"/>
    <xf numFmtId="0" fontId="29" fillId="0" borderId="0" xfId="0" applyFont="1" applyAlignment="1">
      <alignment horizontal="left" indent="1"/>
    </xf>
    <xf numFmtId="0" fontId="29" fillId="0" borderId="0" xfId="0" quotePrefix="1" applyFont="1" applyAlignment="1">
      <alignment horizontal="left"/>
    </xf>
    <xf numFmtId="0" fontId="29" fillId="0" borderId="0" xfId="0" applyFont="1" applyFill="1" applyAlignment="1">
      <alignment horizontal="left" indent="1"/>
    </xf>
    <xf numFmtId="0" fontId="22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3" fontId="22" fillId="0" borderId="0" xfId="0" applyNumberFormat="1" applyFont="1" applyAlignment="1">
      <alignment horizontal="center"/>
    </xf>
    <xf numFmtId="6" fontId="22" fillId="0" borderId="0" xfId="0" applyNumberFormat="1" applyFont="1"/>
    <xf numFmtId="38" fontId="22" fillId="0" borderId="0" xfId="0" applyNumberFormat="1" applyFont="1"/>
    <xf numFmtId="38" fontId="22" fillId="0" borderId="0" xfId="0" applyNumberFormat="1" applyFont="1" applyBorder="1"/>
    <xf numFmtId="38" fontId="22" fillId="0" borderId="5" xfId="0" applyNumberFormat="1" applyFont="1" applyBorder="1"/>
    <xf numFmtId="0" fontId="20" fillId="0" borderId="0" xfId="0" applyFont="1" applyBorder="1" applyAlignment="1">
      <alignment horizontal="center"/>
    </xf>
    <xf numFmtId="0" fontId="24" fillId="0" borderId="0" xfId="0" applyFont="1"/>
    <xf numFmtId="166" fontId="22" fillId="0" borderId="0" xfId="0" applyNumberFormat="1" applyFont="1"/>
    <xf numFmtId="166" fontId="22" fillId="0" borderId="0" xfId="0" applyNumberFormat="1" applyFont="1" applyAlignment="1"/>
    <xf numFmtId="174" fontId="22" fillId="0" borderId="0" xfId="0" applyNumberFormat="1" applyFont="1"/>
    <xf numFmtId="166" fontId="22" fillId="0" borderId="5" xfId="0" applyNumberFormat="1" applyFont="1" applyBorder="1"/>
    <xf numFmtId="0" fontId="20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Continuous"/>
    </xf>
    <xf numFmtId="0" fontId="22" fillId="0" borderId="5" xfId="0" applyFont="1" applyBorder="1" applyAlignment="1">
      <alignment horizontal="centerContinuous"/>
    </xf>
    <xf numFmtId="38" fontId="55" fillId="0" borderId="0" xfId="0" applyNumberFormat="1" applyFont="1"/>
    <xf numFmtId="0" fontId="20" fillId="0" borderId="2" xfId="0" applyFont="1" applyBorder="1" applyAlignment="1">
      <alignment horizontal="center"/>
    </xf>
    <xf numFmtId="38" fontId="31" fillId="0" borderId="0" xfId="0" applyNumberFormat="1" applyFont="1"/>
    <xf numFmtId="38" fontId="31" fillId="0" borderId="5" xfId="0" applyNumberFormat="1" applyFont="1" applyBorder="1"/>
    <xf numFmtId="14" fontId="31" fillId="0" borderId="0" xfId="0" quotePrefix="1" applyNumberFormat="1" applyFont="1" applyAlignment="1">
      <alignment horizontal="center"/>
    </xf>
    <xf numFmtId="166" fontId="29" fillId="0" borderId="0" xfId="0" applyNumberFormat="1" applyFont="1" applyAlignment="1">
      <alignment horizontal="center"/>
    </xf>
    <xf numFmtId="166" fontId="29" fillId="0" borderId="0" xfId="0" applyNumberFormat="1" applyFont="1" applyAlignment="1"/>
    <xf numFmtId="38" fontId="24" fillId="0" borderId="0" xfId="0" applyNumberFormat="1" applyFont="1"/>
    <xf numFmtId="10" fontId="31" fillId="0" borderId="0" xfId="1" applyNumberFormat="1" applyFont="1" applyBorder="1" applyAlignment="1">
      <alignment horizontal="center"/>
    </xf>
    <xf numFmtId="10" fontId="24" fillId="2" borderId="4" xfId="0" applyNumberFormat="1" applyFont="1" applyFill="1" applyBorder="1" applyAlignment="1">
      <alignment horizontal="center"/>
    </xf>
    <xf numFmtId="6" fontId="29" fillId="0" borderId="0" xfId="0" applyNumberFormat="1" applyFont="1" applyFill="1"/>
    <xf numFmtId="38" fontId="51" fillId="0" borderId="0" xfId="0" applyNumberFormat="1" applyFont="1" applyFill="1" applyBorder="1" applyAlignment="1">
      <alignment horizontal="center"/>
    </xf>
    <xf numFmtId="38" fontId="29" fillId="0" borderId="0" xfId="0" applyNumberFormat="1" applyFont="1" applyFill="1" applyBorder="1" applyAlignment="1">
      <alignment horizontal="center"/>
    </xf>
    <xf numFmtId="6" fontId="29" fillId="0" borderId="0" xfId="0" applyNumberFormat="1" applyFont="1" applyBorder="1"/>
    <xf numFmtId="174" fontId="29" fillId="0" borderId="0" xfId="0" applyNumberFormat="1" applyFont="1" applyAlignment="1">
      <alignment horizontal="right"/>
    </xf>
    <xf numFmtId="6" fontId="24" fillId="0" borderId="0" xfId="0" applyNumberFormat="1" applyFont="1" applyFill="1" applyBorder="1"/>
    <xf numFmtId="14" fontId="22" fillId="0" borderId="0" xfId="0" applyNumberFormat="1" applyFont="1" applyBorder="1" applyAlignment="1">
      <alignment horizontal="center"/>
    </xf>
    <xf numFmtId="174" fontId="22" fillId="0" borderId="0" xfId="0" applyNumberFormat="1" applyFont="1" applyAlignment="1"/>
    <xf numFmtId="166" fontId="22" fillId="0" borderId="0" xfId="0" applyNumberFormat="1" applyFont="1" applyBorder="1" applyAlignment="1"/>
    <xf numFmtId="166" fontId="22" fillId="0" borderId="0" xfId="0" applyNumberFormat="1" applyFont="1" applyBorder="1"/>
    <xf numFmtId="174" fontId="29" fillId="0" borderId="0" xfId="0" applyNumberFormat="1" applyFont="1" applyFill="1"/>
    <xf numFmtId="174" fontId="24" fillId="0" borderId="0" xfId="0" applyNumberFormat="1" applyFont="1" applyFill="1" applyBorder="1"/>
    <xf numFmtId="166" fontId="24" fillId="0" borderId="0" xfId="0" applyNumberFormat="1" applyFont="1"/>
    <xf numFmtId="166" fontId="31" fillId="0" borderId="0" xfId="0" applyNumberFormat="1" applyFont="1"/>
    <xf numFmtId="10" fontId="22" fillId="0" borderId="0" xfId="1" applyNumberFormat="1" applyFont="1"/>
    <xf numFmtId="0" fontId="56" fillId="0" borderId="0" xfId="0" applyFont="1"/>
    <xf numFmtId="6" fontId="22" fillId="0" borderId="2" xfId="0" applyNumberFormat="1" applyFont="1" applyBorder="1"/>
    <xf numFmtId="6" fontId="20" fillId="0" borderId="2" xfId="0" applyNumberFormat="1" applyFont="1" applyBorder="1" applyAlignment="1">
      <alignment horizontal="center"/>
    </xf>
    <xf numFmtId="174" fontId="31" fillId="0" borderId="0" xfId="0" applyNumberFormat="1" applyFont="1"/>
    <xf numFmtId="174" fontId="29" fillId="0" borderId="0" xfId="0" applyNumberFormat="1" applyFont="1"/>
    <xf numFmtId="166" fontId="31" fillId="0" borderId="0" xfId="0" applyNumberFormat="1" applyFont="1" applyAlignment="1">
      <alignment horizontal="center"/>
    </xf>
    <xf numFmtId="6" fontId="22" fillId="0" borderId="5" xfId="0" applyNumberFormat="1" applyFont="1" applyBorder="1"/>
    <xf numFmtId="6" fontId="20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10" fontId="24" fillId="0" borderId="0" xfId="1" applyNumberFormat="1" applyFont="1" applyAlignment="1">
      <alignment horizontal="center"/>
    </xf>
    <xf numFmtId="167" fontId="22" fillId="2" borderId="0" xfId="1" applyNumberFormat="1" applyFont="1" applyFill="1" applyAlignment="1">
      <alignment horizontal="center"/>
    </xf>
    <xf numFmtId="0" fontId="57" fillId="0" borderId="0" xfId="0" applyFont="1"/>
    <xf numFmtId="0" fontId="58" fillId="0" borderId="0" xfId="0" applyFont="1"/>
    <xf numFmtId="0" fontId="58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5" xfId="0" applyFont="1" applyBorder="1" applyAlignment="1">
      <alignment horizontal="center"/>
    </xf>
    <xf numFmtId="38" fontId="22" fillId="0" borderId="0" xfId="0" applyNumberFormat="1" applyFont="1" applyAlignment="1"/>
    <xf numFmtId="167" fontId="47" fillId="0" borderId="0" xfId="0" applyNumberFormat="1" applyFont="1" applyFill="1"/>
    <xf numFmtId="38" fontId="29" fillId="0" borderId="10" xfId="0" applyNumberFormat="1" applyFont="1" applyBorder="1"/>
    <xf numFmtId="10" fontId="29" fillId="0" borderId="0" xfId="1" applyNumberFormat="1" applyFont="1"/>
    <xf numFmtId="0" fontId="29" fillId="0" borderId="0" xfId="0" applyFont="1" applyFill="1" applyAlignment="1">
      <alignment horizontal="center"/>
    </xf>
    <xf numFmtId="0" fontId="29" fillId="0" borderId="0" xfId="0" quotePrefix="1" applyFont="1" applyFill="1" applyAlignment="1">
      <alignment horizontal="left"/>
    </xf>
    <xf numFmtId="6" fontId="29" fillId="0" borderId="0" xfId="0" applyNumberFormat="1" applyFont="1" applyAlignment="1">
      <alignment horizontal="right"/>
    </xf>
    <xf numFmtId="38" fontId="29" fillId="0" borderId="0" xfId="0" applyNumberFormat="1" applyFont="1" applyAlignment="1">
      <alignment horizontal="right"/>
    </xf>
    <xf numFmtId="0" fontId="29" fillId="0" borderId="0" xfId="0" quotePrefix="1" applyFont="1" applyFill="1"/>
    <xf numFmtId="0" fontId="29" fillId="0" borderId="0" xfId="0" applyFont="1" applyAlignment="1">
      <alignment horizontal="right"/>
    </xf>
    <xf numFmtId="6" fontId="29" fillId="0" borderId="0" xfId="0" applyNumberFormat="1" applyFont="1" applyBorder="1" applyAlignment="1">
      <alignment horizontal="right"/>
    </xf>
    <xf numFmtId="38" fontId="29" fillId="0" borderId="0" xfId="0" quotePrefix="1" applyNumberFormat="1" applyFont="1" applyAlignment="1">
      <alignment horizontal="right"/>
    </xf>
    <xf numFmtId="0" fontId="29" fillId="0" borderId="0" xfId="0" quotePrefix="1" applyFont="1" applyAlignment="1"/>
    <xf numFmtId="173" fontId="29" fillId="0" borderId="0" xfId="0" applyNumberFormat="1" applyFont="1"/>
    <xf numFmtId="6" fontId="29" fillId="0" borderId="0" xfId="0" quotePrefix="1" applyNumberFormat="1" applyFont="1" applyAlignment="1">
      <alignment horizontal="right"/>
    </xf>
    <xf numFmtId="0" fontId="19" fillId="0" borderId="0" xfId="0" quotePrefix="1" applyFont="1"/>
    <xf numFmtId="0" fontId="59" fillId="0" borderId="0" xfId="0" applyFont="1"/>
    <xf numFmtId="38" fontId="31" fillId="0" borderId="0" xfId="0" applyNumberFormat="1" applyFont="1" applyBorder="1"/>
    <xf numFmtId="0" fontId="22" fillId="0" borderId="0" xfId="0" applyFont="1" applyBorder="1" applyAlignment="1">
      <alignment horizontal="centerContinuous"/>
    </xf>
    <xf numFmtId="0" fontId="22" fillId="0" borderId="0" xfId="0" applyFont="1" applyBorder="1" applyAlignment="1"/>
    <xf numFmtId="38" fontId="53" fillId="0" borderId="0" xfId="0" applyNumberFormat="1" applyFont="1"/>
    <xf numFmtId="10" fontId="25" fillId="0" borderId="0" xfId="1" applyNumberFormat="1" applyFont="1" applyAlignment="1">
      <alignment horizontal="center"/>
    </xf>
    <xf numFmtId="0" fontId="27" fillId="0" borderId="0" xfId="0" applyFont="1" applyAlignment="1">
      <alignment horizontal="right"/>
    </xf>
    <xf numFmtId="166" fontId="33" fillId="0" borderId="0" xfId="1" applyNumberFormat="1" applyFont="1" applyAlignment="1">
      <alignment horizontal="center"/>
    </xf>
    <xf numFmtId="0" fontId="27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0" fontId="29" fillId="0" borderId="0" xfId="0" applyFont="1" applyFill="1" applyAlignment="1">
      <alignment horizontal="right"/>
    </xf>
    <xf numFmtId="173" fontId="19" fillId="0" borderId="0" xfId="0" quotePrefix="1" applyNumberFormat="1" applyFont="1" applyAlignment="1">
      <alignment horizontal="center"/>
    </xf>
    <xf numFmtId="6" fontId="22" fillId="0" borderId="0" xfId="0" applyNumberFormat="1" applyFont="1" applyBorder="1"/>
    <xf numFmtId="0" fontId="29" fillId="0" borderId="0" xfId="0" quotePrefix="1" applyFont="1" applyFill="1" applyAlignment="1">
      <alignment horizontal="center"/>
    </xf>
    <xf numFmtId="0" fontId="29" fillId="0" borderId="0" xfId="0" quotePrefix="1" applyFont="1" applyFill="1" applyBorder="1" applyAlignment="1">
      <alignment horizontal="center"/>
    </xf>
    <xf numFmtId="0" fontId="29" fillId="0" borderId="5" xfId="0" quotePrefix="1" applyFont="1" applyFill="1" applyBorder="1" applyAlignment="1">
      <alignment horizontal="center"/>
    </xf>
    <xf numFmtId="38" fontId="24" fillId="0" borderId="0" xfId="0" applyNumberFormat="1" applyFont="1" applyAlignment="1">
      <alignment horizontal="right"/>
    </xf>
    <xf numFmtId="38" fontId="24" fillId="0" borderId="0" xfId="0" applyNumberFormat="1" applyFont="1" applyBorder="1"/>
    <xf numFmtId="38" fontId="24" fillId="0" borderId="5" xfId="0" applyNumberFormat="1" applyFont="1" applyBorder="1"/>
    <xf numFmtId="6" fontId="53" fillId="0" borderId="0" xfId="0" applyNumberFormat="1" applyFont="1"/>
    <xf numFmtId="6" fontId="29" fillId="0" borderId="0" xfId="5" applyNumberFormat="1" applyFont="1" applyFill="1" applyBorder="1"/>
    <xf numFmtId="166" fontId="22" fillId="0" borderId="5" xfId="0" applyNumberFormat="1" applyFont="1" applyBorder="1" applyAlignment="1"/>
    <xf numFmtId="0" fontId="22" fillId="0" borderId="5" xfId="0" applyFont="1" applyBorder="1"/>
    <xf numFmtId="38" fontId="53" fillId="0" borderId="0" xfId="0" applyNumberFormat="1" applyFont="1" applyBorder="1"/>
    <xf numFmtId="6" fontId="29" fillId="0" borderId="5" xfId="0" applyNumberFormat="1" applyFont="1" applyFill="1" applyBorder="1" applyAlignment="1">
      <alignment horizontal="center"/>
    </xf>
    <xf numFmtId="0" fontId="53" fillId="0" borderId="0" xfId="0" applyFont="1"/>
    <xf numFmtId="167" fontId="22" fillId="0" borderId="0" xfId="1" applyNumberFormat="1" applyFont="1" applyAlignment="1">
      <alignment horizontal="center"/>
    </xf>
    <xf numFmtId="6" fontId="31" fillId="0" borderId="0" xfId="0" applyNumberFormat="1" applyFont="1"/>
    <xf numFmtId="0" fontId="60" fillId="0" borderId="0" xfId="0" applyFont="1" applyAlignment="1">
      <alignment horizontal="left"/>
    </xf>
    <xf numFmtId="0" fontId="22" fillId="0" borderId="0" xfId="0" applyFont="1" applyAlignment="1">
      <alignment horizontal="left" indent="2"/>
    </xf>
    <xf numFmtId="0" fontId="60" fillId="0" borderId="0" xfId="0" applyFont="1"/>
    <xf numFmtId="9" fontId="22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10" fontId="22" fillId="0" borderId="5" xfId="1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6" fontId="24" fillId="0" borderId="0" xfId="0" applyNumberFormat="1" applyFont="1"/>
    <xf numFmtId="38" fontId="22" fillId="0" borderId="0" xfId="0" applyNumberFormat="1" applyFont="1" applyAlignment="1">
      <alignment horizontal="right"/>
    </xf>
    <xf numFmtId="0" fontId="29" fillId="0" borderId="6" xfId="0" applyFont="1" applyBorder="1" applyAlignment="1">
      <alignment horizontal="center"/>
    </xf>
    <xf numFmtId="166" fontId="29" fillId="0" borderId="0" xfId="0" applyNumberFormat="1" applyFont="1" applyBorder="1" applyAlignment="1">
      <alignment horizontal="center"/>
    </xf>
    <xf numFmtId="166" fontId="29" fillId="0" borderId="5" xfId="0" applyNumberFormat="1" applyFont="1" applyBorder="1" applyAlignment="1">
      <alignment horizontal="center"/>
    </xf>
    <xf numFmtId="0" fontId="17" fillId="0" borderId="0" xfId="0" quotePrefix="1" applyFont="1" applyAlignment="1">
      <alignment horizontal="center"/>
    </xf>
    <xf numFmtId="173" fontId="17" fillId="0" borderId="0" xfId="0" quotePrefix="1" applyNumberFormat="1" applyFont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Continuous"/>
    </xf>
    <xf numFmtId="0" fontId="16" fillId="0" borderId="2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0" fontId="24" fillId="0" borderId="0" xfId="0" applyNumberFormat="1" applyFont="1" applyAlignment="1">
      <alignment horizontal="center"/>
    </xf>
    <xf numFmtId="0" fontId="56" fillId="0" borderId="0" xfId="0" quotePrefix="1" applyFont="1"/>
    <xf numFmtId="0" fontId="29" fillId="0" borderId="0" xfId="0" applyFont="1" applyFill="1" applyAlignment="1"/>
    <xf numFmtId="0" fontId="15" fillId="0" borderId="5" xfId="0" applyFont="1" applyBorder="1" applyAlignment="1">
      <alignment horizontal="centerContinuous"/>
    </xf>
    <xf numFmtId="16" fontId="15" fillId="0" borderId="0" xfId="0" quotePrefix="1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38" fontId="24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75" fontId="22" fillId="0" borderId="0" xfId="3" applyNumberFormat="1" applyFont="1"/>
    <xf numFmtId="0" fontId="14" fillId="0" borderId="0" xfId="0" applyFont="1"/>
    <xf numFmtId="167" fontId="22" fillId="0" borderId="0" xfId="1" applyNumberFormat="1" applyFont="1"/>
    <xf numFmtId="6" fontId="26" fillId="0" borderId="0" xfId="0" applyNumberFormat="1" applyFont="1"/>
    <xf numFmtId="0" fontId="27" fillId="0" borderId="4" xfId="0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28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6" fontId="28" fillId="0" borderId="0" xfId="0" applyNumberFormat="1" applyFont="1" applyFill="1" applyAlignment="1">
      <alignment horizontal="center"/>
    </xf>
    <xf numFmtId="0" fontId="28" fillId="0" borderId="0" xfId="0" applyFont="1" applyFill="1"/>
    <xf numFmtId="10" fontId="33" fillId="0" borderId="0" xfId="1" applyNumberFormat="1" applyFont="1" applyAlignment="1">
      <alignment horizontal="center"/>
    </xf>
    <xf numFmtId="10" fontId="26" fillId="0" borderId="0" xfId="1" applyNumberFormat="1" applyFont="1" applyAlignment="1">
      <alignment horizontal="center"/>
    </xf>
    <xf numFmtId="6" fontId="33" fillId="0" borderId="0" xfId="0" applyNumberFormat="1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22" fillId="7" borderId="2" xfId="0" applyFont="1" applyFill="1" applyBorder="1"/>
    <xf numFmtId="0" fontId="61" fillId="7" borderId="2" xfId="0" applyFont="1" applyFill="1" applyBorder="1" applyAlignment="1">
      <alignment horizontal="center"/>
    </xf>
    <xf numFmtId="6" fontId="22" fillId="7" borderId="2" xfId="0" applyNumberFormat="1" applyFont="1" applyFill="1" applyBorder="1"/>
    <xf numFmtId="176" fontId="22" fillId="7" borderId="2" xfId="3" applyNumberFormat="1" applyFont="1" applyFill="1" applyBorder="1"/>
    <xf numFmtId="0" fontId="61" fillId="7" borderId="22" xfId="0" applyFont="1" applyFill="1" applyBorder="1" applyAlignment="1">
      <alignment horizontal="centerContinuous"/>
    </xf>
    <xf numFmtId="0" fontId="22" fillId="7" borderId="10" xfId="0" applyFont="1" applyFill="1" applyBorder="1" applyAlignment="1">
      <alignment horizontal="centerContinuous"/>
    </xf>
    <xf numFmtId="0" fontId="22" fillId="7" borderId="21" xfId="0" applyFont="1" applyFill="1" applyBorder="1" applyAlignment="1">
      <alignment horizontal="centerContinuous"/>
    </xf>
    <xf numFmtId="0" fontId="61" fillId="7" borderId="6" xfId="0" applyFont="1" applyFill="1" applyBorder="1" applyAlignment="1">
      <alignment horizontal="centerContinuous"/>
    </xf>
    <xf numFmtId="0" fontId="22" fillId="7" borderId="0" xfId="0" applyFont="1" applyFill="1" applyBorder="1" applyAlignment="1">
      <alignment horizontal="centerContinuous"/>
    </xf>
    <xf numFmtId="0" fontId="22" fillId="7" borderId="7" xfId="0" applyFont="1" applyFill="1" applyBorder="1" applyAlignment="1">
      <alignment horizontal="centerContinuous"/>
    </xf>
    <xf numFmtId="0" fontId="22" fillId="7" borderId="1" xfId="0" applyFont="1" applyFill="1" applyBorder="1"/>
    <xf numFmtId="0" fontId="61" fillId="7" borderId="3" xfId="0" applyFont="1" applyFill="1" applyBorder="1" applyAlignment="1">
      <alignment horizontal="center"/>
    </xf>
    <xf numFmtId="0" fontId="61" fillId="7" borderId="1" xfId="0" applyFont="1" applyFill="1" applyBorder="1"/>
    <xf numFmtId="0" fontId="22" fillId="7" borderId="3" xfId="0" applyFont="1" applyFill="1" applyBorder="1"/>
    <xf numFmtId="0" fontId="22" fillId="7" borderId="1" xfId="0" applyFont="1" applyFill="1" applyBorder="1" applyAlignment="1">
      <alignment horizontal="left" indent="2"/>
    </xf>
    <xf numFmtId="6" fontId="22" fillId="7" borderId="3" xfId="0" applyNumberFormat="1" applyFont="1" applyFill="1" applyBorder="1"/>
    <xf numFmtId="176" fontId="22" fillId="7" borderId="3" xfId="3" applyNumberFormat="1" applyFont="1" applyFill="1" applyBorder="1"/>
    <xf numFmtId="0" fontId="29" fillId="0" borderId="8" xfId="0" applyFont="1" applyBorder="1" applyAlignment="1">
      <alignment horizontal="center"/>
    </xf>
    <xf numFmtId="40" fontId="29" fillId="0" borderId="7" xfId="0" applyNumberFormat="1" applyFont="1" applyBorder="1" applyAlignment="1">
      <alignment horizontal="center"/>
    </xf>
    <xf numFmtId="40" fontId="29" fillId="0" borderId="9" xfId="0" applyNumberFormat="1" applyFont="1" applyBorder="1" applyAlignment="1">
      <alignment horizontal="center"/>
    </xf>
    <xf numFmtId="0" fontId="62" fillId="0" borderId="22" xfId="0" applyFont="1" applyBorder="1"/>
    <xf numFmtId="0" fontId="62" fillId="0" borderId="10" xfId="0" applyFont="1" applyBorder="1"/>
    <xf numFmtId="0" fontId="62" fillId="0" borderId="21" xfId="0" applyFont="1" applyBorder="1" applyAlignment="1">
      <alignment horizontal="center"/>
    </xf>
    <xf numFmtId="0" fontId="62" fillId="0" borderId="6" xfId="0" applyFont="1" applyBorder="1"/>
    <xf numFmtId="0" fontId="62" fillId="0" borderId="0" xfId="0" applyFont="1" applyBorder="1"/>
    <xf numFmtId="0" fontId="62" fillId="0" borderId="7" xfId="0" applyFont="1" applyBorder="1" applyAlignment="1">
      <alignment horizontal="center"/>
    </xf>
    <xf numFmtId="0" fontId="62" fillId="0" borderId="6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2" fillId="0" borderId="8" xfId="0" applyFont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6" fontId="25" fillId="0" borderId="4" xfId="0" applyNumberFormat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 wrapText="1"/>
    </xf>
    <xf numFmtId="0" fontId="25" fillId="0" borderId="4" xfId="0" quotePrefix="1" applyFont="1" applyBorder="1" applyAlignment="1">
      <alignment horizontal="center"/>
    </xf>
    <xf numFmtId="0" fontId="12" fillId="0" borderId="0" xfId="0" applyFont="1"/>
    <xf numFmtId="0" fontId="33" fillId="0" borderId="0" xfId="0" applyFont="1" applyAlignment="1">
      <alignment horizontal="right"/>
    </xf>
    <xf numFmtId="38" fontId="26" fillId="0" borderId="0" xfId="2" applyNumberFormat="1" applyFont="1" applyBorder="1" applyAlignment="1">
      <alignment horizontal="center"/>
    </xf>
    <xf numFmtId="164" fontId="32" fillId="0" borderId="0" xfId="0" applyNumberFormat="1" applyFont="1" applyAlignment="1">
      <alignment horizontal="center"/>
    </xf>
    <xf numFmtId="164" fontId="33" fillId="0" borderId="0" xfId="0" applyNumberFormat="1" applyFont="1" applyAlignment="1">
      <alignment horizontal="center"/>
    </xf>
    <xf numFmtId="38" fontId="33" fillId="0" borderId="0" xfId="2" applyNumberFormat="1" applyFont="1" applyBorder="1" applyAlignment="1">
      <alignment horizontal="center"/>
    </xf>
    <xf numFmtId="38" fontId="25" fillId="0" borderId="5" xfId="2" applyNumberFormat="1" applyFont="1" applyBorder="1" applyAlignment="1">
      <alignment horizontal="center"/>
    </xf>
    <xf numFmtId="170" fontId="24" fillId="0" borderId="5" xfId="5" quotePrefix="1" applyNumberFormat="1" applyFont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6" fontId="26" fillId="0" borderId="0" xfId="0" applyNumberFormat="1" applyFont="1" applyFill="1"/>
    <xf numFmtId="6" fontId="33" fillId="0" borderId="0" xfId="0" applyNumberFormat="1" applyFont="1"/>
    <xf numFmtId="0" fontId="25" fillId="0" borderId="5" xfId="0" applyFont="1" applyBorder="1" applyAlignment="1">
      <alignment horizontal="center" vertical="center"/>
    </xf>
    <xf numFmtId="177" fontId="25" fillId="0" borderId="5" xfId="0" applyNumberFormat="1" applyFont="1" applyBorder="1" applyAlignment="1">
      <alignment horizontal="center" vertical="center"/>
    </xf>
    <xf numFmtId="178" fontId="25" fillId="0" borderId="5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26" fillId="0" borderId="0" xfId="0" applyFont="1"/>
    <xf numFmtId="0" fontId="11" fillId="0" borderId="0" xfId="0" applyFont="1"/>
    <xf numFmtId="38" fontId="53" fillId="0" borderId="4" xfId="0" applyNumberFormat="1" applyFont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61" fillId="0" borderId="0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0" fontId="11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73" fontId="11" fillId="0" borderId="0" xfId="0" applyNumberFormat="1" applyFont="1" applyAlignment="1">
      <alignment horizontal="center"/>
    </xf>
    <xf numFmtId="6" fontId="11" fillId="0" borderId="0" xfId="0" applyNumberFormat="1" applyFont="1"/>
    <xf numFmtId="166" fontId="11" fillId="0" borderId="0" xfId="0" applyNumberFormat="1" applyFont="1" applyAlignment="1"/>
    <xf numFmtId="174" fontId="11" fillId="0" borderId="0" xfId="0" applyNumberFormat="1" applyFont="1"/>
    <xf numFmtId="38" fontId="11" fillId="0" borderId="0" xfId="0" applyNumberFormat="1" applyFont="1" applyBorder="1"/>
    <xf numFmtId="166" fontId="11" fillId="0" borderId="0" xfId="3" applyNumberFormat="1" applyFont="1" applyBorder="1" applyAlignment="1">
      <alignment horizontal="center"/>
    </xf>
    <xf numFmtId="38" fontId="31" fillId="0" borderId="0" xfId="3" applyNumberFormat="1" applyFont="1" applyBorder="1" applyAlignment="1"/>
    <xf numFmtId="38" fontId="11" fillId="0" borderId="0" xfId="0" applyNumberFormat="1" applyFont="1"/>
    <xf numFmtId="38" fontId="11" fillId="0" borderId="0" xfId="0" applyNumberFormat="1" applyFont="1" applyBorder="1" applyAlignment="1"/>
    <xf numFmtId="167" fontId="29" fillId="0" borderId="0" xfId="1" applyNumberFormat="1" applyFont="1" applyAlignment="1">
      <alignment horizontal="center"/>
    </xf>
    <xf numFmtId="166" fontId="11" fillId="0" borderId="0" xfId="0" applyNumberFormat="1" applyFont="1"/>
    <xf numFmtId="38" fontId="31" fillId="0" borderId="0" xfId="0" applyNumberFormat="1" applyFont="1" applyBorder="1" applyAlignment="1"/>
    <xf numFmtId="38" fontId="11" fillId="0" borderId="5" xfId="0" applyNumberFormat="1" applyFont="1" applyBorder="1"/>
    <xf numFmtId="166" fontId="11" fillId="0" borderId="5" xfId="0" applyNumberFormat="1" applyFont="1" applyBorder="1"/>
    <xf numFmtId="166" fontId="11" fillId="0" borderId="5" xfId="3" applyNumberFormat="1" applyFont="1" applyBorder="1" applyAlignment="1">
      <alignment horizontal="center"/>
    </xf>
    <xf numFmtId="175" fontId="11" fillId="0" borderId="0" xfId="3" applyNumberFormat="1" applyFont="1"/>
    <xf numFmtId="0" fontId="63" fillId="0" borderId="0" xfId="0" applyFont="1"/>
    <xf numFmtId="6" fontId="31" fillId="0" borderId="0" xfId="0" applyNumberFormat="1" applyFont="1" applyAlignment="1"/>
    <xf numFmtId="38" fontId="11" fillId="0" borderId="0" xfId="0" applyNumberFormat="1" applyFont="1" applyAlignment="1"/>
    <xf numFmtId="0" fontId="11" fillId="0" borderId="0" xfId="0" applyFont="1" applyBorder="1" applyAlignment="1"/>
    <xf numFmtId="0" fontId="11" fillId="0" borderId="0" xfId="0" applyFont="1" applyFill="1" applyAlignment="1"/>
    <xf numFmtId="179" fontId="31" fillId="0" borderId="0" xfId="0" applyNumberFormat="1" applyFont="1" applyAlignment="1">
      <alignment horizontal="center"/>
    </xf>
    <xf numFmtId="179" fontId="29" fillId="0" borderId="0" xfId="0" applyNumberFormat="1" applyFont="1" applyAlignment="1">
      <alignment horizontal="center"/>
    </xf>
    <xf numFmtId="178" fontId="25" fillId="0" borderId="2" xfId="0" applyNumberFormat="1" applyFont="1" applyBorder="1" applyAlignment="1">
      <alignment horizontal="center" vertical="center"/>
    </xf>
    <xf numFmtId="0" fontId="11" fillId="0" borderId="5" xfId="0" applyFont="1" applyBorder="1"/>
    <xf numFmtId="6" fontId="11" fillId="0" borderId="0" xfId="0" applyNumberFormat="1" applyFont="1" applyAlignment="1"/>
    <xf numFmtId="166" fontId="11" fillId="0" borderId="9" xfId="3" applyNumberFormat="1" applyFont="1" applyBorder="1" applyAlignment="1">
      <alignment horizontal="center"/>
    </xf>
    <xf numFmtId="6" fontId="29" fillId="0" borderId="0" xfId="0" applyNumberFormat="1" applyFont="1" applyAlignment="1"/>
    <xf numFmtId="38" fontId="11" fillId="0" borderId="6" xfId="0" applyNumberFormat="1" applyFont="1" applyBorder="1"/>
    <xf numFmtId="38" fontId="11" fillId="0" borderId="8" xfId="0" applyNumberFormat="1" applyFont="1" applyBorder="1"/>
    <xf numFmtId="0" fontId="11" fillId="0" borderId="0" xfId="0" applyFont="1" applyFill="1" applyAlignment="1">
      <alignment horizontal="center"/>
    </xf>
    <xf numFmtId="38" fontId="11" fillId="0" borderId="5" xfId="0" applyNumberFormat="1" applyFont="1" applyFill="1" applyBorder="1"/>
    <xf numFmtId="10" fontId="22" fillId="2" borderId="0" xfId="1" applyNumberFormat="1" applyFont="1" applyFill="1" applyAlignment="1">
      <alignment horizontal="center"/>
    </xf>
    <xf numFmtId="166" fontId="11" fillId="0" borderId="0" xfId="3" applyNumberFormat="1" applyFont="1" applyAlignment="1">
      <alignment horizontal="center"/>
    </xf>
    <xf numFmtId="0" fontId="25" fillId="0" borderId="22" xfId="0" applyFont="1" applyBorder="1"/>
    <xf numFmtId="0" fontId="25" fillId="0" borderId="10" xfId="0" applyFont="1" applyBorder="1"/>
    <xf numFmtId="0" fontId="25" fillId="0" borderId="21" xfId="0" applyFont="1" applyBorder="1"/>
    <xf numFmtId="0" fontId="25" fillId="0" borderId="6" xfId="0" applyFont="1" applyBorder="1"/>
    <xf numFmtId="0" fontId="25" fillId="0" borderId="7" xfId="0" applyFont="1" applyBorder="1"/>
    <xf numFmtId="0" fontId="25" fillId="0" borderId="8" xfId="0" applyFont="1" applyBorder="1"/>
    <xf numFmtId="0" fontId="25" fillId="0" borderId="5" xfId="0" applyFont="1" applyBorder="1"/>
    <xf numFmtId="0" fontId="25" fillId="0" borderId="9" xfId="0" applyFont="1" applyBorder="1"/>
    <xf numFmtId="0" fontId="27" fillId="0" borderId="0" xfId="0" applyFont="1" applyBorder="1" applyAlignment="1">
      <alignment horizontal="centerContinuous"/>
    </xf>
    <xf numFmtId="0" fontId="25" fillId="0" borderId="0" xfId="0" applyFont="1" applyBorder="1" applyAlignment="1">
      <alignment horizontal="centerContinuous"/>
    </xf>
    <xf numFmtId="38" fontId="11" fillId="0" borderId="0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22" fillId="2" borderId="0" xfId="0" applyFont="1" applyFill="1"/>
    <xf numFmtId="38" fontId="53" fillId="0" borderId="0" xfId="0" applyNumberFormat="1" applyFont="1" applyFill="1" applyBorder="1"/>
    <xf numFmtId="166" fontId="28" fillId="0" borderId="0" xfId="1" applyNumberFormat="1" applyFont="1" applyFill="1" applyAlignment="1">
      <alignment horizontal="center"/>
    </xf>
    <xf numFmtId="6" fontId="64" fillId="0" borderId="0" xfId="0" applyNumberFormat="1" applyFont="1"/>
    <xf numFmtId="38" fontId="64" fillId="0" borderId="0" xfId="0" applyNumberFormat="1" applyFont="1"/>
    <xf numFmtId="38" fontId="24" fillId="0" borderId="0" xfId="0" applyNumberFormat="1" applyFont="1" applyAlignment="1"/>
    <xf numFmtId="38" fontId="29" fillId="0" borderId="0" xfId="0" applyNumberFormat="1" applyFont="1" applyAlignment="1"/>
    <xf numFmtId="38" fontId="29" fillId="0" borderId="5" xfId="0" applyNumberFormat="1" applyFont="1" applyBorder="1" applyAlignment="1"/>
    <xf numFmtId="0" fontId="15" fillId="2" borderId="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Continuous"/>
    </xf>
    <xf numFmtId="0" fontId="22" fillId="2" borderId="5" xfId="0" applyFont="1" applyFill="1" applyBorder="1" applyAlignment="1">
      <alignment horizontal="centerContinuous"/>
    </xf>
    <xf numFmtId="0" fontId="14" fillId="2" borderId="0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38" fontId="22" fillId="2" borderId="0" xfId="0" applyNumberFormat="1" applyFont="1" applyFill="1"/>
    <xf numFmtId="38" fontId="53" fillId="2" borderId="0" xfId="0" applyNumberFormat="1" applyFont="1" applyFill="1" applyBorder="1"/>
    <xf numFmtId="38" fontId="22" fillId="2" borderId="5" xfId="0" applyNumberFormat="1" applyFont="1" applyFill="1" applyBorder="1"/>
    <xf numFmtId="0" fontId="22" fillId="2" borderId="5" xfId="0" applyFont="1" applyFill="1" applyBorder="1"/>
    <xf numFmtId="38" fontId="53" fillId="2" borderId="5" xfId="0" applyNumberFormat="1" applyFont="1" applyFill="1" applyBorder="1"/>
    <xf numFmtId="38" fontId="31" fillId="2" borderId="0" xfId="0" applyNumberFormat="1" applyFont="1" applyFill="1"/>
    <xf numFmtId="38" fontId="31" fillId="2" borderId="5" xfId="0" applyNumberFormat="1" applyFont="1" applyFill="1" applyBorder="1"/>
    <xf numFmtId="38" fontId="24" fillId="2" borderId="0" xfId="0" applyNumberFormat="1" applyFont="1" applyFill="1"/>
    <xf numFmtId="38" fontId="22" fillId="2" borderId="0" xfId="0" applyNumberFormat="1" applyFont="1" applyFill="1" applyBorder="1"/>
    <xf numFmtId="164" fontId="29" fillId="0" borderId="2" xfId="2" applyNumberFormat="1" applyFont="1" applyBorder="1" applyAlignment="1">
      <alignment horizontal="center"/>
    </xf>
    <xf numFmtId="0" fontId="53" fillId="0" borderId="0" xfId="0" applyFont="1" applyAlignment="1"/>
    <xf numFmtId="38" fontId="29" fillId="0" borderId="0" xfId="0" applyNumberFormat="1" applyFont="1" applyAlignment="1">
      <alignment horizontal="center"/>
    </xf>
    <xf numFmtId="0" fontId="19" fillId="0" borderId="0" xfId="0" applyFont="1" applyAlignment="1"/>
    <xf numFmtId="0" fontId="19" fillId="0" borderId="5" xfId="0" applyFont="1" applyBorder="1" applyAlignment="1"/>
    <xf numFmtId="0" fontId="33" fillId="0" borderId="0" xfId="0" applyFont="1"/>
    <xf numFmtId="167" fontId="24" fillId="0" borderId="0" xfId="1" applyNumberFormat="1" applyFont="1" applyAlignment="1">
      <alignment horizontal="center"/>
    </xf>
    <xf numFmtId="38" fontId="32" fillId="0" borderId="0" xfId="2" applyNumberFormat="1" applyFont="1" applyBorder="1" applyAlignment="1">
      <alignment horizontal="center"/>
    </xf>
    <xf numFmtId="38" fontId="53" fillId="0" borderId="4" xfId="0" applyNumberFormat="1" applyFont="1" applyBorder="1"/>
    <xf numFmtId="0" fontId="22" fillId="2" borderId="0" xfId="0" applyFont="1" applyFill="1" applyAlignment="1">
      <alignment horizontal="center"/>
    </xf>
    <xf numFmtId="0" fontId="48" fillId="0" borderId="0" xfId="0" applyFont="1"/>
    <xf numFmtId="0" fontId="29" fillId="0" borderId="0" xfId="0" applyFont="1" applyBorder="1" applyAlignment="1"/>
    <xf numFmtId="0" fontId="65" fillId="0" borderId="0" xfId="0" applyFont="1" applyAlignment="1">
      <alignment horizontal="left"/>
    </xf>
    <xf numFmtId="37" fontId="29" fillId="0" borderId="0" xfId="6" applyNumberFormat="1" applyFont="1" applyAlignment="1">
      <alignment horizontal="center"/>
    </xf>
    <xf numFmtId="0" fontId="48" fillId="0" borderId="0" xfId="0" applyFont="1" applyAlignment="1">
      <alignment horizontal="left" indent="1"/>
    </xf>
    <xf numFmtId="10" fontId="29" fillId="0" borderId="0" xfId="0" quotePrefix="1" applyNumberFormat="1" applyFont="1" applyAlignment="1" applyProtection="1">
      <alignment horizontal="left" indent="1"/>
    </xf>
    <xf numFmtId="6" fontId="29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centerContinuous"/>
    </xf>
    <xf numFmtId="176" fontId="29" fillId="0" borderId="0" xfId="3" applyNumberFormat="1" applyFont="1" applyBorder="1" applyAlignment="1"/>
    <xf numFmtId="38" fontId="29" fillId="0" borderId="0" xfId="0" applyNumberFormat="1" applyFont="1" applyBorder="1" applyAlignment="1"/>
    <xf numFmtId="6" fontId="31" fillId="0" borderId="0" xfId="0" applyNumberFormat="1" applyFont="1" applyBorder="1"/>
    <xf numFmtId="38" fontId="29" fillId="0" borderId="0" xfId="3" applyNumberFormat="1" applyFont="1" applyBorder="1" applyAlignment="1"/>
    <xf numFmtId="166" fontId="29" fillId="0" borderId="0" xfId="3" applyNumberFormat="1" applyFont="1" applyBorder="1" applyAlignment="1"/>
    <xf numFmtId="38" fontId="32" fillId="2" borderId="0" xfId="0" applyNumberFormat="1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166" fontId="26" fillId="0" borderId="0" xfId="0" applyNumberFormat="1" applyFont="1" applyFill="1" applyBorder="1" applyAlignment="1">
      <alignment horizontal="center"/>
    </xf>
    <xf numFmtId="38" fontId="26" fillId="0" borderId="0" xfId="0" applyNumberFormat="1" applyFont="1" applyFill="1" applyBorder="1"/>
    <xf numFmtId="38" fontId="25" fillId="0" borderId="0" xfId="0" applyNumberFormat="1" applyFont="1" applyFill="1" applyBorder="1"/>
    <xf numFmtId="0" fontId="67" fillId="0" borderId="0" xfId="0" applyFont="1"/>
    <xf numFmtId="0" fontId="10" fillId="0" borderId="0" xfId="0" applyFont="1"/>
    <xf numFmtId="14" fontId="29" fillId="0" borderId="20" xfId="0" quotePrefix="1" applyNumberFormat="1" applyFont="1" applyBorder="1" applyAlignment="1">
      <alignment horizontal="center"/>
    </xf>
    <xf numFmtId="180" fontId="25" fillId="0" borderId="0" xfId="0" applyNumberFormat="1" applyFont="1" applyAlignment="1">
      <alignment horizontal="center"/>
    </xf>
    <xf numFmtId="0" fontId="26" fillId="0" borderId="0" xfId="0" quotePrefix="1" applyFont="1" applyAlignment="1">
      <alignment horizontal="center"/>
    </xf>
    <xf numFmtId="10" fontId="25" fillId="0" borderId="0" xfId="0" applyNumberFormat="1" applyFont="1" applyAlignment="1">
      <alignment horizontal="center"/>
    </xf>
    <xf numFmtId="0" fontId="25" fillId="0" borderId="0" xfId="0" quotePrefix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4" fontId="22" fillId="0" borderId="5" xfId="0" applyNumberFormat="1" applyFont="1" applyBorder="1" applyAlignment="1">
      <alignment horizontal="center"/>
    </xf>
    <xf numFmtId="6" fontId="22" fillId="0" borderId="0" xfId="0" applyNumberFormat="1" applyFont="1" applyAlignment="1"/>
    <xf numFmtId="167" fontId="53" fillId="2" borderId="0" xfId="1" applyNumberFormat="1" applyFont="1" applyFill="1" applyAlignment="1">
      <alignment horizontal="center"/>
    </xf>
    <xf numFmtId="164" fontId="22" fillId="0" borderId="0" xfId="0" applyNumberFormat="1" applyFont="1" applyAlignment="1">
      <alignment horizontal="center"/>
    </xf>
    <xf numFmtId="165" fontId="29" fillId="0" borderId="4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38" fontId="22" fillId="0" borderId="0" xfId="0" applyNumberFormat="1" applyFont="1" applyBorder="1" applyAlignment="1"/>
    <xf numFmtId="0" fontId="9" fillId="0" borderId="0" xfId="0" quotePrefix="1" applyFont="1" applyAlignment="1">
      <alignment horizontal="left" indent="1"/>
    </xf>
    <xf numFmtId="9" fontId="22" fillId="0" borderId="0" xfId="1" applyFont="1" applyAlignment="1">
      <alignment horizontal="center"/>
    </xf>
    <xf numFmtId="0" fontId="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9" fillId="0" borderId="0" xfId="0" applyFont="1"/>
    <xf numFmtId="38" fontId="53" fillId="0" borderId="0" xfId="0" applyNumberFormat="1" applyFont="1" applyBorder="1" applyAlignment="1"/>
    <xf numFmtId="0" fontId="9" fillId="0" borderId="0" xfId="0" applyFont="1" applyBorder="1" applyAlignment="1"/>
    <xf numFmtId="164" fontId="22" fillId="0" borderId="0" xfId="0" applyNumberFormat="1" applyFont="1" applyBorder="1" applyAlignment="1"/>
    <xf numFmtId="173" fontId="22" fillId="0" borderId="0" xfId="0" applyNumberFormat="1" applyFont="1" applyBorder="1" applyAlignment="1"/>
    <xf numFmtId="6" fontId="22" fillId="0" borderId="0" xfId="0" applyNumberFormat="1" applyFont="1" applyBorder="1" applyAlignment="1"/>
    <xf numFmtId="0" fontId="9" fillId="0" borderId="0" xfId="0" applyFont="1" applyAlignment="1">
      <alignment horizontal="centerContinuous"/>
    </xf>
    <xf numFmtId="0" fontId="61" fillId="0" borderId="0" xfId="0" applyFont="1"/>
    <xf numFmtId="0" fontId="9" fillId="0" borderId="0" xfId="0" applyFont="1" applyFill="1" applyAlignment="1"/>
    <xf numFmtId="0" fontId="31" fillId="0" borderId="0" xfId="0" applyFont="1" applyAlignment="1">
      <alignment horizontal="centerContinuous"/>
    </xf>
    <xf numFmtId="38" fontId="22" fillId="0" borderId="5" xfId="0" applyNumberFormat="1" applyFont="1" applyBorder="1" applyAlignment="1"/>
    <xf numFmtId="166" fontId="8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quotePrefix="1" applyFont="1" applyAlignment="1">
      <alignment horizontal="left"/>
    </xf>
    <xf numFmtId="0" fontId="6" fillId="0" borderId="0" xfId="0" applyFont="1"/>
    <xf numFmtId="0" fontId="61" fillId="7" borderId="1" xfId="0" quotePrefix="1" applyFont="1" applyFill="1" applyBorder="1" applyAlignment="1">
      <alignment horizontal="left"/>
    </xf>
    <xf numFmtId="6" fontId="61" fillId="7" borderId="6" xfId="0" quotePrefix="1" applyNumberFormat="1" applyFont="1" applyFill="1" applyBorder="1" applyAlignment="1">
      <alignment horizontal="centerContinuous"/>
    </xf>
    <xf numFmtId="38" fontId="32" fillId="2" borderId="0" xfId="0" applyNumberFormat="1" applyFont="1" applyFill="1" applyBorder="1"/>
    <xf numFmtId="166" fontId="32" fillId="2" borderId="0" xfId="0" applyNumberFormat="1" applyFont="1" applyFill="1" applyBorder="1" applyAlignment="1">
      <alignment horizontal="center"/>
    </xf>
    <xf numFmtId="6" fontId="29" fillId="0" borderId="0" xfId="0" quotePrefix="1" applyNumberFormat="1" applyFont="1" applyBorder="1" applyAlignment="1">
      <alignment horizontal="right"/>
    </xf>
    <xf numFmtId="166" fontId="32" fillId="0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165" fontId="53" fillId="0" borderId="0" xfId="2" applyNumberFormat="1" applyFont="1" applyFill="1" applyBorder="1" applyAlignment="1">
      <alignment horizontal="center"/>
    </xf>
    <xf numFmtId="10" fontId="25" fillId="0" borderId="0" xfId="1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Continuous"/>
    </xf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166" fontId="25" fillId="0" borderId="2" xfId="0" applyNumberFormat="1" applyFont="1" applyBorder="1" applyAlignment="1">
      <alignment horizontal="center"/>
    </xf>
    <xf numFmtId="166" fontId="25" fillId="0" borderId="3" xfId="0" applyNumberFormat="1" applyFont="1" applyBorder="1" applyAlignment="1">
      <alignment horizontal="center"/>
    </xf>
    <xf numFmtId="6" fontId="29" fillId="2" borderId="0" xfId="5" applyNumberFormat="1" applyFont="1" applyFill="1"/>
    <xf numFmtId="38" fontId="29" fillId="2" borderId="0" xfId="5" applyNumberFormat="1" applyFont="1" applyFill="1" applyBorder="1"/>
    <xf numFmtId="0" fontId="26" fillId="2" borderId="0" xfId="0" applyFont="1" applyFill="1"/>
    <xf numFmtId="10" fontId="24" fillId="2" borderId="0" xfId="1" applyNumberFormat="1" applyFont="1" applyFill="1" applyAlignment="1">
      <alignment horizontal="center"/>
    </xf>
    <xf numFmtId="38" fontId="31" fillId="0" borderId="5" xfId="3" applyNumberFormat="1" applyFont="1" applyBorder="1" applyAlignment="1"/>
    <xf numFmtId="38" fontId="5" fillId="0" borderId="0" xfId="0" applyNumberFormat="1" applyFont="1" applyBorder="1" applyAlignment="1">
      <alignment horizontal="center"/>
    </xf>
    <xf numFmtId="38" fontId="31" fillId="0" borderId="5" xfId="0" applyNumberFormat="1" applyFont="1" applyBorder="1" applyAlignment="1"/>
    <xf numFmtId="38" fontId="11" fillId="0" borderId="0" xfId="0" applyNumberFormat="1" applyFont="1" applyFill="1" applyBorder="1"/>
    <xf numFmtId="38" fontId="55" fillId="8" borderId="24" xfId="0" applyNumberFormat="1" applyFont="1" applyFill="1" applyBorder="1"/>
    <xf numFmtId="38" fontId="31" fillId="8" borderId="24" xfId="0" applyNumberFormat="1" applyFont="1" applyFill="1" applyBorder="1"/>
    <xf numFmtId="38" fontId="53" fillId="8" borderId="24" xfId="0" applyNumberFormat="1" applyFont="1" applyFill="1" applyBorder="1"/>
    <xf numFmtId="38" fontId="53" fillId="8" borderId="25" xfId="0" applyNumberFormat="1" applyFont="1" applyFill="1" applyBorder="1"/>
    <xf numFmtId="38" fontId="24" fillId="8" borderId="24" xfId="0" applyNumberFormat="1" applyFont="1" applyFill="1" applyBorder="1"/>
    <xf numFmtId="38" fontId="31" fillId="8" borderId="25" xfId="0" applyNumberFormat="1" applyFont="1" applyFill="1" applyBorder="1"/>
    <xf numFmtId="0" fontId="11" fillId="8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11" fillId="8" borderId="24" xfId="0" applyFont="1" applyFill="1" applyBorder="1"/>
    <xf numFmtId="0" fontId="4" fillId="0" borderId="0" xfId="0" applyFont="1"/>
    <xf numFmtId="0" fontId="11" fillId="2" borderId="0" xfId="0" applyFont="1" applyFill="1"/>
    <xf numFmtId="10" fontId="22" fillId="2" borderId="0" xfId="1" applyNumberFormat="1" applyFont="1" applyFill="1"/>
    <xf numFmtId="0" fontId="14" fillId="0" borderId="0" xfId="0" applyFont="1" applyAlignment="1">
      <alignment horizontal="center"/>
    </xf>
    <xf numFmtId="166" fontId="31" fillId="2" borderId="0" xfId="0" applyNumberFormat="1" applyFont="1" applyFill="1"/>
    <xf numFmtId="167" fontId="29" fillId="0" borderId="0" xfId="0" applyNumberFormat="1" applyFont="1" applyFill="1"/>
    <xf numFmtId="176" fontId="31" fillId="0" borderId="0" xfId="3" applyNumberFormat="1" applyFont="1"/>
    <xf numFmtId="0" fontId="4" fillId="0" borderId="0" xfId="0" applyFont="1" applyAlignment="1">
      <alignment horizontal="center"/>
    </xf>
    <xf numFmtId="38" fontId="11" fillId="2" borderId="0" xfId="0" applyNumberFormat="1" applyFont="1" applyFill="1" applyBorder="1" applyAlignment="1">
      <alignment horizontal="center"/>
    </xf>
    <xf numFmtId="38" fontId="22" fillId="0" borderId="0" xfId="0" applyNumberFormat="1" applyFont="1" applyFill="1"/>
    <xf numFmtId="38" fontId="53" fillId="2" borderId="0" xfId="0" applyNumberFormat="1" applyFont="1" applyFill="1"/>
    <xf numFmtId="6" fontId="22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right"/>
    </xf>
    <xf numFmtId="38" fontId="22" fillId="0" borderId="0" xfId="0" applyNumberFormat="1" applyFont="1" applyBorder="1" applyAlignment="1">
      <alignment horizontal="right"/>
    </xf>
    <xf numFmtId="38" fontId="26" fillId="2" borderId="0" xfId="0" applyNumberFormat="1" applyFont="1" applyFill="1" applyBorder="1" applyAlignment="1">
      <alignment horizontal="center"/>
    </xf>
    <xf numFmtId="38" fontId="26" fillId="2" borderId="0" xfId="0" applyNumberFormat="1" applyFont="1" applyFill="1" applyBorder="1"/>
    <xf numFmtId="10" fontId="25" fillId="2" borderId="0" xfId="1" applyNumberFormat="1" applyFont="1" applyFill="1" applyBorder="1" applyAlignment="1">
      <alignment horizontal="center"/>
    </xf>
    <xf numFmtId="38" fontId="11" fillId="8" borderId="25" xfId="0" applyNumberFormat="1" applyFont="1" applyFill="1" applyBorder="1"/>
    <xf numFmtId="38" fontId="11" fillId="8" borderId="24" xfId="0" applyNumberFormat="1" applyFont="1" applyFill="1" applyBorder="1"/>
    <xf numFmtId="0" fontId="11" fillId="8" borderId="23" xfId="0" applyFont="1" applyFill="1" applyBorder="1"/>
    <xf numFmtId="38" fontId="25" fillId="0" borderId="0" xfId="2" applyNumberFormat="1" applyFont="1"/>
    <xf numFmtId="167" fontId="29" fillId="0" borderId="0" xfId="1" applyNumberFormat="1" applyFont="1" applyFill="1" applyAlignment="1">
      <alignment horizontal="center"/>
    </xf>
    <xf numFmtId="167" fontId="22" fillId="0" borderId="0" xfId="0" applyNumberFormat="1" applyFont="1" applyAlignment="1">
      <alignment horizontal="center"/>
    </xf>
    <xf numFmtId="167" fontId="53" fillId="0" borderId="0" xfId="1" applyNumberFormat="1" applyFont="1"/>
    <xf numFmtId="0" fontId="32" fillId="2" borderId="0" xfId="0" applyFont="1" applyFill="1" applyAlignment="1">
      <alignment horizontal="center"/>
    </xf>
    <xf numFmtId="166" fontId="32" fillId="2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1" fillId="0" borderId="0" xfId="0" applyNumberFormat="1" applyFont="1" applyFill="1" applyBorder="1" applyAlignment="1">
      <alignment horizontal="center"/>
    </xf>
    <xf numFmtId="0" fontId="25" fillId="2" borderId="4" xfId="0" applyFont="1" applyFill="1" applyBorder="1"/>
    <xf numFmtId="10" fontId="25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76" fontId="22" fillId="0" borderId="0" xfId="3" applyNumberFormat="1" applyFont="1"/>
    <xf numFmtId="0" fontId="2" fillId="0" borderId="0" xfId="0" applyFont="1" applyAlignment="1"/>
    <xf numFmtId="167" fontId="22" fillId="0" borderId="0" xfId="1" applyNumberFormat="1" applyFont="1" applyAlignment="1"/>
    <xf numFmtId="176" fontId="25" fillId="0" borderId="0" xfId="3" applyNumberFormat="1" applyFont="1"/>
    <xf numFmtId="176" fontId="25" fillId="0" borderId="0" xfId="0" applyNumberFormat="1" applyFont="1"/>
    <xf numFmtId="0" fontId="25" fillId="0" borderId="0" xfId="0" quotePrefix="1" applyFont="1" applyAlignment="1">
      <alignment horizontal="right"/>
    </xf>
    <xf numFmtId="0" fontId="25" fillId="0" borderId="0" xfId="0" quotePrefix="1" applyFont="1" applyAlignment="1">
      <alignment horizontal="left"/>
    </xf>
    <xf numFmtId="0" fontId="1" fillId="7" borderId="1" xfId="0" quotePrefix="1" applyFont="1" applyFill="1" applyBorder="1" applyAlignment="1">
      <alignment horizontal="left" indent="2"/>
    </xf>
    <xf numFmtId="38" fontId="29" fillId="0" borderId="0" xfId="0" applyNumberFormat="1" applyFont="1" applyFill="1" applyBorder="1" applyAlignment="1">
      <alignment horizontal="right"/>
    </xf>
    <xf numFmtId="38" fontId="29" fillId="0" borderId="5" xfId="0" applyNumberFormat="1" applyFont="1" applyFill="1" applyBorder="1" applyAlignment="1">
      <alignment horizontal="right"/>
    </xf>
    <xf numFmtId="174" fontId="24" fillId="0" borderId="0" xfId="0" applyNumberFormat="1" applyFont="1" applyAlignment="1">
      <alignment horizontal="right"/>
    </xf>
    <xf numFmtId="6" fontId="22" fillId="2" borderId="0" xfId="0" applyNumberFormat="1" applyFont="1" applyFill="1"/>
    <xf numFmtId="166" fontId="33" fillId="0" borderId="0" xfId="0" applyNumberFormat="1" applyFont="1"/>
    <xf numFmtId="181" fontId="25" fillId="0" borderId="0" xfId="0" applyNumberFormat="1" applyFont="1"/>
  </cellXfs>
  <cellStyles count="7">
    <cellStyle name="Comma" xfId="3" builtinId="3"/>
    <cellStyle name="Normal" xfId="0" builtinId="0"/>
    <cellStyle name="Normal 2" xfId="2" xr:uid="{00000000-0005-0000-0000-000002000000}"/>
    <cellStyle name="Normal_EMPLOYEE 2" xfId="6" xr:uid="{B101D917-369C-4F5F-B0C1-DB5397626AA4}"/>
    <cellStyle name="Normal_wccity00" xfId="4" xr:uid="{00000000-0005-0000-0000-000003000000}"/>
    <cellStyle name="Normal_wccity03" xfId="5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'e4.1'!$M$12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B-471A-9EA2-B18EC6E4D558}"/>
              </c:ext>
            </c:extLst>
          </c:dPt>
          <c:xVal>
            <c:numRef>
              <c:f>'e4.1'!$L$13:$L$29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'e4.1'!$M$13:$M$29</c:f>
              <c:numCache>
                <c:formatCode>#,##0.000_);[Red]\(#,##0.000\)</c:formatCode>
                <c:ptCount val="17"/>
                <c:pt idx="0">
                  <c:v>0.39634047987716287</c:v>
                </c:pt>
                <c:pt idx="1">
                  <c:v>0.29372116092662248</c:v>
                </c:pt>
                <c:pt idx="2">
                  <c:v>0.23361884431417379</c:v>
                </c:pt>
                <c:pt idx="3">
                  <c:v>0.2876847966491663</c:v>
                </c:pt>
                <c:pt idx="4">
                  <c:v>0.32509721219387627</c:v>
                </c:pt>
                <c:pt idx="5">
                  <c:v>0.22630771133059627</c:v>
                </c:pt>
                <c:pt idx="6">
                  <c:v>0.27997870897391819</c:v>
                </c:pt>
                <c:pt idx="7">
                  <c:v>0.26516488919882331</c:v>
                </c:pt>
                <c:pt idx="8">
                  <c:v>0.20947618009348698</c:v>
                </c:pt>
                <c:pt idx="9">
                  <c:v>0.2335648375336386</c:v>
                </c:pt>
                <c:pt idx="10">
                  <c:v>0.29752766628819127</c:v>
                </c:pt>
                <c:pt idx="11">
                  <c:v>0.23555674963311207</c:v>
                </c:pt>
                <c:pt idx="12">
                  <c:v>0.19297950243493192</c:v>
                </c:pt>
                <c:pt idx="13">
                  <c:v>0.15806021119133071</c:v>
                </c:pt>
                <c:pt idx="14">
                  <c:v>0.15077182853595394</c:v>
                </c:pt>
                <c:pt idx="15">
                  <c:v>0.23993401679509921</c:v>
                </c:pt>
                <c:pt idx="16">
                  <c:v>0.15763105758185661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1-486B-A346-C9FDF34922FF}"/>
            </c:ext>
          </c:extLst>
        </c:ser>
        <c:ser>
          <c:idx val="1"/>
          <c:order val="1"/>
          <c:tx>
            <c:strRef>
              <c:f>'e4.1'!$N$12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5DB-471A-9EA2-B18EC6E4D558}"/>
              </c:ext>
            </c:extLst>
          </c:dPt>
          <c:xVal>
            <c:numRef>
              <c:f>'e4.1'!$L$13:$L$29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'e4.1'!$N$13:$N$29</c:f>
              <c:numCache>
                <c:formatCode>#,##0.000_);[Red]\(#,##0.000\)</c:formatCode>
                <c:ptCount val="17"/>
                <c:pt idx="0">
                  <c:v>0.26978105179149142</c:v>
                </c:pt>
                <c:pt idx="1">
                  <c:v>0.26438543075566162</c:v>
                </c:pt>
                <c:pt idx="2">
                  <c:v>0.25909772214054838</c:v>
                </c:pt>
                <c:pt idx="3">
                  <c:v>0.25391576769773738</c:v>
                </c:pt>
                <c:pt idx="4">
                  <c:v>0.24883745234378263</c:v>
                </c:pt>
                <c:pt idx="5">
                  <c:v>0.24386070329690698</c:v>
                </c:pt>
                <c:pt idx="6">
                  <c:v>0.23898348923096882</c:v>
                </c:pt>
                <c:pt idx="7">
                  <c:v>0.23420381944634944</c:v>
                </c:pt>
                <c:pt idx="8">
                  <c:v>0.22951974305742243</c:v>
                </c:pt>
                <c:pt idx="9">
                  <c:v>0.22492934819627397</c:v>
                </c:pt>
                <c:pt idx="10">
                  <c:v>0.2204307612323485</c:v>
                </c:pt>
                <c:pt idx="11">
                  <c:v>0.21602214600770153</c:v>
                </c:pt>
                <c:pt idx="12">
                  <c:v>0.21170170308754749</c:v>
                </c:pt>
                <c:pt idx="13">
                  <c:v>0.20746766902579653</c:v>
                </c:pt>
                <c:pt idx="14">
                  <c:v>0.20331831564528058</c:v>
                </c:pt>
                <c:pt idx="15">
                  <c:v>0.19925194933237497</c:v>
                </c:pt>
                <c:pt idx="16">
                  <c:v>0.19526691034572746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1-486B-A346-C9FDF349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55072"/>
        <c:axId val="663157760"/>
      </c:scatterChart>
      <c:valAx>
        <c:axId val="663155072"/>
        <c:scaling>
          <c:orientation val="minMax"/>
          <c:max val="2019"/>
          <c:min val="2003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57760"/>
        <c:crosses val="autoZero"/>
        <c:crossBetween val="midCat"/>
        <c:majorUnit val="1"/>
      </c:valAx>
      <c:valAx>
        <c:axId val="663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Lost Time Frequency</a:t>
                </a:r>
              </a:p>
            </c:rich>
          </c:tx>
          <c:layout>
            <c:manualLayout>
              <c:xMode val="edge"/>
              <c:yMode val="edge"/>
              <c:x val="7.0106239293776457E-3"/>
              <c:y val="0.2740713047528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'e4.6'!$W$13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'e4.6'!$T$25:$T$39</c15:sqref>
                  </c15:fullRef>
                </c:ext>
              </c:extLst>
              <c:f>'e4.6'!$T$25:$T$38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'e4.6'!$W$25:$W$39</c15:sqref>
                  </c15:fullRef>
                </c:ext>
              </c:extLst>
              <c:f>'e4.6'!$W$25:$W$38</c:f>
              <c:numCache>
                <c:formatCode>#,##0.000_);[Red]\(#,##0.000\)</c:formatCode>
                <c:ptCount val="14"/>
                <c:pt idx="0">
                  <c:v>8.8128150794083577</c:v>
                </c:pt>
                <c:pt idx="1">
                  <c:v>29.167089177186369</c:v>
                </c:pt>
                <c:pt idx="2">
                  <c:v>13.702786834911688</c:v>
                </c:pt>
                <c:pt idx="3">
                  <c:v>9.1625193770924227</c:v>
                </c:pt>
                <c:pt idx="4">
                  <c:v>22.796801306167328</c:v>
                </c:pt>
                <c:pt idx="5">
                  <c:v>11.82002477552728</c:v>
                </c:pt>
                <c:pt idx="6">
                  <c:v>10.459756297265731</c:v>
                </c:pt>
                <c:pt idx="7">
                  <c:v>16.709422423704758</c:v>
                </c:pt>
                <c:pt idx="8">
                  <c:v>16.706032154797811</c:v>
                </c:pt>
                <c:pt idx="9">
                  <c:v>14.273425143616951</c:v>
                </c:pt>
                <c:pt idx="10">
                  <c:v>20.96106686157923</c:v>
                </c:pt>
                <c:pt idx="11">
                  <c:v>15.792984988894032</c:v>
                </c:pt>
                <c:pt idx="12">
                  <c:v>13.911059142571837</c:v>
                </c:pt>
                <c:pt idx="13">
                  <c:v>17.905234015701552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C-41C5-9F80-D511580741D5}"/>
            </c:ext>
          </c:extLst>
        </c:ser>
        <c:ser>
          <c:idx val="1"/>
          <c:order val="1"/>
          <c:tx>
            <c:strRef>
              <c:f>'e4.6'!$X$13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'e4.6'!$T$25:$T$39</c15:sqref>
                  </c15:fullRef>
                </c:ext>
              </c:extLst>
              <c:f>'e4.6'!$T$25:$T$38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'e4.6'!$X$25:$X$39</c15:sqref>
                  </c15:fullRef>
                </c:ext>
              </c:extLst>
              <c:f>'e4.6'!$X$25:$X$38</c:f>
              <c:numCache>
                <c:formatCode>#,##0.000_);[Red]\(#,##0.000\)</c:formatCode>
                <c:ptCount val="14"/>
                <c:pt idx="0">
                  <c:v>14.889720150011463</c:v>
                </c:pt>
                <c:pt idx="1">
                  <c:v>15.068396791811601</c:v>
                </c:pt>
                <c:pt idx="2">
                  <c:v>15.24921755331334</c:v>
                </c:pt>
                <c:pt idx="3">
                  <c:v>15.432208163953099</c:v>
                </c:pt>
                <c:pt idx="4">
                  <c:v>15.617394661920535</c:v>
                </c:pt>
                <c:pt idx="5">
                  <c:v>15.804803397863582</c:v>
                </c:pt>
                <c:pt idx="6">
                  <c:v>15.994461038637944</c:v>
                </c:pt>
                <c:pt idx="7">
                  <c:v>16.186394571101598</c:v>
                </c:pt>
                <c:pt idx="8">
                  <c:v>16.380631305954822</c:v>
                </c:pt>
                <c:pt idx="9">
                  <c:v>16.577198881626277</c:v>
                </c:pt>
                <c:pt idx="10">
                  <c:v>16.776125268205792</c:v>
                </c:pt>
                <c:pt idx="11">
                  <c:v>16.977438771424261</c:v>
                </c:pt>
                <c:pt idx="12">
                  <c:v>17.181168036681353</c:v>
                </c:pt>
                <c:pt idx="13">
                  <c:v>17.387342053121529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C-41C5-9F80-D5115807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522176"/>
        <c:axId val="477536256"/>
      </c:lineChart>
      <c:catAx>
        <c:axId val="4775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6256"/>
        <c:crosses val="autoZero"/>
        <c:auto val="1"/>
        <c:lblAlgn val="ctr"/>
        <c:lblOffset val="100"/>
        <c:noMultiLvlLbl val="0"/>
      </c:catAx>
      <c:valAx>
        <c:axId val="4775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'e5.1'!$W$13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'e5.1'!$V$16:$V$32</c15:sqref>
                  </c15:fullRef>
                </c:ext>
              </c:extLst>
              <c:f>'e5.1'!$V$16:$V$31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'e5.1'!$W$16:$W$32</c15:sqref>
                  </c15:fullRef>
                </c:ext>
              </c:extLst>
              <c:f>'e5.1'!$W$16:$W$31</c:f>
              <c:numCache>
                <c:formatCode>#,##0_);[Red]\(#,##0\)</c:formatCode>
                <c:ptCount val="16"/>
                <c:pt idx="0">
                  <c:v>35917.588406779862</c:v>
                </c:pt>
                <c:pt idx="1">
                  <c:v>73828.664588124768</c:v>
                </c:pt>
                <c:pt idx="2">
                  <c:v>29590.563587356573</c:v>
                </c:pt>
                <c:pt idx="3">
                  <c:v>62422.007459789485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54310.168739531975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56215.906880024406</c:v>
                </c:pt>
                <c:pt idx="10">
                  <c:v>43111.736613281231</c:v>
                </c:pt>
                <c:pt idx="11">
                  <c:v>52622.270176962418</c:v>
                </c:pt>
                <c:pt idx="12">
                  <c:v>84297.291058933595</c:v>
                </c:pt>
                <c:pt idx="13">
                  <c:v>81736.231646860979</c:v>
                </c:pt>
                <c:pt idx="14">
                  <c:v>68947.111362812386</c:v>
                </c:pt>
                <c:pt idx="15">
                  <c:v>67619.921391671131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E-4BFE-B38D-D90F389C1104}"/>
            </c:ext>
          </c:extLst>
        </c:ser>
        <c:ser>
          <c:idx val="1"/>
          <c:order val="1"/>
          <c:tx>
            <c:strRef>
              <c:f>'e5.1'!$X$13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'e5.1'!$V$16:$V$32</c15:sqref>
                  </c15:fullRef>
                </c:ext>
              </c:extLst>
              <c:f>'e5.1'!$V$16:$V$31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'e5.1'!$X$16:$X$32</c15:sqref>
                  </c15:fullRef>
                </c:ext>
              </c:extLst>
              <c:f>'e5.1'!$X$16:$X$31</c:f>
              <c:numCache>
                <c:formatCode>#,##0_);[Red]\(#,##0\)</c:formatCode>
                <c:ptCount val="16"/>
                <c:pt idx="0">
                  <c:v>51308.888722762182</c:v>
                </c:pt>
                <c:pt idx="1">
                  <c:v>52591.61094083124</c:v>
                </c:pt>
                <c:pt idx="2">
                  <c:v>53906.401214352023</c:v>
                </c:pt>
                <c:pt idx="3">
                  <c:v>55254.061244710821</c:v>
                </c:pt>
                <c:pt idx="4">
                  <c:v>56635.412775828583</c:v>
                </c:pt>
                <c:pt idx="5">
                  <c:v>58051.298095224294</c:v>
                </c:pt>
                <c:pt idx="6">
                  <c:v>59502.580547604892</c:v>
                </c:pt>
                <c:pt idx="7">
                  <c:v>60990.145061295028</c:v>
                </c:pt>
                <c:pt idx="8">
                  <c:v>62514.898687827386</c:v>
                </c:pt>
                <c:pt idx="9">
                  <c:v>64077.771155023074</c:v>
                </c:pt>
                <c:pt idx="10">
                  <c:v>65679.715433898644</c:v>
                </c:pt>
                <c:pt idx="11">
                  <c:v>67321.708319746103</c:v>
                </c:pt>
                <c:pt idx="12">
                  <c:v>69004.751027739752</c:v>
                </c:pt>
                <c:pt idx="13">
                  <c:v>70729.869803433248</c:v>
                </c:pt>
                <c:pt idx="14">
                  <c:v>72498.116548519058</c:v>
                </c:pt>
                <c:pt idx="15">
                  <c:v>74310.569462232044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4BFE-B38D-D90F389C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02720"/>
        <c:axId val="561904256"/>
      </c:lineChart>
      <c:catAx>
        <c:axId val="5619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256"/>
        <c:crosses val="autoZero"/>
        <c:auto val="1"/>
        <c:lblAlgn val="ctr"/>
        <c:lblOffset val="100"/>
        <c:noMultiLvlLbl val="0"/>
      </c:catAx>
      <c:valAx>
        <c:axId val="5619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'e5.2'!$W$13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'e5.2'!$V$16:$V$32</c15:sqref>
                  </c15:fullRef>
                </c:ext>
              </c:extLst>
              <c:f>'e5.2'!$V$16:$V$31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'e5.2'!$W$16:$W$32</c15:sqref>
                  </c15:fullRef>
                </c:ext>
              </c:extLst>
              <c:f>'e5.2'!$W$16:$W$31</c:f>
              <c:numCache>
                <c:formatCode>#,##0_);[Red]\(#,##0\)</c:formatCode>
                <c:ptCount val="16"/>
                <c:pt idx="0">
                  <c:v>38807.119013877375</c:v>
                </c:pt>
                <c:pt idx="1">
                  <c:v>89172.124486031549</c:v>
                </c:pt>
                <c:pt idx="2">
                  <c:v>29590.563587356573</c:v>
                </c:pt>
                <c:pt idx="3">
                  <c:v>70508.444132117846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61015.490828502101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59289.941390112108</c:v>
                </c:pt>
                <c:pt idx="10">
                  <c:v>45329.623033523225</c:v>
                </c:pt>
                <c:pt idx="11">
                  <c:v>55093.235441587974</c:v>
                </c:pt>
                <c:pt idx="12">
                  <c:v>96217.890638467565</c:v>
                </c:pt>
                <c:pt idx="13">
                  <c:v>88051.663435514754</c:v>
                </c:pt>
                <c:pt idx="14">
                  <c:v>70324.295561278617</c:v>
                </c:pt>
                <c:pt idx="15">
                  <c:v>70826.683124601099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E-48A3-8C7C-2E4763CACD63}"/>
            </c:ext>
          </c:extLst>
        </c:ser>
        <c:ser>
          <c:idx val="1"/>
          <c:order val="1"/>
          <c:tx>
            <c:strRef>
              <c:f>'e5.2'!$X$13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'e5.2'!$V$16:$V$32</c15:sqref>
                  </c15:fullRef>
                </c:ext>
              </c:extLst>
              <c:f>'e5.2'!$V$16:$V$31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'e5.2'!$X$16:$X$32</c15:sqref>
                  </c15:fullRef>
                </c:ext>
              </c:extLst>
              <c:f>'e5.2'!$X$16:$X$31</c:f>
              <c:numCache>
                <c:formatCode>#,##0_);[Red]\(#,##0\)</c:formatCode>
                <c:ptCount val="16"/>
                <c:pt idx="0">
                  <c:v>52826.998806907919</c:v>
                </c:pt>
                <c:pt idx="1">
                  <c:v>54279.741274097869</c:v>
                </c:pt>
                <c:pt idx="2">
                  <c:v>55772.434159135562</c:v>
                </c:pt>
                <c:pt idx="3">
                  <c:v>57306.176098511794</c:v>
                </c:pt>
                <c:pt idx="4">
                  <c:v>58882.09594122089</c:v>
                </c:pt>
                <c:pt idx="5">
                  <c:v>60501.353579604453</c:v>
                </c:pt>
                <c:pt idx="6">
                  <c:v>62165.140803043585</c:v>
                </c:pt>
                <c:pt idx="7">
                  <c:v>63874.68217512728</c:v>
                </c:pt>
                <c:pt idx="8">
                  <c:v>65631.235934943281</c:v>
                </c:pt>
                <c:pt idx="9">
                  <c:v>67436.094923154218</c:v>
                </c:pt>
                <c:pt idx="10">
                  <c:v>69290.587533540966</c:v>
                </c:pt>
                <c:pt idx="11">
                  <c:v>71196.078690713344</c:v>
                </c:pt>
                <c:pt idx="12">
                  <c:v>73153.970854707979</c:v>
                </c:pt>
                <c:pt idx="13">
                  <c:v>75165.705053212441</c:v>
                </c:pt>
                <c:pt idx="14">
                  <c:v>77232.761942175799</c:v>
                </c:pt>
                <c:pt idx="15">
                  <c:v>79356.662895585629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E-48A3-8C7C-2E4763CA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23072"/>
        <c:axId val="564987008"/>
      </c:lineChart>
      <c:catAx>
        <c:axId val="564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87008"/>
        <c:crosses val="autoZero"/>
        <c:auto val="1"/>
        <c:lblAlgn val="ctr"/>
        <c:lblOffset val="100"/>
        <c:noMultiLvlLbl val="0"/>
      </c:catAx>
      <c:valAx>
        <c:axId val="564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'e5.3'!$W$13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'e5.3'!$V$16:$V$32</c15:sqref>
                  </c15:fullRef>
                </c:ext>
              </c:extLst>
              <c:f>'e5.3'!$V$16:$V$31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'e5.3'!$W$16:$W$32</c15:sqref>
                  </c15:fullRef>
                </c:ext>
              </c:extLst>
              <c:f>'e5.3'!$W$16:$W$31</c:f>
              <c:numCache>
                <c:formatCode>#,##0_);[Red]\(#,##0\)</c:formatCode>
                <c:ptCount val="16"/>
                <c:pt idx="0">
                  <c:v>43141.414924523619</c:v>
                </c:pt>
                <c:pt idx="1">
                  <c:v>106003.01166941597</c:v>
                </c:pt>
                <c:pt idx="2">
                  <c:v>29590.563587356573</c:v>
                </c:pt>
                <c:pt idx="3">
                  <c:v>78370.512799885124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66138.37808956379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48656.452663886223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90065.536213894593</c:v>
                </c:pt>
                <c:pt idx="14">
                  <c:v>72157.230146281785</c:v>
                </c:pt>
                <c:pt idx="15">
                  <c:v>73047.840779285543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D-4A23-8BBF-E980A0FDFB29}"/>
            </c:ext>
          </c:extLst>
        </c:ser>
        <c:ser>
          <c:idx val="1"/>
          <c:order val="1"/>
          <c:tx>
            <c:strRef>
              <c:f>'e5.3'!$X$13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'e5.3'!$V$16:$V$32</c15:sqref>
                  </c15:fullRef>
                </c:ext>
              </c:extLst>
              <c:f>'e5.3'!$V$16:$V$31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'e5.3'!$X$16:$X$32</c15:sqref>
                  </c15:fullRef>
                </c:ext>
              </c:extLst>
              <c:f>'e5.3'!$X$16:$X$31</c:f>
              <c:numCache>
                <c:formatCode>#,##0_);[Red]\(#,##0\)</c:formatCode>
                <c:ptCount val="16"/>
                <c:pt idx="0">
                  <c:v>52590.765156043788</c:v>
                </c:pt>
                <c:pt idx="1">
                  <c:v>54168.488110725091</c:v>
                </c:pt>
                <c:pt idx="2">
                  <c:v>55793.542754046852</c:v>
                </c:pt>
                <c:pt idx="3">
                  <c:v>57467.34903666826</c:v>
                </c:pt>
                <c:pt idx="4">
                  <c:v>59191.369507768308</c:v>
                </c:pt>
                <c:pt idx="5">
                  <c:v>60967.110593001344</c:v>
                </c:pt>
                <c:pt idx="6">
                  <c:v>62796.123910791386</c:v>
                </c:pt>
                <c:pt idx="7">
                  <c:v>64680.007628115127</c:v>
                </c:pt>
                <c:pt idx="8">
                  <c:v>66620.407856958584</c:v>
                </c:pt>
                <c:pt idx="9">
                  <c:v>68619.020092667342</c:v>
                </c:pt>
                <c:pt idx="10">
                  <c:v>70677.590695447347</c:v>
                </c:pt>
                <c:pt idx="11">
                  <c:v>72797.918416310771</c:v>
                </c:pt>
                <c:pt idx="12">
                  <c:v>74981.855968800097</c:v>
                </c:pt>
                <c:pt idx="13">
                  <c:v>77231.311647864088</c:v>
                </c:pt>
                <c:pt idx="14">
                  <c:v>79548.250997300027</c:v>
                </c:pt>
                <c:pt idx="15">
                  <c:v>81934.698527219021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D-4A23-8BBF-E980A0FD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5680"/>
        <c:axId val="607453184"/>
      </c:lineChart>
      <c:catAx>
        <c:axId val="605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53184"/>
        <c:crosses val="autoZero"/>
        <c:auto val="1"/>
        <c:lblAlgn val="ctr"/>
        <c:lblOffset val="100"/>
        <c:noMultiLvlLbl val="0"/>
      </c:catAx>
      <c:valAx>
        <c:axId val="607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'e5.4'!$W$13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'e5.4'!$V$16:$V$32</c15:sqref>
                  </c15:fullRef>
                </c:ext>
              </c:extLst>
              <c:f>'e5.4'!$V$16:$V$31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'e5.4'!$W$16:$W$32</c15:sqref>
                  </c15:fullRef>
                </c:ext>
              </c:extLst>
              <c:f>'e5.4'!$W$16:$W$31</c:f>
              <c:numCache>
                <c:formatCode>#,##0_);[Red]\(#,##0\)</c:formatCode>
                <c:ptCount val="16"/>
                <c:pt idx="0">
                  <c:v>43331.563375654274</c:v>
                </c:pt>
                <c:pt idx="1">
                  <c:v>105006.25717810781</c:v>
                </c:pt>
                <c:pt idx="2">
                  <c:v>29590.563587356573</c:v>
                </c:pt>
                <c:pt idx="3">
                  <c:v>81430.85310373058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68998.427304973942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50093.537492809439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92812.792791784974</c:v>
                </c:pt>
                <c:pt idx="14">
                  <c:v>74607.310872773625</c:v>
                </c:pt>
                <c:pt idx="15">
                  <c:v>75896.429433459154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2-4A47-94BB-C4D28838B038}"/>
            </c:ext>
          </c:extLst>
        </c:ser>
        <c:ser>
          <c:idx val="1"/>
          <c:order val="1"/>
          <c:tx>
            <c:strRef>
              <c:f>'e5.4'!$X$13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'e5.4'!$V$16:$V$32</c15:sqref>
                  </c15:fullRef>
                </c:ext>
              </c:extLst>
              <c:f>'e5.4'!$V$16:$V$31</c:f>
              <c:strCache>
                <c:ptCount val="16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'e5.4'!$X$16:$X$32</c15:sqref>
                  </c15:fullRef>
                </c:ext>
              </c:extLst>
              <c:f>'e5.4'!$X$16:$X$31</c:f>
              <c:numCache>
                <c:formatCode>#,##0_);[Red]\(#,##0\)</c:formatCode>
                <c:ptCount val="16"/>
                <c:pt idx="0">
                  <c:v>52312.647834501186</c:v>
                </c:pt>
                <c:pt idx="1">
                  <c:v>54012.808889122483</c:v>
                </c:pt>
                <c:pt idx="2">
                  <c:v>55768.225178018969</c:v>
                </c:pt>
                <c:pt idx="3">
                  <c:v>57580.692496304575</c:v>
                </c:pt>
                <c:pt idx="4">
                  <c:v>59452.065002434472</c:v>
                </c:pt>
                <c:pt idx="5">
                  <c:v>61384.257115013592</c:v>
                </c:pt>
                <c:pt idx="6">
                  <c:v>63379.245471251525</c:v>
                </c:pt>
                <c:pt idx="7">
                  <c:v>65439.070949067194</c:v>
                </c:pt>
                <c:pt idx="8">
                  <c:v>67565.8407549119</c:v>
                </c:pt>
                <c:pt idx="9">
                  <c:v>69761.730579446536</c:v>
                </c:pt>
                <c:pt idx="10">
                  <c:v>72028.986823278552</c:v>
                </c:pt>
                <c:pt idx="11">
                  <c:v>74369.928895035089</c:v>
                </c:pt>
                <c:pt idx="12">
                  <c:v>76786.95158412373</c:v>
                </c:pt>
                <c:pt idx="13">
                  <c:v>79282.527510607761</c:v>
                </c:pt>
                <c:pt idx="14">
                  <c:v>81859.209654702499</c:v>
                </c:pt>
                <c:pt idx="15">
                  <c:v>84519.633968480324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2-4A47-94BB-C4D28838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67968"/>
        <c:axId val="626469504"/>
      </c:lineChart>
      <c:catAx>
        <c:axId val="6264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9504"/>
        <c:crosses val="autoZero"/>
        <c:auto val="1"/>
        <c:lblAlgn val="ctr"/>
        <c:lblOffset val="100"/>
        <c:noMultiLvlLbl val="0"/>
      </c:catAx>
      <c:valAx>
        <c:axId val="626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"Lost-Time Frequency Trend"</c:f>
          <c:strCache>
            <c:ptCount val="1"/>
            <c:pt idx="0">
              <c:v>Lost-Time Frequency Trend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Trend!$D$13:$D$29</c:f>
              <c:numCache>
                <c:formatCode>#,##0.0000_);[Red]\(#,##0.0000\)</c:formatCode>
                <c:ptCount val="17"/>
                <c:pt idx="0">
                  <c:v>0.39634047987716287</c:v>
                </c:pt>
                <c:pt idx="1">
                  <c:v>0.29372116092662248</c:v>
                </c:pt>
                <c:pt idx="2">
                  <c:v>0.23361884431417379</c:v>
                </c:pt>
                <c:pt idx="3">
                  <c:v>0.2876847966491663</c:v>
                </c:pt>
                <c:pt idx="4">
                  <c:v>0.32509721219387627</c:v>
                </c:pt>
                <c:pt idx="5">
                  <c:v>0.22630771133059627</c:v>
                </c:pt>
                <c:pt idx="6">
                  <c:v>0.27997870897391819</c:v>
                </c:pt>
                <c:pt idx="7">
                  <c:v>0.26516488919882331</c:v>
                </c:pt>
                <c:pt idx="8">
                  <c:v>0.20947618009348698</c:v>
                </c:pt>
                <c:pt idx="9">
                  <c:v>0.2335648375336386</c:v>
                </c:pt>
                <c:pt idx="10">
                  <c:v>0.29752766628819127</c:v>
                </c:pt>
                <c:pt idx="11">
                  <c:v>0.23555674963311207</c:v>
                </c:pt>
                <c:pt idx="12">
                  <c:v>0.19297950243493192</c:v>
                </c:pt>
                <c:pt idx="13">
                  <c:v>0.15806021119133071</c:v>
                </c:pt>
                <c:pt idx="14">
                  <c:v>0.15077182853595394</c:v>
                </c:pt>
                <c:pt idx="15">
                  <c:v>0.23993401679509921</c:v>
                </c:pt>
                <c:pt idx="16">
                  <c:v>0.15763105758185661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F-4A22-A645-86C66CE55DF5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Trend!$E$13:$E$29</c:f>
              <c:numCache>
                <c:formatCode>#,##0.0000_);[Red]\(#,##0.0000\)</c:formatCode>
                <c:ptCount val="17"/>
                <c:pt idx="0">
                  <c:v>0.26978105179149142</c:v>
                </c:pt>
                <c:pt idx="1">
                  <c:v>0.26438543075566162</c:v>
                </c:pt>
                <c:pt idx="2">
                  <c:v>0.25909772214054838</c:v>
                </c:pt>
                <c:pt idx="3">
                  <c:v>0.25391576769773738</c:v>
                </c:pt>
                <c:pt idx="4">
                  <c:v>0.24883745234378263</c:v>
                </c:pt>
                <c:pt idx="5">
                  <c:v>0.24386070329690698</c:v>
                </c:pt>
                <c:pt idx="6">
                  <c:v>0.23898348923096882</c:v>
                </c:pt>
                <c:pt idx="7">
                  <c:v>0.23420381944634944</c:v>
                </c:pt>
                <c:pt idx="8">
                  <c:v>0.22951974305742243</c:v>
                </c:pt>
                <c:pt idx="9">
                  <c:v>0.22492934819627397</c:v>
                </c:pt>
                <c:pt idx="10">
                  <c:v>0.2204307612323485</c:v>
                </c:pt>
                <c:pt idx="11">
                  <c:v>0.21602214600770153</c:v>
                </c:pt>
                <c:pt idx="12">
                  <c:v>0.21170170308754749</c:v>
                </c:pt>
                <c:pt idx="13">
                  <c:v>0.20746766902579653</c:v>
                </c:pt>
                <c:pt idx="14">
                  <c:v>0.20331831564528058</c:v>
                </c:pt>
                <c:pt idx="15">
                  <c:v>0.19925194933237497</c:v>
                </c:pt>
                <c:pt idx="16">
                  <c:v>0.19526691034572746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F-4A22-A645-86C66CE5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75231"/>
        <c:axId val="1451381951"/>
      </c:lineChart>
      <c:catAx>
        <c:axId val="14580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81951"/>
        <c:crosses val="autoZero"/>
        <c:auto val="1"/>
        <c:lblAlgn val="ctr"/>
        <c:lblOffset val="100"/>
        <c:noMultiLvlLbl val="0"/>
      </c:catAx>
      <c:valAx>
        <c:axId val="14513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);[Red]\(#,##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"Severity Trends"</c:f>
          <c:strCache>
            <c:ptCount val="1"/>
            <c:pt idx="0">
              <c:v>Severity Trends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Trend!$H$4:$H$5</c:f>
              <c:strCache>
                <c:ptCount val="2"/>
                <c:pt idx="0">
                  <c:v>Indicated</c:v>
                </c:pt>
                <c:pt idx="1">
                  <c:v>250K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Trend!$H$13:$H$29</c:f>
              <c:numCache>
                <c:formatCode>#,##0_);[Red]\(#,##0\)</c:formatCode>
                <c:ptCount val="17"/>
                <c:pt idx="0">
                  <c:v>35917.588406779862</c:v>
                </c:pt>
                <c:pt idx="1">
                  <c:v>73828.664588124768</c:v>
                </c:pt>
                <c:pt idx="2">
                  <c:v>29590.563587356573</c:v>
                </c:pt>
                <c:pt idx="3">
                  <c:v>62422.007459789485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54310.168739531975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56215.906880024406</c:v>
                </c:pt>
                <c:pt idx="10">
                  <c:v>43111.736613281231</c:v>
                </c:pt>
                <c:pt idx="11">
                  <c:v>52622.270176962418</c:v>
                </c:pt>
                <c:pt idx="12">
                  <c:v>84297.291058933595</c:v>
                </c:pt>
                <c:pt idx="13">
                  <c:v>81736.231646860979</c:v>
                </c:pt>
                <c:pt idx="14">
                  <c:v>68947.111362812386</c:v>
                </c:pt>
                <c:pt idx="15">
                  <c:v>67619.921391671131</c:v>
                </c:pt>
                <c:pt idx="16">
                  <c:v>82380.508780327829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D-4305-B12F-A918DEA0B06F}"/>
            </c:ext>
          </c:extLst>
        </c:ser>
        <c:ser>
          <c:idx val="1"/>
          <c:order val="1"/>
          <c:tx>
            <c:strRef>
              <c:f>Trend!$I$4:$I$5</c:f>
              <c:strCache>
                <c:ptCount val="2"/>
                <c:pt idx="0">
                  <c:v>Indicated</c:v>
                </c:pt>
                <c:pt idx="1">
                  <c:v>350K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Trend!$I$13:$I$29</c:f>
              <c:numCache>
                <c:formatCode>#,##0_);[Red]\(#,##0\)</c:formatCode>
                <c:ptCount val="17"/>
                <c:pt idx="0">
                  <c:v>38807.119013877375</c:v>
                </c:pt>
                <c:pt idx="1">
                  <c:v>89172.124486031549</c:v>
                </c:pt>
                <c:pt idx="2">
                  <c:v>29590.563587356573</c:v>
                </c:pt>
                <c:pt idx="3">
                  <c:v>70508.444132117846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61015.490828502101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59289.941390112108</c:v>
                </c:pt>
                <c:pt idx="10">
                  <c:v>45329.623033523225</c:v>
                </c:pt>
                <c:pt idx="11">
                  <c:v>55093.235441587974</c:v>
                </c:pt>
                <c:pt idx="12">
                  <c:v>96217.890638467565</c:v>
                </c:pt>
                <c:pt idx="13">
                  <c:v>88051.663435514754</c:v>
                </c:pt>
                <c:pt idx="14">
                  <c:v>70324.295561278617</c:v>
                </c:pt>
                <c:pt idx="15">
                  <c:v>70826.683124601099</c:v>
                </c:pt>
                <c:pt idx="16">
                  <c:v>86910.60089448886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D-4305-B12F-A918DEA0B06F}"/>
            </c:ext>
          </c:extLst>
        </c:ser>
        <c:ser>
          <c:idx val="2"/>
          <c:order val="2"/>
          <c:tx>
            <c:strRef>
              <c:f>Trend!$J$4:$J$5</c:f>
              <c:strCache>
                <c:ptCount val="2"/>
                <c:pt idx="0">
                  <c:v>Indicated</c:v>
                </c:pt>
                <c:pt idx="1">
                  <c:v>500K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Trend!$J$13:$J$29</c:f>
              <c:numCache>
                <c:formatCode>#,##0_);[Red]\(#,##0\)</c:formatCode>
                <c:ptCount val="17"/>
                <c:pt idx="0">
                  <c:v>43141.414924523619</c:v>
                </c:pt>
                <c:pt idx="1">
                  <c:v>106003.01166941597</c:v>
                </c:pt>
                <c:pt idx="2">
                  <c:v>29590.563587356573</c:v>
                </c:pt>
                <c:pt idx="3">
                  <c:v>78370.512799885124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66138.37808956379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48656.452663886223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90065.536213894593</c:v>
                </c:pt>
                <c:pt idx="14">
                  <c:v>72157.230146281785</c:v>
                </c:pt>
                <c:pt idx="15">
                  <c:v>73047.840779285543</c:v>
                </c:pt>
                <c:pt idx="16">
                  <c:v>90441.958905063453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D-4305-B12F-A918DEA0B06F}"/>
            </c:ext>
          </c:extLst>
        </c:ser>
        <c:ser>
          <c:idx val="3"/>
          <c:order val="3"/>
          <c:tx>
            <c:strRef>
              <c:f>Trend!$K$4:$K$5</c:f>
              <c:strCache>
                <c:ptCount val="2"/>
                <c:pt idx="0">
                  <c:v>Indicated</c:v>
                </c:pt>
                <c:pt idx="1">
                  <c:v>Unl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Trend!$K$13:$K$29</c:f>
              <c:numCache>
                <c:formatCode>#,##0_);[Red]\(#,##0\)</c:formatCode>
                <c:ptCount val="17"/>
                <c:pt idx="0">
                  <c:v>43331.563375654274</c:v>
                </c:pt>
                <c:pt idx="1">
                  <c:v>105006.25717810781</c:v>
                </c:pt>
                <c:pt idx="2">
                  <c:v>29590.563587356573</c:v>
                </c:pt>
                <c:pt idx="3">
                  <c:v>81430.85310373058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68998.427304973942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50093.537492809439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92812.792791784974</c:v>
                </c:pt>
                <c:pt idx="14">
                  <c:v>74607.310872773625</c:v>
                </c:pt>
                <c:pt idx="15">
                  <c:v>75896.429433459154</c:v>
                </c:pt>
                <c:pt idx="16">
                  <c:v>94062.035291400651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D-4305-B12F-A918DEA0B06F}"/>
            </c:ext>
          </c:extLst>
        </c:ser>
        <c:ser>
          <c:idx val="4"/>
          <c:order val="4"/>
          <c:tx>
            <c:strRef>
              <c:f>Trend!$L$4:$L$5</c:f>
              <c:strCache>
                <c:ptCount val="2"/>
                <c:pt idx="0">
                  <c:v>Fitted</c:v>
                </c:pt>
                <c:pt idx="1">
                  <c:v>250K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Trend!$L$13:$L$29</c:f>
              <c:numCache>
                <c:formatCode>#,##0_);[Red]\(#,##0\)</c:formatCode>
                <c:ptCount val="17"/>
                <c:pt idx="0">
                  <c:v>51308.888722762182</c:v>
                </c:pt>
                <c:pt idx="1">
                  <c:v>52591.61094083124</c:v>
                </c:pt>
                <c:pt idx="2">
                  <c:v>53906.401214352023</c:v>
                </c:pt>
                <c:pt idx="3">
                  <c:v>55254.061244710821</c:v>
                </c:pt>
                <c:pt idx="4">
                  <c:v>56635.412775828583</c:v>
                </c:pt>
                <c:pt idx="5">
                  <c:v>58051.298095224294</c:v>
                </c:pt>
                <c:pt idx="6">
                  <c:v>59502.580547604892</c:v>
                </c:pt>
                <c:pt idx="7">
                  <c:v>60990.145061295028</c:v>
                </c:pt>
                <c:pt idx="8">
                  <c:v>62514.898687827386</c:v>
                </c:pt>
                <c:pt idx="9">
                  <c:v>64077.771155023074</c:v>
                </c:pt>
                <c:pt idx="10">
                  <c:v>65679.715433898644</c:v>
                </c:pt>
                <c:pt idx="11">
                  <c:v>67321.708319746103</c:v>
                </c:pt>
                <c:pt idx="12">
                  <c:v>69004.751027739752</c:v>
                </c:pt>
                <c:pt idx="13">
                  <c:v>70729.869803433248</c:v>
                </c:pt>
                <c:pt idx="14">
                  <c:v>72498.116548519058</c:v>
                </c:pt>
                <c:pt idx="15">
                  <c:v>74310.569462232044</c:v>
                </c:pt>
                <c:pt idx="16">
                  <c:v>76168.333698787843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D-4305-B12F-A918DEA0B06F}"/>
            </c:ext>
          </c:extLst>
        </c:ser>
        <c:ser>
          <c:idx val="5"/>
          <c:order val="5"/>
          <c:tx>
            <c:strRef>
              <c:f>Trend!$M$4:$M$5</c:f>
              <c:strCache>
                <c:ptCount val="2"/>
                <c:pt idx="0">
                  <c:v>Fitted</c:v>
                </c:pt>
                <c:pt idx="1">
                  <c:v>350K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Trend!$M$13:$M$29</c:f>
              <c:numCache>
                <c:formatCode>#,##0_);[Red]\(#,##0\)</c:formatCode>
                <c:ptCount val="17"/>
                <c:pt idx="0">
                  <c:v>52826.998806907919</c:v>
                </c:pt>
                <c:pt idx="1">
                  <c:v>54279.741274097869</c:v>
                </c:pt>
                <c:pt idx="2">
                  <c:v>55772.434159135562</c:v>
                </c:pt>
                <c:pt idx="3">
                  <c:v>57306.176098511794</c:v>
                </c:pt>
                <c:pt idx="4">
                  <c:v>58882.09594122089</c:v>
                </c:pt>
                <c:pt idx="5">
                  <c:v>60501.353579604453</c:v>
                </c:pt>
                <c:pt idx="6">
                  <c:v>62165.140803043585</c:v>
                </c:pt>
                <c:pt idx="7">
                  <c:v>63874.68217512728</c:v>
                </c:pt>
                <c:pt idx="8">
                  <c:v>65631.235934943281</c:v>
                </c:pt>
                <c:pt idx="9">
                  <c:v>67436.094923154218</c:v>
                </c:pt>
                <c:pt idx="10">
                  <c:v>69290.587533540966</c:v>
                </c:pt>
                <c:pt idx="11">
                  <c:v>71196.078690713344</c:v>
                </c:pt>
                <c:pt idx="12">
                  <c:v>73153.970854707979</c:v>
                </c:pt>
                <c:pt idx="13">
                  <c:v>75165.705053212441</c:v>
                </c:pt>
                <c:pt idx="14">
                  <c:v>77232.761942175799</c:v>
                </c:pt>
                <c:pt idx="15">
                  <c:v>79356.662895585629</c:v>
                </c:pt>
                <c:pt idx="16">
                  <c:v>81538.971125214244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D-4305-B12F-A918DEA0B06F}"/>
            </c:ext>
          </c:extLst>
        </c:ser>
        <c:ser>
          <c:idx val="6"/>
          <c:order val="6"/>
          <c:tx>
            <c:strRef>
              <c:f>Trend!$N$4:$N$5</c:f>
              <c:strCache>
                <c:ptCount val="2"/>
                <c:pt idx="0">
                  <c:v>Fitted</c:v>
                </c:pt>
                <c:pt idx="1">
                  <c:v>500K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Trend!$N$13:$N$29</c:f>
              <c:numCache>
                <c:formatCode>#,##0_);[Red]\(#,##0\)</c:formatCode>
                <c:ptCount val="17"/>
                <c:pt idx="0">
                  <c:v>52590.765156043788</c:v>
                </c:pt>
                <c:pt idx="1">
                  <c:v>54168.488110725091</c:v>
                </c:pt>
                <c:pt idx="2">
                  <c:v>55793.542754046852</c:v>
                </c:pt>
                <c:pt idx="3">
                  <c:v>57467.34903666826</c:v>
                </c:pt>
                <c:pt idx="4">
                  <c:v>59191.369507768308</c:v>
                </c:pt>
                <c:pt idx="5">
                  <c:v>60967.110593001344</c:v>
                </c:pt>
                <c:pt idx="6">
                  <c:v>62796.123910791386</c:v>
                </c:pt>
                <c:pt idx="7">
                  <c:v>64680.007628115127</c:v>
                </c:pt>
                <c:pt idx="8">
                  <c:v>66620.407856958584</c:v>
                </c:pt>
                <c:pt idx="9">
                  <c:v>68619.020092667342</c:v>
                </c:pt>
                <c:pt idx="10">
                  <c:v>70677.590695447347</c:v>
                </c:pt>
                <c:pt idx="11">
                  <c:v>72797.918416310771</c:v>
                </c:pt>
                <c:pt idx="12">
                  <c:v>74981.855968800097</c:v>
                </c:pt>
                <c:pt idx="13">
                  <c:v>77231.311647864088</c:v>
                </c:pt>
                <c:pt idx="14">
                  <c:v>79548.250997300027</c:v>
                </c:pt>
                <c:pt idx="15">
                  <c:v>81934.698527219021</c:v>
                </c:pt>
                <c:pt idx="16">
                  <c:v>84392.739483035592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BD-4305-B12F-A918DEA0B06F}"/>
            </c:ext>
          </c:extLst>
        </c:ser>
        <c:ser>
          <c:idx val="7"/>
          <c:order val="7"/>
          <c:tx>
            <c:strRef>
              <c:f>Trend!$O$4:$O$5</c:f>
              <c:strCache>
                <c:ptCount val="2"/>
                <c:pt idx="0">
                  <c:v>Fitted</c:v>
                </c:pt>
                <c:pt idx="1">
                  <c:v>Unl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Trend!$A$13:$A$29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Trend!$O$13:$O$29</c:f>
              <c:numCache>
                <c:formatCode>#,##0_);[Red]\(#,##0\)</c:formatCode>
                <c:ptCount val="17"/>
                <c:pt idx="0">
                  <c:v>52312.647834501186</c:v>
                </c:pt>
                <c:pt idx="1">
                  <c:v>54012.808889122483</c:v>
                </c:pt>
                <c:pt idx="2">
                  <c:v>55768.225178018969</c:v>
                </c:pt>
                <c:pt idx="3">
                  <c:v>57580.692496304575</c:v>
                </c:pt>
                <c:pt idx="4">
                  <c:v>59452.065002434472</c:v>
                </c:pt>
                <c:pt idx="5">
                  <c:v>61384.257115013592</c:v>
                </c:pt>
                <c:pt idx="6">
                  <c:v>63379.245471251525</c:v>
                </c:pt>
                <c:pt idx="7">
                  <c:v>65439.070949067194</c:v>
                </c:pt>
                <c:pt idx="8">
                  <c:v>67565.8407549119</c:v>
                </c:pt>
                <c:pt idx="9">
                  <c:v>69761.730579446536</c:v>
                </c:pt>
                <c:pt idx="10">
                  <c:v>72028.986823278552</c:v>
                </c:pt>
                <c:pt idx="11">
                  <c:v>74369.928895035089</c:v>
                </c:pt>
                <c:pt idx="12">
                  <c:v>76786.95158412373</c:v>
                </c:pt>
                <c:pt idx="13">
                  <c:v>79282.527510607761</c:v>
                </c:pt>
                <c:pt idx="14">
                  <c:v>81859.209654702499</c:v>
                </c:pt>
                <c:pt idx="15">
                  <c:v>84519.633968480324</c:v>
                </c:pt>
                <c:pt idx="16">
                  <c:v>87266.522072455933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BD-4305-B12F-A918DEA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64527"/>
        <c:axId val="1361124975"/>
      </c:lineChart>
      <c:catAx>
        <c:axId val="14548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24975"/>
        <c:crosses val="autoZero"/>
        <c:auto val="1"/>
        <c:lblAlgn val="ctr"/>
        <c:lblOffset val="100"/>
        <c:noMultiLvlLbl val="0"/>
      </c:catAx>
      <c:valAx>
        <c:axId val="13611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"Lost Cost Trends"</c:f>
          <c:strCache>
            <c:ptCount val="1"/>
            <c:pt idx="0">
              <c:v>Lost Cost Trends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Trend!$U$4:$U$5</c:f>
              <c:strCache>
                <c:ptCount val="2"/>
                <c:pt idx="0">
                  <c:v>Indicated</c:v>
                </c:pt>
                <c:pt idx="1">
                  <c:v>250K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Trend!$U$6:$U$29</c:f>
              <c:numCache>
                <c:formatCode>#,##0.000_);[Red]\(#,##0.000\)</c:formatCode>
                <c:ptCount val="24"/>
                <c:pt idx="0">
                  <c:v>19.528381576792398</c:v>
                </c:pt>
                <c:pt idx="1">
                  <c:v>28.116580846298174</c:v>
                </c:pt>
                <c:pt idx="2">
                  <c:v>42.645862450309949</c:v>
                </c:pt>
                <c:pt idx="3">
                  <c:v>33.775485238780774</c:v>
                </c:pt>
                <c:pt idx="4">
                  <c:v>40.106465655140035</c:v>
                </c:pt>
                <c:pt idx="5">
                  <c:v>21.393304477418681</c:v>
                </c:pt>
                <c:pt idx="6">
                  <c:v>49.535559840238527</c:v>
                </c:pt>
                <c:pt idx="7">
                  <c:v>18.011533642280092</c:v>
                </c:pt>
                <c:pt idx="8">
                  <c:v>27.741173171319758</c:v>
                </c:pt>
                <c:pt idx="9">
                  <c:v>8.8128150794083577</c:v>
                </c:pt>
                <c:pt idx="10">
                  <c:v>22.358457375847664</c:v>
                </c:pt>
                <c:pt idx="11">
                  <c:v>13.702786834911688</c:v>
                </c:pt>
                <c:pt idx="12">
                  <c:v>9.1625193770924227</c:v>
                </c:pt>
                <c:pt idx="13">
                  <c:v>17.943860085203404</c:v>
                </c:pt>
                <c:pt idx="14">
                  <c:v>11.82002477552728</c:v>
                </c:pt>
                <c:pt idx="15">
                  <c:v>10.459756297265731</c:v>
                </c:pt>
                <c:pt idx="16">
                  <c:v>15.828923947761471</c:v>
                </c:pt>
                <c:pt idx="17">
                  <c:v>14.377624223764064</c:v>
                </c:pt>
                <c:pt idx="18">
                  <c:v>13.241798172813295</c:v>
                </c:pt>
                <c:pt idx="19">
                  <c:v>17.750004723172857</c:v>
                </c:pt>
                <c:pt idx="20">
                  <c:v>13.908202098212231</c:v>
                </c:pt>
                <c:pt idx="21">
                  <c:v>12.855675035830613</c:v>
                </c:pt>
                <c:pt idx="22">
                  <c:v>15.952667677241907</c:v>
                </c:pt>
                <c:pt idx="23">
                  <c:v>14.409260840582354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FB3-898C-03C328FEE0FE}"/>
            </c:ext>
          </c:extLst>
        </c:ser>
        <c:ser>
          <c:idx val="1"/>
          <c:order val="1"/>
          <c:tx>
            <c:strRef>
              <c:f>Trend!$V$4:$V$5</c:f>
              <c:strCache>
                <c:ptCount val="2"/>
                <c:pt idx="0">
                  <c:v>Indicated</c:v>
                </c:pt>
                <c:pt idx="1">
                  <c:v>350K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Trend!$V$6:$V$29</c:f>
              <c:numCache>
                <c:formatCode>#,##0.000_);[Red]\(#,##0.000\)</c:formatCode>
                <c:ptCount val="24"/>
                <c:pt idx="0">
                  <c:v>22.386224184389999</c:v>
                </c:pt>
                <c:pt idx="1">
                  <c:v>30.490612889684524</c:v>
                </c:pt>
                <c:pt idx="2">
                  <c:v>44.281021173415738</c:v>
                </c:pt>
                <c:pt idx="3">
                  <c:v>38.859061645806193</c:v>
                </c:pt>
                <c:pt idx="4">
                  <c:v>43.207566120719427</c:v>
                </c:pt>
                <c:pt idx="5">
                  <c:v>22.964417375784741</c:v>
                </c:pt>
                <c:pt idx="6">
                  <c:v>58.301851327559298</c:v>
                </c:pt>
                <c:pt idx="7">
                  <c:v>19.460541775863767</c:v>
                </c:pt>
                <c:pt idx="8">
                  <c:v>33.506489128876666</c:v>
                </c:pt>
                <c:pt idx="9">
                  <c:v>8.8128150794083577</c:v>
                </c:pt>
                <c:pt idx="10">
                  <c:v>25.254875754849838</c:v>
                </c:pt>
                <c:pt idx="11">
                  <c:v>13.702786834911688</c:v>
                </c:pt>
                <c:pt idx="12">
                  <c:v>9.1625193770924227</c:v>
                </c:pt>
                <c:pt idx="13">
                  <c:v>20.159271382629996</c:v>
                </c:pt>
                <c:pt idx="14">
                  <c:v>11.82002477552728</c:v>
                </c:pt>
                <c:pt idx="15">
                  <c:v>10.459756297265731</c:v>
                </c:pt>
                <c:pt idx="16">
                  <c:v>16.694491385405399</c:v>
                </c:pt>
                <c:pt idx="17">
                  <c:v>15.117282145857722</c:v>
                </c:pt>
                <c:pt idx="18">
                  <c:v>13.863588589991616</c:v>
                </c:pt>
                <c:pt idx="19">
                  <c:v>20.260058085289248</c:v>
                </c:pt>
                <c:pt idx="20">
                  <c:v>14.982833260969583</c:v>
                </c:pt>
                <c:pt idx="21">
                  <c:v>13.112460739684074</c:v>
                </c:pt>
                <c:pt idx="22">
                  <c:v>16.709196274032454</c:v>
                </c:pt>
                <c:pt idx="23">
                  <c:v>15.201623984136997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FB3-898C-03C328FEE0FE}"/>
            </c:ext>
          </c:extLst>
        </c:ser>
        <c:ser>
          <c:idx val="2"/>
          <c:order val="2"/>
          <c:tx>
            <c:strRef>
              <c:f>Trend!$W$4:$W$5</c:f>
              <c:strCache>
                <c:ptCount val="2"/>
                <c:pt idx="0">
                  <c:v>Indicated</c:v>
                </c:pt>
                <c:pt idx="1">
                  <c:v>500K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Trend!$W$6:$W$29</c:f>
              <c:numCache>
                <c:formatCode>#,##0.000_);[Red]\(#,##0.000\)</c:formatCode>
                <c:ptCount val="24"/>
                <c:pt idx="0">
                  <c:v>23.570919974628726</c:v>
                </c:pt>
                <c:pt idx="1">
                  <c:v>31.67248949491594</c:v>
                </c:pt>
                <c:pt idx="2">
                  <c:v>45.097047134181679</c:v>
                </c:pt>
                <c:pt idx="3">
                  <c:v>43.563060111460054</c:v>
                </c:pt>
                <c:pt idx="4">
                  <c:v>45.726069921488218</c:v>
                </c:pt>
                <c:pt idx="5">
                  <c:v>25.321086723333828</c:v>
                </c:pt>
                <c:pt idx="6">
                  <c:v>67.136113702032048</c:v>
                </c:pt>
                <c:pt idx="7">
                  <c:v>21.634053976239276</c:v>
                </c:pt>
                <c:pt idx="8">
                  <c:v>39.830706945709764</c:v>
                </c:pt>
                <c:pt idx="9">
                  <c:v>8.8128150794083577</c:v>
                </c:pt>
                <c:pt idx="10">
                  <c:v>28.070929488903442</c:v>
                </c:pt>
                <c:pt idx="11">
                  <c:v>13.702786834911688</c:v>
                </c:pt>
                <c:pt idx="12">
                  <c:v>9.1625193770924227</c:v>
                </c:pt>
                <c:pt idx="13">
                  <c:v>21.851852613331474</c:v>
                </c:pt>
                <c:pt idx="14">
                  <c:v>11.82002477552728</c:v>
                </c:pt>
                <c:pt idx="15">
                  <c:v>10.459756297265731</c:v>
                </c:pt>
                <c:pt idx="16">
                  <c:v>16.709422423704758</c:v>
                </c:pt>
                <c:pt idx="17">
                  <c:v>16.226769028998209</c:v>
                </c:pt>
                <c:pt idx="18">
                  <c:v>14.273425143616951</c:v>
                </c:pt>
                <c:pt idx="19">
                  <c:v>20.96106686157923</c:v>
                </c:pt>
                <c:pt idx="20">
                  <c:v>15.325512988642968</c:v>
                </c:pt>
                <c:pt idx="21">
                  <c:v>13.454224316445686</c:v>
                </c:pt>
                <c:pt idx="22">
                  <c:v>17.233204424215064</c:v>
                </c:pt>
                <c:pt idx="23">
                  <c:v>15.819297502414663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B-4FB3-898C-03C328FEE0FE}"/>
            </c:ext>
          </c:extLst>
        </c:ser>
        <c:ser>
          <c:idx val="3"/>
          <c:order val="3"/>
          <c:tx>
            <c:strRef>
              <c:f>Trend!$X$4:$X$5</c:f>
              <c:strCache>
                <c:ptCount val="2"/>
                <c:pt idx="0">
                  <c:v>Indicated</c:v>
                </c:pt>
                <c:pt idx="1">
                  <c:v>Unl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Trend!$X$6:$X$29</c:f>
              <c:numCache>
                <c:formatCode>#,##0.000_);[Red]\(#,##0.000\)</c:formatCode>
                <c:ptCount val="24"/>
                <c:pt idx="0">
                  <c:v>23.570919974628726</c:v>
                </c:pt>
                <c:pt idx="1">
                  <c:v>31.67248949491594</c:v>
                </c:pt>
                <c:pt idx="2">
                  <c:v>45.097047134181679</c:v>
                </c:pt>
                <c:pt idx="3">
                  <c:v>53.219458406360268</c:v>
                </c:pt>
                <c:pt idx="4">
                  <c:v>59.413039801154852</c:v>
                </c:pt>
                <c:pt idx="5">
                  <c:v>25.944064409793938</c:v>
                </c:pt>
                <c:pt idx="6">
                  <c:v>74.479008418659305</c:v>
                </c:pt>
                <c:pt idx="7">
                  <c:v>21.729407405477883</c:v>
                </c:pt>
                <c:pt idx="8">
                  <c:v>39.456175737446273</c:v>
                </c:pt>
                <c:pt idx="9">
                  <c:v>8.8128150794083577</c:v>
                </c:pt>
                <c:pt idx="10">
                  <c:v>29.167089177186369</c:v>
                </c:pt>
                <c:pt idx="11">
                  <c:v>13.702786834911688</c:v>
                </c:pt>
                <c:pt idx="12">
                  <c:v>9.1625193770924227</c:v>
                </c:pt>
                <c:pt idx="13">
                  <c:v>22.796801306167328</c:v>
                </c:pt>
                <c:pt idx="14">
                  <c:v>11.82002477552728</c:v>
                </c:pt>
                <c:pt idx="15">
                  <c:v>10.459756297265731</c:v>
                </c:pt>
                <c:pt idx="16">
                  <c:v>16.709422423704758</c:v>
                </c:pt>
                <c:pt idx="17">
                  <c:v>16.706032154797811</c:v>
                </c:pt>
                <c:pt idx="18">
                  <c:v>14.273425143616951</c:v>
                </c:pt>
                <c:pt idx="19">
                  <c:v>20.96106686157923</c:v>
                </c:pt>
                <c:pt idx="20">
                  <c:v>15.792984988894032</c:v>
                </c:pt>
                <c:pt idx="21">
                  <c:v>13.911059142571837</c:v>
                </c:pt>
                <c:pt idx="22">
                  <c:v>17.905234015701552</c:v>
                </c:pt>
                <c:pt idx="23">
                  <c:v>16.452488844466945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B-4FB3-898C-03C328FEE0FE}"/>
            </c:ext>
          </c:extLst>
        </c:ser>
        <c:ser>
          <c:idx val="4"/>
          <c:order val="4"/>
          <c:tx>
            <c:strRef>
              <c:f>Trend!$Y$4:$Y$5</c:f>
              <c:strCache>
                <c:ptCount val="2"/>
                <c:pt idx="0">
                  <c:v>Fitted</c:v>
                </c:pt>
                <c:pt idx="1">
                  <c:v>250K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Trend!$Y$6:$Y$29</c:f>
              <c:numCache>
                <c:formatCode>#,##0.000_);[Red]\(#,##0.000\)</c:formatCode>
                <c:ptCount val="24"/>
                <c:pt idx="0">
                  <c:v>13.370008982460714</c:v>
                </c:pt>
                <c:pt idx="1">
                  <c:v>13.43017402288179</c:v>
                </c:pt>
                <c:pt idx="2">
                  <c:v>13.490609805984755</c:v>
                </c:pt>
                <c:pt idx="3">
                  <c:v>13.551317550111685</c:v>
                </c:pt>
                <c:pt idx="4">
                  <c:v>13.612298479087185</c:v>
                </c:pt>
                <c:pt idx="5">
                  <c:v>13.673553822243077</c:v>
                </c:pt>
                <c:pt idx="6">
                  <c:v>13.735084814443169</c:v>
                </c:pt>
                <c:pt idx="7">
                  <c:v>13.796892696108165</c:v>
                </c:pt>
                <c:pt idx="8">
                  <c:v>13.858978713240646</c:v>
                </c:pt>
                <c:pt idx="9">
                  <c:v>13.921344117450229</c:v>
                </c:pt>
                <c:pt idx="10">
                  <c:v>13.983990165978753</c:v>
                </c:pt>
                <c:pt idx="11">
                  <c:v>14.046918121725657</c:v>
                </c:pt>
                <c:pt idx="12">
                  <c:v>14.110129253273417</c:v>
                </c:pt>
                <c:pt idx="13">
                  <c:v>14.173624834913149</c:v>
                </c:pt>
                <c:pt idx="14">
                  <c:v>14.237406146670256</c:v>
                </c:pt>
                <c:pt idx="15">
                  <c:v>14.301474474330272</c:v>
                </c:pt>
                <c:pt idx="16">
                  <c:v>14.365831109464752</c:v>
                </c:pt>
                <c:pt idx="17">
                  <c:v>14.430477349457345</c:v>
                </c:pt>
                <c:pt idx="18">
                  <c:v>14.495414497529902</c:v>
                </c:pt>
                <c:pt idx="19">
                  <c:v>14.560643862768785</c:v>
                </c:pt>
                <c:pt idx="20">
                  <c:v>14.626166760151241</c:v>
                </c:pt>
                <c:pt idx="21">
                  <c:v>14.691984510571922</c:v>
                </c:pt>
                <c:pt idx="22">
                  <c:v>14.758098440869494</c:v>
                </c:pt>
                <c:pt idx="23">
                  <c:v>14.824509883853406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B-4FB3-898C-03C328FEE0FE}"/>
            </c:ext>
          </c:extLst>
        </c:ser>
        <c:ser>
          <c:idx val="5"/>
          <c:order val="5"/>
          <c:tx>
            <c:strRef>
              <c:f>Trend!$Z$4:$Z$5</c:f>
              <c:strCache>
                <c:ptCount val="2"/>
                <c:pt idx="0">
                  <c:v>Fitted</c:v>
                </c:pt>
                <c:pt idx="1">
                  <c:v>350K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Trend!$Z$6:$Z$29</c:f>
              <c:numCache>
                <c:formatCode>#,##0.000_);[Red]\(#,##0.000\)</c:formatCode>
                <c:ptCount val="24"/>
                <c:pt idx="0">
                  <c:v>13.450315872308014</c:v>
                </c:pt>
                <c:pt idx="1">
                  <c:v>13.544468083414166</c:v>
                </c:pt>
                <c:pt idx="2">
                  <c:v>13.639279359998064</c:v>
                </c:pt>
                <c:pt idx="3">
                  <c:v>13.73475431551805</c:v>
                </c:pt>
                <c:pt idx="4">
                  <c:v>13.830897595726677</c:v>
                </c:pt>
                <c:pt idx="5">
                  <c:v>13.92771387889676</c:v>
                </c:pt>
                <c:pt idx="6">
                  <c:v>14.025207876049034</c:v>
                </c:pt>
                <c:pt idx="7">
                  <c:v>14.123384331181377</c:v>
                </c:pt>
                <c:pt idx="8">
                  <c:v>14.222248021499647</c:v>
                </c:pt>
                <c:pt idx="9">
                  <c:v>14.321803757650141</c:v>
                </c:pt>
                <c:pt idx="10">
                  <c:v>14.42205638395369</c:v>
                </c:pt>
                <c:pt idx="11">
                  <c:v>14.523010778641364</c:v>
                </c:pt>
                <c:pt idx="12">
                  <c:v>14.624671854091853</c:v>
                </c:pt>
                <c:pt idx="13">
                  <c:v>14.727044557070494</c:v>
                </c:pt>
                <c:pt idx="14">
                  <c:v>14.830133868969986</c:v>
                </c:pt>
                <c:pt idx="15">
                  <c:v>14.933944806052773</c:v>
                </c:pt>
                <c:pt idx="16">
                  <c:v>15.038482419695143</c:v>
                </c:pt>
                <c:pt idx="17">
                  <c:v>15.143751796633007</c:v>
                </c:pt>
                <c:pt idx="18">
                  <c:v>15.249758059209434</c:v>
                </c:pt>
                <c:pt idx="19">
                  <c:v>15.356506365623899</c:v>
                </c:pt>
                <c:pt idx="20">
                  <c:v>15.464001910183265</c:v>
                </c:pt>
                <c:pt idx="21">
                  <c:v>15.572249923554546</c:v>
                </c:pt>
                <c:pt idx="22">
                  <c:v>15.681255673019425</c:v>
                </c:pt>
                <c:pt idx="23">
                  <c:v>15.79102446273056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B-4FB3-898C-03C328FEE0FE}"/>
            </c:ext>
          </c:extLst>
        </c:ser>
        <c:ser>
          <c:idx val="6"/>
          <c:order val="6"/>
          <c:tx>
            <c:strRef>
              <c:f>Trend!$AA$4:$AA$5</c:f>
              <c:strCache>
                <c:ptCount val="2"/>
                <c:pt idx="0">
                  <c:v>Fitted</c:v>
                </c:pt>
                <c:pt idx="1">
                  <c:v>500K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Trend!$AA$6:$AA$29</c:f>
              <c:numCache>
                <c:formatCode>#,##0.000_);[Red]\(#,##0.000\)</c:formatCode>
                <c:ptCount val="24"/>
                <c:pt idx="0">
                  <c:v>13.18338325821472</c:v>
                </c:pt>
                <c:pt idx="1">
                  <c:v>13.308625399167761</c:v>
                </c:pt>
                <c:pt idx="2">
                  <c:v>13.435057340459855</c:v>
                </c:pt>
                <c:pt idx="3">
                  <c:v>13.562690385194225</c:v>
                </c:pt>
                <c:pt idx="4">
                  <c:v>13.691535943853568</c:v>
                </c:pt>
                <c:pt idx="5">
                  <c:v>13.821605535320177</c:v>
                </c:pt>
                <c:pt idx="6">
                  <c:v>13.952910787905722</c:v>
                </c:pt>
                <c:pt idx="7">
                  <c:v>14.085463440390827</c:v>
                </c:pt>
                <c:pt idx="8">
                  <c:v>14.219275343074541</c:v>
                </c:pt>
                <c:pt idx="9">
                  <c:v>14.354358458833747</c:v>
                </c:pt>
                <c:pt idx="10">
                  <c:v>14.49072486419267</c:v>
                </c:pt>
                <c:pt idx="11">
                  <c:v>14.6283867504025</c:v>
                </c:pt>
                <c:pt idx="12">
                  <c:v>14.767356424531323</c:v>
                </c:pt>
                <c:pt idx="13">
                  <c:v>14.907646310564372</c:v>
                </c:pt>
                <c:pt idx="14">
                  <c:v>15.049268950514733</c:v>
                </c:pt>
                <c:pt idx="15">
                  <c:v>15.192237005544625</c:v>
                </c:pt>
                <c:pt idx="16">
                  <c:v>15.336563257097298</c:v>
                </c:pt>
                <c:pt idx="17">
                  <c:v>15.482260608039725</c:v>
                </c:pt>
                <c:pt idx="18">
                  <c:v>15.6293420838161</c:v>
                </c:pt>
                <c:pt idx="19">
                  <c:v>15.777820833612356</c:v>
                </c:pt>
                <c:pt idx="20">
                  <c:v>15.927710131531672</c:v>
                </c:pt>
                <c:pt idx="21">
                  <c:v>16.079023377781226</c:v>
                </c:pt>
                <c:pt idx="22">
                  <c:v>16.231774099870147</c:v>
                </c:pt>
                <c:pt idx="23">
                  <c:v>16.385975953818914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CB-4FB3-898C-03C328FEE0FE}"/>
            </c:ext>
          </c:extLst>
        </c:ser>
        <c:ser>
          <c:idx val="7"/>
          <c:order val="7"/>
          <c:tx>
            <c:strRef>
              <c:f>Trend!$AB$4:$AB$5</c:f>
              <c:strCache>
                <c:ptCount val="2"/>
                <c:pt idx="0">
                  <c:v>Fitted</c:v>
                </c:pt>
                <c:pt idx="1">
                  <c:v>Unl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Trend!$A$6:$A$29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Trend!$AB$6:$AB$29</c:f>
              <c:numCache>
                <c:formatCode>#,##0.000_);[Red]\(#,##0.000\)</c:formatCode>
                <c:ptCount val="24"/>
                <c:pt idx="0">
                  <c:v>13.374018598002575</c:v>
                </c:pt>
                <c:pt idx="1">
                  <c:v>13.53450682117861</c:v>
                </c:pt>
                <c:pt idx="2">
                  <c:v>13.696920903032749</c:v>
                </c:pt>
                <c:pt idx="3">
                  <c:v>13.861283953869144</c:v>
                </c:pt>
                <c:pt idx="4">
                  <c:v>14.027619361315573</c:v>
                </c:pt>
                <c:pt idx="5">
                  <c:v>14.195950793651361</c:v>
                </c:pt>
                <c:pt idx="6">
                  <c:v>14.366302203175175</c:v>
                </c:pt>
                <c:pt idx="7">
                  <c:v>14.538697829613279</c:v>
                </c:pt>
                <c:pt idx="8">
                  <c:v>14.713162203568636</c:v>
                </c:pt>
                <c:pt idx="9">
                  <c:v>14.889720150011463</c:v>
                </c:pt>
                <c:pt idx="10">
                  <c:v>15.068396791811601</c:v>
                </c:pt>
                <c:pt idx="11">
                  <c:v>15.24921755331334</c:v>
                </c:pt>
                <c:pt idx="12">
                  <c:v>15.432208163953099</c:v>
                </c:pt>
                <c:pt idx="13">
                  <c:v>15.617394661920535</c:v>
                </c:pt>
                <c:pt idx="14">
                  <c:v>15.804803397863582</c:v>
                </c:pt>
                <c:pt idx="15">
                  <c:v>15.994461038637944</c:v>
                </c:pt>
                <c:pt idx="16">
                  <c:v>16.186394571101598</c:v>
                </c:pt>
                <c:pt idx="17">
                  <c:v>16.380631305954822</c:v>
                </c:pt>
                <c:pt idx="18">
                  <c:v>16.577198881626277</c:v>
                </c:pt>
                <c:pt idx="19">
                  <c:v>16.776125268205792</c:v>
                </c:pt>
                <c:pt idx="20">
                  <c:v>16.977438771424261</c:v>
                </c:pt>
                <c:pt idx="21">
                  <c:v>17.181168036681353</c:v>
                </c:pt>
                <c:pt idx="22">
                  <c:v>17.387342053121529</c:v>
                </c:pt>
                <c:pt idx="23">
                  <c:v>17.595990157758987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CB-4FB3-898C-03C328FE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2223"/>
        <c:axId val="1561033007"/>
      </c:lineChart>
      <c:catAx>
        <c:axId val="15780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3007"/>
        <c:crosses val="autoZero"/>
        <c:auto val="1"/>
        <c:lblAlgn val="ctr"/>
        <c:lblOffset val="100"/>
        <c:noMultiLvlLbl val="0"/>
      </c:catAx>
      <c:valAx>
        <c:axId val="15610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'e4.1'!$M$40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777-40B3-882C-185C33B4185C}"/>
              </c:ext>
            </c:extLst>
          </c:dPt>
          <c:xVal>
            <c:numRef>
              <c:f>'e4.1'!$L$41:$L$57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'e4.1'!$M$41:$M$57</c:f>
              <c:numCache>
                <c:formatCode>#,##0_);[Red]\(#,##0\)</c:formatCode>
                <c:ptCount val="17"/>
                <c:pt idx="0">
                  <c:v>43141.414924523619</c:v>
                </c:pt>
                <c:pt idx="1">
                  <c:v>106003.01166941597</c:v>
                </c:pt>
                <c:pt idx="2">
                  <c:v>29590.563587356573</c:v>
                </c:pt>
                <c:pt idx="3">
                  <c:v>78370.512799885124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66138.37808956379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48656.452663886223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90065.536213894593</c:v>
                </c:pt>
                <c:pt idx="14">
                  <c:v>72157.230146281785</c:v>
                </c:pt>
                <c:pt idx="15">
                  <c:v>73047.840779285543</c:v>
                </c:pt>
                <c:pt idx="16">
                  <c:v>90441.958905063453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9-4ABE-B8B4-99A14A22F656}"/>
            </c:ext>
          </c:extLst>
        </c:ser>
        <c:ser>
          <c:idx val="1"/>
          <c:order val="1"/>
          <c:tx>
            <c:strRef>
              <c:f>'e4.1'!$N$40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7-40B3-882C-185C33B4185C}"/>
              </c:ext>
            </c:extLst>
          </c:dPt>
          <c:xVal>
            <c:numRef>
              <c:f>'e4.1'!$L$41:$L$57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'e4.1'!$N$41:$N$57</c:f>
              <c:numCache>
                <c:formatCode>#,##0_);[Red]\(#,##0\)</c:formatCode>
                <c:ptCount val="17"/>
                <c:pt idx="0">
                  <c:v>52590.765156043788</c:v>
                </c:pt>
                <c:pt idx="1">
                  <c:v>54168.488110725091</c:v>
                </c:pt>
                <c:pt idx="2">
                  <c:v>55793.542754046852</c:v>
                </c:pt>
                <c:pt idx="3">
                  <c:v>57467.34903666826</c:v>
                </c:pt>
                <c:pt idx="4">
                  <c:v>59191.369507768308</c:v>
                </c:pt>
                <c:pt idx="5">
                  <c:v>60967.110593001344</c:v>
                </c:pt>
                <c:pt idx="6">
                  <c:v>62796.123910791386</c:v>
                </c:pt>
                <c:pt idx="7">
                  <c:v>64680.007628115127</c:v>
                </c:pt>
                <c:pt idx="8">
                  <c:v>66620.407856958584</c:v>
                </c:pt>
                <c:pt idx="9">
                  <c:v>68619.020092667342</c:v>
                </c:pt>
                <c:pt idx="10">
                  <c:v>70677.590695447347</c:v>
                </c:pt>
                <c:pt idx="11">
                  <c:v>72797.918416310771</c:v>
                </c:pt>
                <c:pt idx="12">
                  <c:v>74981.855968800097</c:v>
                </c:pt>
                <c:pt idx="13">
                  <c:v>77231.311647864088</c:v>
                </c:pt>
                <c:pt idx="14">
                  <c:v>79548.250997300027</c:v>
                </c:pt>
                <c:pt idx="15">
                  <c:v>81934.698527219021</c:v>
                </c:pt>
                <c:pt idx="16">
                  <c:v>84392.739483035592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9-4ABE-B8B4-99A14A22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93152"/>
        <c:axId val="465395712"/>
      </c:scatterChart>
      <c:valAx>
        <c:axId val="465393152"/>
        <c:scaling>
          <c:orientation val="minMax"/>
          <c:max val="2019"/>
          <c:min val="2003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5712"/>
        <c:crosses val="autoZero"/>
        <c:crossBetween val="midCat"/>
        <c:majorUnit val="1"/>
      </c:valAx>
      <c:valAx>
        <c:axId val="465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Severity per Lost Time Claim</a:t>
                </a:r>
              </a:p>
            </c:rich>
          </c:tx>
          <c:layout>
            <c:manualLayout>
              <c:xMode val="edge"/>
              <c:yMode val="edge"/>
              <c:x val="1.4961495501611379E-2"/>
              <c:y val="0.22649507758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K;[Red]\(#,##0.00\)\,&quot;$&quot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'e4.1'!$M$69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19-4705-9C24-767CD527C580}"/>
              </c:ext>
            </c:extLst>
          </c:dPt>
          <c:xVal>
            <c:numRef>
              <c:f>'e4.1'!$L$70:$L$86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'e4.1'!$M$70:$M$86</c:f>
              <c:numCache>
                <c:formatCode>#,##0.000_);[Red]\(#,##0.000\)</c:formatCode>
                <c:ptCount val="17"/>
                <c:pt idx="0">
                  <c:v>21.634053976239276</c:v>
                </c:pt>
                <c:pt idx="1">
                  <c:v>39.830706945709764</c:v>
                </c:pt>
                <c:pt idx="2">
                  <c:v>8.8128150794083577</c:v>
                </c:pt>
                <c:pt idx="3">
                  <c:v>28.070929488903442</c:v>
                </c:pt>
                <c:pt idx="4">
                  <c:v>13.702786834911688</c:v>
                </c:pt>
                <c:pt idx="5">
                  <c:v>9.1625193770924227</c:v>
                </c:pt>
                <c:pt idx="6">
                  <c:v>21.851852613331474</c:v>
                </c:pt>
                <c:pt idx="7">
                  <c:v>11.82002477552728</c:v>
                </c:pt>
                <c:pt idx="8">
                  <c:v>10.459756297265731</c:v>
                </c:pt>
                <c:pt idx="9">
                  <c:v>16.709422423704758</c:v>
                </c:pt>
                <c:pt idx="10">
                  <c:v>16.226769028998209</c:v>
                </c:pt>
                <c:pt idx="11">
                  <c:v>14.273425143616951</c:v>
                </c:pt>
                <c:pt idx="12">
                  <c:v>20.96106686157923</c:v>
                </c:pt>
                <c:pt idx="13">
                  <c:v>15.325512988642968</c:v>
                </c:pt>
                <c:pt idx="14">
                  <c:v>13.454224316445686</c:v>
                </c:pt>
                <c:pt idx="15">
                  <c:v>17.233204424215064</c:v>
                </c:pt>
                <c:pt idx="16">
                  <c:v>15.819297502414663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B-4727-B615-74D3197B24F8}"/>
            </c:ext>
          </c:extLst>
        </c:ser>
        <c:ser>
          <c:idx val="1"/>
          <c:order val="1"/>
          <c:tx>
            <c:strRef>
              <c:f>'e4.1'!$N$69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19-4705-9C24-767CD527C580}"/>
              </c:ext>
            </c:extLst>
          </c:dPt>
          <c:xVal>
            <c:numRef>
              <c:f>'e4.1'!$L$70:$L$86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'e4.1'!$N$70:$N$86</c:f>
              <c:numCache>
                <c:formatCode>#,##0.000_);[Red]\(#,##0.000\)</c:formatCode>
                <c:ptCount val="17"/>
                <c:pt idx="0">
                  <c:v>14.085463440390827</c:v>
                </c:pt>
                <c:pt idx="1">
                  <c:v>14.219275343074541</c:v>
                </c:pt>
                <c:pt idx="2">
                  <c:v>14.354358458833747</c:v>
                </c:pt>
                <c:pt idx="3">
                  <c:v>14.49072486419267</c:v>
                </c:pt>
                <c:pt idx="4">
                  <c:v>14.6283867504025</c:v>
                </c:pt>
                <c:pt idx="5">
                  <c:v>14.767356424531323</c:v>
                </c:pt>
                <c:pt idx="6">
                  <c:v>14.907646310564372</c:v>
                </c:pt>
                <c:pt idx="7">
                  <c:v>15.049268950514733</c:v>
                </c:pt>
                <c:pt idx="8">
                  <c:v>15.192237005544625</c:v>
                </c:pt>
                <c:pt idx="9">
                  <c:v>15.336563257097298</c:v>
                </c:pt>
                <c:pt idx="10">
                  <c:v>15.482260608039725</c:v>
                </c:pt>
                <c:pt idx="11">
                  <c:v>15.6293420838161</c:v>
                </c:pt>
                <c:pt idx="12">
                  <c:v>15.777820833612356</c:v>
                </c:pt>
                <c:pt idx="13">
                  <c:v>15.927710131531672</c:v>
                </c:pt>
                <c:pt idx="14">
                  <c:v>16.079023377781226</c:v>
                </c:pt>
                <c:pt idx="15">
                  <c:v>16.231774099870147</c:v>
                </c:pt>
                <c:pt idx="16">
                  <c:v>16.385975953818914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B-4727-B615-74D3197B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16960"/>
        <c:axId val="465419264"/>
      </c:scatterChart>
      <c:valAx>
        <c:axId val="465416960"/>
        <c:scaling>
          <c:orientation val="minMax"/>
          <c:max val="2019"/>
          <c:min val="2003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layout>
            <c:manualLayout>
              <c:xMode val="edge"/>
              <c:yMode val="edge"/>
              <c:x val="0.39784589806892157"/>
              <c:y val="0.86291029120845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19264"/>
        <c:crosses val="autoZero"/>
        <c:crossBetween val="midCat"/>
        <c:majorUnit val="1"/>
      </c:valAx>
      <c:valAx>
        <c:axId val="4654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Loss Cost</a:t>
                </a:r>
              </a:p>
            </c:rich>
          </c:tx>
          <c:layout>
            <c:manualLayout>
              <c:xMode val="edge"/>
              <c:yMode val="edge"/>
              <c:x val="1.4961495501611379E-2"/>
              <c:y val="0.39934197025176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1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Indicated Versus Fitted Lost-Time Claim Frequency by Policy Year</a:t>
            </a:r>
          </a:p>
          <a:p>
            <a:pPr>
              <a:defRPr sz="1400"/>
            </a:pPr>
            <a:r>
              <a:rPr lang="en-US" sz="1400"/>
              <a:t>Ultimate Claims Per $Million of Payroll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'e4.1'!$M$12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7F4-4F43-877D-468EAA5BBC98}"/>
              </c:ext>
            </c:extLst>
          </c:dPt>
          <c:xVal>
            <c:numRef>
              <c:f>'e4.1'!$L$13:$L$29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'e4.1'!$M$13:$M$29</c:f>
              <c:numCache>
                <c:formatCode>#,##0.000_);[Red]\(#,##0.000\)</c:formatCode>
                <c:ptCount val="17"/>
                <c:pt idx="0">
                  <c:v>0.39634047987716287</c:v>
                </c:pt>
                <c:pt idx="1">
                  <c:v>0.29372116092662248</c:v>
                </c:pt>
                <c:pt idx="2">
                  <c:v>0.23361884431417379</c:v>
                </c:pt>
                <c:pt idx="3">
                  <c:v>0.2876847966491663</c:v>
                </c:pt>
                <c:pt idx="4">
                  <c:v>0.32509721219387627</c:v>
                </c:pt>
                <c:pt idx="5">
                  <c:v>0.22630771133059627</c:v>
                </c:pt>
                <c:pt idx="6">
                  <c:v>0.27997870897391819</c:v>
                </c:pt>
                <c:pt idx="7">
                  <c:v>0.26516488919882331</c:v>
                </c:pt>
                <c:pt idx="8">
                  <c:v>0.20947618009348698</c:v>
                </c:pt>
                <c:pt idx="9">
                  <c:v>0.2335648375336386</c:v>
                </c:pt>
                <c:pt idx="10">
                  <c:v>0.29752766628819127</c:v>
                </c:pt>
                <c:pt idx="11">
                  <c:v>0.23555674963311207</c:v>
                </c:pt>
                <c:pt idx="12">
                  <c:v>0.19297950243493192</c:v>
                </c:pt>
                <c:pt idx="13">
                  <c:v>0.15806021119133071</c:v>
                </c:pt>
                <c:pt idx="14">
                  <c:v>0.15077182853595394</c:v>
                </c:pt>
                <c:pt idx="15">
                  <c:v>0.23993401679509921</c:v>
                </c:pt>
                <c:pt idx="16">
                  <c:v>0.15763105758185661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1-486B-A346-C9FDF34922FF}"/>
            </c:ext>
          </c:extLst>
        </c:ser>
        <c:ser>
          <c:idx val="1"/>
          <c:order val="1"/>
          <c:tx>
            <c:strRef>
              <c:f>'e4.1'!$N$12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'e4.1'!$L$13:$L$29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'e4.1'!$N$13:$N$29</c:f>
              <c:numCache>
                <c:formatCode>#,##0.000_);[Red]\(#,##0.000\)</c:formatCode>
                <c:ptCount val="17"/>
                <c:pt idx="0">
                  <c:v>0.26978105179149142</c:v>
                </c:pt>
                <c:pt idx="1">
                  <c:v>0.26438543075566162</c:v>
                </c:pt>
                <c:pt idx="2">
                  <c:v>0.25909772214054838</c:v>
                </c:pt>
                <c:pt idx="3">
                  <c:v>0.25391576769773738</c:v>
                </c:pt>
                <c:pt idx="4">
                  <c:v>0.24883745234378263</c:v>
                </c:pt>
                <c:pt idx="5">
                  <c:v>0.24386070329690698</c:v>
                </c:pt>
                <c:pt idx="6">
                  <c:v>0.23898348923096882</c:v>
                </c:pt>
                <c:pt idx="7">
                  <c:v>0.23420381944634944</c:v>
                </c:pt>
                <c:pt idx="8">
                  <c:v>0.22951974305742243</c:v>
                </c:pt>
                <c:pt idx="9">
                  <c:v>0.22492934819627397</c:v>
                </c:pt>
                <c:pt idx="10">
                  <c:v>0.2204307612323485</c:v>
                </c:pt>
                <c:pt idx="11">
                  <c:v>0.21602214600770153</c:v>
                </c:pt>
                <c:pt idx="12">
                  <c:v>0.21170170308754749</c:v>
                </c:pt>
                <c:pt idx="13">
                  <c:v>0.20746766902579653</c:v>
                </c:pt>
                <c:pt idx="14">
                  <c:v>0.20331831564528058</c:v>
                </c:pt>
                <c:pt idx="15">
                  <c:v>0.19925194933237497</c:v>
                </c:pt>
                <c:pt idx="16">
                  <c:v>0.19526691034572746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1-486B-A346-C9FDF349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3440"/>
        <c:axId val="465455744"/>
      </c:scatterChart>
      <c:valAx>
        <c:axId val="465453440"/>
        <c:scaling>
          <c:orientation val="minMax"/>
          <c:max val="2019"/>
          <c:min val="2006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55744"/>
        <c:crosses val="autoZero"/>
        <c:crossBetween val="midCat"/>
        <c:majorUnit val="1"/>
      </c:valAx>
      <c:valAx>
        <c:axId val="465455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Time Frequency</a:t>
                </a:r>
              </a:p>
            </c:rich>
          </c:tx>
          <c:layout>
            <c:manualLayout>
              <c:xMode val="edge"/>
              <c:yMode val="edge"/>
              <c:x val="1.4961495501611379E-2"/>
              <c:y val="0.277332398958488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Indicated Versus Fitted Claim Severity by Policy Year</a:t>
            </a:r>
          </a:p>
          <a:p>
            <a:pPr>
              <a:defRPr sz="1400"/>
            </a:pPr>
            <a:r>
              <a:rPr lang="en-US" sz="1400"/>
              <a:t>Ultimate Loss Per Claim - $500,000 Limit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'e4.1'!$M$40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186-4B5C-8138-46E343190A0D}"/>
              </c:ext>
            </c:extLst>
          </c:dPt>
          <c:xVal>
            <c:numRef>
              <c:f>'e4.1'!$L$41:$L$57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'e4.1'!$M$41:$M$57</c:f>
              <c:numCache>
                <c:formatCode>#,##0_);[Red]\(#,##0\)</c:formatCode>
                <c:ptCount val="17"/>
                <c:pt idx="0">
                  <c:v>43141.414924523619</c:v>
                </c:pt>
                <c:pt idx="1">
                  <c:v>106003.01166941597</c:v>
                </c:pt>
                <c:pt idx="2">
                  <c:v>29590.563587356573</c:v>
                </c:pt>
                <c:pt idx="3">
                  <c:v>78370.512799885124</c:v>
                </c:pt>
                <c:pt idx="4">
                  <c:v>34864.205773608715</c:v>
                </c:pt>
                <c:pt idx="5">
                  <c:v>34079.703069689225</c:v>
                </c:pt>
                <c:pt idx="6">
                  <c:v>66138.37808956379</c:v>
                </c:pt>
                <c:pt idx="7">
                  <c:v>38141.979398147567</c:v>
                </c:pt>
                <c:pt idx="8">
                  <c:v>42347.642555138998</c:v>
                </c:pt>
                <c:pt idx="9">
                  <c:v>59342.968485411118</c:v>
                </c:pt>
                <c:pt idx="10">
                  <c:v>48656.452663886223</c:v>
                </c:pt>
                <c:pt idx="11">
                  <c:v>56721.90622872817</c:v>
                </c:pt>
                <c:pt idx="12">
                  <c:v>99547.080786379855</c:v>
                </c:pt>
                <c:pt idx="13">
                  <c:v>90065.536213894593</c:v>
                </c:pt>
                <c:pt idx="14">
                  <c:v>72157.230146281785</c:v>
                </c:pt>
                <c:pt idx="15">
                  <c:v>73047.840779285543</c:v>
                </c:pt>
                <c:pt idx="16">
                  <c:v>90441.958905063453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9-4ABE-B8B4-99A14A22F656}"/>
            </c:ext>
          </c:extLst>
        </c:ser>
        <c:ser>
          <c:idx val="1"/>
          <c:order val="1"/>
          <c:tx>
            <c:strRef>
              <c:f>'e4.1'!$N$40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'e4.1'!$L$41:$L$57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'e4.1'!$N$41:$N$57</c:f>
              <c:numCache>
                <c:formatCode>#,##0_);[Red]\(#,##0\)</c:formatCode>
                <c:ptCount val="17"/>
                <c:pt idx="0">
                  <c:v>52590.765156043788</c:v>
                </c:pt>
                <c:pt idx="1">
                  <c:v>54168.488110725091</c:v>
                </c:pt>
                <c:pt idx="2">
                  <c:v>55793.542754046852</c:v>
                </c:pt>
                <c:pt idx="3">
                  <c:v>57467.34903666826</c:v>
                </c:pt>
                <c:pt idx="4">
                  <c:v>59191.369507768308</c:v>
                </c:pt>
                <c:pt idx="5">
                  <c:v>60967.110593001344</c:v>
                </c:pt>
                <c:pt idx="6">
                  <c:v>62796.123910791386</c:v>
                </c:pt>
                <c:pt idx="7">
                  <c:v>64680.007628115127</c:v>
                </c:pt>
                <c:pt idx="8">
                  <c:v>66620.407856958584</c:v>
                </c:pt>
                <c:pt idx="9">
                  <c:v>68619.020092667342</c:v>
                </c:pt>
                <c:pt idx="10">
                  <c:v>70677.590695447347</c:v>
                </c:pt>
                <c:pt idx="11">
                  <c:v>72797.918416310771</c:v>
                </c:pt>
                <c:pt idx="12">
                  <c:v>74981.855968800097</c:v>
                </c:pt>
                <c:pt idx="13">
                  <c:v>77231.311647864088</c:v>
                </c:pt>
                <c:pt idx="14">
                  <c:v>79548.250997300027</c:v>
                </c:pt>
                <c:pt idx="15">
                  <c:v>81934.698527219021</c:v>
                </c:pt>
                <c:pt idx="16">
                  <c:v>84392.739483035592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9-4ABE-B8B4-99A14A22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73920"/>
        <c:axId val="465476224"/>
      </c:scatterChart>
      <c:valAx>
        <c:axId val="465473920"/>
        <c:scaling>
          <c:orientation val="minMax"/>
          <c:max val="2019"/>
          <c:min val="2006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6224"/>
        <c:crosses val="autoZero"/>
        <c:crossBetween val="midCat"/>
        <c:majorUnit val="1"/>
      </c:valAx>
      <c:valAx>
        <c:axId val="4654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Severity per Lost Time Claim</a:t>
                </a:r>
              </a:p>
            </c:rich>
          </c:tx>
          <c:layout>
            <c:manualLayout>
              <c:xMode val="edge"/>
              <c:yMode val="edge"/>
              <c:x val="1.4961495501611379E-2"/>
              <c:y val="0.2264950775862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,\K;[Red]\(#,##0.00\)\,&quot;$&quot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Indicated Versus Fitted Loss Cost by Policy Year</a:t>
            </a:r>
          </a:p>
          <a:p>
            <a:pPr>
              <a:defRPr sz="1400"/>
            </a:pPr>
            <a:r>
              <a:rPr lang="en-US" sz="1400"/>
              <a:t>Ultimate Loss Per Thousand Dollars of Payroll - $500,000 Limit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'e4.1'!$M$69</c:f>
              <c:strCache>
                <c:ptCount val="1"/>
                <c:pt idx="0">
                  <c:v>Indicated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C03-46F4-AB4E-B9EEB3F2C588}"/>
              </c:ext>
            </c:extLst>
          </c:dPt>
          <c:xVal>
            <c:numRef>
              <c:f>'e4.1'!$L$70:$L$86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'e4.1'!$M$70:$M$86</c:f>
              <c:numCache>
                <c:formatCode>#,##0.000_);[Red]\(#,##0.000\)</c:formatCode>
                <c:ptCount val="17"/>
                <c:pt idx="0">
                  <c:v>21.634053976239276</c:v>
                </c:pt>
                <c:pt idx="1">
                  <c:v>39.830706945709764</c:v>
                </c:pt>
                <c:pt idx="2">
                  <c:v>8.8128150794083577</c:v>
                </c:pt>
                <c:pt idx="3">
                  <c:v>28.070929488903442</c:v>
                </c:pt>
                <c:pt idx="4">
                  <c:v>13.702786834911688</c:v>
                </c:pt>
                <c:pt idx="5">
                  <c:v>9.1625193770924227</c:v>
                </c:pt>
                <c:pt idx="6">
                  <c:v>21.851852613331474</c:v>
                </c:pt>
                <c:pt idx="7">
                  <c:v>11.82002477552728</c:v>
                </c:pt>
                <c:pt idx="8">
                  <c:v>10.459756297265731</c:v>
                </c:pt>
                <c:pt idx="9">
                  <c:v>16.709422423704758</c:v>
                </c:pt>
                <c:pt idx="10">
                  <c:v>16.226769028998209</c:v>
                </c:pt>
                <c:pt idx="11">
                  <c:v>14.273425143616951</c:v>
                </c:pt>
                <c:pt idx="12">
                  <c:v>20.96106686157923</c:v>
                </c:pt>
                <c:pt idx="13">
                  <c:v>15.325512988642968</c:v>
                </c:pt>
                <c:pt idx="14">
                  <c:v>13.454224316445686</c:v>
                </c:pt>
                <c:pt idx="15">
                  <c:v>17.233204424215064</c:v>
                </c:pt>
                <c:pt idx="16">
                  <c:v>15.819297502414663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B-4727-B615-74D3197B24F8}"/>
            </c:ext>
          </c:extLst>
        </c:ser>
        <c:ser>
          <c:idx val="1"/>
          <c:order val="1"/>
          <c:tx>
            <c:strRef>
              <c:f>'e4.1'!$N$69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'e4.1'!$L$70:$L$86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'e4.1'!$N$70:$N$86</c:f>
              <c:numCache>
                <c:formatCode>#,##0.000_);[Red]\(#,##0.000\)</c:formatCode>
                <c:ptCount val="17"/>
                <c:pt idx="0">
                  <c:v>14.085463440390827</c:v>
                </c:pt>
                <c:pt idx="1">
                  <c:v>14.219275343074541</c:v>
                </c:pt>
                <c:pt idx="2">
                  <c:v>14.354358458833747</c:v>
                </c:pt>
                <c:pt idx="3">
                  <c:v>14.49072486419267</c:v>
                </c:pt>
                <c:pt idx="4">
                  <c:v>14.6283867504025</c:v>
                </c:pt>
                <c:pt idx="5">
                  <c:v>14.767356424531323</c:v>
                </c:pt>
                <c:pt idx="6">
                  <c:v>14.907646310564372</c:v>
                </c:pt>
                <c:pt idx="7">
                  <c:v>15.049268950514733</c:v>
                </c:pt>
                <c:pt idx="8">
                  <c:v>15.192237005544625</c:v>
                </c:pt>
                <c:pt idx="9">
                  <c:v>15.336563257097298</c:v>
                </c:pt>
                <c:pt idx="10">
                  <c:v>15.482260608039725</c:v>
                </c:pt>
                <c:pt idx="11">
                  <c:v>15.6293420838161</c:v>
                </c:pt>
                <c:pt idx="12">
                  <c:v>15.777820833612356</c:v>
                </c:pt>
                <c:pt idx="13">
                  <c:v>15.927710131531672</c:v>
                </c:pt>
                <c:pt idx="14">
                  <c:v>16.079023377781226</c:v>
                </c:pt>
                <c:pt idx="15">
                  <c:v>16.231774099870147</c:v>
                </c:pt>
                <c:pt idx="16">
                  <c:v>16.385975953818914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B-4727-B615-74D3197B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76576"/>
        <c:axId val="477178880"/>
      </c:scatterChart>
      <c:valAx>
        <c:axId val="477176576"/>
        <c:scaling>
          <c:orientation val="minMax"/>
          <c:max val="2019"/>
          <c:min val="2006"/>
        </c:scaling>
        <c:delete val="0"/>
        <c:axPos val="b"/>
        <c:title>
          <c:tx>
            <c:strRef>
              <c:f>'e4.1'!$L$12</c:f>
              <c:strCache>
                <c:ptCount val="1"/>
                <c:pt idx="0">
                  <c:v>Policy Period Ending 9/30</c:v>
                </c:pt>
              </c:strCache>
            </c:strRef>
          </c:tx>
          <c:layout>
            <c:manualLayout>
              <c:xMode val="edge"/>
              <c:yMode val="edge"/>
              <c:x val="0.39784589806892157"/>
              <c:y val="0.86291029120845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78880"/>
        <c:crosses val="autoZero"/>
        <c:crossBetween val="midCat"/>
        <c:majorUnit val="1"/>
      </c:valAx>
      <c:valAx>
        <c:axId val="47717888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Cost</a:t>
                </a:r>
              </a:p>
            </c:rich>
          </c:tx>
          <c:layout>
            <c:manualLayout>
              <c:xMode val="edge"/>
              <c:yMode val="edge"/>
              <c:x val="1.4961495501611379E-2"/>
              <c:y val="0.39934197025176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'e4.3'!$W$13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'e4.3'!$T$25:$T$39</c15:sqref>
                  </c15:fullRef>
                </c:ext>
              </c:extLst>
              <c:f>'e4.3'!$T$25:$T$38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'e4.3'!$W$25:$W$39</c15:sqref>
                  </c15:fullRef>
                </c:ext>
              </c:extLst>
              <c:f>'e4.3'!$W$25:$W$38</c:f>
              <c:numCache>
                <c:formatCode>#,##0.000_);[Red]\(#,##0.000\)</c:formatCode>
                <c:ptCount val="14"/>
                <c:pt idx="0">
                  <c:v>8.8128150794083577</c:v>
                </c:pt>
                <c:pt idx="1">
                  <c:v>22.358457375847664</c:v>
                </c:pt>
                <c:pt idx="2">
                  <c:v>13.702786834911688</c:v>
                </c:pt>
                <c:pt idx="3">
                  <c:v>9.1625193770924227</c:v>
                </c:pt>
                <c:pt idx="4">
                  <c:v>17.943860085203404</c:v>
                </c:pt>
                <c:pt idx="5">
                  <c:v>11.82002477552728</c:v>
                </c:pt>
                <c:pt idx="6">
                  <c:v>10.459756297265731</c:v>
                </c:pt>
                <c:pt idx="7">
                  <c:v>15.828923947761471</c:v>
                </c:pt>
                <c:pt idx="8">
                  <c:v>14.377624223764064</c:v>
                </c:pt>
                <c:pt idx="9">
                  <c:v>13.241798172813295</c:v>
                </c:pt>
                <c:pt idx="10">
                  <c:v>17.750004723172857</c:v>
                </c:pt>
                <c:pt idx="11">
                  <c:v>13.908202098212231</c:v>
                </c:pt>
                <c:pt idx="12">
                  <c:v>12.855675035830613</c:v>
                </c:pt>
                <c:pt idx="13">
                  <c:v>15.952667677241907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5-47CF-8333-0FBB677C5F36}"/>
            </c:ext>
          </c:extLst>
        </c:ser>
        <c:ser>
          <c:idx val="1"/>
          <c:order val="1"/>
          <c:tx>
            <c:strRef>
              <c:f>'e4.3'!$X$13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'e4.3'!$T$25:$T$39</c15:sqref>
                  </c15:fullRef>
                </c:ext>
              </c:extLst>
              <c:f>'e4.3'!$T$25:$T$38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'e4.3'!$X$25:$X$39</c15:sqref>
                  </c15:fullRef>
                </c:ext>
              </c:extLst>
              <c:f>'e4.3'!$X$25:$X$38</c:f>
              <c:numCache>
                <c:formatCode>#,##0.000_);[Red]\(#,##0.000\)</c:formatCode>
                <c:ptCount val="14"/>
                <c:pt idx="0">
                  <c:v>13.921344117450229</c:v>
                </c:pt>
                <c:pt idx="1">
                  <c:v>13.983990165978753</c:v>
                </c:pt>
                <c:pt idx="2">
                  <c:v>14.046918121725657</c:v>
                </c:pt>
                <c:pt idx="3">
                  <c:v>14.110129253273417</c:v>
                </c:pt>
                <c:pt idx="4">
                  <c:v>14.173624834913149</c:v>
                </c:pt>
                <c:pt idx="5">
                  <c:v>14.237406146670256</c:v>
                </c:pt>
                <c:pt idx="6">
                  <c:v>14.301474474330272</c:v>
                </c:pt>
                <c:pt idx="7">
                  <c:v>14.365831109464752</c:v>
                </c:pt>
                <c:pt idx="8">
                  <c:v>14.430477349457345</c:v>
                </c:pt>
                <c:pt idx="9">
                  <c:v>14.495414497529902</c:v>
                </c:pt>
                <c:pt idx="10">
                  <c:v>14.560643862768785</c:v>
                </c:pt>
                <c:pt idx="11">
                  <c:v>14.626166760151241</c:v>
                </c:pt>
                <c:pt idx="12">
                  <c:v>14.691984510571922</c:v>
                </c:pt>
                <c:pt idx="13">
                  <c:v>14.758098440869494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5-47CF-8333-0FBB677C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92416"/>
        <c:axId val="477293952"/>
      </c:lineChart>
      <c:catAx>
        <c:axId val="4772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3952"/>
        <c:crosses val="autoZero"/>
        <c:auto val="1"/>
        <c:lblAlgn val="ctr"/>
        <c:lblOffset val="100"/>
        <c:noMultiLvlLbl val="0"/>
      </c:catAx>
      <c:valAx>
        <c:axId val="477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'e4.4'!$W$13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'e4.4'!$T$25:$T$39</c15:sqref>
                  </c15:fullRef>
                </c:ext>
              </c:extLst>
              <c:f>'e4.4'!$T$25:$T$38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'e4.4'!$W$25:$W$39</c15:sqref>
                  </c15:fullRef>
                </c:ext>
              </c:extLst>
              <c:f>'e4.4'!$W$25:$W$38</c:f>
              <c:numCache>
                <c:formatCode>#,##0.000_);[Red]\(#,##0.000\)</c:formatCode>
                <c:ptCount val="14"/>
                <c:pt idx="0">
                  <c:v>8.8128150794083577</c:v>
                </c:pt>
                <c:pt idx="1">
                  <c:v>25.254875754849838</c:v>
                </c:pt>
                <c:pt idx="2">
                  <c:v>13.702786834911688</c:v>
                </c:pt>
                <c:pt idx="3">
                  <c:v>9.1625193770924227</c:v>
                </c:pt>
                <c:pt idx="4">
                  <c:v>20.159271382629996</c:v>
                </c:pt>
                <c:pt idx="5">
                  <c:v>11.82002477552728</c:v>
                </c:pt>
                <c:pt idx="6">
                  <c:v>10.459756297265731</c:v>
                </c:pt>
                <c:pt idx="7">
                  <c:v>16.694491385405399</c:v>
                </c:pt>
                <c:pt idx="8">
                  <c:v>15.117282145857722</c:v>
                </c:pt>
                <c:pt idx="9">
                  <c:v>13.863588589991616</c:v>
                </c:pt>
                <c:pt idx="10">
                  <c:v>20.260058085289248</c:v>
                </c:pt>
                <c:pt idx="11">
                  <c:v>14.982833260969583</c:v>
                </c:pt>
                <c:pt idx="12">
                  <c:v>13.112460739684074</c:v>
                </c:pt>
                <c:pt idx="13">
                  <c:v>16.709196274032454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2-42DD-8DFA-2F660B9DDF3B}"/>
            </c:ext>
          </c:extLst>
        </c:ser>
        <c:ser>
          <c:idx val="1"/>
          <c:order val="1"/>
          <c:tx>
            <c:strRef>
              <c:f>'e4.4'!$X$13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'e4.4'!$T$25:$T$39</c15:sqref>
                  </c15:fullRef>
                </c:ext>
              </c:extLst>
              <c:f>'e4.4'!$T$25:$T$38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'e4.4'!$X$25:$X$39</c15:sqref>
                  </c15:fullRef>
                </c:ext>
              </c:extLst>
              <c:f>'e4.4'!$X$25:$X$38</c:f>
              <c:numCache>
                <c:formatCode>#,##0.000_);[Red]\(#,##0.000\)</c:formatCode>
                <c:ptCount val="14"/>
                <c:pt idx="0">
                  <c:v>14.321803757650141</c:v>
                </c:pt>
                <c:pt idx="1">
                  <c:v>14.42205638395369</c:v>
                </c:pt>
                <c:pt idx="2">
                  <c:v>14.523010778641364</c:v>
                </c:pt>
                <c:pt idx="3">
                  <c:v>14.624671854091853</c:v>
                </c:pt>
                <c:pt idx="4">
                  <c:v>14.727044557070494</c:v>
                </c:pt>
                <c:pt idx="5">
                  <c:v>14.830133868969986</c:v>
                </c:pt>
                <c:pt idx="6">
                  <c:v>14.933944806052773</c:v>
                </c:pt>
                <c:pt idx="7">
                  <c:v>15.038482419695143</c:v>
                </c:pt>
                <c:pt idx="8">
                  <c:v>15.143751796633007</c:v>
                </c:pt>
                <c:pt idx="9">
                  <c:v>15.249758059209434</c:v>
                </c:pt>
                <c:pt idx="10">
                  <c:v>15.356506365623899</c:v>
                </c:pt>
                <c:pt idx="11">
                  <c:v>15.464001910183265</c:v>
                </c:pt>
                <c:pt idx="12">
                  <c:v>15.572249923554546</c:v>
                </c:pt>
                <c:pt idx="13">
                  <c:v>15.681255673019425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2-42DD-8DFA-2F660B9D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24032"/>
        <c:axId val="477325568"/>
      </c:lineChart>
      <c:catAx>
        <c:axId val="4773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5568"/>
        <c:crosses val="autoZero"/>
        <c:auto val="1"/>
        <c:lblAlgn val="ctr"/>
        <c:lblOffset val="100"/>
        <c:noMultiLvlLbl val="0"/>
      </c:catAx>
      <c:valAx>
        <c:axId val="477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'e4.5'!$W$13</c:f>
              <c:strCache>
                <c:ptCount val="1"/>
                <c:pt idx="0">
                  <c:v>Indicated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'e4.5'!$T$25:$T$39</c15:sqref>
                  </c15:fullRef>
                </c:ext>
              </c:extLst>
              <c:f>'e4.5'!$T$25:$T$38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'e4.5'!$W$25:$W$39</c15:sqref>
                  </c15:fullRef>
                </c:ext>
              </c:extLst>
              <c:f>'e4.5'!$W$25:$W$38</c:f>
              <c:numCache>
                <c:formatCode>#,##0.000_);[Red]\(#,##0.000\)</c:formatCode>
                <c:ptCount val="14"/>
                <c:pt idx="0">
                  <c:v>8.8128150794083577</c:v>
                </c:pt>
                <c:pt idx="1">
                  <c:v>28.070929488903442</c:v>
                </c:pt>
                <c:pt idx="2">
                  <c:v>13.702786834911688</c:v>
                </c:pt>
                <c:pt idx="3">
                  <c:v>9.1625193770924227</c:v>
                </c:pt>
                <c:pt idx="4">
                  <c:v>21.851852613331474</c:v>
                </c:pt>
                <c:pt idx="5">
                  <c:v>11.82002477552728</c:v>
                </c:pt>
                <c:pt idx="6">
                  <c:v>10.459756297265731</c:v>
                </c:pt>
                <c:pt idx="7">
                  <c:v>16.709422423704758</c:v>
                </c:pt>
                <c:pt idx="8">
                  <c:v>16.226769028998209</c:v>
                </c:pt>
                <c:pt idx="9">
                  <c:v>14.273425143616951</c:v>
                </c:pt>
                <c:pt idx="10">
                  <c:v>20.96106686157923</c:v>
                </c:pt>
                <c:pt idx="11">
                  <c:v>15.325512988642968</c:v>
                </c:pt>
                <c:pt idx="12">
                  <c:v>13.454224316445686</c:v>
                </c:pt>
                <c:pt idx="13">
                  <c:v>17.233204424215064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AD-8323-3D136E08004C}"/>
            </c:ext>
          </c:extLst>
        </c:ser>
        <c:ser>
          <c:idx val="1"/>
          <c:order val="1"/>
          <c:tx>
            <c:strRef>
              <c:f>'e4.5'!$X$13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prstClr val="black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'e4.5'!$T$25:$T$39</c15:sqref>
                  </c15:fullRef>
                </c:ext>
              </c:extLst>
              <c:f>'e4.5'!$T$25:$T$38</c:f>
              <c:strCache>
                <c:ptCount val="14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'e4.5'!$X$25:$X$39</c15:sqref>
                  </c15:fullRef>
                </c:ext>
              </c:extLst>
              <c:f>'e4.5'!$X$25:$X$38</c:f>
              <c:numCache>
                <c:formatCode>#,##0.000_);[Red]\(#,##0.000\)</c:formatCode>
                <c:ptCount val="14"/>
                <c:pt idx="0">
                  <c:v>14.354358458833747</c:v>
                </c:pt>
                <c:pt idx="1">
                  <c:v>14.49072486419267</c:v>
                </c:pt>
                <c:pt idx="2">
                  <c:v>14.6283867504025</c:v>
                </c:pt>
                <c:pt idx="3">
                  <c:v>14.767356424531323</c:v>
                </c:pt>
                <c:pt idx="4">
                  <c:v>14.907646310564372</c:v>
                </c:pt>
                <c:pt idx="5">
                  <c:v>15.049268950514733</c:v>
                </c:pt>
                <c:pt idx="6">
                  <c:v>15.192237005544625</c:v>
                </c:pt>
                <c:pt idx="7">
                  <c:v>15.336563257097298</c:v>
                </c:pt>
                <c:pt idx="8">
                  <c:v>15.482260608039725</c:v>
                </c:pt>
                <c:pt idx="9">
                  <c:v>15.6293420838161</c:v>
                </c:pt>
                <c:pt idx="10">
                  <c:v>15.777820833612356</c:v>
                </c:pt>
                <c:pt idx="11">
                  <c:v>15.927710131531672</c:v>
                </c:pt>
                <c:pt idx="12">
                  <c:v>16.079023377781226</c:v>
                </c:pt>
                <c:pt idx="13">
                  <c:v>16.231774099870147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C-43AD-8323-3D136E08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16832"/>
        <c:axId val="477418624"/>
      </c:lineChart>
      <c:catAx>
        <c:axId val="477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18624"/>
        <c:crosses val="autoZero"/>
        <c:auto val="1"/>
        <c:lblAlgn val="ctr"/>
        <c:lblOffset val="100"/>
        <c:noMultiLvlLbl val="0"/>
      </c:catAx>
      <c:valAx>
        <c:axId val="477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11</xdr:row>
      <xdr:rowOff>6723</xdr:rowOff>
    </xdr:from>
    <xdr:to>
      <xdr:col>9</xdr:col>
      <xdr:colOff>661146</xdr:colOff>
      <xdr:row>34</xdr:row>
      <xdr:rowOff>145675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638736</xdr:colOff>
      <xdr:row>62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9</xdr:col>
      <xdr:colOff>638736</xdr:colOff>
      <xdr:row>91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11</xdr:row>
      <xdr:rowOff>0</xdr:rowOff>
    </xdr:from>
    <xdr:to>
      <xdr:col>30</xdr:col>
      <xdr:colOff>381001</xdr:colOff>
      <xdr:row>34</xdr:row>
      <xdr:rowOff>138952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30</xdr:col>
      <xdr:colOff>381001</xdr:colOff>
      <xdr:row>62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627530</xdr:colOff>
      <xdr:row>67</xdr:row>
      <xdr:rowOff>145677</xdr:rowOff>
    </xdr:from>
    <xdr:to>
      <xdr:col>30</xdr:col>
      <xdr:colOff>324972</xdr:colOff>
      <xdr:row>91</xdr:row>
      <xdr:rowOff>127747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47</xdr:row>
      <xdr:rowOff>152398</xdr:rowOff>
    </xdr:from>
    <xdr:to>
      <xdr:col>12</xdr:col>
      <xdr:colOff>394607</xdr:colOff>
      <xdr:row>70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F2B95-12C9-4EEA-8BA9-02EE75DE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13606</xdr:colOff>
      <xdr:row>48</xdr:row>
      <xdr:rowOff>16327</xdr:rowOff>
    </xdr:from>
    <xdr:to>
      <xdr:col>23</xdr:col>
      <xdr:colOff>653142</xdr:colOff>
      <xdr:row>71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309C7-1275-4C82-91B8-6AE96D07E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-1</xdr:colOff>
      <xdr:row>48</xdr:row>
      <xdr:rowOff>16327</xdr:rowOff>
    </xdr:from>
    <xdr:to>
      <xdr:col>36</xdr:col>
      <xdr:colOff>653142</xdr:colOff>
      <xdr:row>71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DC56A-5105-4AA5-A744-8BED16A8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14</xdr:row>
      <xdr:rowOff>80962</xdr:rowOff>
    </xdr:from>
    <xdr:to>
      <xdr:col>32</xdr:col>
      <xdr:colOff>515471</xdr:colOff>
      <xdr:row>38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12</xdr:row>
      <xdr:rowOff>33337</xdr:rowOff>
    </xdr:from>
    <xdr:to>
      <xdr:col>33</xdr:col>
      <xdr:colOff>0</xdr:colOff>
      <xdr:row>38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257175</xdr:colOff>
      <xdr:row>13</xdr:row>
      <xdr:rowOff>90487</xdr:rowOff>
    </xdr:from>
    <xdr:to>
      <xdr:col>33</xdr:col>
      <xdr:colOff>672353</xdr:colOff>
      <xdr:row>38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537883</xdr:colOff>
      <xdr:row>12</xdr:row>
      <xdr:rowOff>34735</xdr:rowOff>
    </xdr:from>
    <xdr:to>
      <xdr:col>33</xdr:col>
      <xdr:colOff>481853</xdr:colOff>
      <xdr:row>38</xdr:row>
      <xdr:rowOff>123263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12</xdr:row>
      <xdr:rowOff>23812</xdr:rowOff>
    </xdr:from>
    <xdr:to>
      <xdr:col>32</xdr:col>
      <xdr:colOff>666750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161925</xdr:colOff>
      <xdr:row>12</xdr:row>
      <xdr:rowOff>23812</xdr:rowOff>
    </xdr:from>
    <xdr:to>
      <xdr:col>31</xdr:col>
      <xdr:colOff>276225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371474</xdr:colOff>
      <xdr:row>12</xdr:row>
      <xdr:rowOff>128586</xdr:rowOff>
    </xdr:from>
    <xdr:to>
      <xdr:col>31</xdr:col>
      <xdr:colOff>628649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238124</xdr:colOff>
      <xdr:row>11</xdr:row>
      <xdr:rowOff>157161</xdr:rowOff>
    </xdr:from>
    <xdr:to>
      <xdr:col>31</xdr:col>
      <xdr:colOff>380999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Funct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vg"/>
      <definedName name="DAvg"/>
      <definedName name="getlabels"/>
      <definedName name="GetNthToLast"/>
      <definedName name="ldf"/>
      <definedName name="ldfsi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liver Wyman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liver Wyman">
      <a:majorFont>
        <a:latin typeface="Arial"/>
        <a:ea typeface=""/>
        <a:cs typeface=""/>
        <a:font script="Jpan" typeface="Meiryo"/>
        <a:font script="Hang" typeface="맑은 고딕"/>
        <a:font script="Hans" typeface="STKaiti"/>
        <a:font script="Hant" typeface="STKaiti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"/>
        <a:ea typeface=""/>
        <a:cs typeface=""/>
        <a:font script="Jpan" typeface="Meiryo"/>
        <a:font script="Hang" typeface="맑은 고딕"/>
        <a:font script="Hans" typeface="STKaiti"/>
        <a:font script="Hant" typeface="STKaiti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100000"/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hade val="100000"/>
                <a:satMod val="220000"/>
              </a:schemeClr>
            </a:gs>
          </a:gsLst>
          <a:lin ang="162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accent3"/>
          </a:solidFill>
        </a:ln>
      </a:spPr>
      <a:bodyPr rtlCol="0" anchor="ctr"/>
      <a:lstStyle>
        <a:defPPr algn="ctr">
          <a:lnSpc>
            <a:spcPct val="100000"/>
          </a:lnSpc>
          <a:defRPr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algn="l">
          <a:lnSpc>
            <a:spcPct val="100000"/>
          </a:lnSpc>
          <a:defRPr dirty="0" err="1" smtClean="0"/>
        </a:defPPr>
      </a:lstStyle>
    </a:txDef>
  </a:objectDefaults>
  <a:extraClrSchemeLst/>
  <a:custClrLst>
    <a:custClr name="OW Emerald">
      <a:srgbClr val="41A441"/>
    </a:custClr>
    <a:custClr name="Light Emerald">
      <a:srgbClr val="BDDDA3"/>
    </a:custClr>
    <a:custClr name="OW Iolite">
      <a:srgbClr val="646EAC"/>
    </a:custClr>
    <a:custClr name="Light Iolite">
      <a:srgbClr val="C5CAE7"/>
    </a:custClr>
    <a:custClr name="OW Citrine">
      <a:srgbClr val="DD712C"/>
    </a:custClr>
    <a:custClr name="Light Citrine">
      <a:srgbClr val="FDCFAC"/>
    </a:custClr>
    <a:custClr name="OW Turquoise">
      <a:srgbClr val="079B84"/>
    </a:custClr>
    <a:custClr name="Light Turquoise">
      <a:srgbClr val="A8DAC9"/>
    </a:custClr>
    <a:custClr name="OW Ruby">
      <a:srgbClr val="CB225B"/>
    </a:custClr>
    <a:custClr name="Light Ruby">
      <a:srgbClr val="F8B8BC"/>
    </a:custClr>
    <a:custClr name="Pure Red">
      <a:srgbClr val="FF0000"/>
    </a:custClr>
    <a:custClr name="Bright Onyx">
      <a:srgbClr val="808080"/>
    </a:custClr>
    <a:custClr name="Table Onyx">
      <a:srgbClr val="E8E8E8"/>
    </a:custClr>
    <a:custClr name="Medium Sapphire">
      <a:srgbClr val="016D9F"/>
    </a:custClr>
    <a:custClr name="Bright Sapphire">
      <a:srgbClr val="00A8C8"/>
    </a:custClr>
    <a:custClr name="Pale Sapphire">
      <a:srgbClr val="E1FAFF"/>
    </a:custClr>
    <a:custClr name="Dark Topaz">
      <a:srgbClr val="8E5501"/>
    </a:custClr>
    <a:custClr name="Pale Topaz">
      <a:srgbClr val="FFEED5"/>
    </a:custClr>
    <a:custClr name="Dark Emerald">
      <a:srgbClr val="00582D"/>
    </a:custClr>
    <a:custClr name="Pale Emerald">
      <a:srgbClr val="E2EDC3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12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3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pageSetUpPr fitToPage="1"/>
  </sheetPr>
  <dimension ref="A1:Y74"/>
  <sheetViews>
    <sheetView zoomScale="85" zoomScaleNormal="85" workbookViewId="0"/>
  </sheetViews>
  <sheetFormatPr defaultRowHeight="14.25" x14ac:dyDescent="0.2"/>
  <cols>
    <col min="1" max="1" width="19.125" bestFit="1" customWidth="1"/>
    <col min="2" max="2" width="4.625" bestFit="1" customWidth="1"/>
    <col min="3" max="3" width="9.125" bestFit="1" customWidth="1"/>
    <col min="4" max="4" width="8.5" bestFit="1" customWidth="1"/>
    <col min="5" max="6" width="5.75" bestFit="1" customWidth="1"/>
    <col min="7" max="10" width="5.375" bestFit="1" customWidth="1"/>
    <col min="11" max="11" width="7.125" bestFit="1" customWidth="1"/>
    <col min="12" max="13" width="7.5" bestFit="1" customWidth="1"/>
    <col min="14" max="14" width="6.25" bestFit="1" customWidth="1"/>
    <col min="15" max="15" width="16" bestFit="1" customWidth="1"/>
    <col min="17" max="17" width="16.125" bestFit="1" customWidth="1"/>
    <col min="18" max="18" width="12.125" bestFit="1" customWidth="1"/>
    <col min="19" max="19" width="73" bestFit="1" customWidth="1"/>
    <col min="29" max="29" width="16.5" bestFit="1" customWidth="1"/>
    <col min="30" max="30" width="12.125" bestFit="1" customWidth="1"/>
    <col min="31" max="31" width="73" bestFit="1" customWidth="1"/>
    <col min="32" max="32" width="5.25" bestFit="1" customWidth="1"/>
  </cols>
  <sheetData>
    <row r="1" spans="1:25" ht="15" thickBot="1" x14ac:dyDescent="0.25">
      <c r="A1" s="127" t="s">
        <v>124</v>
      </c>
      <c r="B1" s="130" t="s">
        <v>125</v>
      </c>
      <c r="C1" s="128" t="s">
        <v>126</v>
      </c>
      <c r="D1" s="128" t="s">
        <v>127</v>
      </c>
      <c r="E1" s="128" t="s">
        <v>128</v>
      </c>
      <c r="F1" s="128" t="s">
        <v>129</v>
      </c>
      <c r="G1" s="130" t="s">
        <v>130</v>
      </c>
      <c r="H1" s="130" t="s">
        <v>131</v>
      </c>
      <c r="I1" s="130" t="s">
        <v>132</v>
      </c>
      <c r="J1" s="130" t="s">
        <v>133</v>
      </c>
      <c r="K1" s="128" t="s">
        <v>134</v>
      </c>
      <c r="L1" s="128" t="s">
        <v>135</v>
      </c>
      <c r="M1" s="128" t="s">
        <v>136</v>
      </c>
      <c r="N1" s="130" t="s">
        <v>137</v>
      </c>
      <c r="O1" s="129" t="s">
        <v>138</v>
      </c>
    </row>
    <row r="2" spans="1:25" x14ac:dyDescent="0.2">
      <c r="A2" s="121" t="s">
        <v>139</v>
      </c>
      <c r="B2" s="131" t="s">
        <v>140</v>
      </c>
      <c r="C2" s="122"/>
      <c r="D2" s="122"/>
      <c r="E2" s="122"/>
      <c r="F2" s="122"/>
      <c r="G2" s="122"/>
      <c r="H2" s="122"/>
      <c r="I2" s="122"/>
      <c r="J2" s="122"/>
      <c r="K2" s="131"/>
      <c r="L2" s="131"/>
      <c r="M2" s="131"/>
      <c r="N2" s="122"/>
      <c r="O2" s="123"/>
    </row>
    <row r="3" spans="1:25" x14ac:dyDescent="0.2">
      <c r="A3" s="121" t="s">
        <v>141</v>
      </c>
      <c r="B3" s="131" t="s">
        <v>140</v>
      </c>
      <c r="C3" s="122"/>
      <c r="D3" s="122"/>
      <c r="E3" s="122"/>
      <c r="F3" s="122"/>
      <c r="G3" s="122"/>
      <c r="H3" s="122"/>
      <c r="I3" s="122"/>
      <c r="J3" s="122"/>
      <c r="K3" s="131"/>
      <c r="L3" s="131"/>
      <c r="M3" s="131"/>
      <c r="N3" s="122"/>
      <c r="O3" s="123"/>
    </row>
    <row r="4" spans="1:25" x14ac:dyDescent="0.2">
      <c r="A4" s="121" t="s">
        <v>652</v>
      </c>
      <c r="B4" s="131" t="s">
        <v>140</v>
      </c>
      <c r="C4" s="122"/>
      <c r="D4" s="122"/>
      <c r="E4" s="122"/>
      <c r="F4" s="122"/>
      <c r="G4" s="122"/>
      <c r="H4" s="122"/>
      <c r="I4" s="122"/>
      <c r="J4" s="122"/>
      <c r="K4" s="131"/>
      <c r="L4" s="131"/>
      <c r="M4" s="131"/>
      <c r="N4" s="122"/>
      <c r="O4" s="123"/>
    </row>
    <row r="5" spans="1:25" x14ac:dyDescent="0.2">
      <c r="A5" s="121" t="s">
        <v>709</v>
      </c>
      <c r="B5" s="131" t="s">
        <v>140</v>
      </c>
      <c r="C5" s="122" t="s">
        <v>741</v>
      </c>
      <c r="D5" s="122"/>
      <c r="E5" s="122"/>
      <c r="F5" s="122"/>
      <c r="G5" s="122"/>
      <c r="H5" s="122"/>
      <c r="I5" s="122"/>
      <c r="J5" s="122"/>
      <c r="K5" s="131"/>
      <c r="L5" s="131"/>
      <c r="M5" s="131"/>
      <c r="N5" s="122"/>
      <c r="O5" s="123"/>
      <c r="Q5" t="str">
        <f>C5&amp;", "&amp;D5</f>
        <v xml:space="preserve">Reconcile, </v>
      </c>
      <c r="V5" t="s">
        <v>753</v>
      </c>
    </row>
    <row r="6" spans="1:25" x14ac:dyDescent="0.2">
      <c r="A6" s="121" t="s">
        <v>710</v>
      </c>
      <c r="B6" s="131" t="s">
        <v>142</v>
      </c>
      <c r="C6" s="122" t="s">
        <v>327</v>
      </c>
      <c r="D6" s="122" t="s">
        <v>317</v>
      </c>
      <c r="E6" s="122"/>
      <c r="F6" s="122"/>
      <c r="G6" s="122"/>
      <c r="H6" s="122"/>
      <c r="I6" s="122"/>
      <c r="J6" s="122"/>
      <c r="K6" s="131" t="s">
        <v>169</v>
      </c>
      <c r="L6" s="131"/>
      <c r="M6" s="131"/>
      <c r="N6" s="122" t="s">
        <v>170</v>
      </c>
      <c r="O6" s="123"/>
      <c r="Q6" t="str">
        <f t="shared" ref="Q6:Q65" si="0">C6&amp;", "&amp;D6</f>
        <v>Exhibit 1, Sheet 1A</v>
      </c>
      <c r="V6" t="s">
        <v>754</v>
      </c>
    </row>
    <row r="7" spans="1:25" x14ac:dyDescent="0.2">
      <c r="A7" s="121" t="s">
        <v>711</v>
      </c>
      <c r="B7" s="131" t="s">
        <v>142</v>
      </c>
      <c r="C7" s="122" t="s">
        <v>327</v>
      </c>
      <c r="D7" s="122" t="s">
        <v>318</v>
      </c>
      <c r="E7" s="122"/>
      <c r="F7" s="122"/>
      <c r="G7" s="122" t="s">
        <v>693</v>
      </c>
      <c r="H7" s="122"/>
      <c r="I7" s="122"/>
      <c r="J7" s="122"/>
      <c r="K7" s="131" t="s">
        <v>169</v>
      </c>
      <c r="L7" s="131"/>
      <c r="M7" s="131"/>
      <c r="N7" s="122" t="s">
        <v>170</v>
      </c>
      <c r="O7" s="123"/>
      <c r="Q7" t="str">
        <f t="shared" si="0"/>
        <v>Exhibit 1, Sheet 1B</v>
      </c>
      <c r="V7" t="s">
        <v>755</v>
      </c>
    </row>
    <row r="8" spans="1:25" x14ac:dyDescent="0.2">
      <c r="A8" s="121" t="s">
        <v>712</v>
      </c>
      <c r="B8" s="131" t="s">
        <v>142</v>
      </c>
      <c r="C8" s="122" t="s">
        <v>327</v>
      </c>
      <c r="D8" s="122" t="s">
        <v>310</v>
      </c>
      <c r="E8" s="122"/>
      <c r="F8" s="122"/>
      <c r="G8" s="122"/>
      <c r="H8" s="122"/>
      <c r="I8" s="122"/>
      <c r="J8" s="122"/>
      <c r="K8" s="131" t="s">
        <v>169</v>
      </c>
      <c r="L8" s="131"/>
      <c r="M8" s="131"/>
      <c r="N8" s="122" t="s">
        <v>170</v>
      </c>
      <c r="O8" s="123"/>
      <c r="Q8" t="str">
        <f t="shared" si="0"/>
        <v>Exhibit 1, Sheet 2A</v>
      </c>
      <c r="V8" t="s">
        <v>756</v>
      </c>
    </row>
    <row r="9" spans="1:25" x14ac:dyDescent="0.2">
      <c r="A9" s="121" t="s">
        <v>713</v>
      </c>
      <c r="B9" s="131" t="s">
        <v>142</v>
      </c>
      <c r="C9" s="122" t="s">
        <v>327</v>
      </c>
      <c r="D9" s="122" t="s">
        <v>311</v>
      </c>
      <c r="E9" s="122"/>
      <c r="F9" s="122"/>
      <c r="G9" s="122"/>
      <c r="H9" s="122"/>
      <c r="I9" s="122"/>
      <c r="J9" s="122"/>
      <c r="K9" s="131" t="s">
        <v>169</v>
      </c>
      <c r="L9" s="131"/>
      <c r="M9" s="131"/>
      <c r="N9" s="122" t="s">
        <v>170</v>
      </c>
      <c r="O9" s="123"/>
      <c r="Q9" t="str">
        <f t="shared" si="0"/>
        <v>Exhibit 1, Sheet 2B</v>
      </c>
      <c r="V9" t="s">
        <v>757</v>
      </c>
    </row>
    <row r="10" spans="1:25" x14ac:dyDescent="0.2">
      <c r="A10" s="121" t="s">
        <v>714</v>
      </c>
      <c r="B10" s="131" t="s">
        <v>142</v>
      </c>
      <c r="C10" s="122" t="s">
        <v>327</v>
      </c>
      <c r="D10" s="122" t="s">
        <v>320</v>
      </c>
      <c r="E10" s="122"/>
      <c r="F10" s="122"/>
      <c r="G10" s="122" t="s">
        <v>693</v>
      </c>
      <c r="H10" s="122"/>
      <c r="I10" s="122"/>
      <c r="J10" s="122"/>
      <c r="K10" s="131" t="s">
        <v>169</v>
      </c>
      <c r="L10" s="131"/>
      <c r="M10" s="131"/>
      <c r="N10" s="122" t="s">
        <v>170</v>
      </c>
      <c r="O10" s="123"/>
      <c r="Q10" t="str">
        <f t="shared" si="0"/>
        <v>Exhibit 1, Sheet 3A</v>
      </c>
      <c r="V10" t="s">
        <v>758</v>
      </c>
    </row>
    <row r="11" spans="1:25" x14ac:dyDescent="0.2">
      <c r="A11" s="121" t="s">
        <v>715</v>
      </c>
      <c r="B11" s="131" t="s">
        <v>142</v>
      </c>
      <c r="C11" s="122" t="s">
        <v>327</v>
      </c>
      <c r="D11" s="122" t="s">
        <v>321</v>
      </c>
      <c r="E11" s="122"/>
      <c r="F11" s="122"/>
      <c r="G11" s="122" t="s">
        <v>693</v>
      </c>
      <c r="H11" s="122"/>
      <c r="I11" s="122"/>
      <c r="J11" s="122"/>
      <c r="K11" s="131" t="s">
        <v>169</v>
      </c>
      <c r="L11" s="131"/>
      <c r="M11" s="131"/>
      <c r="N11" s="122" t="s">
        <v>170</v>
      </c>
      <c r="O11" s="123"/>
      <c r="Q11" t="str">
        <f t="shared" si="0"/>
        <v>Exhibit 1, Sheet 3B</v>
      </c>
      <c r="V11" t="s">
        <v>759</v>
      </c>
    </row>
    <row r="12" spans="1:25" x14ac:dyDescent="0.2">
      <c r="A12" s="121" t="s">
        <v>279</v>
      </c>
      <c r="B12" s="131" t="s">
        <v>142</v>
      </c>
      <c r="C12" s="122" t="s">
        <v>327</v>
      </c>
      <c r="D12" s="122" t="s">
        <v>161</v>
      </c>
      <c r="E12" s="122"/>
      <c r="F12" s="122"/>
      <c r="G12" s="122"/>
      <c r="H12" s="122"/>
      <c r="I12" s="122"/>
      <c r="J12" s="122"/>
      <c r="K12" s="131" t="s">
        <v>169</v>
      </c>
      <c r="L12" s="131"/>
      <c r="M12" s="131"/>
      <c r="N12" s="122" t="s">
        <v>170</v>
      </c>
      <c r="O12" s="123"/>
      <c r="Q12" t="str">
        <f t="shared" si="0"/>
        <v>Exhibit 1, Sheet 4</v>
      </c>
      <c r="V12" t="s">
        <v>760</v>
      </c>
      <c r="X12" t="s">
        <v>495</v>
      </c>
    </row>
    <row r="13" spans="1:25" x14ac:dyDescent="0.2">
      <c r="A13" s="121" t="s">
        <v>280</v>
      </c>
      <c r="B13" s="131" t="s">
        <v>142</v>
      </c>
      <c r="C13" s="122" t="s">
        <v>326</v>
      </c>
      <c r="D13" s="122" t="s">
        <v>158</v>
      </c>
      <c r="E13" s="122"/>
      <c r="F13" s="122"/>
      <c r="G13" s="122"/>
      <c r="H13" s="122"/>
      <c r="I13" s="122"/>
      <c r="J13" s="122"/>
      <c r="K13" s="131" t="s">
        <v>169</v>
      </c>
      <c r="L13" s="131"/>
      <c r="M13" s="131"/>
      <c r="N13" s="122" t="s">
        <v>170</v>
      </c>
      <c r="O13" s="123"/>
      <c r="Q13" t="str">
        <f t="shared" si="0"/>
        <v>Exhibit 2, Sheet 1</v>
      </c>
      <c r="S13" t="s">
        <v>495</v>
      </c>
      <c r="V13" t="s">
        <v>761</v>
      </c>
      <c r="X13" t="s">
        <v>496</v>
      </c>
    </row>
    <row r="14" spans="1:25" x14ac:dyDescent="0.2">
      <c r="A14" s="121" t="s">
        <v>281</v>
      </c>
      <c r="B14" s="131" t="s">
        <v>142</v>
      </c>
      <c r="C14" s="122" t="s">
        <v>326</v>
      </c>
      <c r="D14" s="122" t="s">
        <v>159</v>
      </c>
      <c r="E14" s="122"/>
      <c r="F14" s="122"/>
      <c r="G14" s="122"/>
      <c r="H14" s="122"/>
      <c r="I14" s="122"/>
      <c r="J14" s="122"/>
      <c r="K14" s="131" t="s">
        <v>169</v>
      </c>
      <c r="L14" s="131"/>
      <c r="M14" s="131"/>
      <c r="N14" s="122" t="s">
        <v>170</v>
      </c>
      <c r="O14" s="123"/>
      <c r="Q14" t="str">
        <f t="shared" si="0"/>
        <v>Exhibit 2, Sheet 2</v>
      </c>
      <c r="S14" t="s">
        <v>496</v>
      </c>
      <c r="V14" t="s">
        <v>762</v>
      </c>
      <c r="X14" t="s">
        <v>497</v>
      </c>
    </row>
    <row r="15" spans="1:25" x14ac:dyDescent="0.2">
      <c r="A15" s="121" t="s">
        <v>282</v>
      </c>
      <c r="B15" s="131" t="s">
        <v>142</v>
      </c>
      <c r="C15" s="122" t="s">
        <v>326</v>
      </c>
      <c r="D15" s="122" t="s">
        <v>160</v>
      </c>
      <c r="E15" s="122"/>
      <c r="F15" s="122"/>
      <c r="G15" s="122"/>
      <c r="H15" s="122"/>
      <c r="I15" s="122"/>
      <c r="J15" s="122"/>
      <c r="K15" s="131" t="s">
        <v>169</v>
      </c>
      <c r="L15" s="131"/>
      <c r="M15" s="131"/>
      <c r="N15" s="122" t="s">
        <v>170</v>
      </c>
      <c r="O15" s="123"/>
      <c r="Q15" t="str">
        <f t="shared" si="0"/>
        <v>Exhibit 2, Sheet 3</v>
      </c>
      <c r="S15" t="s">
        <v>497</v>
      </c>
      <c r="T15" t="s">
        <v>267</v>
      </c>
      <c r="V15" t="s">
        <v>763</v>
      </c>
      <c r="X15" t="s">
        <v>404</v>
      </c>
      <c r="Y15" t="s">
        <v>267</v>
      </c>
    </row>
    <row r="16" spans="1:25" x14ac:dyDescent="0.2">
      <c r="A16" s="121" t="s">
        <v>283</v>
      </c>
      <c r="B16" s="131" t="s">
        <v>142</v>
      </c>
      <c r="C16" s="122" t="s">
        <v>313</v>
      </c>
      <c r="D16" s="122" t="s">
        <v>317</v>
      </c>
      <c r="E16" s="122"/>
      <c r="F16" s="122"/>
      <c r="G16" s="122"/>
      <c r="H16" s="122"/>
      <c r="I16" s="122"/>
      <c r="J16" s="122"/>
      <c r="K16" s="131" t="s">
        <v>169</v>
      </c>
      <c r="L16" s="131"/>
      <c r="M16" s="131"/>
      <c r="N16" s="122" t="s">
        <v>170</v>
      </c>
      <c r="O16" s="123"/>
      <c r="Q16" t="str">
        <f t="shared" si="0"/>
        <v>Exhibit 3, Sheet 1A</v>
      </c>
      <c r="S16" t="s">
        <v>404</v>
      </c>
      <c r="T16" t="s">
        <v>267</v>
      </c>
      <c r="V16" t="s">
        <v>764</v>
      </c>
      <c r="X16" t="s">
        <v>404</v>
      </c>
      <c r="Y16" t="s">
        <v>267</v>
      </c>
    </row>
    <row r="17" spans="1:25" x14ac:dyDescent="0.2">
      <c r="A17" s="121" t="s">
        <v>284</v>
      </c>
      <c r="B17" s="131" t="s">
        <v>142</v>
      </c>
      <c r="C17" s="122" t="s">
        <v>313</v>
      </c>
      <c r="D17" s="122" t="s">
        <v>318</v>
      </c>
      <c r="E17" s="122"/>
      <c r="F17" s="122"/>
      <c r="G17" s="122"/>
      <c r="H17" s="122"/>
      <c r="I17" s="122"/>
      <c r="J17" s="122"/>
      <c r="K17" s="131" t="s">
        <v>169</v>
      </c>
      <c r="L17" s="131"/>
      <c r="M17" s="131"/>
      <c r="N17" s="122" t="s">
        <v>170</v>
      </c>
      <c r="O17" s="123"/>
      <c r="Q17" t="str">
        <f t="shared" si="0"/>
        <v>Exhibit 3, Sheet 1B</v>
      </c>
      <c r="S17" t="s">
        <v>404</v>
      </c>
      <c r="T17" t="s">
        <v>267</v>
      </c>
      <c r="V17" t="s">
        <v>765</v>
      </c>
      <c r="X17" t="s">
        <v>404</v>
      </c>
      <c r="Y17" t="s">
        <v>267</v>
      </c>
    </row>
    <row r="18" spans="1:25" x14ac:dyDescent="0.2">
      <c r="A18" s="121" t="s">
        <v>285</v>
      </c>
      <c r="B18" s="131" t="s">
        <v>142</v>
      </c>
      <c r="C18" s="122" t="s">
        <v>313</v>
      </c>
      <c r="D18" s="122" t="s">
        <v>319</v>
      </c>
      <c r="E18" s="122"/>
      <c r="F18" s="122"/>
      <c r="G18" s="122"/>
      <c r="H18" s="122"/>
      <c r="I18" s="122"/>
      <c r="J18" s="122"/>
      <c r="K18" s="131" t="s">
        <v>169</v>
      </c>
      <c r="L18" s="131"/>
      <c r="M18" s="131"/>
      <c r="N18" s="122" t="s">
        <v>170</v>
      </c>
      <c r="O18" s="123"/>
      <c r="Q18" t="str">
        <f t="shared" si="0"/>
        <v>Exhibit 3, Sheet 1C</v>
      </c>
      <c r="S18" t="s">
        <v>404</v>
      </c>
      <c r="T18" t="s">
        <v>272</v>
      </c>
      <c r="V18" t="s">
        <v>766</v>
      </c>
      <c r="X18" t="s">
        <v>405</v>
      </c>
      <c r="Y18" t="s">
        <v>272</v>
      </c>
    </row>
    <row r="19" spans="1:25" x14ac:dyDescent="0.2">
      <c r="A19" s="121" t="s">
        <v>286</v>
      </c>
      <c r="B19" s="131" t="s">
        <v>142</v>
      </c>
      <c r="C19" s="122" t="s">
        <v>313</v>
      </c>
      <c r="D19" s="122" t="s">
        <v>310</v>
      </c>
      <c r="E19" s="122"/>
      <c r="F19" s="122"/>
      <c r="G19" s="122"/>
      <c r="H19" s="122"/>
      <c r="I19" s="122"/>
      <c r="J19" s="122"/>
      <c r="K19" s="131" t="s">
        <v>169</v>
      </c>
      <c r="L19" s="131"/>
      <c r="M19" s="131"/>
      <c r="N19" s="122" t="s">
        <v>170</v>
      </c>
      <c r="O19" s="123"/>
      <c r="Q19" t="str">
        <f t="shared" si="0"/>
        <v>Exhibit 3, Sheet 2A</v>
      </c>
      <c r="S19" t="s">
        <v>405</v>
      </c>
      <c r="T19" t="s">
        <v>272</v>
      </c>
      <c r="V19" t="s">
        <v>767</v>
      </c>
      <c r="X19" t="s">
        <v>405</v>
      </c>
      <c r="Y19" t="s">
        <v>272</v>
      </c>
    </row>
    <row r="20" spans="1:25" x14ac:dyDescent="0.2">
      <c r="A20" s="121" t="s">
        <v>287</v>
      </c>
      <c r="B20" s="131" t="s">
        <v>142</v>
      </c>
      <c r="C20" s="122" t="s">
        <v>313</v>
      </c>
      <c r="D20" s="122" t="s">
        <v>311</v>
      </c>
      <c r="E20" s="122"/>
      <c r="F20" s="122"/>
      <c r="G20" s="122"/>
      <c r="H20" s="122"/>
      <c r="I20" s="122"/>
      <c r="J20" s="122"/>
      <c r="K20" s="131" t="s">
        <v>169</v>
      </c>
      <c r="L20" s="131"/>
      <c r="M20" s="131"/>
      <c r="N20" s="122" t="s">
        <v>170</v>
      </c>
      <c r="O20" s="123"/>
      <c r="Q20" t="str">
        <f t="shared" si="0"/>
        <v>Exhibit 3, Sheet 2B</v>
      </c>
      <c r="S20" t="s">
        <v>405</v>
      </c>
      <c r="T20" t="s">
        <v>272</v>
      </c>
      <c r="V20" t="s">
        <v>768</v>
      </c>
      <c r="X20" t="s">
        <v>405</v>
      </c>
      <c r="Y20" t="s">
        <v>272</v>
      </c>
    </row>
    <row r="21" spans="1:25" x14ac:dyDescent="0.2">
      <c r="A21" s="121" t="s">
        <v>288</v>
      </c>
      <c r="B21" s="131" t="s">
        <v>142</v>
      </c>
      <c r="C21" s="122" t="s">
        <v>313</v>
      </c>
      <c r="D21" s="122" t="s">
        <v>312</v>
      </c>
      <c r="E21" s="122"/>
      <c r="F21" s="122"/>
      <c r="G21" s="122"/>
      <c r="H21" s="122"/>
      <c r="I21" s="122"/>
      <c r="J21" s="122"/>
      <c r="K21" s="131" t="s">
        <v>169</v>
      </c>
      <c r="L21" s="131"/>
      <c r="M21" s="131"/>
      <c r="N21" s="122" t="s">
        <v>170</v>
      </c>
      <c r="O21" s="123"/>
      <c r="Q21" t="str">
        <f t="shared" si="0"/>
        <v>Exhibit 3, Sheet 2C</v>
      </c>
      <c r="S21" t="s">
        <v>405</v>
      </c>
      <c r="T21" t="s">
        <v>267</v>
      </c>
      <c r="V21" t="s">
        <v>769</v>
      </c>
      <c r="X21" t="s">
        <v>401</v>
      </c>
      <c r="Y21" t="s">
        <v>267</v>
      </c>
    </row>
    <row r="22" spans="1:25" x14ac:dyDescent="0.2">
      <c r="A22" s="121" t="s">
        <v>289</v>
      </c>
      <c r="B22" s="131" t="s">
        <v>142</v>
      </c>
      <c r="C22" s="122" t="s">
        <v>313</v>
      </c>
      <c r="D22" s="122" t="s">
        <v>320</v>
      </c>
      <c r="E22" s="122"/>
      <c r="F22" s="122"/>
      <c r="G22" s="122"/>
      <c r="H22" s="122"/>
      <c r="I22" s="122"/>
      <c r="J22" s="122"/>
      <c r="K22" s="131" t="s">
        <v>169</v>
      </c>
      <c r="L22" s="131"/>
      <c r="M22" s="131"/>
      <c r="N22" s="122" t="s">
        <v>170</v>
      </c>
      <c r="O22" s="123"/>
      <c r="Q22" t="str">
        <f t="shared" si="0"/>
        <v>Exhibit 3, Sheet 3A</v>
      </c>
      <c r="S22" t="s">
        <v>401</v>
      </c>
      <c r="T22" t="s">
        <v>267</v>
      </c>
      <c r="V22" t="s">
        <v>770</v>
      </c>
      <c r="X22" t="s">
        <v>402</v>
      </c>
      <c r="Y22" t="s">
        <v>267</v>
      </c>
    </row>
    <row r="23" spans="1:25" x14ac:dyDescent="0.2">
      <c r="A23" s="121" t="s">
        <v>290</v>
      </c>
      <c r="B23" s="131" t="s">
        <v>142</v>
      </c>
      <c r="C23" s="122" t="s">
        <v>313</v>
      </c>
      <c r="D23" s="122" t="s">
        <v>321</v>
      </c>
      <c r="E23" s="122"/>
      <c r="F23" s="122"/>
      <c r="G23" s="122"/>
      <c r="H23" s="122"/>
      <c r="I23" s="122"/>
      <c r="J23" s="122"/>
      <c r="K23" s="131" t="s">
        <v>169</v>
      </c>
      <c r="L23" s="131"/>
      <c r="M23" s="131"/>
      <c r="N23" s="122" t="s">
        <v>170</v>
      </c>
      <c r="O23" s="123"/>
      <c r="Q23" t="str">
        <f t="shared" si="0"/>
        <v>Exhibit 3, Sheet 3B</v>
      </c>
      <c r="S23" t="s">
        <v>402</v>
      </c>
      <c r="T23" t="s">
        <v>267</v>
      </c>
      <c r="V23" t="s">
        <v>771</v>
      </c>
      <c r="X23" t="s">
        <v>403</v>
      </c>
      <c r="Y23" t="s">
        <v>267</v>
      </c>
    </row>
    <row r="24" spans="1:25" x14ac:dyDescent="0.2">
      <c r="A24" s="121" t="s">
        <v>291</v>
      </c>
      <c r="B24" s="131" t="s">
        <v>142</v>
      </c>
      <c r="C24" s="122" t="s">
        <v>313</v>
      </c>
      <c r="D24" s="122" t="s">
        <v>322</v>
      </c>
      <c r="E24" s="122"/>
      <c r="F24" s="122"/>
      <c r="G24" s="122"/>
      <c r="H24" s="122"/>
      <c r="I24" s="122"/>
      <c r="J24" s="122"/>
      <c r="K24" s="131" t="s">
        <v>169</v>
      </c>
      <c r="L24" s="131"/>
      <c r="M24" s="131"/>
      <c r="N24" s="122" t="s">
        <v>170</v>
      </c>
      <c r="O24" s="123"/>
      <c r="Q24" t="str">
        <f t="shared" si="0"/>
        <v>Exhibit 3, Sheet 3C</v>
      </c>
      <c r="S24" t="s">
        <v>403</v>
      </c>
      <c r="T24" t="s">
        <v>272</v>
      </c>
      <c r="V24" t="s">
        <v>772</v>
      </c>
      <c r="X24" t="s">
        <v>400</v>
      </c>
      <c r="Y24" t="s">
        <v>272</v>
      </c>
    </row>
    <row r="25" spans="1:25" x14ac:dyDescent="0.2">
      <c r="A25" s="121" t="s">
        <v>292</v>
      </c>
      <c r="B25" s="131" t="s">
        <v>142</v>
      </c>
      <c r="C25" s="122" t="s">
        <v>313</v>
      </c>
      <c r="D25" s="122" t="s">
        <v>323</v>
      </c>
      <c r="E25" s="122"/>
      <c r="F25" s="122"/>
      <c r="G25" s="122"/>
      <c r="H25" s="122"/>
      <c r="I25" s="122"/>
      <c r="J25" s="122"/>
      <c r="K25" s="131" t="s">
        <v>169</v>
      </c>
      <c r="L25" s="131"/>
      <c r="M25" s="131"/>
      <c r="N25" s="122" t="s">
        <v>170</v>
      </c>
      <c r="O25" s="123"/>
      <c r="Q25" t="str">
        <f t="shared" si="0"/>
        <v>Exhibit 3, Sheet 4A</v>
      </c>
      <c r="S25" t="s">
        <v>400</v>
      </c>
      <c r="T25" t="s">
        <v>272</v>
      </c>
      <c r="V25" t="s">
        <v>773</v>
      </c>
      <c r="X25" t="s">
        <v>399</v>
      </c>
      <c r="Y25" t="s">
        <v>272</v>
      </c>
    </row>
    <row r="26" spans="1:25" x14ac:dyDescent="0.2">
      <c r="A26" s="121" t="s">
        <v>293</v>
      </c>
      <c r="B26" s="131" t="s">
        <v>142</v>
      </c>
      <c r="C26" s="122" t="s">
        <v>313</v>
      </c>
      <c r="D26" s="122" t="s">
        <v>324</v>
      </c>
      <c r="E26" s="122"/>
      <c r="F26" s="122"/>
      <c r="G26" s="122"/>
      <c r="H26" s="122"/>
      <c r="I26" s="122"/>
      <c r="J26" s="122"/>
      <c r="K26" s="131" t="s">
        <v>169</v>
      </c>
      <c r="L26" s="131"/>
      <c r="M26" s="131"/>
      <c r="N26" s="122" t="s">
        <v>170</v>
      </c>
      <c r="O26" s="123"/>
      <c r="Q26" t="str">
        <f t="shared" si="0"/>
        <v>Exhibit 3, Sheet 4B</v>
      </c>
      <c r="S26" t="s">
        <v>399</v>
      </c>
      <c r="T26" t="s">
        <v>272</v>
      </c>
      <c r="V26" t="s">
        <v>774</v>
      </c>
      <c r="X26" t="s">
        <v>398</v>
      </c>
      <c r="Y26" t="s">
        <v>272</v>
      </c>
    </row>
    <row r="27" spans="1:25" x14ac:dyDescent="0.2">
      <c r="A27" s="121" t="s">
        <v>294</v>
      </c>
      <c r="B27" s="131" t="s">
        <v>142</v>
      </c>
      <c r="C27" s="122" t="s">
        <v>313</v>
      </c>
      <c r="D27" s="122" t="s">
        <v>325</v>
      </c>
      <c r="E27" s="122"/>
      <c r="F27" s="122"/>
      <c r="G27" s="122"/>
      <c r="H27" s="122"/>
      <c r="I27" s="122"/>
      <c r="J27" s="122"/>
      <c r="K27" s="131" t="s">
        <v>169</v>
      </c>
      <c r="L27" s="131"/>
      <c r="M27" s="131"/>
      <c r="N27" s="122" t="s">
        <v>170</v>
      </c>
      <c r="O27" s="123"/>
      <c r="Q27" t="str">
        <f t="shared" si="0"/>
        <v>Exhibit 3, Sheet 4C</v>
      </c>
      <c r="S27" t="s">
        <v>398</v>
      </c>
      <c r="V27" t="s">
        <v>775</v>
      </c>
      <c r="X27" t="s">
        <v>397</v>
      </c>
    </row>
    <row r="28" spans="1:25" x14ac:dyDescent="0.2">
      <c r="A28" s="121" t="s">
        <v>295</v>
      </c>
      <c r="B28" s="131" t="s">
        <v>142</v>
      </c>
      <c r="C28" s="122" t="s">
        <v>313</v>
      </c>
      <c r="D28" s="122" t="s">
        <v>315</v>
      </c>
      <c r="E28" s="122"/>
      <c r="F28" s="122"/>
      <c r="G28" s="122"/>
      <c r="H28" s="122"/>
      <c r="I28" s="122"/>
      <c r="J28" s="122"/>
      <c r="K28" s="131" t="s">
        <v>169</v>
      </c>
      <c r="L28" s="131"/>
      <c r="M28" s="131"/>
      <c r="N28" s="122" t="s">
        <v>170</v>
      </c>
      <c r="O28" s="123"/>
      <c r="Q28" t="str">
        <f t="shared" si="0"/>
        <v>Exhibit 3, Sheet 5A</v>
      </c>
      <c r="S28" t="s">
        <v>397</v>
      </c>
      <c r="V28" t="s">
        <v>776</v>
      </c>
      <c r="X28" t="s">
        <v>396</v>
      </c>
    </row>
    <row r="29" spans="1:25" x14ac:dyDescent="0.2">
      <c r="A29" s="121" t="s">
        <v>296</v>
      </c>
      <c r="B29" s="131" t="s">
        <v>142</v>
      </c>
      <c r="C29" s="122" t="s">
        <v>313</v>
      </c>
      <c r="D29" s="122" t="s">
        <v>316</v>
      </c>
      <c r="E29" s="122"/>
      <c r="F29" s="122"/>
      <c r="G29" s="122"/>
      <c r="H29" s="122"/>
      <c r="I29" s="122"/>
      <c r="J29" s="122"/>
      <c r="K29" s="131" t="s">
        <v>169</v>
      </c>
      <c r="L29" s="131"/>
      <c r="M29" s="131"/>
      <c r="N29" s="122" t="s">
        <v>170</v>
      </c>
      <c r="O29" s="123"/>
      <c r="Q29" t="str">
        <f t="shared" si="0"/>
        <v>Exhibit 3, Sheet 5B</v>
      </c>
      <c r="S29" t="s">
        <v>396</v>
      </c>
      <c r="V29" t="s">
        <v>777</v>
      </c>
      <c r="X29" t="s">
        <v>395</v>
      </c>
    </row>
    <row r="30" spans="1:25" x14ac:dyDescent="0.2">
      <c r="A30" s="121" t="s">
        <v>297</v>
      </c>
      <c r="B30" s="131" t="s">
        <v>142</v>
      </c>
      <c r="C30" s="122" t="s">
        <v>313</v>
      </c>
      <c r="D30" s="122" t="s">
        <v>314</v>
      </c>
      <c r="E30" s="122"/>
      <c r="F30" s="122"/>
      <c r="G30" s="122"/>
      <c r="H30" s="122"/>
      <c r="I30" s="122"/>
      <c r="J30" s="122"/>
      <c r="K30" s="131" t="s">
        <v>169</v>
      </c>
      <c r="L30" s="131"/>
      <c r="M30" s="131"/>
      <c r="N30" s="122" t="s">
        <v>170</v>
      </c>
      <c r="O30" s="123"/>
      <c r="Q30" t="str">
        <f t="shared" si="0"/>
        <v>Exhibit 3, Sheet 5C</v>
      </c>
      <c r="S30" t="s">
        <v>395</v>
      </c>
      <c r="V30" t="s">
        <v>778</v>
      </c>
      <c r="X30" t="s">
        <v>394</v>
      </c>
    </row>
    <row r="31" spans="1:25" x14ac:dyDescent="0.2">
      <c r="A31" s="121" t="s">
        <v>298</v>
      </c>
      <c r="B31" s="131" t="s">
        <v>142</v>
      </c>
      <c r="C31" s="122" t="s">
        <v>309</v>
      </c>
      <c r="D31" s="122" t="s">
        <v>158</v>
      </c>
      <c r="E31" s="122"/>
      <c r="F31" s="122"/>
      <c r="G31" s="122"/>
      <c r="H31" s="122"/>
      <c r="I31" s="122"/>
      <c r="J31" s="122"/>
      <c r="K31" s="131" t="s">
        <v>169</v>
      </c>
      <c r="L31" s="131"/>
      <c r="M31" s="131"/>
      <c r="N31" s="122" t="s">
        <v>170</v>
      </c>
      <c r="O31" s="123"/>
      <c r="Q31" t="str">
        <f t="shared" si="0"/>
        <v>Exhibit 4, Sheet 1</v>
      </c>
      <c r="S31" t="s">
        <v>394</v>
      </c>
      <c r="V31" t="s">
        <v>779</v>
      </c>
      <c r="X31" t="s">
        <v>393</v>
      </c>
    </row>
    <row r="32" spans="1:25" x14ac:dyDescent="0.2">
      <c r="A32" s="121" t="s">
        <v>380</v>
      </c>
      <c r="B32" s="131" t="s">
        <v>142</v>
      </c>
      <c r="C32" s="122" t="s">
        <v>309</v>
      </c>
      <c r="D32" s="122" t="s">
        <v>159</v>
      </c>
      <c r="E32" s="122"/>
      <c r="F32" s="122"/>
      <c r="G32" s="122"/>
      <c r="H32" s="122"/>
      <c r="I32" s="122"/>
      <c r="J32" s="122"/>
      <c r="K32" s="131" t="s">
        <v>169</v>
      </c>
      <c r="L32" s="131"/>
      <c r="M32" s="131"/>
      <c r="N32" s="122" t="s">
        <v>170</v>
      </c>
      <c r="O32" s="123"/>
      <c r="Q32" t="str">
        <f t="shared" si="0"/>
        <v>Exhibit 4, Sheet 2</v>
      </c>
      <c r="S32" t="s">
        <v>393</v>
      </c>
      <c r="V32" t="s">
        <v>780</v>
      </c>
      <c r="X32" t="s">
        <v>390</v>
      </c>
    </row>
    <row r="33" spans="1:24" x14ac:dyDescent="0.2">
      <c r="A33" s="121" t="s">
        <v>381</v>
      </c>
      <c r="B33" s="131" t="s">
        <v>142</v>
      </c>
      <c r="C33" s="122" t="s">
        <v>309</v>
      </c>
      <c r="D33" s="122" t="s">
        <v>160</v>
      </c>
      <c r="E33" s="122"/>
      <c r="F33" s="122"/>
      <c r="G33" s="122"/>
      <c r="H33" s="122"/>
      <c r="I33" s="122"/>
      <c r="J33" s="122"/>
      <c r="K33" s="131" t="s">
        <v>169</v>
      </c>
      <c r="L33" s="131"/>
      <c r="M33" s="131"/>
      <c r="N33" s="122" t="s">
        <v>170</v>
      </c>
      <c r="O33" s="123"/>
      <c r="Q33" t="str">
        <f t="shared" si="0"/>
        <v>Exhibit 4, Sheet 3</v>
      </c>
      <c r="S33" t="s">
        <v>390</v>
      </c>
      <c r="V33" t="s">
        <v>781</v>
      </c>
      <c r="X33" t="s">
        <v>391</v>
      </c>
    </row>
    <row r="34" spans="1:24" x14ac:dyDescent="0.2">
      <c r="A34" s="121" t="s">
        <v>382</v>
      </c>
      <c r="B34" s="131" t="s">
        <v>142</v>
      </c>
      <c r="C34" s="122" t="s">
        <v>309</v>
      </c>
      <c r="D34" s="122" t="s">
        <v>161</v>
      </c>
      <c r="E34" s="122"/>
      <c r="F34" s="122"/>
      <c r="G34" s="122"/>
      <c r="H34" s="122"/>
      <c r="I34" s="122"/>
      <c r="J34" s="122"/>
      <c r="K34" s="131" t="s">
        <v>169</v>
      </c>
      <c r="L34" s="131"/>
      <c r="M34" s="131"/>
      <c r="N34" s="122" t="s">
        <v>170</v>
      </c>
      <c r="O34" s="123"/>
      <c r="Q34" t="str">
        <f t="shared" si="0"/>
        <v>Exhibit 4, Sheet 4</v>
      </c>
      <c r="S34" t="s">
        <v>391</v>
      </c>
      <c r="V34" t="s">
        <v>782</v>
      </c>
      <c r="X34" t="s">
        <v>392</v>
      </c>
    </row>
    <row r="35" spans="1:24" x14ac:dyDescent="0.2">
      <c r="A35" s="121" t="s">
        <v>383</v>
      </c>
      <c r="B35" s="131" t="s">
        <v>142</v>
      </c>
      <c r="C35" s="122" t="s">
        <v>309</v>
      </c>
      <c r="D35" s="122" t="s">
        <v>162</v>
      </c>
      <c r="E35" s="122"/>
      <c r="F35" s="122"/>
      <c r="G35" s="122"/>
      <c r="H35" s="122"/>
      <c r="I35" s="122"/>
      <c r="J35" s="122"/>
      <c r="K35" s="131" t="s">
        <v>169</v>
      </c>
      <c r="L35" s="131"/>
      <c r="M35" s="131"/>
      <c r="N35" s="122" t="s">
        <v>170</v>
      </c>
      <c r="O35" s="123"/>
      <c r="Q35" t="str">
        <f t="shared" si="0"/>
        <v>Exhibit 4, Sheet 5</v>
      </c>
      <c r="S35" t="s">
        <v>392</v>
      </c>
      <c r="V35" t="s">
        <v>783</v>
      </c>
      <c r="X35" t="s">
        <v>389</v>
      </c>
    </row>
    <row r="36" spans="1:24" x14ac:dyDescent="0.2">
      <c r="A36" s="121" t="s">
        <v>384</v>
      </c>
      <c r="B36" s="131" t="s">
        <v>142</v>
      </c>
      <c r="C36" s="122" t="s">
        <v>309</v>
      </c>
      <c r="D36" s="122" t="s">
        <v>163</v>
      </c>
      <c r="E36" s="122"/>
      <c r="F36" s="122"/>
      <c r="G36" s="122"/>
      <c r="H36" s="122"/>
      <c r="I36" s="122"/>
      <c r="J36" s="122"/>
      <c r="K36" s="131" t="s">
        <v>169</v>
      </c>
      <c r="L36" s="131"/>
      <c r="M36" s="131"/>
      <c r="N36" s="122" t="s">
        <v>170</v>
      </c>
      <c r="O36" s="123"/>
      <c r="Q36" t="str">
        <f t="shared" si="0"/>
        <v>Exhibit 4, Sheet 6</v>
      </c>
      <c r="S36" t="s">
        <v>389</v>
      </c>
      <c r="V36" t="s">
        <v>784</v>
      </c>
      <c r="X36" t="s">
        <v>386</v>
      </c>
    </row>
    <row r="37" spans="1:24" x14ac:dyDescent="0.2">
      <c r="A37" s="121" t="s">
        <v>299</v>
      </c>
      <c r="B37" s="131" t="s">
        <v>142</v>
      </c>
      <c r="C37" s="122" t="s">
        <v>308</v>
      </c>
      <c r="D37" s="122" t="s">
        <v>158</v>
      </c>
      <c r="E37" s="122"/>
      <c r="F37" s="122"/>
      <c r="G37" s="122"/>
      <c r="H37" s="122"/>
      <c r="I37" s="122"/>
      <c r="J37" s="122"/>
      <c r="K37" s="131" t="s">
        <v>169</v>
      </c>
      <c r="L37" s="131"/>
      <c r="M37" s="131"/>
      <c r="N37" s="122" t="s">
        <v>170</v>
      </c>
      <c r="O37" s="123"/>
      <c r="Q37" t="str">
        <f t="shared" si="0"/>
        <v>Exhibit 5, Sheet 1</v>
      </c>
      <c r="S37" t="s">
        <v>386</v>
      </c>
      <c r="V37" t="s">
        <v>785</v>
      </c>
      <c r="X37" t="s">
        <v>387</v>
      </c>
    </row>
    <row r="38" spans="1:24" x14ac:dyDescent="0.2">
      <c r="A38" s="121" t="s">
        <v>300</v>
      </c>
      <c r="B38" s="131" t="s">
        <v>142</v>
      </c>
      <c r="C38" s="122" t="s">
        <v>308</v>
      </c>
      <c r="D38" s="122" t="s">
        <v>159</v>
      </c>
      <c r="E38" s="122"/>
      <c r="F38" s="122"/>
      <c r="G38" s="122"/>
      <c r="H38" s="122"/>
      <c r="I38" s="122"/>
      <c r="J38" s="122"/>
      <c r="K38" s="131" t="s">
        <v>169</v>
      </c>
      <c r="L38" s="131"/>
      <c r="M38" s="131"/>
      <c r="N38" s="122" t="s">
        <v>170</v>
      </c>
      <c r="O38" s="123"/>
      <c r="Q38" t="str">
        <f t="shared" si="0"/>
        <v>Exhibit 5, Sheet 2</v>
      </c>
      <c r="S38" t="s">
        <v>387</v>
      </c>
      <c r="V38" t="s">
        <v>786</v>
      </c>
      <c r="X38" t="s">
        <v>388</v>
      </c>
    </row>
    <row r="39" spans="1:24" x14ac:dyDescent="0.2">
      <c r="A39" s="121" t="s">
        <v>301</v>
      </c>
      <c r="B39" s="131" t="s">
        <v>142</v>
      </c>
      <c r="C39" s="122" t="s">
        <v>308</v>
      </c>
      <c r="D39" s="122" t="s">
        <v>160</v>
      </c>
      <c r="E39" s="122"/>
      <c r="F39" s="122"/>
      <c r="G39" s="122"/>
      <c r="H39" s="122"/>
      <c r="I39" s="122"/>
      <c r="J39" s="122"/>
      <c r="K39" s="131" t="s">
        <v>169</v>
      </c>
      <c r="L39" s="131"/>
      <c r="M39" s="131"/>
      <c r="N39" s="122" t="s">
        <v>170</v>
      </c>
      <c r="O39" s="123"/>
      <c r="Q39" t="str">
        <f t="shared" si="0"/>
        <v>Exhibit 5, Sheet 3</v>
      </c>
      <c r="S39" t="s">
        <v>388</v>
      </c>
      <c r="V39" t="s">
        <v>787</v>
      </c>
      <c r="X39" t="s">
        <v>385</v>
      </c>
    </row>
    <row r="40" spans="1:24" x14ac:dyDescent="0.2">
      <c r="A40" s="121" t="s">
        <v>302</v>
      </c>
      <c r="B40" s="131" t="s">
        <v>142</v>
      </c>
      <c r="C40" s="122" t="s">
        <v>308</v>
      </c>
      <c r="D40" s="122" t="s">
        <v>161</v>
      </c>
      <c r="E40" s="122"/>
      <c r="F40" s="122"/>
      <c r="G40" s="122"/>
      <c r="H40" s="122"/>
      <c r="I40" s="122"/>
      <c r="J40" s="122"/>
      <c r="K40" s="131" t="s">
        <v>169</v>
      </c>
      <c r="L40" s="131"/>
      <c r="M40" s="131"/>
      <c r="N40" s="122" t="s">
        <v>170</v>
      </c>
      <c r="O40" s="123"/>
      <c r="Q40" t="str">
        <f t="shared" si="0"/>
        <v>Exhibit 5, Sheet 4</v>
      </c>
      <c r="S40" t="s">
        <v>385</v>
      </c>
      <c r="V40" t="s">
        <v>788</v>
      </c>
    </row>
    <row r="41" spans="1:24" x14ac:dyDescent="0.2">
      <c r="A41" s="121" t="s">
        <v>303</v>
      </c>
      <c r="B41" s="131" t="s">
        <v>142</v>
      </c>
      <c r="C41" s="122" t="s">
        <v>307</v>
      </c>
      <c r="D41" s="122" t="s">
        <v>158</v>
      </c>
      <c r="E41" s="122"/>
      <c r="F41" s="122"/>
      <c r="G41" s="122"/>
      <c r="H41" s="122"/>
      <c r="I41" s="122"/>
      <c r="J41" s="122"/>
      <c r="K41" s="131" t="s">
        <v>169</v>
      </c>
      <c r="L41" s="131"/>
      <c r="M41" s="131"/>
      <c r="N41" s="122" t="s">
        <v>170</v>
      </c>
      <c r="O41" s="123"/>
      <c r="Q41" t="str">
        <f t="shared" si="0"/>
        <v>Exhibit 6, Sheet 1</v>
      </c>
      <c r="V41" t="s">
        <v>789</v>
      </c>
    </row>
    <row r="42" spans="1:24" x14ac:dyDescent="0.2">
      <c r="A42" s="121" t="s">
        <v>304</v>
      </c>
      <c r="B42" s="131" t="s">
        <v>142</v>
      </c>
      <c r="C42" s="122" t="s">
        <v>307</v>
      </c>
      <c r="D42" s="122" t="s">
        <v>159</v>
      </c>
      <c r="E42" s="122"/>
      <c r="F42" s="122"/>
      <c r="G42" s="122"/>
      <c r="H42" s="122"/>
      <c r="I42" s="122"/>
      <c r="J42" s="122"/>
      <c r="K42" s="131" t="s">
        <v>169</v>
      </c>
      <c r="L42" s="131"/>
      <c r="M42" s="131"/>
      <c r="N42" s="122" t="s">
        <v>170</v>
      </c>
      <c r="O42" s="123"/>
      <c r="Q42" t="str">
        <f t="shared" si="0"/>
        <v>Exhibit 6, Sheet 2</v>
      </c>
      <c r="V42" t="s">
        <v>156</v>
      </c>
    </row>
    <row r="43" spans="1:24" x14ac:dyDescent="0.2">
      <c r="A43" s="121" t="s">
        <v>692</v>
      </c>
      <c r="B43" s="131" t="s">
        <v>142</v>
      </c>
      <c r="C43" s="122" t="s">
        <v>156</v>
      </c>
      <c r="D43" s="122"/>
      <c r="E43" s="122"/>
      <c r="F43" s="122"/>
      <c r="G43" s="122" t="s">
        <v>693</v>
      </c>
      <c r="H43" s="122"/>
      <c r="I43" s="122"/>
      <c r="J43" s="122"/>
      <c r="K43" s="131" t="s">
        <v>169</v>
      </c>
      <c r="L43" s="131"/>
      <c r="M43" s="131"/>
      <c r="N43" s="122" t="s">
        <v>170</v>
      </c>
      <c r="O43" s="123"/>
      <c r="Q43" s="597" t="str">
        <f>C43</f>
        <v>Exhibit 7</v>
      </c>
      <c r="R43" s="223"/>
      <c r="V43" t="s">
        <v>790</v>
      </c>
      <c r="W43" t="s">
        <v>109</v>
      </c>
      <c r="X43" t="s">
        <v>97</v>
      </c>
    </row>
    <row r="44" spans="1:24" x14ac:dyDescent="0.2">
      <c r="A44" s="121" t="s">
        <v>143</v>
      </c>
      <c r="B44" s="131" t="s">
        <v>142</v>
      </c>
      <c r="C44" s="122" t="s">
        <v>157</v>
      </c>
      <c r="D44" s="122" t="s">
        <v>158</v>
      </c>
      <c r="E44" s="122"/>
      <c r="F44" s="122"/>
      <c r="G44" s="122"/>
      <c r="H44" s="122"/>
      <c r="I44" s="122"/>
      <c r="J44" s="122"/>
      <c r="K44" s="131" t="s">
        <v>169</v>
      </c>
      <c r="L44" s="131"/>
      <c r="M44" s="131"/>
      <c r="N44" s="122" t="s">
        <v>170</v>
      </c>
      <c r="O44" s="123"/>
      <c r="Q44" t="str">
        <f t="shared" si="0"/>
        <v>Exhibit 8, Sheet 1</v>
      </c>
      <c r="R44" s="223" t="s">
        <v>109</v>
      </c>
      <c r="S44" t="s">
        <v>97</v>
      </c>
      <c r="V44" t="s">
        <v>791</v>
      </c>
      <c r="W44" t="s">
        <v>118</v>
      </c>
      <c r="X44" t="s">
        <v>175</v>
      </c>
    </row>
    <row r="45" spans="1:24" x14ac:dyDescent="0.2">
      <c r="A45" s="121" t="s">
        <v>144</v>
      </c>
      <c r="B45" s="131" t="s">
        <v>142</v>
      </c>
      <c r="C45" s="122" t="s">
        <v>157</v>
      </c>
      <c r="D45" s="122" t="s">
        <v>159</v>
      </c>
      <c r="E45" s="122"/>
      <c r="F45" s="122"/>
      <c r="G45" s="122"/>
      <c r="H45" s="122"/>
      <c r="I45" s="122"/>
      <c r="J45" s="122"/>
      <c r="K45" s="131" t="s">
        <v>169</v>
      </c>
      <c r="L45" s="131"/>
      <c r="M45" s="131"/>
      <c r="N45" s="122" t="s">
        <v>170</v>
      </c>
      <c r="O45" s="123"/>
      <c r="Q45" t="str">
        <f t="shared" si="0"/>
        <v>Exhibit 8, Sheet 2</v>
      </c>
      <c r="R45" s="223" t="s">
        <v>118</v>
      </c>
      <c r="S45" t="s">
        <v>175</v>
      </c>
      <c r="V45" t="s">
        <v>792</v>
      </c>
      <c r="W45" t="s">
        <v>110</v>
      </c>
      <c r="X45" t="s">
        <v>176</v>
      </c>
    </row>
    <row r="46" spans="1:24" x14ac:dyDescent="0.2">
      <c r="A46" s="121" t="s">
        <v>145</v>
      </c>
      <c r="B46" s="131" t="s">
        <v>142</v>
      </c>
      <c r="C46" s="122" t="s">
        <v>157</v>
      </c>
      <c r="D46" s="122" t="s">
        <v>160</v>
      </c>
      <c r="E46" s="122"/>
      <c r="F46" s="122"/>
      <c r="G46" s="122"/>
      <c r="H46" s="122"/>
      <c r="I46" s="122"/>
      <c r="J46" s="122"/>
      <c r="K46" s="131" t="s">
        <v>169</v>
      </c>
      <c r="L46" s="131"/>
      <c r="M46" s="131"/>
      <c r="N46" s="122" t="s">
        <v>170</v>
      </c>
      <c r="O46" s="123"/>
      <c r="Q46" t="str">
        <f t="shared" si="0"/>
        <v>Exhibit 8, Sheet 3</v>
      </c>
      <c r="R46" s="223" t="s">
        <v>110</v>
      </c>
      <c r="S46" t="s">
        <v>176</v>
      </c>
      <c r="V46" t="s">
        <v>793</v>
      </c>
      <c r="W46" t="s">
        <v>117</v>
      </c>
      <c r="X46" t="s">
        <v>177</v>
      </c>
    </row>
    <row r="47" spans="1:24" x14ac:dyDescent="0.2">
      <c r="A47" s="121" t="s">
        <v>146</v>
      </c>
      <c r="B47" s="131" t="s">
        <v>142</v>
      </c>
      <c r="C47" s="122" t="s">
        <v>157</v>
      </c>
      <c r="D47" s="122" t="s">
        <v>161</v>
      </c>
      <c r="E47" s="122"/>
      <c r="F47" s="122"/>
      <c r="G47" s="122"/>
      <c r="H47" s="122"/>
      <c r="I47" s="122"/>
      <c r="J47" s="122"/>
      <c r="K47" s="131" t="s">
        <v>169</v>
      </c>
      <c r="L47" s="131"/>
      <c r="M47" s="131"/>
      <c r="N47" s="122" t="s">
        <v>170</v>
      </c>
      <c r="O47" s="123"/>
      <c r="Q47" t="str">
        <f t="shared" si="0"/>
        <v>Exhibit 8, Sheet 4</v>
      </c>
      <c r="R47" s="223" t="s">
        <v>117</v>
      </c>
      <c r="S47" t="s">
        <v>177</v>
      </c>
      <c r="V47" t="s">
        <v>794</v>
      </c>
      <c r="W47" t="s">
        <v>111</v>
      </c>
      <c r="X47" t="s">
        <v>178</v>
      </c>
    </row>
    <row r="48" spans="1:24" x14ac:dyDescent="0.2">
      <c r="A48" s="121" t="s">
        <v>147</v>
      </c>
      <c r="B48" s="131" t="s">
        <v>142</v>
      </c>
      <c r="C48" s="122" t="s">
        <v>157</v>
      </c>
      <c r="D48" s="122" t="s">
        <v>162</v>
      </c>
      <c r="E48" s="122"/>
      <c r="F48" s="122"/>
      <c r="G48" s="122"/>
      <c r="H48" s="122"/>
      <c r="I48" s="122"/>
      <c r="J48" s="122"/>
      <c r="K48" s="131" t="s">
        <v>169</v>
      </c>
      <c r="L48" s="131"/>
      <c r="M48" s="131"/>
      <c r="N48" s="122" t="s">
        <v>170</v>
      </c>
      <c r="O48" s="123"/>
      <c r="Q48" t="str">
        <f t="shared" si="0"/>
        <v>Exhibit 8, Sheet 5</v>
      </c>
      <c r="R48" s="223" t="s">
        <v>111</v>
      </c>
      <c r="S48" t="s">
        <v>178</v>
      </c>
      <c r="V48" t="s">
        <v>795</v>
      </c>
      <c r="W48" t="s">
        <v>116</v>
      </c>
      <c r="X48" t="s">
        <v>179</v>
      </c>
    </row>
    <row r="49" spans="1:24" x14ac:dyDescent="0.2">
      <c r="A49" s="121" t="s">
        <v>148</v>
      </c>
      <c r="B49" s="131" t="s">
        <v>142</v>
      </c>
      <c r="C49" s="122" t="s">
        <v>157</v>
      </c>
      <c r="D49" s="122" t="s">
        <v>163</v>
      </c>
      <c r="E49" s="122"/>
      <c r="F49" s="122"/>
      <c r="G49" s="122"/>
      <c r="H49" s="122"/>
      <c r="I49" s="122"/>
      <c r="J49" s="122"/>
      <c r="K49" s="131" t="s">
        <v>169</v>
      </c>
      <c r="L49" s="131"/>
      <c r="M49" s="131"/>
      <c r="N49" s="122" t="s">
        <v>170</v>
      </c>
      <c r="O49" s="123"/>
      <c r="Q49" t="str">
        <f t="shared" si="0"/>
        <v>Exhibit 8, Sheet 6</v>
      </c>
      <c r="R49" s="223" t="s">
        <v>116</v>
      </c>
      <c r="S49" t="s">
        <v>179</v>
      </c>
      <c r="V49" t="s">
        <v>796</v>
      </c>
      <c r="W49" t="s">
        <v>112</v>
      </c>
      <c r="X49" t="s">
        <v>180</v>
      </c>
    </row>
    <row r="50" spans="1:24" x14ac:dyDescent="0.2">
      <c r="A50" s="121" t="s">
        <v>149</v>
      </c>
      <c r="B50" s="131" t="s">
        <v>142</v>
      </c>
      <c r="C50" s="122" t="s">
        <v>157</v>
      </c>
      <c r="D50" s="122" t="s">
        <v>164</v>
      </c>
      <c r="E50" s="122"/>
      <c r="F50" s="122"/>
      <c r="G50" s="122"/>
      <c r="H50" s="122"/>
      <c r="I50" s="122"/>
      <c r="J50" s="122"/>
      <c r="K50" s="131" t="s">
        <v>169</v>
      </c>
      <c r="L50" s="131"/>
      <c r="M50" s="131"/>
      <c r="N50" s="122" t="s">
        <v>170</v>
      </c>
      <c r="O50" s="123"/>
      <c r="Q50" t="str">
        <f t="shared" si="0"/>
        <v>Exhibit 8, Sheet 7</v>
      </c>
      <c r="R50" s="223" t="s">
        <v>112</v>
      </c>
      <c r="S50" t="s">
        <v>180</v>
      </c>
      <c r="V50" t="s">
        <v>797</v>
      </c>
      <c r="W50" t="s">
        <v>114</v>
      </c>
      <c r="X50" t="s">
        <v>181</v>
      </c>
    </row>
    <row r="51" spans="1:24" x14ac:dyDescent="0.2">
      <c r="A51" s="121" t="s">
        <v>150</v>
      </c>
      <c r="B51" s="131" t="s">
        <v>142</v>
      </c>
      <c r="C51" s="122" t="s">
        <v>157</v>
      </c>
      <c r="D51" s="122" t="s">
        <v>165</v>
      </c>
      <c r="E51" s="122"/>
      <c r="F51" s="122"/>
      <c r="G51" s="122"/>
      <c r="H51" s="122"/>
      <c r="I51" s="122"/>
      <c r="J51" s="122"/>
      <c r="K51" s="131" t="s">
        <v>169</v>
      </c>
      <c r="L51" s="131"/>
      <c r="M51" s="131"/>
      <c r="N51" s="122" t="s">
        <v>170</v>
      </c>
      <c r="O51" s="123"/>
      <c r="Q51" t="str">
        <f t="shared" si="0"/>
        <v>Exhibit 8, Sheet 8</v>
      </c>
      <c r="R51" s="223" t="s">
        <v>114</v>
      </c>
      <c r="S51" t="s">
        <v>181</v>
      </c>
      <c r="V51" t="s">
        <v>798</v>
      </c>
      <c r="W51" t="s">
        <v>183</v>
      </c>
      <c r="X51" t="s">
        <v>184</v>
      </c>
    </row>
    <row r="52" spans="1:24" x14ac:dyDescent="0.2">
      <c r="A52" s="121" t="s">
        <v>151</v>
      </c>
      <c r="B52" s="131" t="s">
        <v>142</v>
      </c>
      <c r="C52" s="122" t="s">
        <v>157</v>
      </c>
      <c r="D52" s="122" t="s">
        <v>166</v>
      </c>
      <c r="E52" s="122"/>
      <c r="F52" s="122"/>
      <c r="G52" s="122"/>
      <c r="H52" s="122"/>
      <c r="I52" s="122"/>
      <c r="J52" s="122"/>
      <c r="K52" s="131" t="s">
        <v>169</v>
      </c>
      <c r="L52" s="131"/>
      <c r="M52" s="131"/>
      <c r="N52" s="122" t="s">
        <v>170</v>
      </c>
      <c r="O52" s="123"/>
      <c r="Q52" t="str">
        <f t="shared" si="0"/>
        <v>Exhibit 8, Sheet 9</v>
      </c>
      <c r="R52" s="223" t="s">
        <v>183</v>
      </c>
      <c r="S52" t="s">
        <v>184</v>
      </c>
      <c r="V52" t="s">
        <v>799</v>
      </c>
      <c r="X52" t="s">
        <v>185</v>
      </c>
    </row>
    <row r="53" spans="1:24" x14ac:dyDescent="0.2">
      <c r="A53" s="121" t="s">
        <v>152</v>
      </c>
      <c r="B53" s="131" t="s">
        <v>142</v>
      </c>
      <c r="C53" s="122" t="s">
        <v>157</v>
      </c>
      <c r="D53" s="122" t="s">
        <v>167</v>
      </c>
      <c r="E53" s="122"/>
      <c r="F53" s="122"/>
      <c r="G53" s="122"/>
      <c r="H53" s="122"/>
      <c r="I53" s="122"/>
      <c r="J53" s="122"/>
      <c r="K53" s="131" t="s">
        <v>169</v>
      </c>
      <c r="L53" s="131"/>
      <c r="M53" s="131"/>
      <c r="N53" s="122" t="s">
        <v>170</v>
      </c>
      <c r="O53" s="123"/>
      <c r="Q53" t="str">
        <f t="shared" si="0"/>
        <v>Exhibit 8, Sheet 10</v>
      </c>
      <c r="R53" s="223"/>
      <c r="S53" t="s">
        <v>185</v>
      </c>
      <c r="V53" t="s">
        <v>800</v>
      </c>
      <c r="X53" t="s">
        <v>186</v>
      </c>
    </row>
    <row r="54" spans="1:24" x14ac:dyDescent="0.2">
      <c r="A54" s="121" t="s">
        <v>153</v>
      </c>
      <c r="B54" s="131" t="s">
        <v>142</v>
      </c>
      <c r="C54" s="122" t="s">
        <v>157</v>
      </c>
      <c r="D54" s="122" t="s">
        <v>168</v>
      </c>
      <c r="E54" s="122"/>
      <c r="F54" s="122"/>
      <c r="G54" s="122"/>
      <c r="H54" s="122"/>
      <c r="I54" s="122"/>
      <c r="J54" s="122"/>
      <c r="K54" s="131" t="s">
        <v>169</v>
      </c>
      <c r="L54" s="131"/>
      <c r="M54" s="131"/>
      <c r="N54" s="122" t="s">
        <v>170</v>
      </c>
      <c r="O54" s="123"/>
      <c r="Q54" t="str">
        <f t="shared" si="0"/>
        <v>Exhibit 8, Sheet 11</v>
      </c>
      <c r="R54" s="223"/>
      <c r="S54" t="s">
        <v>186</v>
      </c>
      <c r="V54" t="s">
        <v>801</v>
      </c>
      <c r="W54" t="s">
        <v>118</v>
      </c>
      <c r="X54" t="s">
        <v>210</v>
      </c>
    </row>
    <row r="55" spans="1:24" x14ac:dyDescent="0.2">
      <c r="A55" s="121" t="s">
        <v>200</v>
      </c>
      <c r="B55" s="131" t="s">
        <v>142</v>
      </c>
      <c r="C55" s="122" t="s">
        <v>209</v>
      </c>
      <c r="D55" s="122" t="s">
        <v>158</v>
      </c>
      <c r="E55" s="122"/>
      <c r="F55" s="122"/>
      <c r="G55" s="122"/>
      <c r="H55" s="122"/>
      <c r="I55" s="122"/>
      <c r="J55" s="122"/>
      <c r="K55" s="131" t="s">
        <v>169</v>
      </c>
      <c r="L55" s="131"/>
      <c r="M55" s="131"/>
      <c r="N55" s="122" t="s">
        <v>170</v>
      </c>
      <c r="O55" s="123"/>
      <c r="Q55" t="str">
        <f t="shared" si="0"/>
        <v>Exhibit 9, Sheet 1</v>
      </c>
      <c r="R55" s="223" t="s">
        <v>118</v>
      </c>
      <c r="S55" t="s">
        <v>210</v>
      </c>
      <c r="V55" t="s">
        <v>802</v>
      </c>
      <c r="W55" t="s">
        <v>117</v>
      </c>
      <c r="X55" t="s">
        <v>211</v>
      </c>
    </row>
    <row r="56" spans="1:24" x14ac:dyDescent="0.2">
      <c r="A56" s="121" t="s">
        <v>201</v>
      </c>
      <c r="B56" s="131" t="s">
        <v>142</v>
      </c>
      <c r="C56" s="122" t="s">
        <v>209</v>
      </c>
      <c r="D56" s="122" t="s">
        <v>159</v>
      </c>
      <c r="E56" s="122"/>
      <c r="F56" s="122"/>
      <c r="G56" s="122"/>
      <c r="H56" s="122"/>
      <c r="I56" s="122"/>
      <c r="J56" s="122"/>
      <c r="K56" s="131" t="s">
        <v>169</v>
      </c>
      <c r="L56" s="131"/>
      <c r="M56" s="131"/>
      <c r="N56" s="122" t="s">
        <v>170</v>
      </c>
      <c r="O56" s="123"/>
      <c r="Q56" t="str">
        <f t="shared" si="0"/>
        <v>Exhibit 9, Sheet 2</v>
      </c>
      <c r="R56" s="223" t="s">
        <v>117</v>
      </c>
      <c r="S56" t="s">
        <v>211</v>
      </c>
      <c r="V56" t="s">
        <v>803</v>
      </c>
      <c r="W56" t="s">
        <v>116</v>
      </c>
      <c r="X56" t="s">
        <v>212</v>
      </c>
    </row>
    <row r="57" spans="1:24" x14ac:dyDescent="0.2">
      <c r="A57" s="121" t="s">
        <v>202</v>
      </c>
      <c r="B57" s="131" t="s">
        <v>142</v>
      </c>
      <c r="C57" s="122" t="s">
        <v>209</v>
      </c>
      <c r="D57" s="122" t="s">
        <v>160</v>
      </c>
      <c r="E57" s="122"/>
      <c r="F57" s="122"/>
      <c r="G57" s="122"/>
      <c r="H57" s="122"/>
      <c r="I57" s="122"/>
      <c r="J57" s="122"/>
      <c r="K57" s="131" t="s">
        <v>169</v>
      </c>
      <c r="L57" s="131"/>
      <c r="M57" s="131"/>
      <c r="N57" s="122" t="s">
        <v>170</v>
      </c>
      <c r="O57" s="123"/>
      <c r="Q57" t="str">
        <f t="shared" si="0"/>
        <v>Exhibit 9, Sheet 3</v>
      </c>
      <c r="R57" s="223" t="s">
        <v>116</v>
      </c>
      <c r="S57" t="s">
        <v>212</v>
      </c>
      <c r="V57" t="s">
        <v>804</v>
      </c>
      <c r="W57" t="s">
        <v>115</v>
      </c>
      <c r="X57" t="s">
        <v>213</v>
      </c>
    </row>
    <row r="58" spans="1:24" x14ac:dyDescent="0.2">
      <c r="A58" s="121" t="s">
        <v>203</v>
      </c>
      <c r="B58" s="131" t="s">
        <v>142</v>
      </c>
      <c r="C58" s="122" t="s">
        <v>209</v>
      </c>
      <c r="D58" s="122" t="s">
        <v>161</v>
      </c>
      <c r="E58" s="122"/>
      <c r="F58" s="122"/>
      <c r="G58" s="122"/>
      <c r="H58" s="122"/>
      <c r="I58" s="122"/>
      <c r="J58" s="122"/>
      <c r="K58" s="131" t="s">
        <v>169</v>
      </c>
      <c r="L58" s="131"/>
      <c r="M58" s="131"/>
      <c r="N58" s="122" t="s">
        <v>170</v>
      </c>
      <c r="O58" s="123"/>
      <c r="Q58" t="str">
        <f t="shared" si="0"/>
        <v>Exhibit 9, Sheet 4</v>
      </c>
      <c r="R58" s="223" t="s">
        <v>115</v>
      </c>
      <c r="S58" t="s">
        <v>213</v>
      </c>
      <c r="V58" t="s">
        <v>805</v>
      </c>
      <c r="W58" t="s">
        <v>114</v>
      </c>
      <c r="X58" t="s">
        <v>72</v>
      </c>
    </row>
    <row r="59" spans="1:24" x14ac:dyDescent="0.2">
      <c r="A59" s="121" t="s">
        <v>204</v>
      </c>
      <c r="B59" s="131" t="s">
        <v>142</v>
      </c>
      <c r="C59" s="122" t="s">
        <v>209</v>
      </c>
      <c r="D59" s="122" t="s">
        <v>162</v>
      </c>
      <c r="E59" s="122"/>
      <c r="F59" s="122"/>
      <c r="G59" s="122"/>
      <c r="H59" s="122"/>
      <c r="I59" s="122"/>
      <c r="J59" s="122"/>
      <c r="K59" s="131" t="s">
        <v>169</v>
      </c>
      <c r="L59" s="131"/>
      <c r="M59" s="131"/>
      <c r="N59" s="122" t="s">
        <v>170</v>
      </c>
      <c r="O59" s="123"/>
      <c r="Q59" t="str">
        <f t="shared" si="0"/>
        <v>Exhibit 9, Sheet 5</v>
      </c>
      <c r="R59" s="223" t="s">
        <v>114</v>
      </c>
      <c r="S59" t="s">
        <v>72</v>
      </c>
      <c r="V59" t="s">
        <v>806</v>
      </c>
      <c r="W59" t="s">
        <v>487</v>
      </c>
      <c r="X59" t="s">
        <v>488</v>
      </c>
    </row>
    <row r="60" spans="1:24" x14ac:dyDescent="0.2">
      <c r="A60" s="121" t="s">
        <v>205</v>
      </c>
      <c r="B60" s="131" t="s">
        <v>142</v>
      </c>
      <c r="C60" s="122" t="s">
        <v>209</v>
      </c>
      <c r="D60" s="122" t="s">
        <v>163</v>
      </c>
      <c r="E60" s="122"/>
      <c r="F60" s="122"/>
      <c r="G60" s="122"/>
      <c r="H60" s="122"/>
      <c r="I60" s="122"/>
      <c r="J60" s="122"/>
      <c r="K60" s="131" t="s">
        <v>169</v>
      </c>
      <c r="L60" s="131"/>
      <c r="M60" s="131"/>
      <c r="N60" s="122" t="s">
        <v>170</v>
      </c>
      <c r="O60" s="123"/>
      <c r="Q60" t="str">
        <f t="shared" si="0"/>
        <v>Exhibit 9, Sheet 6</v>
      </c>
      <c r="R60" s="223" t="s">
        <v>487</v>
      </c>
      <c r="S60" t="s">
        <v>488</v>
      </c>
      <c r="V60" t="s">
        <v>807</v>
      </c>
      <c r="W60" t="s">
        <v>520</v>
      </c>
      <c r="X60" t="s">
        <v>489</v>
      </c>
    </row>
    <row r="61" spans="1:24" x14ac:dyDescent="0.2">
      <c r="A61" s="121" t="s">
        <v>206</v>
      </c>
      <c r="B61" s="131" t="s">
        <v>142</v>
      </c>
      <c r="C61" s="122" t="s">
        <v>209</v>
      </c>
      <c r="D61" s="122" t="s">
        <v>164</v>
      </c>
      <c r="E61" s="122"/>
      <c r="F61" s="122"/>
      <c r="G61" s="122"/>
      <c r="H61" s="122"/>
      <c r="I61" s="122"/>
      <c r="J61" s="122"/>
      <c r="K61" s="131" t="s">
        <v>169</v>
      </c>
      <c r="L61" s="131"/>
      <c r="M61" s="131"/>
      <c r="N61" s="122" t="s">
        <v>170</v>
      </c>
      <c r="O61" s="123"/>
      <c r="Q61" t="str">
        <f t="shared" si="0"/>
        <v>Exhibit 9, Sheet 7</v>
      </c>
      <c r="R61" s="223" t="s">
        <v>520</v>
      </c>
      <c r="S61" t="s">
        <v>489</v>
      </c>
      <c r="V61" t="s">
        <v>808</v>
      </c>
      <c r="W61" t="s">
        <v>519</v>
      </c>
      <c r="X61" t="s">
        <v>490</v>
      </c>
    </row>
    <row r="62" spans="1:24" x14ac:dyDescent="0.2">
      <c r="A62" s="121" t="s">
        <v>207</v>
      </c>
      <c r="B62" s="131" t="s">
        <v>142</v>
      </c>
      <c r="C62" s="122" t="s">
        <v>209</v>
      </c>
      <c r="D62" s="122" t="s">
        <v>165</v>
      </c>
      <c r="E62" s="122"/>
      <c r="F62" s="122"/>
      <c r="G62" s="122"/>
      <c r="H62" s="122"/>
      <c r="I62" s="122"/>
      <c r="J62" s="122"/>
      <c r="K62" s="131" t="s">
        <v>169</v>
      </c>
      <c r="L62" s="131"/>
      <c r="M62" s="131"/>
      <c r="N62" s="122" t="s">
        <v>170</v>
      </c>
      <c r="O62" s="123"/>
      <c r="Q62" t="str">
        <f t="shared" si="0"/>
        <v>Exhibit 9, Sheet 8</v>
      </c>
      <c r="R62" s="223" t="s">
        <v>519</v>
      </c>
      <c r="S62" t="s">
        <v>490</v>
      </c>
      <c r="V62" t="s">
        <v>809</v>
      </c>
      <c r="W62" t="s">
        <v>518</v>
      </c>
      <c r="X62" t="s">
        <v>491</v>
      </c>
    </row>
    <row r="63" spans="1:24" x14ac:dyDescent="0.2">
      <c r="A63" s="121" t="s">
        <v>208</v>
      </c>
      <c r="B63" s="131" t="s">
        <v>142</v>
      </c>
      <c r="C63" s="122" t="s">
        <v>209</v>
      </c>
      <c r="D63" s="122" t="s">
        <v>166</v>
      </c>
      <c r="E63" s="122"/>
      <c r="F63" s="122"/>
      <c r="G63" s="122"/>
      <c r="H63" s="122"/>
      <c r="I63" s="122"/>
      <c r="J63" s="122"/>
      <c r="K63" s="131" t="s">
        <v>169</v>
      </c>
      <c r="L63" s="131"/>
      <c r="M63" s="131"/>
      <c r="N63" s="122" t="s">
        <v>170</v>
      </c>
      <c r="O63" s="123"/>
      <c r="Q63" t="str">
        <f t="shared" si="0"/>
        <v>Exhibit 9, Sheet 9</v>
      </c>
      <c r="R63" t="s">
        <v>518</v>
      </c>
      <c r="S63" t="s">
        <v>491</v>
      </c>
      <c r="V63" t="s">
        <v>810</v>
      </c>
    </row>
    <row r="64" spans="1:24" x14ac:dyDescent="0.2">
      <c r="A64" s="121" t="s">
        <v>305</v>
      </c>
      <c r="B64" s="131" t="s">
        <v>142</v>
      </c>
      <c r="C64" s="122" t="s">
        <v>328</v>
      </c>
      <c r="D64" s="122" t="s">
        <v>158</v>
      </c>
      <c r="E64" s="122"/>
      <c r="F64" s="122"/>
      <c r="G64" s="122"/>
      <c r="H64" s="122"/>
      <c r="I64" s="122"/>
      <c r="J64" s="122"/>
      <c r="K64" s="131" t="s">
        <v>169</v>
      </c>
      <c r="L64" s="131"/>
      <c r="M64" s="131"/>
      <c r="N64" s="122" t="s">
        <v>170</v>
      </c>
      <c r="O64" s="123"/>
      <c r="Q64" t="str">
        <f t="shared" si="0"/>
        <v>Exhibit 10, Sheet 1</v>
      </c>
      <c r="V64" t="s">
        <v>811</v>
      </c>
    </row>
    <row r="65" spans="1:22" x14ac:dyDescent="0.2">
      <c r="A65" s="121" t="s">
        <v>306</v>
      </c>
      <c r="B65" s="131" t="s">
        <v>142</v>
      </c>
      <c r="C65" s="122" t="s">
        <v>328</v>
      </c>
      <c r="D65" s="122" t="s">
        <v>159</v>
      </c>
      <c r="E65" s="122"/>
      <c r="F65" s="122"/>
      <c r="G65" s="122"/>
      <c r="H65" s="122"/>
      <c r="I65" s="122"/>
      <c r="J65" s="122"/>
      <c r="K65" s="131" t="s">
        <v>169</v>
      </c>
      <c r="L65" s="131"/>
      <c r="M65" s="131"/>
      <c r="N65" s="122" t="s">
        <v>170</v>
      </c>
      <c r="O65" s="123"/>
      <c r="Q65" t="str">
        <f t="shared" si="0"/>
        <v>Exhibit 10, Sheet 2</v>
      </c>
      <c r="V65" t="s">
        <v>812</v>
      </c>
    </row>
    <row r="66" spans="1:22" x14ac:dyDescent="0.2">
      <c r="A66" s="121" t="s">
        <v>154</v>
      </c>
      <c r="B66" s="131" t="s">
        <v>140</v>
      </c>
      <c r="C66" s="122"/>
      <c r="D66" s="122"/>
      <c r="E66" s="122"/>
      <c r="F66" s="122"/>
      <c r="G66" s="122"/>
      <c r="H66" s="122"/>
      <c r="I66" s="122"/>
      <c r="J66" s="122"/>
      <c r="K66" s="131"/>
      <c r="L66" s="131"/>
      <c r="M66" s="131"/>
      <c r="N66" s="122"/>
      <c r="O66" s="123"/>
    </row>
    <row r="67" spans="1:22" x14ac:dyDescent="0.2">
      <c r="A67" s="121" t="s">
        <v>353</v>
      </c>
      <c r="B67" s="131" t="s">
        <v>140</v>
      </c>
      <c r="C67" s="122"/>
      <c r="D67" s="122"/>
      <c r="E67" s="122"/>
      <c r="F67" s="122"/>
      <c r="G67" s="122"/>
      <c r="H67" s="122"/>
      <c r="I67" s="122"/>
      <c r="J67" s="122"/>
      <c r="K67" s="131"/>
      <c r="L67" s="131"/>
      <c r="M67" s="131"/>
      <c r="N67" s="122"/>
      <c r="O67" s="123"/>
    </row>
    <row r="68" spans="1:22" x14ac:dyDescent="0.2">
      <c r="A68" s="121" t="s">
        <v>694</v>
      </c>
      <c r="B68" s="131" t="s">
        <v>140</v>
      </c>
      <c r="C68" s="122"/>
      <c r="D68" s="122"/>
      <c r="E68" s="122"/>
      <c r="F68" s="122"/>
      <c r="G68" s="122"/>
      <c r="H68" s="122"/>
      <c r="I68" s="122"/>
      <c r="J68" s="122"/>
      <c r="K68" s="131"/>
      <c r="L68" s="131"/>
      <c r="M68" s="131"/>
      <c r="N68" s="122"/>
      <c r="O68" s="123"/>
    </row>
    <row r="69" spans="1:22" x14ac:dyDescent="0.2">
      <c r="A69" s="121" t="s">
        <v>565</v>
      </c>
      <c r="B69" s="131" t="s">
        <v>140</v>
      </c>
      <c r="C69" s="122"/>
      <c r="D69" s="122"/>
      <c r="E69" s="122"/>
      <c r="F69" s="122"/>
      <c r="G69" s="122"/>
      <c r="H69" s="122"/>
      <c r="I69" s="122"/>
      <c r="J69" s="122"/>
      <c r="K69" s="131"/>
      <c r="L69" s="131"/>
      <c r="M69" s="131"/>
      <c r="N69" s="122"/>
      <c r="O69" s="123"/>
    </row>
    <row r="70" spans="1:22" x14ac:dyDescent="0.2">
      <c r="A70" s="121" t="s">
        <v>155</v>
      </c>
      <c r="B70" s="131" t="s">
        <v>140</v>
      </c>
      <c r="C70" s="122"/>
      <c r="D70" s="122"/>
      <c r="E70" s="122"/>
      <c r="F70" s="122"/>
      <c r="G70" s="122"/>
      <c r="H70" s="122"/>
      <c r="I70" s="122"/>
      <c r="J70" s="122"/>
      <c r="K70" s="131"/>
      <c r="L70" s="131"/>
      <c r="M70" s="131"/>
      <c r="N70" s="122"/>
      <c r="O70" s="123"/>
    </row>
    <row r="71" spans="1:22" x14ac:dyDescent="0.2">
      <c r="A71" s="121" t="s">
        <v>182</v>
      </c>
      <c r="B71" s="131" t="s">
        <v>140</v>
      </c>
      <c r="C71" s="122"/>
      <c r="D71" s="122"/>
      <c r="E71" s="122"/>
      <c r="F71" s="122"/>
      <c r="G71" s="122"/>
      <c r="H71" s="122"/>
      <c r="I71" s="122"/>
      <c r="J71" s="122"/>
      <c r="K71" s="131"/>
      <c r="L71" s="131"/>
      <c r="M71" s="131"/>
      <c r="N71" s="122"/>
      <c r="O71" s="123"/>
    </row>
    <row r="72" spans="1:22" x14ac:dyDescent="0.2">
      <c r="A72" s="121" t="s">
        <v>566</v>
      </c>
      <c r="B72" s="131" t="s">
        <v>140</v>
      </c>
      <c r="C72" s="122"/>
      <c r="D72" s="122"/>
      <c r="E72" s="122"/>
      <c r="F72" s="122"/>
      <c r="G72" s="122"/>
      <c r="H72" s="122"/>
      <c r="I72" s="122"/>
      <c r="J72" s="122"/>
      <c r="K72" s="131"/>
      <c r="L72" s="131"/>
      <c r="M72" s="131"/>
      <c r="N72" s="122"/>
      <c r="O72" s="123"/>
    </row>
    <row r="73" spans="1:22" x14ac:dyDescent="0.2">
      <c r="A73" s="121" t="s">
        <v>640</v>
      </c>
      <c r="B73" s="131" t="s">
        <v>140</v>
      </c>
      <c r="C73" s="122"/>
      <c r="D73" s="122"/>
      <c r="E73" s="122"/>
      <c r="F73" s="122"/>
      <c r="G73" s="122"/>
      <c r="H73" s="122"/>
      <c r="I73" s="122"/>
      <c r="J73" s="122"/>
      <c r="K73" s="131"/>
      <c r="L73" s="131"/>
      <c r="M73" s="131"/>
      <c r="N73" s="122"/>
      <c r="O73" s="123"/>
    </row>
    <row r="74" spans="1:22" ht="15" thickBot="1" x14ac:dyDescent="0.25">
      <c r="A74" s="124" t="s">
        <v>716</v>
      </c>
      <c r="B74" s="132" t="s">
        <v>140</v>
      </c>
      <c r="C74" s="125"/>
      <c r="D74" s="125"/>
      <c r="E74" s="125"/>
      <c r="F74" s="125"/>
      <c r="G74" s="125"/>
      <c r="H74" s="125"/>
      <c r="I74" s="125"/>
      <c r="J74" s="125"/>
      <c r="K74" s="132"/>
      <c r="L74" s="132"/>
      <c r="M74" s="132"/>
      <c r="N74" s="125"/>
      <c r="O74" s="126"/>
    </row>
  </sheetData>
  <printOptions horizontalCentered="1"/>
  <pageMargins left="0.7" right="0.7" top="0.75" bottom="0.75" header="0.3" footer="0.3"/>
  <pageSetup scale="24" orientation="portrait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1">
    <tabColor rgb="FFFFFF00"/>
    <pageSetUpPr fitToPage="1"/>
  </sheetPr>
  <dimension ref="A1:AF54"/>
  <sheetViews>
    <sheetView zoomScale="85" zoomScaleNormal="85" zoomScaleSheetLayoutView="70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0.625" style="222" customWidth="1"/>
    <col min="4" max="4" width="2.625" style="222" customWidth="1"/>
    <col min="5" max="5" width="10.625" style="222" customWidth="1"/>
    <col min="6" max="6" width="2.625" style="222" customWidth="1"/>
    <col min="7" max="7" width="10.625" style="222" customWidth="1"/>
    <col min="8" max="8" width="2.625" style="222" customWidth="1"/>
    <col min="9" max="9" width="10.625" style="222" customWidth="1"/>
    <col min="10" max="10" width="2.625" style="222" customWidth="1"/>
    <col min="11" max="11" width="10.625" style="222" customWidth="1"/>
    <col min="12" max="12" width="2.625" style="222" customWidth="1"/>
    <col min="13" max="13" width="10.625" style="222" customWidth="1"/>
    <col min="14" max="14" width="2.625" style="222" customWidth="1"/>
    <col min="15" max="15" width="10.625" style="222" customWidth="1"/>
    <col min="16" max="16" width="2.625" style="222" customWidth="1"/>
    <col min="17" max="17" width="10.625" style="222" customWidth="1"/>
    <col min="18" max="18" width="2.625" style="275" customWidth="1"/>
    <col min="19" max="19" width="7.5" style="222" customWidth="1"/>
    <col min="20" max="20" width="7.75" style="222" customWidth="1"/>
    <col min="21" max="21" width="5.625" style="222" customWidth="1"/>
    <col min="22" max="22" width="6.625" style="222" customWidth="1"/>
    <col min="23" max="23" width="2.625" style="222" customWidth="1"/>
    <col min="24" max="24" width="8.5" style="222" bestFit="1" customWidth="1"/>
    <col min="25" max="25" width="2.625" style="222" customWidth="1"/>
    <col min="26" max="16384" width="9" style="222"/>
  </cols>
  <sheetData>
    <row r="1" spans="1:32" x14ac:dyDescent="0.2">
      <c r="A1" s="1" t="str">
        <f>[1]!getlabels()</f>
        <v>Exhibit 1, Sheet 3B</v>
      </c>
    </row>
    <row r="2" spans="1:32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32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</row>
    <row r="4" spans="1:32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</row>
    <row r="5" spans="1:32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</row>
    <row r="6" spans="1:32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</row>
    <row r="7" spans="1:32" x14ac:dyDescent="0.2">
      <c r="A7" s="224" t="str">
        <f>"Summary of Excess Unpaid Loss &amp; ALAE as of "&amp;ctxt_l</f>
        <v>Summary of Excess Unpaid Loss &amp; ALAE as of April 30, 2019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</row>
    <row r="8" spans="1:32" x14ac:dyDescent="0.2">
      <c r="Q8" s="285"/>
    </row>
    <row r="9" spans="1:32" x14ac:dyDescent="0.2">
      <c r="Q9" s="285" t="s">
        <v>534</v>
      </c>
    </row>
    <row r="10" spans="1:32" x14ac:dyDescent="0.2">
      <c r="C10" s="301" t="str">
        <f>"Aggregate Adjusted Loss &amp; ALAE Excess Retention as of "&amp;ctxt_l</f>
        <v>Aggregate Adjusted Loss &amp; ALAE Excess Retention as of April 30, 2019</v>
      </c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O10" s="342"/>
      <c r="Q10" s="342" t="s">
        <v>36</v>
      </c>
      <c r="AA10" s="399" t="s">
        <v>556</v>
      </c>
    </row>
    <row r="11" spans="1:32" x14ac:dyDescent="0.2">
      <c r="A11" s="285" t="str">
        <f>Intro!M9</f>
        <v>Policy</v>
      </c>
      <c r="O11" s="370" t="s">
        <v>532</v>
      </c>
      <c r="Q11" s="370" t="s">
        <v>468</v>
      </c>
      <c r="AA11" s="399" t="s">
        <v>558</v>
      </c>
      <c r="AB11" s="399" t="s">
        <v>263</v>
      </c>
      <c r="AC11" s="399" t="s">
        <v>36</v>
      </c>
      <c r="AD11" s="399" t="s">
        <v>36</v>
      </c>
      <c r="AE11" s="399" t="s">
        <v>534</v>
      </c>
    </row>
    <row r="12" spans="1:32" x14ac:dyDescent="0.2">
      <c r="A12" s="285" t="str">
        <f>Intro!M10</f>
        <v>Period</v>
      </c>
      <c r="C12" s="285" t="s">
        <v>105</v>
      </c>
      <c r="E12" s="285"/>
      <c r="G12" s="285"/>
      <c r="I12" s="285" t="s">
        <v>74</v>
      </c>
      <c r="K12" s="285" t="s">
        <v>191</v>
      </c>
      <c r="M12" s="285" t="s">
        <v>78</v>
      </c>
      <c r="O12" s="370" t="s">
        <v>533</v>
      </c>
      <c r="Q12" s="342" t="s">
        <v>334</v>
      </c>
      <c r="S12" s="285" t="str">
        <f>ctxt</f>
        <v>4/30/19</v>
      </c>
      <c r="AA12" s="399" t="s">
        <v>20</v>
      </c>
      <c r="AB12" s="399" t="s">
        <v>423</v>
      </c>
      <c r="AC12" s="399" t="s">
        <v>557</v>
      </c>
      <c r="AD12" s="399" t="s">
        <v>263</v>
      </c>
      <c r="AE12" s="399" t="s">
        <v>78</v>
      </c>
    </row>
    <row r="13" spans="1:32" x14ac:dyDescent="0.2">
      <c r="A13" s="251" t="str">
        <f>Intro!M11</f>
        <v>Ending 9/30</v>
      </c>
      <c r="C13" s="251" t="s">
        <v>245</v>
      </c>
      <c r="E13" s="251" t="s">
        <v>71</v>
      </c>
      <c r="G13" s="251" t="s">
        <v>75</v>
      </c>
      <c r="I13" s="251" t="s">
        <v>76</v>
      </c>
      <c r="K13" s="251" t="s">
        <v>76</v>
      </c>
      <c r="M13" s="251" t="s">
        <v>468</v>
      </c>
      <c r="O13" s="395">
        <f>disc_rate</f>
        <v>0.03</v>
      </c>
      <c r="Q13" s="343" t="str">
        <f>ctxt</f>
        <v>4/30/19</v>
      </c>
      <c r="S13" s="343" t="s">
        <v>553</v>
      </c>
      <c r="T13" s="343" t="s">
        <v>15</v>
      </c>
      <c r="U13" s="343" t="s">
        <v>408</v>
      </c>
      <c r="V13" s="343" t="s">
        <v>552</v>
      </c>
      <c r="Z13" s="498" t="s">
        <v>700</v>
      </c>
      <c r="AA13" s="400" t="s">
        <v>468</v>
      </c>
      <c r="AB13" s="400" t="s">
        <v>552</v>
      </c>
      <c r="AC13" s="400" t="s">
        <v>468</v>
      </c>
      <c r="AD13" s="400" t="s">
        <v>552</v>
      </c>
      <c r="AE13" s="400" t="s">
        <v>468</v>
      </c>
      <c r="AF13" s="498" t="s">
        <v>454</v>
      </c>
    </row>
    <row r="14" spans="1:32" x14ac:dyDescent="0.2">
      <c r="C14" s="288">
        <v>1</v>
      </c>
      <c r="E14" s="288">
        <f>C14+1</f>
        <v>2</v>
      </c>
      <c r="G14" s="288">
        <f>E14+1</f>
        <v>3</v>
      </c>
      <c r="I14" s="288">
        <f>G14+1</f>
        <v>4</v>
      </c>
      <c r="K14" s="288">
        <f>I14+1</f>
        <v>5</v>
      </c>
      <c r="M14" s="288">
        <f>K14+1</f>
        <v>6</v>
      </c>
      <c r="O14" s="288">
        <f>M14+1</f>
        <v>7</v>
      </c>
      <c r="Q14" s="288">
        <f>O14+1</f>
        <v>8</v>
      </c>
    </row>
    <row r="16" spans="1:32" x14ac:dyDescent="0.2">
      <c r="A16" s="268">
        <f>Intro!C18</f>
        <v>1996</v>
      </c>
      <c r="C16" s="289">
        <f>'e2.1'!AX18</f>
        <v>141454.19999999995</v>
      </c>
      <c r="E16" s="289">
        <f>'e2.1'!AY18</f>
        <v>141454.19999999995</v>
      </c>
      <c r="G16" s="289">
        <f>'e2.1'!AZ18</f>
        <v>141454.19999999995</v>
      </c>
      <c r="I16" s="289">
        <f>E16-G16</f>
        <v>0</v>
      </c>
      <c r="K16" s="289">
        <f>C16-E16</f>
        <v>0</v>
      </c>
      <c r="M16" s="289">
        <f>K16+I16</f>
        <v>0</v>
      </c>
      <c r="O16" s="324">
        <f ca="1">IFERROR(Q16/M16, V16)</f>
        <v>0.98532927816429206</v>
      </c>
      <c r="Q16" s="401">
        <f ca="1">HLOOKUP($A16, 'Agg Disc'!$C$34:$O$36, 3, FALSE)</f>
        <v>0</v>
      </c>
      <c r="S16" s="419">
        <f>Intro!W18</f>
        <v>283</v>
      </c>
      <c r="T16" s="268" t="str">
        <f>Intro!AL18</f>
        <v>250K</v>
      </c>
      <c r="U16" s="151">
        <f t="shared" ref="U16:U39" si="0">MATCH("XS "&amp;T16, disccols, 0)</f>
        <v>10</v>
      </c>
      <c r="V16" s="266">
        <f t="shared" ref="V16:V39" ca="1" si="1">VLOOKUP(S16, discs, U16, FALSE)</f>
        <v>0.98532927816429206</v>
      </c>
      <c r="Z16" s="268">
        <f t="shared" ref="Z16:Z22" si="2">A16</f>
        <v>1996</v>
      </c>
      <c r="AA16" s="290">
        <f>'e2.1'!AP18-'e2.1'!AR18</f>
        <v>0</v>
      </c>
      <c r="AB16" s="266">
        <f ca="1">'e1.3A'!AB16</f>
        <v>0.98532927816429228</v>
      </c>
      <c r="AC16" s="290">
        <f>'e2.1'!AT18-'e2.1'!AV18</f>
        <v>0</v>
      </c>
      <c r="AD16" s="266">
        <f t="shared" ref="AD16:AD22" ca="1" si="3">V16</f>
        <v>0.98532927816429206</v>
      </c>
      <c r="AE16" s="290">
        <f ca="1">AA16*AB16 + AC16*AD16</f>
        <v>0</v>
      </c>
      <c r="AF16" s="290">
        <f ca="1">AE16-Q16</f>
        <v>0</v>
      </c>
    </row>
    <row r="17" spans="1:32" x14ac:dyDescent="0.2">
      <c r="A17" s="268">
        <f>Intro!C19</f>
        <v>1997</v>
      </c>
      <c r="C17" s="290">
        <f>'e2.1'!AX19</f>
        <v>169167</v>
      </c>
      <c r="E17" s="290">
        <f>'e2.1'!AY19</f>
        <v>169167</v>
      </c>
      <c r="F17" s="290"/>
      <c r="G17" s="290">
        <f>'e2.1'!AZ19</f>
        <v>169167</v>
      </c>
      <c r="I17" s="291">
        <f t="shared" ref="I17:I38" si="4">E17-G17</f>
        <v>0</v>
      </c>
      <c r="K17" s="290">
        <f t="shared" ref="K17:K38" si="5">C17-E17</f>
        <v>0</v>
      </c>
      <c r="M17" s="291">
        <f t="shared" ref="M17:M38" si="6">K17+I17</f>
        <v>0</v>
      </c>
      <c r="O17" s="324">
        <f t="shared" ref="O17:O22" ca="1" si="7">IFERROR(Q17/M17, V17)</f>
        <v>0.97434978323287447</v>
      </c>
      <c r="Q17" s="309">
        <f ca="1">HLOOKUP($A17, 'Agg Disc'!$C$34:$O$36, 3, FALSE)</f>
        <v>0</v>
      </c>
      <c r="S17" s="419">
        <f>Intro!W19</f>
        <v>271</v>
      </c>
      <c r="T17" s="268" t="str">
        <f>Intro!AL19</f>
        <v>250K</v>
      </c>
      <c r="U17" s="151">
        <f t="shared" si="0"/>
        <v>10</v>
      </c>
      <c r="V17" s="266">
        <f t="shared" ca="1" si="1"/>
        <v>0.97434978323287447</v>
      </c>
      <c r="Z17" s="268">
        <f t="shared" si="2"/>
        <v>1997</v>
      </c>
      <c r="AA17" s="290">
        <f>'e2.1'!AP19-'e2.1'!AR19</f>
        <v>0</v>
      </c>
      <c r="AB17" s="266">
        <f ca="1">'e1.3A'!AB17</f>
        <v>0.97512255912012513</v>
      </c>
      <c r="AC17" s="290">
        <f>'e2.1'!AT19-'e2.1'!AV19</f>
        <v>0</v>
      </c>
      <c r="AD17" s="266">
        <f t="shared" ca="1" si="3"/>
        <v>0.97434978323287447</v>
      </c>
      <c r="AE17" s="290">
        <f t="shared" ref="AE17:AE22" ca="1" si="8">AA17*AB17 + AC17*AD17</f>
        <v>0</v>
      </c>
      <c r="AF17" s="290">
        <f t="shared" ref="AF17:AF22" ca="1" si="9">AE17-Q17</f>
        <v>0</v>
      </c>
    </row>
    <row r="18" spans="1:32" x14ac:dyDescent="0.2">
      <c r="A18" s="268">
        <f>Intro!C20</f>
        <v>1998</v>
      </c>
      <c r="C18" s="290">
        <f>'e2.1'!AX20</f>
        <v>353153.50609498814</v>
      </c>
      <c r="E18" s="290">
        <f>'e2.1'!AY20</f>
        <v>331585.71999999974</v>
      </c>
      <c r="F18" s="290"/>
      <c r="G18" s="290">
        <f>'e2.1'!AZ20</f>
        <v>322860.16999999993</v>
      </c>
      <c r="I18" s="291">
        <f t="shared" si="4"/>
        <v>8725.5499999998137</v>
      </c>
      <c r="K18" s="290">
        <f t="shared" si="5"/>
        <v>21567.786094988405</v>
      </c>
      <c r="M18" s="291">
        <f t="shared" si="6"/>
        <v>30293.336094988219</v>
      </c>
      <c r="O18" s="324">
        <f t="shared" ca="1" si="7"/>
        <v>0.951626678742305</v>
      </c>
      <c r="Q18" s="309">
        <f ca="1">HLOOKUP($A18, 'Agg Disc'!$C$34:$O$36, 3, FALSE)</f>
        <v>28827.946816098025</v>
      </c>
      <c r="S18" s="419">
        <f>Intro!W20</f>
        <v>259</v>
      </c>
      <c r="T18" s="268" t="str">
        <f>Intro!AL20</f>
        <v>250K</v>
      </c>
      <c r="U18" s="151">
        <f t="shared" si="0"/>
        <v>10</v>
      </c>
      <c r="V18" s="266">
        <f t="shared" ca="1" si="1"/>
        <v>0.94973381168027626</v>
      </c>
      <c r="Z18" s="268">
        <f t="shared" si="2"/>
        <v>1998</v>
      </c>
      <c r="AA18" s="290">
        <f>'e2.1'!AP20-'e2.1'!AR20</f>
        <v>18321.70980256144</v>
      </c>
      <c r="AB18" s="266">
        <f ca="1">'e1.3A'!AB18</f>
        <v>0.95286350092386163</v>
      </c>
      <c r="AC18" s="290">
        <f>'e2.1'!AT20-'e2.1'!AV20</f>
        <v>11971.626292426779</v>
      </c>
      <c r="AD18" s="266">
        <f t="shared" ca="1" si="3"/>
        <v>0.94973381168027626</v>
      </c>
      <c r="AE18" s="290">
        <f t="shared" ca="1" si="8"/>
        <v>28827.946816098025</v>
      </c>
      <c r="AF18" s="290">
        <f t="shared" ca="1" si="9"/>
        <v>0</v>
      </c>
    </row>
    <row r="19" spans="1:32" x14ac:dyDescent="0.2">
      <c r="A19" s="268">
        <f>Intro!C21</f>
        <v>1999</v>
      </c>
      <c r="C19" s="290">
        <f>'e2.1'!AX21</f>
        <v>1820805.1218655102</v>
      </c>
      <c r="E19" s="290">
        <f>'e2.1'!AY21</f>
        <v>1687524.2799999998</v>
      </c>
      <c r="F19" s="290"/>
      <c r="G19" s="290">
        <f>'e2.1'!AZ21</f>
        <v>1413709.1400000001</v>
      </c>
      <c r="I19" s="291">
        <f t="shared" si="4"/>
        <v>273815.13999999966</v>
      </c>
      <c r="K19" s="290">
        <f t="shared" si="5"/>
        <v>133280.84186551045</v>
      </c>
      <c r="M19" s="291">
        <f t="shared" si="6"/>
        <v>407095.98186551011</v>
      </c>
      <c r="O19" s="324">
        <f t="shared" ca="1" si="7"/>
        <v>0.92968631638339783</v>
      </c>
      <c r="Q19" s="309">
        <f ca="1">HLOOKUP($A19, 'Agg Disc'!$C$34:$O$36, 3, FALSE)</f>
        <v>378471.5637950286</v>
      </c>
      <c r="S19" s="419">
        <f>Intro!W21</f>
        <v>247</v>
      </c>
      <c r="T19" s="268" t="str">
        <f>Intro!AL21</f>
        <v>250K</v>
      </c>
      <c r="U19" s="151">
        <f t="shared" si="0"/>
        <v>10</v>
      </c>
      <c r="V19" s="266">
        <f t="shared" ca="1" si="1"/>
        <v>0.92803539912751809</v>
      </c>
      <c r="Z19" s="268">
        <f t="shared" si="2"/>
        <v>1999</v>
      </c>
      <c r="AA19" s="290">
        <f>'e2.1'!AP21-'e2.1'!AR21</f>
        <v>101325.65520592546</v>
      </c>
      <c r="AB19" s="266">
        <f ca="1">'e1.3A'!AB19</f>
        <v>0.93466828770736687</v>
      </c>
      <c r="AC19" s="290">
        <f>'e2.1'!AT21-'e2.1'!AV21</f>
        <v>305770.32665958465</v>
      </c>
      <c r="AD19" s="266">
        <f t="shared" ca="1" si="3"/>
        <v>0.92803539912751809</v>
      </c>
      <c r="AE19" s="290">
        <f t="shared" ca="1" si="8"/>
        <v>378471.5637950286</v>
      </c>
      <c r="AF19" s="290">
        <f t="shared" ca="1" si="9"/>
        <v>0</v>
      </c>
    </row>
    <row r="20" spans="1:32" x14ac:dyDescent="0.2">
      <c r="A20" s="268">
        <f>Intro!C22</f>
        <v>2000</v>
      </c>
      <c r="C20" s="290">
        <f>'e2.1'!AX22</f>
        <v>1727516.292497647</v>
      </c>
      <c r="E20" s="290">
        <f>'e2.1'!AY22</f>
        <v>1433583.1600000001</v>
      </c>
      <c r="F20" s="290"/>
      <c r="G20" s="290">
        <f>'e2.1'!AZ22</f>
        <v>842311.16000000015</v>
      </c>
      <c r="I20" s="291">
        <f t="shared" si="4"/>
        <v>591272</v>
      </c>
      <c r="K20" s="290">
        <f t="shared" si="5"/>
        <v>293933.13249764685</v>
      </c>
      <c r="M20" s="291">
        <f t="shared" si="6"/>
        <v>885205.13249764685</v>
      </c>
      <c r="O20" s="324">
        <f t="shared" ca="1" si="7"/>
        <v>0.90987661078784532</v>
      </c>
      <c r="Q20" s="309">
        <f ca="1">HLOOKUP($A20, 'Agg Disc'!$C$34:$O$36, 3, FALSE)</f>
        <v>805427.44580896443</v>
      </c>
      <c r="S20" s="419">
        <f>Intro!W22</f>
        <v>235</v>
      </c>
      <c r="T20" s="268" t="str">
        <f>Intro!AL22</f>
        <v>250K</v>
      </c>
      <c r="U20" s="151">
        <f t="shared" si="0"/>
        <v>10</v>
      </c>
      <c r="V20" s="266">
        <f t="shared" ca="1" si="1"/>
        <v>0.90883776452136877</v>
      </c>
      <c r="Z20" s="268">
        <f t="shared" si="2"/>
        <v>2000</v>
      </c>
      <c r="AA20" s="290">
        <f>'e2.1'!AP22-'e2.1'!AR22</f>
        <v>83967.890641523991</v>
      </c>
      <c r="AB20" s="266">
        <f ca="1">'e1.3A'!AB20</f>
        <v>0.9197894752281065</v>
      </c>
      <c r="AC20" s="290">
        <f>'e2.1'!AT22-'e2.1'!AV22</f>
        <v>801237.24185612286</v>
      </c>
      <c r="AD20" s="266">
        <f t="shared" ca="1" si="3"/>
        <v>0.90883776452136877</v>
      </c>
      <c r="AE20" s="290">
        <f t="shared" ca="1" si="8"/>
        <v>805427.44580896443</v>
      </c>
      <c r="AF20" s="290">
        <f t="shared" ca="1" si="9"/>
        <v>0</v>
      </c>
    </row>
    <row r="21" spans="1:32" x14ac:dyDescent="0.2">
      <c r="A21" s="268">
        <f>Intro!C23</f>
        <v>2001</v>
      </c>
      <c r="C21" s="290">
        <f>'e2.1'!AX23</f>
        <v>289652</v>
      </c>
      <c r="E21" s="290">
        <f>'e2.1'!AY23</f>
        <v>289652</v>
      </c>
      <c r="F21" s="290"/>
      <c r="G21" s="290">
        <f>'e2.1'!AZ23</f>
        <v>289652</v>
      </c>
      <c r="I21" s="291">
        <f t="shared" si="4"/>
        <v>0</v>
      </c>
      <c r="K21" s="290">
        <f t="shared" si="5"/>
        <v>0</v>
      </c>
      <c r="M21" s="291">
        <f t="shared" si="6"/>
        <v>0</v>
      </c>
      <c r="O21" s="324">
        <f t="shared" ca="1" si="7"/>
        <v>0.89177495078553726</v>
      </c>
      <c r="Q21" s="309">
        <f ca="1">HLOOKUP($A21, 'Agg Disc'!$C$34:$O$36, 3, FALSE)</f>
        <v>0</v>
      </c>
      <c r="S21" s="419">
        <f>Intro!W23</f>
        <v>223</v>
      </c>
      <c r="T21" s="268" t="str">
        <f>Intro!AL23</f>
        <v>250K</v>
      </c>
      <c r="U21" s="151">
        <f t="shared" si="0"/>
        <v>10</v>
      </c>
      <c r="V21" s="266">
        <f t="shared" ca="1" si="1"/>
        <v>0.89177495078553726</v>
      </c>
      <c r="Z21" s="268">
        <f t="shared" si="2"/>
        <v>2001</v>
      </c>
      <c r="AA21" s="290">
        <f>'e2.1'!AP23-'e2.1'!AR23</f>
        <v>0</v>
      </c>
      <c r="AB21" s="266">
        <f ca="1">'e1.3A'!AB21</f>
        <v>0.90761581128712743</v>
      </c>
      <c r="AC21" s="290">
        <f>'e2.1'!AT23-'e2.1'!AV23</f>
        <v>0</v>
      </c>
      <c r="AD21" s="266">
        <f t="shared" ca="1" si="3"/>
        <v>0.89177495078553726</v>
      </c>
      <c r="AE21" s="290">
        <f t="shared" ca="1" si="8"/>
        <v>0</v>
      </c>
      <c r="AF21" s="290">
        <f t="shared" ca="1" si="9"/>
        <v>0</v>
      </c>
    </row>
    <row r="22" spans="1:32" x14ac:dyDescent="0.2">
      <c r="A22" s="268">
        <f>Intro!C24</f>
        <v>2002</v>
      </c>
      <c r="C22" s="290">
        <f>'e2.1'!AX24</f>
        <v>1727373.1849776634</v>
      </c>
      <c r="E22" s="290">
        <f>'e2.1'!AY24</f>
        <v>1409990.8899999997</v>
      </c>
      <c r="F22" s="290"/>
      <c r="G22" s="290">
        <f>'e2.1'!AZ24</f>
        <v>866577.4700000002</v>
      </c>
      <c r="I22" s="291">
        <f t="shared" si="4"/>
        <v>543413.41999999946</v>
      </c>
      <c r="K22" s="290">
        <f t="shared" si="5"/>
        <v>317382.29497766378</v>
      </c>
      <c r="M22" s="291">
        <f t="shared" si="6"/>
        <v>860795.71497766324</v>
      </c>
      <c r="O22" s="324">
        <f t="shared" ca="1" si="7"/>
        <v>0.85763742138814414</v>
      </c>
      <c r="Q22" s="309">
        <f ca="1">HLOOKUP($A22, 'Agg Disc'!$C$34:$O$36, 3, FALSE)</f>
        <v>738250.61733540695</v>
      </c>
      <c r="S22" s="419">
        <f>Intro!W24</f>
        <v>211</v>
      </c>
      <c r="T22" s="268" t="str">
        <f>Intro!AL24</f>
        <v>250K</v>
      </c>
      <c r="U22" s="151">
        <f t="shared" si="0"/>
        <v>10</v>
      </c>
      <c r="V22" s="266">
        <f t="shared" ca="1" si="1"/>
        <v>0.87652410035941242</v>
      </c>
      <c r="Z22" s="268">
        <f t="shared" si="2"/>
        <v>2002</v>
      </c>
      <c r="AA22" s="290">
        <f>'e2.1'!AP24-'e2.1'!AR24</f>
        <v>139848.81227470189</v>
      </c>
      <c r="AB22" s="266">
        <f ca="1">'e1.3A'!AB22</f>
        <v>0.89764724236490068</v>
      </c>
      <c r="AC22" s="290">
        <f>'e2.1'!AT24-'e2.1'!AV24</f>
        <v>720946.90270296135</v>
      </c>
      <c r="AD22" s="266">
        <f t="shared" ca="1" si="3"/>
        <v>0.87652410035941242</v>
      </c>
      <c r="AE22" s="290">
        <f t="shared" ca="1" si="8"/>
        <v>757462.23598501086</v>
      </c>
      <c r="AF22" s="290">
        <f t="shared" ca="1" si="9"/>
        <v>19211.618649603915</v>
      </c>
    </row>
    <row r="23" spans="1:32" x14ac:dyDescent="0.2">
      <c r="A23" s="268">
        <f>Intro!C25</f>
        <v>2003</v>
      </c>
      <c r="C23" s="290">
        <f>'e2.1'!AX25</f>
        <v>256580.59999999986</v>
      </c>
      <c r="E23" s="290">
        <f>'e2.1'!AY25</f>
        <v>256580.59999999986</v>
      </c>
      <c r="F23" s="290"/>
      <c r="G23" s="290">
        <f>'e2.1'!AZ25</f>
        <v>256580.59999999986</v>
      </c>
      <c r="I23" s="291">
        <f t="shared" si="4"/>
        <v>0</v>
      </c>
      <c r="K23" s="290">
        <f t="shared" si="5"/>
        <v>0</v>
      </c>
      <c r="M23" s="291">
        <f t="shared" si="6"/>
        <v>0</v>
      </c>
      <c r="O23" s="295">
        <f t="shared" ref="O23:O39" ca="1" si="10">V23</f>
        <v>0.86279856593130999</v>
      </c>
      <c r="Q23" s="290">
        <f t="shared" ref="Q23:Q39" ca="1" si="11">M23*O23</f>
        <v>0</v>
      </c>
      <c r="S23" s="252">
        <f>Intro!AA25</f>
        <v>199</v>
      </c>
      <c r="T23" s="268" t="str">
        <f>Intro!AL25</f>
        <v>250K</v>
      </c>
      <c r="U23" s="151">
        <f t="shared" si="0"/>
        <v>10</v>
      </c>
      <c r="V23" s="266">
        <f t="shared" ca="1" si="1"/>
        <v>0.86279856593130999</v>
      </c>
    </row>
    <row r="24" spans="1:32" x14ac:dyDescent="0.2">
      <c r="A24" s="268">
        <f>Intro!C26</f>
        <v>2004</v>
      </c>
      <c r="C24" s="290">
        <f ca="1">'e2.1'!AX26</f>
        <v>478098.06128173234</v>
      </c>
      <c r="E24" s="290">
        <f>'e2.1'!AY26</f>
        <v>353506.28000000119</v>
      </c>
      <c r="F24" s="290"/>
      <c r="G24" s="290">
        <f>'e2.1'!AZ26</f>
        <v>239360.8600000008</v>
      </c>
      <c r="I24" s="291">
        <f t="shared" si="4"/>
        <v>114145.42000000039</v>
      </c>
      <c r="K24" s="290">
        <f t="shared" ca="1" si="5"/>
        <v>124591.78128173115</v>
      </c>
      <c r="M24" s="291">
        <f t="shared" ca="1" si="6"/>
        <v>238737.20128173154</v>
      </c>
      <c r="O24" s="295">
        <f t="shared" ca="1" si="10"/>
        <v>0.84857074803589405</v>
      </c>
      <c r="Q24" s="290">
        <f t="shared" ca="1" si="11"/>
        <v>202585.40547563473</v>
      </c>
      <c r="S24" s="252">
        <f>Intro!AA26</f>
        <v>187</v>
      </c>
      <c r="T24" s="268" t="str">
        <f>Intro!AL26</f>
        <v>350K</v>
      </c>
      <c r="U24" s="151">
        <f t="shared" si="0"/>
        <v>9</v>
      </c>
      <c r="V24" s="266">
        <f t="shared" ca="1" si="1"/>
        <v>0.84857074803589405</v>
      </c>
      <c r="X24" s="290">
        <f ca="1">C24-I24</f>
        <v>363952.64128173195</v>
      </c>
    </row>
    <row r="25" spans="1:32" x14ac:dyDescent="0.2">
      <c r="A25" s="268">
        <f>Intro!C27</f>
        <v>2005</v>
      </c>
      <c r="C25" s="290">
        <f>'e2.1'!AX27</f>
        <v>0</v>
      </c>
      <c r="E25" s="290">
        <f>'e2.1'!AY27</f>
        <v>0</v>
      </c>
      <c r="F25" s="290"/>
      <c r="G25" s="290">
        <f>'e2.1'!AZ27</f>
        <v>0</v>
      </c>
      <c r="I25" s="291">
        <f t="shared" si="4"/>
        <v>0</v>
      </c>
      <c r="K25" s="290">
        <f t="shared" si="5"/>
        <v>0</v>
      </c>
      <c r="M25" s="291">
        <f t="shared" si="6"/>
        <v>0</v>
      </c>
      <c r="O25" s="295">
        <f t="shared" ca="1" si="10"/>
        <v>0.83642435385773883</v>
      </c>
      <c r="Q25" s="290">
        <f t="shared" ca="1" si="11"/>
        <v>0</v>
      </c>
      <c r="S25" s="252">
        <f>Intro!AA27</f>
        <v>175</v>
      </c>
      <c r="T25" s="268" t="str">
        <f>Intro!AL27</f>
        <v>350K</v>
      </c>
      <c r="U25" s="151">
        <f t="shared" si="0"/>
        <v>9</v>
      </c>
      <c r="V25" s="266">
        <f t="shared" ca="1" si="1"/>
        <v>0.83642435385773883</v>
      </c>
    </row>
    <row r="26" spans="1:32" x14ac:dyDescent="0.2">
      <c r="A26" s="268">
        <f>Intro!C28</f>
        <v>2006</v>
      </c>
      <c r="C26" s="290">
        <f>'e2.1'!AX28</f>
        <v>310667.57999999984</v>
      </c>
      <c r="E26" s="290">
        <f>'e2.1'!AY28</f>
        <v>310667.57999999984</v>
      </c>
      <c r="F26" s="290"/>
      <c r="G26" s="290">
        <f>'e2.1'!AZ28</f>
        <v>310667.57999999984</v>
      </c>
      <c r="I26" s="291">
        <f t="shared" si="4"/>
        <v>0</v>
      </c>
      <c r="K26" s="290">
        <f t="shared" si="5"/>
        <v>0</v>
      </c>
      <c r="M26" s="291">
        <f t="shared" si="6"/>
        <v>0</v>
      </c>
      <c r="O26" s="295">
        <f t="shared" ca="1" si="10"/>
        <v>0.82459179303659602</v>
      </c>
      <c r="Q26" s="290">
        <f t="shared" ca="1" si="11"/>
        <v>0</v>
      </c>
      <c r="S26" s="252">
        <f>Intro!AA28</f>
        <v>163</v>
      </c>
      <c r="T26" s="268" t="str">
        <f>Intro!AL28</f>
        <v>350K</v>
      </c>
      <c r="U26" s="151">
        <f t="shared" si="0"/>
        <v>9</v>
      </c>
      <c r="V26" s="266">
        <f t="shared" ca="1" si="1"/>
        <v>0.82459179303659602</v>
      </c>
    </row>
    <row r="27" spans="1:32" x14ac:dyDescent="0.2">
      <c r="A27" s="268">
        <f>Intro!C29</f>
        <v>2007</v>
      </c>
      <c r="C27" s="290">
        <f>'e2.1'!AX29</f>
        <v>0</v>
      </c>
      <c r="E27" s="290">
        <f>'e2.1'!AY29</f>
        <v>0</v>
      </c>
      <c r="F27" s="290"/>
      <c r="G27" s="290">
        <f>'e2.1'!AZ29</f>
        <v>0</v>
      </c>
      <c r="I27" s="291">
        <f t="shared" si="4"/>
        <v>0</v>
      </c>
      <c r="K27" s="290">
        <f t="shared" si="5"/>
        <v>0</v>
      </c>
      <c r="M27" s="291">
        <f t="shared" si="6"/>
        <v>0</v>
      </c>
      <c r="O27" s="295">
        <f t="shared" ca="1" si="10"/>
        <v>0.81354409958045504</v>
      </c>
      <c r="Q27" s="290">
        <f t="shared" ca="1" si="11"/>
        <v>0</v>
      </c>
      <c r="S27" s="252">
        <f>Intro!AA29</f>
        <v>151</v>
      </c>
      <c r="T27" s="268" t="str">
        <f>Intro!AL29</f>
        <v>350K</v>
      </c>
      <c r="U27" s="151">
        <f t="shared" si="0"/>
        <v>9</v>
      </c>
      <c r="V27" s="266">
        <f t="shared" ca="1" si="1"/>
        <v>0.81354409958045504</v>
      </c>
    </row>
    <row r="28" spans="1:32" x14ac:dyDescent="0.2">
      <c r="A28" s="268">
        <f>Intro!C30</f>
        <v>2008</v>
      </c>
      <c r="C28" s="290">
        <f>'e2.1'!AX30</f>
        <v>0</v>
      </c>
      <c r="E28" s="290">
        <f>'e2.1'!AY30</f>
        <v>0</v>
      </c>
      <c r="F28" s="290"/>
      <c r="G28" s="290">
        <f>'e2.1'!AZ30</f>
        <v>0</v>
      </c>
      <c r="I28" s="291">
        <f t="shared" si="4"/>
        <v>0</v>
      </c>
      <c r="K28" s="290">
        <f t="shared" si="5"/>
        <v>0</v>
      </c>
      <c r="M28" s="291">
        <f t="shared" si="6"/>
        <v>0</v>
      </c>
      <c r="O28" s="295">
        <f t="shared" ca="1" si="10"/>
        <v>0.80249889654320794</v>
      </c>
      <c r="Q28" s="290">
        <f t="shared" ca="1" si="11"/>
        <v>0</v>
      </c>
      <c r="S28" s="252">
        <f>Intro!AA30</f>
        <v>139</v>
      </c>
      <c r="T28" s="268" t="str">
        <f>Intro!AL30</f>
        <v>500K</v>
      </c>
      <c r="U28" s="151">
        <f t="shared" si="0"/>
        <v>8</v>
      </c>
      <c r="V28" s="266">
        <f t="shared" ca="1" si="1"/>
        <v>0.80249889654320794</v>
      </c>
    </row>
    <row r="29" spans="1:32" x14ac:dyDescent="0.2">
      <c r="A29" s="268">
        <f>Intro!C31</f>
        <v>2009</v>
      </c>
      <c r="C29" s="290">
        <f>'e2.1'!AX31</f>
        <v>83743.280000000028</v>
      </c>
      <c r="E29" s="290">
        <f>'e2.1'!AY31</f>
        <v>83743.280000000028</v>
      </c>
      <c r="F29" s="290"/>
      <c r="G29" s="290">
        <f>'e2.1'!AZ31</f>
        <v>83743.280000000028</v>
      </c>
      <c r="I29" s="291">
        <f t="shared" si="4"/>
        <v>0</v>
      </c>
      <c r="K29" s="290">
        <f t="shared" si="5"/>
        <v>0</v>
      </c>
      <c r="M29" s="291">
        <f t="shared" si="6"/>
        <v>0</v>
      </c>
      <c r="O29" s="295">
        <f t="shared" ca="1" si="10"/>
        <v>0.79355953314871452</v>
      </c>
      <c r="Q29" s="290">
        <f t="shared" ca="1" si="11"/>
        <v>0</v>
      </c>
      <c r="S29" s="252">
        <f>Intro!AA31</f>
        <v>127</v>
      </c>
      <c r="T29" s="268" t="str">
        <f>Intro!AL31</f>
        <v>500K</v>
      </c>
      <c r="U29" s="151">
        <f t="shared" si="0"/>
        <v>8</v>
      </c>
      <c r="V29" s="266">
        <f t="shared" ca="1" si="1"/>
        <v>0.79355953314871452</v>
      </c>
    </row>
    <row r="30" spans="1:32" x14ac:dyDescent="0.2">
      <c r="A30" s="268">
        <f>Intro!C32</f>
        <v>2010</v>
      </c>
      <c r="C30" s="290">
        <f>'e2.1'!AX32</f>
        <v>0</v>
      </c>
      <c r="E30" s="290">
        <f>'e2.1'!AY32</f>
        <v>0</v>
      </c>
      <c r="F30" s="290"/>
      <c r="G30" s="290">
        <f>'e2.1'!AZ32</f>
        <v>0</v>
      </c>
      <c r="I30" s="291">
        <f t="shared" si="4"/>
        <v>0</v>
      </c>
      <c r="K30" s="290">
        <f t="shared" si="5"/>
        <v>0</v>
      </c>
      <c r="M30" s="291">
        <f t="shared" si="6"/>
        <v>0</v>
      </c>
      <c r="O30" s="295">
        <f t="shared" ca="1" si="10"/>
        <v>0.78640437435981125</v>
      </c>
      <c r="Q30" s="290">
        <f t="shared" ca="1" si="11"/>
        <v>0</v>
      </c>
      <c r="S30" s="252">
        <f>Intro!AA32</f>
        <v>115</v>
      </c>
      <c r="T30" s="268" t="str">
        <f>Intro!AL32</f>
        <v>500K</v>
      </c>
      <c r="U30" s="151">
        <f t="shared" si="0"/>
        <v>8</v>
      </c>
      <c r="V30" s="266">
        <f t="shared" ca="1" si="1"/>
        <v>0.78640437435981125</v>
      </c>
    </row>
    <row r="31" spans="1:32" x14ac:dyDescent="0.2">
      <c r="A31" s="268">
        <f>Intro!C33</f>
        <v>2011</v>
      </c>
      <c r="C31" s="290">
        <f>'e2.1'!AX33</f>
        <v>0</v>
      </c>
      <c r="E31" s="290">
        <f>'e2.1'!AY33</f>
        <v>0</v>
      </c>
      <c r="F31" s="290"/>
      <c r="G31" s="290">
        <f>'e2.1'!AZ33</f>
        <v>0</v>
      </c>
      <c r="I31" s="291">
        <f t="shared" si="4"/>
        <v>0</v>
      </c>
      <c r="K31" s="290">
        <f t="shared" si="5"/>
        <v>0</v>
      </c>
      <c r="M31" s="291">
        <f t="shared" si="6"/>
        <v>0</v>
      </c>
      <c r="O31" s="295">
        <f t="shared" ca="1" si="10"/>
        <v>0.78075056444911584</v>
      </c>
      <c r="Q31" s="290">
        <f t="shared" ca="1" si="11"/>
        <v>0</v>
      </c>
      <c r="S31" s="252">
        <f>Intro!AA33</f>
        <v>103</v>
      </c>
      <c r="T31" s="268" t="str">
        <f>Intro!AL33</f>
        <v>500K</v>
      </c>
      <c r="U31" s="151">
        <f t="shared" si="0"/>
        <v>8</v>
      </c>
      <c r="V31" s="266">
        <f t="shared" ca="1" si="1"/>
        <v>0.78075056444911584</v>
      </c>
    </row>
    <row r="32" spans="1:32" x14ac:dyDescent="0.2">
      <c r="A32" s="268">
        <f>Intro!C34</f>
        <v>2012</v>
      </c>
      <c r="C32" s="290">
        <f>'e2.1'!AX34</f>
        <v>35000</v>
      </c>
      <c r="E32" s="290">
        <f>'e2.1'!AY34</f>
        <v>0</v>
      </c>
      <c r="F32" s="290"/>
      <c r="G32" s="290">
        <f>'e2.1'!AZ34</f>
        <v>0</v>
      </c>
      <c r="I32" s="291">
        <f t="shared" si="4"/>
        <v>0</v>
      </c>
      <c r="K32" s="290">
        <f t="shared" si="5"/>
        <v>35000</v>
      </c>
      <c r="M32" s="291">
        <f t="shared" si="6"/>
        <v>35000</v>
      </c>
      <c r="O32" s="295">
        <f t="shared" ca="1" si="10"/>
        <v>0.77551918872485803</v>
      </c>
      <c r="Q32" s="290">
        <f t="shared" ca="1" si="11"/>
        <v>27143.171605370033</v>
      </c>
      <c r="S32" s="252">
        <f>Intro!AA34</f>
        <v>91</v>
      </c>
      <c r="T32" s="268" t="str">
        <f>Intro!AL34</f>
        <v>500K</v>
      </c>
      <c r="U32" s="151">
        <f t="shared" si="0"/>
        <v>8</v>
      </c>
      <c r="V32" s="266">
        <f t="shared" ca="1" si="1"/>
        <v>0.77551918872485803</v>
      </c>
    </row>
    <row r="33" spans="1:24" x14ac:dyDescent="0.2">
      <c r="A33" s="268">
        <f>Intro!C35</f>
        <v>2013</v>
      </c>
      <c r="C33" s="290">
        <f ca="1">'e2.1'!AX35</f>
        <v>107945.99851457874</v>
      </c>
      <c r="E33" s="290">
        <f>'e2.1'!AY35</f>
        <v>64795.240000000689</v>
      </c>
      <c r="F33" s="290"/>
      <c r="G33" s="290">
        <f>'e2.1'!AZ35</f>
        <v>64795.239999999525</v>
      </c>
      <c r="I33" s="291">
        <f t="shared" si="4"/>
        <v>1.1641532182693481E-9</v>
      </c>
      <c r="K33" s="290">
        <f t="shared" ca="1" si="5"/>
        <v>43150.758514578047</v>
      </c>
      <c r="M33" s="291">
        <f t="shared" ca="1" si="6"/>
        <v>43150.758514579211</v>
      </c>
      <c r="O33" s="295">
        <f t="shared" ca="1" si="10"/>
        <v>0.76859955226000576</v>
      </c>
      <c r="Q33" s="290">
        <f t="shared" ca="1" si="11"/>
        <v>33165.653673985209</v>
      </c>
      <c r="S33" s="252">
        <f>Intro!AA35</f>
        <v>79</v>
      </c>
      <c r="T33" s="268" t="str">
        <f>Intro!AL35</f>
        <v>500K</v>
      </c>
      <c r="U33" s="151">
        <f t="shared" si="0"/>
        <v>8</v>
      </c>
      <c r="V33" s="266">
        <f t="shared" ca="1" si="1"/>
        <v>0.76859955226000576</v>
      </c>
    </row>
    <row r="34" spans="1:24" x14ac:dyDescent="0.2">
      <c r="A34" s="268">
        <f>Intro!C36</f>
        <v>2014</v>
      </c>
      <c r="C34" s="290">
        <f>'e2.1'!AX36</f>
        <v>0</v>
      </c>
      <c r="E34" s="290">
        <f>'e2.1'!AY36</f>
        <v>0</v>
      </c>
      <c r="F34" s="290"/>
      <c r="G34" s="290">
        <f>'e2.1'!AZ36</f>
        <v>0</v>
      </c>
      <c r="I34" s="291">
        <f t="shared" si="4"/>
        <v>0</v>
      </c>
      <c r="K34" s="290">
        <f t="shared" si="5"/>
        <v>0</v>
      </c>
      <c r="M34" s="291">
        <f t="shared" si="6"/>
        <v>0</v>
      </c>
      <c r="O34" s="295">
        <f t="shared" ca="1" si="10"/>
        <v>0.76159945335226575</v>
      </c>
      <c r="Q34" s="290">
        <f t="shared" ca="1" si="11"/>
        <v>0</v>
      </c>
      <c r="S34" s="252">
        <f>Intro!AA36</f>
        <v>67</v>
      </c>
      <c r="T34" s="268" t="str">
        <f>Intro!AL36</f>
        <v>500K</v>
      </c>
      <c r="U34" s="151">
        <f t="shared" si="0"/>
        <v>8</v>
      </c>
      <c r="V34" s="266">
        <f t="shared" ca="1" si="1"/>
        <v>0.76159945335226575</v>
      </c>
    </row>
    <row r="35" spans="1:24" x14ac:dyDescent="0.2">
      <c r="A35" s="268">
        <f>Intro!C37</f>
        <v>2015</v>
      </c>
      <c r="C35" s="290">
        <f ca="1">'e2.1'!AX37</f>
        <v>95278.348827948561</v>
      </c>
      <c r="E35" s="290">
        <f>'e2.1'!AY37</f>
        <v>0</v>
      </c>
      <c r="F35" s="290"/>
      <c r="G35" s="290">
        <f>'e2.1'!AZ37</f>
        <v>0</v>
      </c>
      <c r="I35" s="291">
        <f t="shared" si="4"/>
        <v>0</v>
      </c>
      <c r="K35" s="290">
        <f t="shared" ca="1" si="5"/>
        <v>95278.348827948561</v>
      </c>
      <c r="M35" s="291">
        <f t="shared" ca="1" si="6"/>
        <v>95278.348827948561</v>
      </c>
      <c r="O35" s="295">
        <f t="shared" ca="1" si="10"/>
        <v>0.75642742360120097</v>
      </c>
      <c r="Q35" s="290">
        <f t="shared" ca="1" si="11"/>
        <v>72071.15592890163</v>
      </c>
      <c r="S35" s="252">
        <f>Intro!AA37</f>
        <v>55</v>
      </c>
      <c r="T35" s="268" t="str">
        <f>Intro!AL37</f>
        <v>500K</v>
      </c>
      <c r="U35" s="151">
        <f t="shared" si="0"/>
        <v>8</v>
      </c>
      <c r="V35" s="266">
        <f t="shared" ca="1" si="1"/>
        <v>0.75642742360120097</v>
      </c>
    </row>
    <row r="36" spans="1:24" x14ac:dyDescent="0.2">
      <c r="A36" s="268">
        <f>Intro!C38</f>
        <v>2016</v>
      </c>
      <c r="C36" s="290">
        <f ca="1">'e2.1'!AX38</f>
        <v>101070.53576230325</v>
      </c>
      <c r="E36" s="290">
        <f>'e2.1'!AY38</f>
        <v>0</v>
      </c>
      <c r="F36" s="290"/>
      <c r="G36" s="290">
        <f>'e2.1'!AZ38</f>
        <v>0</v>
      </c>
      <c r="I36" s="291">
        <f t="shared" si="4"/>
        <v>0</v>
      </c>
      <c r="K36" s="290">
        <f t="shared" ca="1" si="5"/>
        <v>101070.53576230325</v>
      </c>
      <c r="M36" s="291">
        <f t="shared" ca="1" si="6"/>
        <v>101070.53576230325</v>
      </c>
      <c r="O36" s="295">
        <f t="shared" ca="1" si="10"/>
        <v>0.7581511549204315</v>
      </c>
      <c r="Q36" s="290">
        <f t="shared" ca="1" si="11"/>
        <v>76626.743416616984</v>
      </c>
      <c r="S36" s="252">
        <f>Intro!AA38</f>
        <v>43</v>
      </c>
      <c r="T36" s="268" t="str">
        <f>Intro!AL38</f>
        <v>750K</v>
      </c>
      <c r="U36" s="151">
        <f t="shared" si="0"/>
        <v>7</v>
      </c>
      <c r="V36" s="266">
        <f t="shared" ca="1" si="1"/>
        <v>0.7581511549204315</v>
      </c>
    </row>
    <row r="37" spans="1:24" x14ac:dyDescent="0.2">
      <c r="A37" s="268">
        <f>Intro!C39</f>
        <v>2017</v>
      </c>
      <c r="C37" s="290">
        <f ca="1">'e2.1'!AX39</f>
        <v>157976.96184336001</v>
      </c>
      <c r="E37" s="290">
        <f>'e2.1'!AY39</f>
        <v>0</v>
      </c>
      <c r="F37" s="290"/>
      <c r="G37" s="290">
        <f>'e2.1'!AZ39</f>
        <v>0</v>
      </c>
      <c r="I37" s="291">
        <f t="shared" si="4"/>
        <v>0</v>
      </c>
      <c r="K37" s="290">
        <f t="shared" ca="1" si="5"/>
        <v>157976.96184336001</v>
      </c>
      <c r="M37" s="291">
        <f t="shared" ca="1" si="6"/>
        <v>157976.96184336001</v>
      </c>
      <c r="O37" s="295">
        <f t="shared" ca="1" si="10"/>
        <v>0.77683688667031414</v>
      </c>
      <c r="Q37" s="290">
        <f t="shared" ca="1" si="11"/>
        <v>122722.33120403081</v>
      </c>
      <c r="S37" s="252">
        <f>Intro!AA39</f>
        <v>31</v>
      </c>
      <c r="T37" s="268" t="str">
        <f>Intro!AL39</f>
        <v>750K</v>
      </c>
      <c r="U37" s="151">
        <f t="shared" si="0"/>
        <v>7</v>
      </c>
      <c r="V37" s="266">
        <f t="shared" ca="1" si="1"/>
        <v>0.77683688667031414</v>
      </c>
    </row>
    <row r="38" spans="1:24" x14ac:dyDescent="0.2">
      <c r="A38" s="268">
        <f>Intro!C40</f>
        <v>2018</v>
      </c>
      <c r="C38" s="290">
        <f ca="1">'e2.1'!AX40</f>
        <v>649880.95355622564</v>
      </c>
      <c r="E38" s="290">
        <f>'e2.1'!AY40</f>
        <v>0</v>
      </c>
      <c r="F38" s="290"/>
      <c r="G38" s="290">
        <f>'e2.1'!AZ40</f>
        <v>0</v>
      </c>
      <c r="I38" s="291">
        <f t="shared" si="4"/>
        <v>0</v>
      </c>
      <c r="K38" s="290">
        <f t="shared" ca="1" si="5"/>
        <v>649880.95355622564</v>
      </c>
      <c r="M38" s="291">
        <f t="shared" ca="1" si="6"/>
        <v>649880.95355622564</v>
      </c>
      <c r="O38" s="295">
        <f t="shared" ref="O38" ca="1" si="12">V38</f>
        <v>0.80035333121518915</v>
      </c>
      <c r="Q38" s="290">
        <f t="shared" ref="Q38" ca="1" si="13">M38*O38</f>
        <v>520134.38607202884</v>
      </c>
      <c r="S38" s="252">
        <f>Intro!AA40</f>
        <v>19</v>
      </c>
      <c r="T38" s="268" t="str">
        <f>Intro!AL40</f>
        <v>500K</v>
      </c>
      <c r="U38" s="151">
        <f t="shared" ref="U38" si="14">MATCH("XS "&amp;T38, disccols, 0)</f>
        <v>8</v>
      </c>
      <c r="V38" s="266">
        <f t="shared" ref="V38" ca="1" si="15">VLOOKUP(S38, discs, U38, FALSE)</f>
        <v>0.80035333121518915</v>
      </c>
    </row>
    <row r="39" spans="1:24" x14ac:dyDescent="0.2">
      <c r="A39" s="268">
        <f>Intro!C41</f>
        <v>2019</v>
      </c>
      <c r="C39" s="292">
        <f ca="1">'e2.1'!AX41</f>
        <v>899578.17834159406</v>
      </c>
      <c r="E39" s="292">
        <f>'e2.1'!AY41</f>
        <v>0</v>
      </c>
      <c r="F39" s="290"/>
      <c r="G39" s="292">
        <f>'e2.1'!AZ41</f>
        <v>0</v>
      </c>
      <c r="I39" s="292">
        <f t="shared" ref="I39" si="16">E39-G39</f>
        <v>0</v>
      </c>
      <c r="K39" s="279">
        <f ca="1">C39-E39-X39</f>
        <v>487185.67563813308</v>
      </c>
      <c r="L39" s="387" t="str">
        <f ca="1">IF(X39&gt;0, "*", "")</f>
        <v>*</v>
      </c>
      <c r="M39" s="292">
        <f t="shared" ref="M39" ca="1" si="17">K39+I39</f>
        <v>487185.67563813308</v>
      </c>
      <c r="N39" s="387" t="str">
        <f ca="1">L39</f>
        <v>*</v>
      </c>
      <c r="O39" s="298">
        <f t="shared" ca="1" si="10"/>
        <v>0.81772032947538753</v>
      </c>
      <c r="Q39" s="292">
        <f t="shared" ca="1" si="11"/>
        <v>398381.63119850348</v>
      </c>
      <c r="R39" s="570" t="str">
        <f ca="1">N39</f>
        <v>*</v>
      </c>
      <c r="S39" s="397">
        <f>Intro!AA41 / 2 + 6</f>
        <v>9.5</v>
      </c>
      <c r="T39" s="268" t="str">
        <f>Intro!AL40</f>
        <v>500K</v>
      </c>
      <c r="U39" s="151">
        <f t="shared" si="0"/>
        <v>8</v>
      </c>
      <c r="V39" s="266">
        <f t="shared" ca="1" si="1"/>
        <v>0.81772032947538753</v>
      </c>
      <c r="X39" s="577">
        <f ca="1">Intro!$AA$43 * 'e4.2'!$Z$38</f>
        <v>412392.50270346098</v>
      </c>
    </row>
    <row r="41" spans="1:24" x14ac:dyDescent="0.2">
      <c r="A41" s="268" t="s">
        <v>78</v>
      </c>
      <c r="C41" s="289">
        <f ca="1">SUM(C16:C39)</f>
        <v>9404941.803563552</v>
      </c>
      <c r="E41" s="289">
        <f>SUM(E16:E39)</f>
        <v>6532250.2300000004</v>
      </c>
      <c r="G41" s="289">
        <f>SUM(G16:G39)</f>
        <v>5000878.7000000011</v>
      </c>
      <c r="I41" s="289">
        <f>SUM(I16:I39)</f>
        <v>1531371.5300000005</v>
      </c>
      <c r="K41" s="289">
        <f ca="1">SUM(K16:K39)</f>
        <v>2460299.0708600893</v>
      </c>
      <c r="M41" s="289">
        <f ca="1">SUM(M16:M39)</f>
        <v>3991670.60086009</v>
      </c>
      <c r="O41" s="295">
        <f ca="1">Q41/M41</f>
        <v>0.85272769040540253</v>
      </c>
      <c r="Q41" s="289">
        <f ca="1">SUM(Q16:Q39)</f>
        <v>3403808.0523305698</v>
      </c>
    </row>
    <row r="43" spans="1:24" x14ac:dyDescent="0.2">
      <c r="A43" s="268">
        <f>A39+1</f>
        <v>2020</v>
      </c>
      <c r="C43" s="289">
        <f ca="1">'e2.1'!AX45</f>
        <v>1054584.3804619629</v>
      </c>
      <c r="M43" s="289">
        <f ca="1">C43</f>
        <v>1054584.3804619629</v>
      </c>
      <c r="O43" s="324">
        <f ca="1">'e1.4'!$F$27</f>
        <v>0.82812858715203708</v>
      </c>
      <c r="Q43" s="290">
        <f ca="1">M43*O43</f>
        <v>873331.47302457166</v>
      </c>
    </row>
    <row r="46" spans="1:24" x14ac:dyDescent="0.2">
      <c r="A46" s="222" t="s">
        <v>83</v>
      </c>
    </row>
    <row r="47" spans="1:24" x14ac:dyDescent="0.2">
      <c r="A47" s="294" t="s">
        <v>831</v>
      </c>
    </row>
    <row r="48" spans="1:24" x14ac:dyDescent="0.2">
      <c r="A48" s="294" t="s">
        <v>832</v>
      </c>
    </row>
    <row r="49" spans="1:1" x14ac:dyDescent="0.2">
      <c r="A49" s="408" t="s">
        <v>572</v>
      </c>
    </row>
    <row r="50" spans="1:1" x14ac:dyDescent="0.2">
      <c r="A50" s="408" t="s">
        <v>573</v>
      </c>
    </row>
    <row r="51" spans="1:1" x14ac:dyDescent="0.2">
      <c r="A51" s="408" t="s">
        <v>574</v>
      </c>
    </row>
    <row r="52" spans="1:1" x14ac:dyDescent="0.2">
      <c r="A52" s="222" t="s">
        <v>544</v>
      </c>
    </row>
    <row r="53" spans="1:1" x14ac:dyDescent="0.2">
      <c r="A53" s="408" t="s">
        <v>569</v>
      </c>
    </row>
    <row r="54" spans="1:1" x14ac:dyDescent="0.2">
      <c r="A54" s="222" t="str">
        <f>'e1.3A'!A54</f>
        <v>* Policy period 2018/19 is adjusted for partial exposure as of April 30, 2019.</v>
      </c>
    </row>
  </sheetData>
  <printOptions horizontalCentered="1"/>
  <pageMargins left="0.7" right="0.7" top="0.75" bottom="0.75" header="0.3" footer="0.3"/>
  <pageSetup scale="74" orientation="landscape" blackAndWhite="1" r:id="rId1"/>
  <headerFooter>
    <oddHeader xml:space="preserve">&amp;L&amp;"Arial"&amp;10    
  &amp;R&amp;"Arial"&amp;10  Exhibit 1
Sheet 3B
</oddHeader>
    <oddFooter xml:space="preserve">&amp;L&amp;"Arial"&amp;10 Oliver Wyman Actuarial Consulting, Inc.
&amp;C&amp;"Arial"&amp;10 &amp;R&amp;"Arial"&amp;10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FF00"/>
    <pageSetUpPr fitToPage="1"/>
  </sheetPr>
  <dimension ref="A1:M50"/>
  <sheetViews>
    <sheetView zoomScale="85" zoomScaleNormal="85" workbookViewId="0"/>
  </sheetViews>
  <sheetFormatPr defaultColWidth="9" defaultRowHeight="12.75" x14ac:dyDescent="0.2"/>
  <cols>
    <col min="1" max="3" width="9" style="222" customWidth="1"/>
    <col min="4" max="4" width="10.75" style="222" bestFit="1" customWidth="1"/>
    <col min="5" max="5" width="5.625" style="222" customWidth="1"/>
    <col min="6" max="6" width="10.5" style="222" bestFit="1" customWidth="1"/>
    <col min="7" max="7" width="5.625" style="222" customWidth="1"/>
    <col min="8" max="8" width="10.75" style="222" bestFit="1" customWidth="1"/>
    <col min="9" max="16384" width="9" style="222"/>
  </cols>
  <sheetData>
    <row r="1" spans="1:13" x14ac:dyDescent="0.2">
      <c r="A1" s="1" t="str">
        <f>[1]!getlabels()</f>
        <v>Exhibit 1, Sheet 4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</row>
    <row r="6" spans="1:13" x14ac:dyDescent="0.2">
      <c r="G6" s="224"/>
      <c r="H6" s="224"/>
    </row>
    <row r="7" spans="1:13" x14ac:dyDescent="0.2">
      <c r="A7" s="224" t="str">
        <f>"Projected Ultimate Loss &amp; ALAE - Policy Year "&amp;proj_py</f>
        <v>Projected Ultimate Loss &amp; ALAE - Policy Year 2019/20</v>
      </c>
      <c r="B7" s="224"/>
      <c r="C7" s="224"/>
      <c r="D7" s="224"/>
      <c r="E7" s="224"/>
      <c r="F7" s="224"/>
      <c r="G7" s="224"/>
      <c r="H7" s="224"/>
    </row>
    <row r="10" spans="1:13" x14ac:dyDescent="0.2">
      <c r="D10" s="370"/>
      <c r="F10" s="342" t="s">
        <v>532</v>
      </c>
    </row>
    <row r="11" spans="1:13" x14ac:dyDescent="0.2">
      <c r="D11" s="370" t="s">
        <v>523</v>
      </c>
      <c r="F11" s="370" t="s">
        <v>533</v>
      </c>
      <c r="H11" s="370" t="s">
        <v>534</v>
      </c>
      <c r="K11" s="370" t="s">
        <v>538</v>
      </c>
      <c r="L11" s="267" t="str">
        <f>cpy_l</f>
        <v>2018/19</v>
      </c>
    </row>
    <row r="12" spans="1:13" x14ac:dyDescent="0.2">
      <c r="D12" s="343" t="s">
        <v>8</v>
      </c>
      <c r="F12" s="251" t="s">
        <v>530</v>
      </c>
      <c r="H12" s="343" t="s">
        <v>8</v>
      </c>
      <c r="K12" s="343" t="s">
        <v>338</v>
      </c>
      <c r="L12" s="343" t="s">
        <v>18</v>
      </c>
      <c r="M12" s="343" t="s">
        <v>56</v>
      </c>
    </row>
    <row r="13" spans="1:13" x14ac:dyDescent="0.2">
      <c r="D13" s="288">
        <v>1</v>
      </c>
      <c r="F13" s="288">
        <f>D13+1</f>
        <v>2</v>
      </c>
      <c r="H13" s="288">
        <f>F13+1</f>
        <v>3</v>
      </c>
    </row>
    <row r="15" spans="1:13" x14ac:dyDescent="0.2">
      <c r="A15" s="390" t="s">
        <v>537</v>
      </c>
    </row>
    <row r="17" spans="1:13" x14ac:dyDescent="0.2">
      <c r="A17" s="391" t="s">
        <v>524</v>
      </c>
      <c r="D17" s="389">
        <f ca="1">'e4.2'!$Q$42</f>
        <v>9253845.2613235246</v>
      </c>
      <c r="F17" s="324">
        <f ca="1">'e9.3'!$M$19 * (1+disc_rate) ^ 0.5</f>
        <v>0.9165664653924932</v>
      </c>
      <c r="H17" s="289">
        <f t="shared" ref="H17:H22" ca="1" si="0">D17*F17</f>
        <v>8481764.2424603757</v>
      </c>
    </row>
    <row r="18" spans="1:13" hidden="1" x14ac:dyDescent="0.2">
      <c r="A18" s="391" t="s">
        <v>525</v>
      </c>
      <c r="D18" s="290">
        <f ca="1">$D$17 * K18</f>
        <v>9173030.027990235</v>
      </c>
      <c r="F18" s="295">
        <f ca="1">F17</f>
        <v>0.9165664653924932</v>
      </c>
      <c r="H18" s="290">
        <f t="shared" ca="1" si="0"/>
        <v>8407691.7096942123</v>
      </c>
      <c r="J18" s="393">
        <v>0.5</v>
      </c>
      <c r="K18" s="394">
        <f>L18</f>
        <v>0.99126684842342705</v>
      </c>
      <c r="L18" s="332">
        <v>0.99126684842342705</v>
      </c>
      <c r="M18" s="388">
        <f>K18/L18-1</f>
        <v>0</v>
      </c>
    </row>
    <row r="19" spans="1:13" hidden="1" x14ac:dyDescent="0.2">
      <c r="A19" s="391" t="s">
        <v>526</v>
      </c>
      <c r="D19" s="290">
        <f ca="1">$D$17 * K19</f>
        <v>9547315.6070361994</v>
      </c>
      <c r="F19" s="295">
        <f ca="1">F18</f>
        <v>0.9165664653924932</v>
      </c>
      <c r="H19" s="290">
        <f t="shared" ca="1" si="0"/>
        <v>8750749.3199277557</v>
      </c>
      <c r="J19" s="393">
        <v>0.6</v>
      </c>
      <c r="K19" s="394">
        <f t="shared" ref="K19:K22" si="1">L19</f>
        <v>1.0317133405006496</v>
      </c>
      <c r="L19" s="332">
        <v>1.0317133405006496</v>
      </c>
      <c r="M19" s="388">
        <f>K19/L19-1</f>
        <v>0</v>
      </c>
    </row>
    <row r="20" spans="1:13" hidden="1" x14ac:dyDescent="0.2">
      <c r="A20" s="391" t="s">
        <v>527</v>
      </c>
      <c r="D20" s="290">
        <f ca="1">$D$17 * K20</f>
        <v>9979459.1290163826</v>
      </c>
      <c r="F20" s="295">
        <f ca="1">F19</f>
        <v>0.9165664653924932</v>
      </c>
      <c r="H20" s="290">
        <f t="shared" ca="1" si="0"/>
        <v>9146837.5804113951</v>
      </c>
      <c r="J20" s="393">
        <v>0.7</v>
      </c>
      <c r="K20" s="394">
        <f t="shared" si="1"/>
        <v>1.0784121462161858</v>
      </c>
      <c r="L20" s="332">
        <v>1.0784121462161858</v>
      </c>
      <c r="M20" s="388">
        <f>K20/L20-1</f>
        <v>0</v>
      </c>
    </row>
    <row r="21" spans="1:13" hidden="1" x14ac:dyDescent="0.2">
      <c r="A21" s="391" t="s">
        <v>528</v>
      </c>
      <c r="D21" s="290">
        <f ca="1">$D$17 * K21</f>
        <v>10517793.461016566</v>
      </c>
      <c r="F21" s="295">
        <f ca="1">F20</f>
        <v>0.9165664653924932</v>
      </c>
      <c r="H21" s="290">
        <f t="shared" ca="1" si="0"/>
        <v>9640256.7762922309</v>
      </c>
      <c r="J21" s="393">
        <v>0.8</v>
      </c>
      <c r="K21" s="394">
        <f t="shared" si="1"/>
        <v>1.136586269167015</v>
      </c>
      <c r="L21" s="332">
        <v>1.136586269167015</v>
      </c>
      <c r="M21" s="388">
        <f>K21/L21-1</f>
        <v>0</v>
      </c>
    </row>
    <row r="22" spans="1:13" hidden="1" x14ac:dyDescent="0.2">
      <c r="A22" s="391" t="s">
        <v>529</v>
      </c>
      <c r="D22" s="290">
        <f ca="1">$D$17 * K22</f>
        <v>11255898.433558222</v>
      </c>
      <c r="F22" s="295">
        <f ca="1">F21</f>
        <v>0.9165664653924932</v>
      </c>
      <c r="H22" s="290">
        <f t="shared" ca="1" si="0"/>
        <v>10316779.042063361</v>
      </c>
      <c r="J22" s="393">
        <v>0.9</v>
      </c>
      <c r="K22" s="394">
        <f t="shared" si="1"/>
        <v>1.2163482439675413</v>
      </c>
      <c r="L22" s="332">
        <v>1.2163482439675413</v>
      </c>
      <c r="M22" s="388">
        <f>K22/L22-1</f>
        <v>0</v>
      </c>
    </row>
    <row r="25" spans="1:13" x14ac:dyDescent="0.2">
      <c r="A25" s="392" t="s">
        <v>535</v>
      </c>
    </row>
    <row r="27" spans="1:13" x14ac:dyDescent="0.2">
      <c r="A27" s="391" t="s">
        <v>524</v>
      </c>
      <c r="D27" s="389">
        <f ca="1">'e4.2'!S42-'e4.2'!Q42</f>
        <v>1054584.3804619629</v>
      </c>
      <c r="F27" s="324">
        <f ca="1">'e9.8'!$M$19 * (1+disc_rate) ^ 0.5</f>
        <v>0.82812858715203708</v>
      </c>
      <c r="H27" s="289">
        <f ca="1">D27*F27</f>
        <v>873331.47302457166</v>
      </c>
    </row>
    <row r="30" spans="1:13" x14ac:dyDescent="0.2">
      <c r="A30" s="392" t="s">
        <v>536</v>
      </c>
    </row>
    <row r="32" spans="1:13" x14ac:dyDescent="0.2">
      <c r="A32" s="391" t="s">
        <v>524</v>
      </c>
      <c r="D32" s="289">
        <f ca="1">D17+D27</f>
        <v>10308429.641785488</v>
      </c>
      <c r="F32" s="324">
        <f ca="1">H32/D32</f>
        <v>0.90751899567358185</v>
      </c>
      <c r="H32" s="289">
        <f ca="1">H17+H27</f>
        <v>9355095.715484947</v>
      </c>
    </row>
    <row r="33" spans="1:13" hidden="1" x14ac:dyDescent="0.2">
      <c r="A33" s="391" t="s">
        <v>525</v>
      </c>
      <c r="D33" s="290">
        <f ca="1">$D$32 * K33</f>
        <v>9958900.1644965727</v>
      </c>
      <c r="F33" s="295">
        <f ca="1">F32</f>
        <v>0.90751899567358185</v>
      </c>
      <c r="H33" s="290">
        <f t="shared" ref="H33:H37" ca="1" si="2">D33*F33</f>
        <v>9037891.0752973985</v>
      </c>
      <c r="J33" s="393">
        <v>0.5</v>
      </c>
      <c r="K33" s="394">
        <f>L33</f>
        <v>0.96609284930537942</v>
      </c>
      <c r="L33" s="332">
        <v>0.96609284930537942</v>
      </c>
      <c r="M33" s="388">
        <f>K33/L33-1</f>
        <v>0</v>
      </c>
    </row>
    <row r="34" spans="1:13" hidden="1" x14ac:dyDescent="0.2">
      <c r="A34" s="391" t="s">
        <v>526</v>
      </c>
      <c r="D34" s="290">
        <f ca="1">$D$32 * K34</f>
        <v>10543250.506038032</v>
      </c>
      <c r="F34" s="295">
        <f ca="1">F33</f>
        <v>0.90751899567358185</v>
      </c>
      <c r="H34" s="290">
        <f t="shared" ca="1" si="2"/>
        <v>9568200.1103746183</v>
      </c>
      <c r="J34" s="393">
        <v>0.6</v>
      </c>
      <c r="K34" s="394">
        <f t="shared" ref="K34:K37" si="3">L34</f>
        <v>1.0227794991489967</v>
      </c>
      <c r="L34" s="332">
        <v>1.0227794991489967</v>
      </c>
      <c r="M34" s="388">
        <f>K34/L34-1</f>
        <v>0</v>
      </c>
    </row>
    <row r="35" spans="1:13" hidden="1" x14ac:dyDescent="0.2">
      <c r="A35" s="391" t="s">
        <v>527</v>
      </c>
      <c r="D35" s="290">
        <f ca="1">$D$32 * K35</f>
        <v>11207014.148911631</v>
      </c>
      <c r="F35" s="295">
        <f ca="1">F34</f>
        <v>0.90751899567358185</v>
      </c>
      <c r="H35" s="290">
        <f t="shared" ca="1" si="2"/>
        <v>10170578.224919904</v>
      </c>
      <c r="J35" s="393">
        <v>0.7</v>
      </c>
      <c r="K35" s="394">
        <f t="shared" si="3"/>
        <v>1.0871698734289952</v>
      </c>
      <c r="L35" s="332">
        <v>1.0871698734289952</v>
      </c>
      <c r="M35" s="388">
        <f>K35/L35-1</f>
        <v>0</v>
      </c>
    </row>
    <row r="36" spans="1:13" hidden="1" x14ac:dyDescent="0.2">
      <c r="A36" s="391" t="s">
        <v>528</v>
      </c>
      <c r="D36" s="290">
        <f ca="1">$D$32 * K36</f>
        <v>12106248.319689421</v>
      </c>
      <c r="F36" s="295">
        <f ca="1">F35</f>
        <v>0.90751899567358185</v>
      </c>
      <c r="H36" s="290">
        <f t="shared" ca="1" si="2"/>
        <v>10986650.316459531</v>
      </c>
      <c r="J36" s="393">
        <v>0.8</v>
      </c>
      <c r="K36" s="394">
        <f t="shared" si="3"/>
        <v>1.1744027694205166</v>
      </c>
      <c r="L36" s="332">
        <v>1.1744027694205166</v>
      </c>
      <c r="M36" s="388">
        <f>K36/L36-1</f>
        <v>0</v>
      </c>
    </row>
    <row r="37" spans="1:13" hidden="1" x14ac:dyDescent="0.2">
      <c r="A37" s="391" t="s">
        <v>529</v>
      </c>
      <c r="D37" s="290">
        <f ca="1">$D$32 * K37</f>
        <v>13473864.938810566</v>
      </c>
      <c r="F37" s="295">
        <f ca="1">F36</f>
        <v>0.90751899567358185</v>
      </c>
      <c r="H37" s="290">
        <f t="shared" ca="1" si="2"/>
        <v>12227788.377110852</v>
      </c>
      <c r="J37" s="393">
        <v>0.9</v>
      </c>
      <c r="K37" s="394">
        <f t="shared" si="3"/>
        <v>1.307072503477533</v>
      </c>
      <c r="L37" s="332">
        <v>1.307072503477533</v>
      </c>
      <c r="M37" s="388">
        <f>K37/L37-1</f>
        <v>0</v>
      </c>
    </row>
    <row r="40" spans="1:13" x14ac:dyDescent="0.2">
      <c r="A40" s="327" t="s">
        <v>83</v>
      </c>
    </row>
    <row r="41" spans="1:13" x14ac:dyDescent="0.2">
      <c r="A41" s="327" t="str">
        <f>"* The retention limit for policy period "&amp;proj_py&amp;" is assumed to be $500,000."</f>
        <v>* The retention limit for policy period 2019/20 is assumed to be $500,000.</v>
      </c>
    </row>
    <row r="42" spans="1:13" x14ac:dyDescent="0.2">
      <c r="A42" s="327" t="s">
        <v>575</v>
      </c>
    </row>
    <row r="43" spans="1:13" x14ac:dyDescent="0.2">
      <c r="A43" s="327" t="s">
        <v>576</v>
      </c>
    </row>
    <row r="44" spans="1:13" x14ac:dyDescent="0.2">
      <c r="A44" s="327" t="s">
        <v>539</v>
      </c>
    </row>
    <row r="45" spans="1:13" x14ac:dyDescent="0.2">
      <c r="A45" s="327" t="s">
        <v>577</v>
      </c>
    </row>
    <row r="46" spans="1:13" hidden="1" x14ac:dyDescent="0.2">
      <c r="A46" s="327" t="s">
        <v>540</v>
      </c>
    </row>
    <row r="50" spans="4:8" x14ac:dyDescent="0.2">
      <c r="D50" s="289">
        <f ca="1">D32-(D27+D17)</f>
        <v>0</v>
      </c>
      <c r="H50" s="712">
        <f ca="1">H32-(H27+H17)</f>
        <v>0</v>
      </c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1
Sheet 4
</oddHeader>
    <oddFooter xml:space="preserve">&amp;L&amp;"Arial"&amp;10 Oliver Wyman Actuarial Consulting, Inc.
&amp;C&amp;"Arial"&amp;10 &amp;R&amp;"Arial"&amp;10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tabColor rgb="FF0070C0"/>
    <pageSetUpPr fitToPage="1"/>
  </sheetPr>
  <dimension ref="A1:BF53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1.625" style="222" customWidth="1"/>
    <col min="4" max="4" width="2.625" style="222" customWidth="1"/>
    <col min="5" max="5" width="11.625" style="222" customWidth="1"/>
    <col min="6" max="6" width="2.625" style="222" customWidth="1"/>
    <col min="7" max="7" width="11.625" style="222" customWidth="1"/>
    <col min="8" max="8" width="2.625" style="222" customWidth="1"/>
    <col min="9" max="9" width="11.6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11.625" style="222" customWidth="1"/>
    <col min="14" max="14" width="2.625" style="222" customWidth="1"/>
    <col min="15" max="15" width="11.625" style="222" customWidth="1"/>
    <col min="16" max="16" width="2.625" style="222" customWidth="1"/>
    <col min="17" max="17" width="10.625" style="222" bestFit="1" customWidth="1"/>
    <col min="18" max="18" width="2.625" style="222" customWidth="1"/>
    <col min="19" max="19" width="10.625" style="222" bestFit="1" customWidth="1"/>
    <col min="20" max="20" width="2.625" style="222" customWidth="1"/>
    <col min="21" max="21" width="11.625" style="222" customWidth="1"/>
    <col min="22" max="22" width="2.625" style="222" customWidth="1"/>
    <col min="23" max="23" width="10.75" style="222" bestFit="1" customWidth="1"/>
    <col min="24" max="24" width="2.625" style="222" customWidth="1"/>
    <col min="25" max="27" width="9" style="222"/>
    <col min="28" max="28" width="9.5" style="222" bestFit="1" customWidth="1"/>
    <col min="29" max="29" width="9.5" style="275" customWidth="1"/>
    <col min="30" max="34" width="9" style="222"/>
    <col min="35" max="35" width="2.625" style="222" customWidth="1"/>
    <col min="36" max="36" width="9.5" style="222" bestFit="1" customWidth="1"/>
    <col min="37" max="37" width="9" style="222"/>
    <col min="38" max="38" width="2.625" style="222" customWidth="1"/>
    <col min="39" max="39" width="5.5" style="222" bestFit="1" customWidth="1"/>
    <col min="40" max="40" width="9.875" style="222" bestFit="1" customWidth="1"/>
    <col min="41" max="41" width="2.625" style="222" customWidth="1"/>
    <col min="42" max="42" width="9.5" style="222" bestFit="1" customWidth="1"/>
    <col min="43" max="44" width="9" style="222"/>
    <col min="45" max="45" width="2.625" style="222" customWidth="1"/>
    <col min="46" max="46" width="9.75" style="222" bestFit="1" customWidth="1"/>
    <col min="47" max="47" width="9.5" style="222" bestFit="1" customWidth="1"/>
    <col min="48" max="48" width="9.875" style="222" bestFit="1" customWidth="1"/>
    <col min="49" max="49" width="2.625" style="222" customWidth="1"/>
    <col min="50" max="50" width="10.5" style="222" bestFit="1" customWidth="1"/>
    <col min="51" max="52" width="9.125" style="222" bestFit="1" customWidth="1"/>
    <col min="53" max="53" width="9" style="222"/>
    <col min="54" max="54" width="10.75" style="222" bestFit="1" customWidth="1"/>
    <col min="55" max="16384" width="9" style="222"/>
  </cols>
  <sheetData>
    <row r="1" spans="1:58" x14ac:dyDescent="0.2">
      <c r="A1" s="1" t="str">
        <f>[1]!getlabels()</f>
        <v>Exhibit 2, Sheet 1</v>
      </c>
    </row>
    <row r="2" spans="1:58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</row>
    <row r="3" spans="1:58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</row>
    <row r="4" spans="1:58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</row>
    <row r="5" spans="1:58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</row>
    <row r="6" spans="1:58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</row>
    <row r="7" spans="1:58" x14ac:dyDescent="0.2">
      <c r="A7" s="224" t="str">
        <f>VLOOKUP(A1, index_lkups, 3, FALSE)</f>
        <v>Estimate of Ultimate Losses - Loss &amp; ALAE Limited to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</row>
    <row r="10" spans="1:58" x14ac:dyDescent="0.2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227"/>
      <c r="R10" s="227"/>
      <c r="S10" s="348" t="s">
        <v>362</v>
      </c>
      <c r="T10" s="148"/>
      <c r="U10" s="148"/>
      <c r="V10" s="148"/>
      <c r="W10" s="148"/>
      <c r="X10" s="148"/>
      <c r="Y10" s="148"/>
      <c r="Z10" s="227"/>
      <c r="AA10" s="227"/>
      <c r="AB10" s="227"/>
      <c r="AC10" s="415"/>
      <c r="AD10" s="227"/>
      <c r="AE10" s="227"/>
      <c r="AF10" s="227"/>
      <c r="AG10" s="227"/>
      <c r="AH10" s="227"/>
      <c r="AI10" s="227"/>
      <c r="AJ10" s="227"/>
      <c r="AK10" s="227"/>
      <c r="AL10" s="148"/>
      <c r="AM10" s="148"/>
    </row>
    <row r="11" spans="1:58" x14ac:dyDescent="0.2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227"/>
      <c r="R11" s="227"/>
      <c r="S11" s="348" t="s">
        <v>509</v>
      </c>
      <c r="T11" s="148"/>
      <c r="U11" s="148"/>
      <c r="V11" s="148"/>
      <c r="W11" s="148"/>
      <c r="X11" s="148"/>
      <c r="Y11" s="148"/>
      <c r="Z11" s="227"/>
      <c r="AA11" s="227"/>
      <c r="AB11" s="227"/>
      <c r="AC11" s="415"/>
      <c r="AD11" s="227"/>
      <c r="AE11" s="227"/>
      <c r="AF11" s="227"/>
      <c r="AG11" s="227"/>
      <c r="AH11" s="227"/>
      <c r="AI11" s="227"/>
      <c r="AJ11" s="227"/>
      <c r="AK11" s="227"/>
      <c r="AL11" s="148"/>
      <c r="AM11" s="148"/>
      <c r="BD11" s="497" t="s">
        <v>702</v>
      </c>
      <c r="BE11" s="301"/>
      <c r="BF11" s="301"/>
    </row>
    <row r="12" spans="1:58" x14ac:dyDescent="0.2">
      <c r="A12" s="151"/>
      <c r="B12" s="148"/>
      <c r="C12" s="151" t="s">
        <v>71</v>
      </c>
      <c r="D12" s="148"/>
      <c r="E12" s="151" t="s">
        <v>75</v>
      </c>
      <c r="F12" s="148"/>
      <c r="G12" s="151" t="s">
        <v>71</v>
      </c>
      <c r="H12" s="148"/>
      <c r="I12" s="151" t="s">
        <v>75</v>
      </c>
      <c r="J12" s="148"/>
      <c r="K12" s="151"/>
      <c r="L12" s="148"/>
      <c r="M12" s="151" t="s">
        <v>71</v>
      </c>
      <c r="N12" s="148"/>
      <c r="O12" s="151" t="s">
        <v>75</v>
      </c>
      <c r="P12" s="148"/>
      <c r="Q12" s="348" t="s">
        <v>362</v>
      </c>
      <c r="R12" s="348"/>
      <c r="S12" s="348" t="s">
        <v>498</v>
      </c>
      <c r="T12" s="148"/>
      <c r="U12" s="151"/>
      <c r="V12" s="148"/>
      <c r="W12" s="151"/>
      <c r="X12" s="148"/>
      <c r="Y12" s="148"/>
      <c r="Z12" s="227"/>
      <c r="AA12" s="227"/>
      <c r="AB12" s="227"/>
      <c r="AC12" s="415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BD12" s="493" t="s">
        <v>556</v>
      </c>
    </row>
    <row r="13" spans="1:58" x14ac:dyDescent="0.2">
      <c r="A13" s="151" t="str">
        <f>Intro!M9</f>
        <v>Policy</v>
      </c>
      <c r="B13" s="148"/>
      <c r="C13" s="151" t="s">
        <v>8</v>
      </c>
      <c r="D13" s="148"/>
      <c r="E13" s="151" t="s">
        <v>8</v>
      </c>
      <c r="F13" s="148"/>
      <c r="G13" s="151" t="s">
        <v>333</v>
      </c>
      <c r="H13" s="148"/>
      <c r="I13" s="151" t="s">
        <v>333</v>
      </c>
      <c r="J13" s="148"/>
      <c r="K13" s="151" t="s">
        <v>74</v>
      </c>
      <c r="L13" s="148"/>
      <c r="M13" s="151" t="s">
        <v>8</v>
      </c>
      <c r="N13" s="148"/>
      <c r="O13" s="151" t="s">
        <v>8</v>
      </c>
      <c r="P13" s="148"/>
      <c r="Q13" s="348" t="s">
        <v>509</v>
      </c>
      <c r="R13" s="348"/>
      <c r="S13" s="348" t="s">
        <v>377</v>
      </c>
      <c r="T13" s="148"/>
      <c r="U13" s="151" t="s">
        <v>105</v>
      </c>
      <c r="V13" s="148"/>
      <c r="W13" s="151" t="s">
        <v>362</v>
      </c>
      <c r="X13" s="148"/>
      <c r="Y13" s="148"/>
      <c r="Z13" s="227"/>
      <c r="AA13" s="227"/>
      <c r="AB13" s="227"/>
      <c r="AC13" s="415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P13" s="546"/>
      <c r="AQ13" s="546"/>
      <c r="AR13" s="546"/>
      <c r="AS13" s="546"/>
      <c r="AT13" s="546"/>
      <c r="AU13" s="546"/>
      <c r="AV13" s="546"/>
      <c r="AW13" s="546"/>
      <c r="AX13" s="546"/>
      <c r="AY13" s="546"/>
      <c r="AZ13" s="546"/>
      <c r="BA13" s="546"/>
      <c r="BB13" s="554" t="s">
        <v>606</v>
      </c>
      <c r="BD13" s="493" t="s">
        <v>557</v>
      </c>
      <c r="BE13" s="496" t="s">
        <v>37</v>
      </c>
    </row>
    <row r="14" spans="1:58" x14ac:dyDescent="0.2">
      <c r="A14" s="151" t="str">
        <f>Intro!M10</f>
        <v>Period</v>
      </c>
      <c r="B14" s="148"/>
      <c r="C14" s="151" t="s">
        <v>499</v>
      </c>
      <c r="D14" s="148"/>
      <c r="E14" s="151" t="s">
        <v>499</v>
      </c>
      <c r="F14" s="148"/>
      <c r="G14" s="151" t="s">
        <v>337</v>
      </c>
      <c r="H14" s="148"/>
      <c r="I14" s="151" t="s">
        <v>337</v>
      </c>
      <c r="J14" s="148"/>
      <c r="K14" s="151" t="s">
        <v>499</v>
      </c>
      <c r="L14" s="148"/>
      <c r="M14" s="151" t="s">
        <v>334</v>
      </c>
      <c r="N14" s="148"/>
      <c r="O14" s="151" t="s">
        <v>334</v>
      </c>
      <c r="P14" s="148"/>
      <c r="Q14" s="348" t="s">
        <v>498</v>
      </c>
      <c r="R14" s="348"/>
      <c r="S14" s="348" t="s">
        <v>500</v>
      </c>
      <c r="T14" s="148"/>
      <c r="U14" s="151" t="s">
        <v>245</v>
      </c>
      <c r="V14" s="148"/>
      <c r="W14" s="151" t="s">
        <v>8</v>
      </c>
      <c r="X14" s="148"/>
      <c r="Y14" s="181" t="s">
        <v>78</v>
      </c>
      <c r="Z14" s="376" t="s">
        <v>501</v>
      </c>
      <c r="AA14" s="372"/>
      <c r="AB14" s="372"/>
      <c r="AC14" s="415"/>
      <c r="AD14" s="375" t="s">
        <v>411</v>
      </c>
      <c r="AE14" s="375" t="s">
        <v>510</v>
      </c>
      <c r="AF14" s="229" t="s">
        <v>502</v>
      </c>
      <c r="AG14" s="376" t="s">
        <v>503</v>
      </c>
      <c r="AH14" s="376"/>
      <c r="AK14" s="227"/>
      <c r="AL14" s="227"/>
      <c r="AM14" s="227"/>
      <c r="AP14" s="555" t="s">
        <v>554</v>
      </c>
      <c r="AQ14" s="556"/>
      <c r="AR14" s="556"/>
      <c r="AS14" s="546"/>
      <c r="AT14" s="555" t="s">
        <v>545</v>
      </c>
      <c r="AU14" s="556"/>
      <c r="AV14" s="556"/>
      <c r="AW14" s="546"/>
      <c r="AX14" s="555" t="s">
        <v>555</v>
      </c>
      <c r="AY14" s="556"/>
      <c r="AZ14" s="556"/>
      <c r="BA14" s="546"/>
      <c r="BB14" s="557" t="s">
        <v>76</v>
      </c>
      <c r="BD14" s="496" t="s">
        <v>701</v>
      </c>
      <c r="BE14" s="496" t="s">
        <v>557</v>
      </c>
    </row>
    <row r="15" spans="1:58" x14ac:dyDescent="0.2">
      <c r="A15" s="176" t="str">
        <f>Intro!M11</f>
        <v>Ending 9/30</v>
      </c>
      <c r="B15" s="148"/>
      <c r="C15" s="179" t="s">
        <v>339</v>
      </c>
      <c r="D15" s="148"/>
      <c r="E15" s="179" t="s">
        <v>339</v>
      </c>
      <c r="F15" s="148"/>
      <c r="G15" s="179" t="s">
        <v>339</v>
      </c>
      <c r="H15" s="148"/>
      <c r="I15" s="179" t="s">
        <v>339</v>
      </c>
      <c r="J15" s="148"/>
      <c r="K15" s="179" t="s">
        <v>339</v>
      </c>
      <c r="L15" s="148"/>
      <c r="M15" s="179" t="str">
        <f>ctxt</f>
        <v>4/30/19</v>
      </c>
      <c r="N15" s="148"/>
      <c r="O15" s="179" t="str">
        <f>M15</f>
        <v>4/30/19</v>
      </c>
      <c r="P15" s="148"/>
      <c r="Q15" s="244" t="s">
        <v>377</v>
      </c>
      <c r="R15" s="229"/>
      <c r="S15" s="244" t="s">
        <v>15</v>
      </c>
      <c r="T15" s="148"/>
      <c r="U15" s="176" t="s">
        <v>8</v>
      </c>
      <c r="V15" s="148"/>
      <c r="W15" s="176" t="s">
        <v>349</v>
      </c>
      <c r="X15" s="148"/>
      <c r="Y15" s="176" t="s">
        <v>412</v>
      </c>
      <c r="Z15" s="377" t="s">
        <v>16</v>
      </c>
      <c r="AA15" s="244" t="s">
        <v>74</v>
      </c>
      <c r="AB15" s="244" t="s">
        <v>191</v>
      </c>
      <c r="AC15" s="244" t="s">
        <v>475</v>
      </c>
      <c r="AD15" s="377" t="s">
        <v>412</v>
      </c>
      <c r="AE15" s="244" t="s">
        <v>74</v>
      </c>
      <c r="AF15" s="377" t="s">
        <v>504</v>
      </c>
      <c r="AG15" s="244" t="s">
        <v>505</v>
      </c>
      <c r="AH15" s="244" t="s">
        <v>475</v>
      </c>
      <c r="AJ15" s="244" t="s">
        <v>506</v>
      </c>
      <c r="AK15" s="343" t="s">
        <v>475</v>
      </c>
      <c r="AN15" s="343" t="s">
        <v>20</v>
      </c>
      <c r="AP15" s="558" t="s">
        <v>245</v>
      </c>
      <c r="AQ15" s="558" t="s">
        <v>93</v>
      </c>
      <c r="AR15" s="558" t="s">
        <v>75</v>
      </c>
      <c r="AS15" s="546"/>
      <c r="AT15" s="558" t="s">
        <v>245</v>
      </c>
      <c r="AU15" s="558" t="s">
        <v>93</v>
      </c>
      <c r="AV15" s="558" t="s">
        <v>75</v>
      </c>
      <c r="AW15" s="546"/>
      <c r="AX15" s="558" t="s">
        <v>245</v>
      </c>
      <c r="AY15" s="558" t="s">
        <v>93</v>
      </c>
      <c r="AZ15" s="558" t="s">
        <v>75</v>
      </c>
      <c r="BA15" s="546"/>
      <c r="BB15" s="559" t="s">
        <v>423</v>
      </c>
      <c r="BD15" s="498" t="s">
        <v>75</v>
      </c>
      <c r="BE15" s="498" t="s">
        <v>75</v>
      </c>
      <c r="BF15" s="498" t="s">
        <v>78</v>
      </c>
    </row>
    <row r="16" spans="1:58" x14ac:dyDescent="0.2">
      <c r="C16" s="288">
        <v>1</v>
      </c>
      <c r="E16" s="288">
        <f>C16+1</f>
        <v>2</v>
      </c>
      <c r="G16" s="288">
        <f>E16+1</f>
        <v>3</v>
      </c>
      <c r="I16" s="288">
        <f>G16+1</f>
        <v>4</v>
      </c>
      <c r="K16" s="288">
        <f>I16+1</f>
        <v>5</v>
      </c>
      <c r="M16" s="288">
        <f>K16+1</f>
        <v>6</v>
      </c>
      <c r="O16" s="288">
        <f>M16+1</f>
        <v>7</v>
      </c>
      <c r="Q16" s="373" t="s">
        <v>507</v>
      </c>
      <c r="S16" s="373" t="s">
        <v>508</v>
      </c>
      <c r="U16" s="288">
        <f>O16+2</f>
        <v>9</v>
      </c>
      <c r="W16" s="288">
        <f>U16+1</f>
        <v>10</v>
      </c>
      <c r="AP16" s="546"/>
      <c r="AQ16" s="546"/>
      <c r="AR16" s="546"/>
      <c r="AS16" s="546"/>
      <c r="AT16" s="546"/>
      <c r="AU16" s="546"/>
      <c r="AV16" s="546"/>
      <c r="AW16" s="546"/>
      <c r="AX16" s="546"/>
      <c r="AY16" s="546"/>
      <c r="AZ16" s="546"/>
      <c r="BA16" s="546"/>
      <c r="BB16" s="546"/>
    </row>
    <row r="17" spans="1:58" x14ac:dyDescent="0.2">
      <c r="AP17" s="546"/>
      <c r="AQ17" s="546"/>
      <c r="AR17" s="546"/>
      <c r="AS17" s="546"/>
      <c r="AT17" s="546"/>
      <c r="AU17" s="546"/>
      <c r="AV17" s="546"/>
      <c r="AW17" s="546"/>
      <c r="AX17" s="546"/>
      <c r="AY17" s="546"/>
      <c r="AZ17" s="546"/>
      <c r="BA17" s="546"/>
      <c r="BB17" s="546"/>
    </row>
    <row r="18" spans="1:58" x14ac:dyDescent="0.2">
      <c r="A18" s="268">
        <f>Intro!C18</f>
        <v>1996</v>
      </c>
      <c r="C18" s="374">
        <f ca="1">'e3.1B'!$I54</f>
        <v>686057.54951012426</v>
      </c>
      <c r="E18" s="374">
        <f ca="1">'e3.2B'!$I54</f>
        <v>689046.71734513121</v>
      </c>
      <c r="G18" s="374">
        <f ca="1">'e3.3A'!$K16</f>
        <v>685188.6957388845</v>
      </c>
      <c r="I18" s="374">
        <f ca="1">'e3.4A'!$K16</f>
        <v>687210.14303316583</v>
      </c>
      <c r="K18" s="374">
        <f ca="1">'e3.5A'!M17</f>
        <v>683326</v>
      </c>
      <c r="M18" s="374">
        <f>'e3.1B'!$E54</f>
        <v>683326</v>
      </c>
      <c r="O18" s="374">
        <f>'e3.2B'!$E54</f>
        <v>683326</v>
      </c>
      <c r="Q18" s="378">
        <f t="shared" ref="Q18:Q23" si="0">Y18</f>
        <v>0</v>
      </c>
      <c r="S18" s="291">
        <f t="shared" ref="S18:S24" si="1">Q18-Z18</f>
        <v>0</v>
      </c>
      <c r="U18" s="549">
        <f>'e10.1'!C19</f>
        <v>683326</v>
      </c>
      <c r="W18" s="297">
        <f>U18/Intro!K18</f>
        <v>13.212346130265953</v>
      </c>
      <c r="X18" s="699"/>
      <c r="Y18" s="290">
        <f>'e7'!U16</f>
        <v>0</v>
      </c>
      <c r="Z18" s="290">
        <f>'e7'!Y16</f>
        <v>0</v>
      </c>
      <c r="AA18" s="290">
        <f>M18-O18</f>
        <v>0</v>
      </c>
      <c r="AB18" s="290">
        <f>U18-M18</f>
        <v>0</v>
      </c>
      <c r="AC18" s="235" t="b">
        <f>IF(OR(AA18=0,Y18-Z18=0), AB18=0, AB18&gt;0)</f>
        <v>1</v>
      </c>
      <c r="AD18" s="290" t="str">
        <f t="shared" ref="AD18:AD25" si="2">IFERROR(AB18/S18, "")</f>
        <v/>
      </c>
      <c r="AE18" s="296" t="str">
        <f t="shared" ref="AE18:AE25" si="3">IFERROR(AB18/AA18, "")</f>
        <v/>
      </c>
      <c r="AF18" s="290">
        <f>'e10.1'!Q19</f>
        <v>0</v>
      </c>
      <c r="AG18" s="290">
        <f>'e10.1'!U19</f>
        <v>0</v>
      </c>
      <c r="AH18" s="544" t="b">
        <f>IF(AF18&lt;=0, AG18&lt;=0, AG18&gt;0)</f>
        <v>1</v>
      </c>
      <c r="AJ18" s="385">
        <v>0</v>
      </c>
      <c r="AK18" s="222" t="b">
        <f t="shared" ref="AK18:AK24" si="4">AJ18&gt;=AB18</f>
        <v>1</v>
      </c>
      <c r="AM18" s="268">
        <f t="shared" ref="AM18:AM25" si="5">A18</f>
        <v>1996</v>
      </c>
      <c r="AN18" s="290">
        <f>Intro!I18</f>
        <v>1066389</v>
      </c>
      <c r="AP18" s="560">
        <f>MAX(0, U18-$AN18)</f>
        <v>0</v>
      </c>
      <c r="AQ18" s="560">
        <f>MAX(0, M18-$AN18)</f>
        <v>0</v>
      </c>
      <c r="AR18" s="560">
        <f>MAX(0, O18-$AN18)</f>
        <v>0</v>
      </c>
      <c r="AS18" s="546"/>
      <c r="AT18" s="560">
        <f>'e2.2'!U18</f>
        <v>141454.19999999995</v>
      </c>
      <c r="AU18" s="560">
        <f>'e2.2'!M18</f>
        <v>141454.19999999995</v>
      </c>
      <c r="AV18" s="560">
        <f>'e2.2'!O18</f>
        <v>141454.19999999995</v>
      </c>
      <c r="AW18" s="546"/>
      <c r="AX18" s="560">
        <f>AP18+AT18</f>
        <v>141454.19999999995</v>
      </c>
      <c r="AY18" s="560">
        <f t="shared" ref="AY18:AZ24" si="6">AQ18+AU18</f>
        <v>141454.19999999995</v>
      </c>
      <c r="AZ18" s="560">
        <f t="shared" si="6"/>
        <v>141454.19999999995</v>
      </c>
      <c r="BA18" s="578">
        <f>AM18</f>
        <v>1996</v>
      </c>
      <c r="BB18" s="561">
        <f>IF(Y18=0, 0, MAX(0, 'e1.3A'!C16-'e1.3A'!I16))</f>
        <v>0</v>
      </c>
      <c r="BD18" s="290">
        <f ca="1">MAX(0, O18+'e1.2A'!E17-$AN18)</f>
        <v>0</v>
      </c>
      <c r="BE18" s="290">
        <f ca="1">AV18+'e1.2B'!E17</f>
        <v>141454.19999999995</v>
      </c>
      <c r="BF18" s="290">
        <f ca="1">BD18+BE18</f>
        <v>141454.19999999995</v>
      </c>
    </row>
    <row r="19" spans="1:58" x14ac:dyDescent="0.2">
      <c r="A19" s="268">
        <f>Intro!C19</f>
        <v>1997</v>
      </c>
      <c r="C19" s="291">
        <f ca="1">'e3.1B'!$I55</f>
        <v>1343899.9479962431</v>
      </c>
      <c r="E19" s="291">
        <f ca="1">'e3.2B'!$I55</f>
        <v>1350932.1730051334</v>
      </c>
      <c r="G19" s="291">
        <f ca="1">'e3.3A'!$K17</f>
        <v>1340597.2355000034</v>
      </c>
      <c r="I19" s="291">
        <f ca="1">'e3.4A'!$K17</f>
        <v>1343907.5292011199</v>
      </c>
      <c r="K19" s="291">
        <f ca="1">'e3.5A'!M18</f>
        <v>1337604</v>
      </c>
      <c r="M19" s="291">
        <f>'e3.1B'!$E55</f>
        <v>1337604</v>
      </c>
      <c r="O19" s="291">
        <f>'e3.2B'!$E55</f>
        <v>1337604</v>
      </c>
      <c r="Q19" s="378">
        <f t="shared" si="0"/>
        <v>0</v>
      </c>
      <c r="S19" s="291">
        <f t="shared" si="1"/>
        <v>0</v>
      </c>
      <c r="U19" s="550">
        <f>'e10.1'!C20</f>
        <v>1337604</v>
      </c>
      <c r="W19" s="321">
        <f>U19/Intro!K19</f>
        <v>18.765532133362374</v>
      </c>
      <c r="X19" s="699"/>
      <c r="Y19" s="290">
        <f>'e7'!U17</f>
        <v>0</v>
      </c>
      <c r="Z19" s="290">
        <f>'e7'!Y17</f>
        <v>0</v>
      </c>
      <c r="AA19" s="290">
        <f t="shared" ref="AA19:AA25" si="7">M19-O19</f>
        <v>0</v>
      </c>
      <c r="AB19" s="290">
        <f t="shared" ref="AB19:AB25" si="8">U19-M19</f>
        <v>0</v>
      </c>
      <c r="AC19" s="552" t="b">
        <f t="shared" ref="AC19:AC41" si="9">IF(OR(AA19=0,Y19-Z19=0), AB19=0, AB19&gt;0)</f>
        <v>1</v>
      </c>
      <c r="AD19" s="290" t="str">
        <f t="shared" si="2"/>
        <v/>
      </c>
      <c r="AE19" s="296" t="str">
        <f t="shared" si="3"/>
        <v/>
      </c>
      <c r="AF19" s="290">
        <f>'e10.1'!Q20</f>
        <v>0</v>
      </c>
      <c r="AG19" s="290">
        <f>'e10.1'!U20</f>
        <v>0</v>
      </c>
      <c r="AH19" s="544" t="b">
        <f t="shared" ref="AH19:AH41" si="10">IF(AF19&lt;=0, AG19&lt;=0, AG19&gt;0)</f>
        <v>1</v>
      </c>
      <c r="AJ19" s="385">
        <v>0</v>
      </c>
      <c r="AK19" s="222" t="b">
        <f t="shared" si="4"/>
        <v>1</v>
      </c>
      <c r="AM19" s="268">
        <f t="shared" si="5"/>
        <v>1997</v>
      </c>
      <c r="AN19" s="290">
        <f>Intro!I19</f>
        <v>1660996</v>
      </c>
      <c r="AP19" s="560">
        <f t="shared" ref="AP19:AP24" si="11">MAX(0, U19-$AN19)</f>
        <v>0</v>
      </c>
      <c r="AQ19" s="560">
        <f t="shared" ref="AQ19:AQ24" si="12">MAX(0, M19-$AN19)</f>
        <v>0</v>
      </c>
      <c r="AR19" s="560">
        <f t="shared" ref="AR19:AR24" si="13">MAX(0, O19-$AN19)</f>
        <v>0</v>
      </c>
      <c r="AS19" s="546"/>
      <c r="AT19" s="560">
        <f>'e2.2'!U19</f>
        <v>169167</v>
      </c>
      <c r="AU19" s="560">
        <f>'e2.2'!M19</f>
        <v>169167</v>
      </c>
      <c r="AV19" s="560">
        <f>'e2.2'!O19</f>
        <v>169167</v>
      </c>
      <c r="AW19" s="546"/>
      <c r="AX19" s="560">
        <f t="shared" ref="AX19:AX24" si="14">AP19+AT19</f>
        <v>169167</v>
      </c>
      <c r="AY19" s="560">
        <f t="shared" si="6"/>
        <v>169167</v>
      </c>
      <c r="AZ19" s="560">
        <f t="shared" si="6"/>
        <v>169167</v>
      </c>
      <c r="BA19" s="578">
        <f t="shared" ref="BA19:BA25" si="15">AM19</f>
        <v>1997</v>
      </c>
      <c r="BB19" s="561">
        <f>IF(Y19=0, 0, MAX(0, 'e1.3A'!C17-'e1.3A'!I17))</f>
        <v>0</v>
      </c>
      <c r="BD19" s="290">
        <f ca="1">MAX(0, O19+'e1.2A'!E18-$AN19)</f>
        <v>0</v>
      </c>
      <c r="BE19" s="290">
        <f ca="1">AV19+'e1.2B'!E18</f>
        <v>169167</v>
      </c>
      <c r="BF19" s="290">
        <f t="shared" ref="BF19:BF24" ca="1" si="16">BD19+BE19</f>
        <v>169167</v>
      </c>
    </row>
    <row r="20" spans="1:58" x14ac:dyDescent="0.2">
      <c r="A20" s="268">
        <f>Intro!C20</f>
        <v>1998</v>
      </c>
      <c r="C20" s="291">
        <f ca="1">'e3.1B'!$I56</f>
        <v>2608056.4441664326</v>
      </c>
      <c r="E20" s="291">
        <f ca="1">'e3.2B'!$I56</f>
        <v>2615615.8412902113</v>
      </c>
      <c r="G20" s="291">
        <f ca="1">'e3.3A'!$K18</f>
        <v>2598228.3425421347</v>
      </c>
      <c r="I20" s="291">
        <f ca="1">'e3.4A'!$K18</f>
        <v>2594626.347759333</v>
      </c>
      <c r="K20" s="291">
        <f ca="1">'e3.5A'!M19</f>
        <v>2601425.441426897</v>
      </c>
      <c r="M20" s="291">
        <f>'e3.1B'!$E56</f>
        <v>2593680.7199999997</v>
      </c>
      <c r="O20" s="291">
        <f>'e3.2B'!$E56</f>
        <v>2584955.17</v>
      </c>
      <c r="Q20" s="378">
        <f t="shared" si="0"/>
        <v>1</v>
      </c>
      <c r="S20" s="291">
        <f t="shared" si="1"/>
        <v>1</v>
      </c>
      <c r="U20" s="550">
        <f>'e10.1'!C21</f>
        <v>2603276.8798025614</v>
      </c>
      <c r="W20" s="321">
        <f>U20/Intro!K20</f>
        <v>28.693855448366332</v>
      </c>
      <c r="X20" s="699"/>
      <c r="Y20" s="290">
        <f>'e7'!U18</f>
        <v>1</v>
      </c>
      <c r="Z20" s="290">
        <f>'e7'!Y18</f>
        <v>0</v>
      </c>
      <c r="AA20" s="290">
        <f t="shared" si="7"/>
        <v>8725.5499999998137</v>
      </c>
      <c r="AB20" s="290">
        <f t="shared" si="8"/>
        <v>9596.1598025616258</v>
      </c>
      <c r="AC20" s="552" t="b">
        <f t="shared" si="9"/>
        <v>1</v>
      </c>
      <c r="AD20" s="290">
        <f t="shared" si="2"/>
        <v>9596.1598025616258</v>
      </c>
      <c r="AE20" s="296">
        <f t="shared" si="3"/>
        <v>1.0997770687878508</v>
      </c>
      <c r="AF20" s="290">
        <f>'e10.1'!Q21</f>
        <v>0</v>
      </c>
      <c r="AG20" s="290">
        <f>'e10.1'!U21</f>
        <v>0</v>
      </c>
      <c r="AH20" s="544" t="b">
        <f t="shared" si="10"/>
        <v>1</v>
      </c>
      <c r="AJ20" s="385">
        <v>26236</v>
      </c>
      <c r="AK20" s="222" t="b">
        <f t="shared" si="4"/>
        <v>1</v>
      </c>
      <c r="AM20" s="268">
        <f t="shared" si="5"/>
        <v>1998</v>
      </c>
      <c r="AN20" s="290">
        <f>Intro!I20</f>
        <v>2412000</v>
      </c>
      <c r="AP20" s="560">
        <f t="shared" si="11"/>
        <v>191276.87980256137</v>
      </c>
      <c r="AQ20" s="560">
        <f t="shared" si="12"/>
        <v>181680.71999999974</v>
      </c>
      <c r="AR20" s="560">
        <f t="shared" si="13"/>
        <v>172955.16999999993</v>
      </c>
      <c r="AS20" s="546"/>
      <c r="AT20" s="560">
        <f>'e2.2'!U20</f>
        <v>161876.62629242678</v>
      </c>
      <c r="AU20" s="560">
        <f>'e2.2'!M20</f>
        <v>149905</v>
      </c>
      <c r="AV20" s="560">
        <f>'e2.2'!O20</f>
        <v>149905</v>
      </c>
      <c r="AW20" s="546"/>
      <c r="AX20" s="560">
        <f t="shared" si="14"/>
        <v>353153.50609498814</v>
      </c>
      <c r="AY20" s="560">
        <f t="shared" si="6"/>
        <v>331585.71999999974</v>
      </c>
      <c r="AZ20" s="560">
        <f t="shared" si="6"/>
        <v>322860.16999999993</v>
      </c>
      <c r="BA20" s="578">
        <f t="shared" si="15"/>
        <v>1998</v>
      </c>
      <c r="BB20" s="561">
        <f>IF(Y20=0, 0, MAX(0, 'e1.3A'!C18-'e1.3A'!I18))</f>
        <v>0</v>
      </c>
      <c r="BD20" s="290">
        <f ca="1">MAX(0, O20+'e1.2A'!E19-$AN20)</f>
        <v>172955.16999999993</v>
      </c>
      <c r="BE20" s="290">
        <f ca="1">AV20+'e1.2B'!E19</f>
        <v>156301.472454428</v>
      </c>
      <c r="BF20" s="290">
        <f t="shared" ca="1" si="16"/>
        <v>329256.6424544279</v>
      </c>
    </row>
    <row r="21" spans="1:58" x14ac:dyDescent="0.2">
      <c r="A21" s="268">
        <f>Intro!C21</f>
        <v>1999</v>
      </c>
      <c r="C21" s="291">
        <f ca="1">'e3.1B'!$I57</f>
        <v>2657616.0194703522</v>
      </c>
      <c r="E21" s="291">
        <f ca="1">'e3.2B'!$I57</f>
        <v>2584845.7901977873</v>
      </c>
      <c r="G21" s="291">
        <f ca="1">'e3.3A'!$K19</f>
        <v>2647296.4713694849</v>
      </c>
      <c r="I21" s="291">
        <f ca="1">'e3.4A'!$K19</f>
        <v>2563699.4851601832</v>
      </c>
      <c r="K21" s="291">
        <f ca="1">'e3.5A'!M20</f>
        <v>2720157.6239123754</v>
      </c>
      <c r="M21" s="291">
        <f>'e3.1B'!$E57</f>
        <v>2640381.7999999998</v>
      </c>
      <c r="O21" s="291">
        <f>'e3.2B'!$E57</f>
        <v>2548851.29</v>
      </c>
      <c r="Q21" s="378">
        <f t="shared" si="0"/>
        <v>2</v>
      </c>
      <c r="S21" s="291">
        <f t="shared" si="1"/>
        <v>1</v>
      </c>
      <c r="U21" s="550">
        <f>'e10.1'!C22</f>
        <v>2650176.9452059255</v>
      </c>
      <c r="W21" s="321">
        <f>U21/Intro!K21</f>
        <v>22.880246556169034</v>
      </c>
      <c r="X21" s="699"/>
      <c r="Y21" s="290">
        <f>'e7'!U19</f>
        <v>2</v>
      </c>
      <c r="Z21" s="290">
        <f>'e7'!Y19</f>
        <v>1</v>
      </c>
      <c r="AA21" s="290">
        <f t="shared" si="7"/>
        <v>91530.509999999776</v>
      </c>
      <c r="AB21" s="290">
        <f t="shared" si="8"/>
        <v>9795.1452059256844</v>
      </c>
      <c r="AC21" s="552" t="b">
        <f t="shared" si="9"/>
        <v>1</v>
      </c>
      <c r="AD21" s="290">
        <f t="shared" si="2"/>
        <v>9795.1452059256844</v>
      </c>
      <c r="AE21" s="296">
        <f t="shared" si="3"/>
        <v>0.1070150838876098</v>
      </c>
      <c r="AF21" s="290">
        <f>'e10.1'!Q22</f>
        <v>0</v>
      </c>
      <c r="AG21" s="290">
        <f>'e10.1'!U22</f>
        <v>0</v>
      </c>
      <c r="AH21" s="544" t="b">
        <f t="shared" si="10"/>
        <v>1</v>
      </c>
      <c r="AJ21" s="385">
        <v>11884</v>
      </c>
      <c r="AK21" s="222" t="b">
        <f t="shared" si="4"/>
        <v>1</v>
      </c>
      <c r="AM21" s="268">
        <f t="shared" si="5"/>
        <v>1999</v>
      </c>
      <c r="AN21" s="290">
        <f>Intro!I21</f>
        <v>2371069</v>
      </c>
      <c r="AP21" s="560">
        <f t="shared" si="11"/>
        <v>279107.9452059255</v>
      </c>
      <c r="AQ21" s="560">
        <f t="shared" si="12"/>
        <v>269312.79999999981</v>
      </c>
      <c r="AR21" s="560">
        <f t="shared" si="13"/>
        <v>177782.29000000004</v>
      </c>
      <c r="AS21" s="546"/>
      <c r="AT21" s="560">
        <f>'e2.2'!U21</f>
        <v>1541697.1766595847</v>
      </c>
      <c r="AU21" s="560">
        <f>'e2.2'!M21</f>
        <v>1418211.48</v>
      </c>
      <c r="AV21" s="560">
        <f>'e2.2'!O21</f>
        <v>1235926.8500000001</v>
      </c>
      <c r="AW21" s="546"/>
      <c r="AX21" s="560">
        <f t="shared" si="14"/>
        <v>1820805.1218655102</v>
      </c>
      <c r="AY21" s="560">
        <f t="shared" si="6"/>
        <v>1687524.2799999998</v>
      </c>
      <c r="AZ21" s="560">
        <f t="shared" si="6"/>
        <v>1413709.1400000001</v>
      </c>
      <c r="BA21" s="578">
        <f t="shared" si="15"/>
        <v>1999</v>
      </c>
      <c r="BB21" s="561">
        <f>IF(Y21=0, 0, MAX(0, 'e1.3A'!C19-'e1.3A'!I19))</f>
        <v>0</v>
      </c>
      <c r="BD21" s="290">
        <f ca="1">MAX(0, O21+'e1.2A'!E20-$AN21)</f>
        <v>177782.29000000004</v>
      </c>
      <c r="BE21" s="290">
        <f ca="1">AV21+'e1.2B'!E20</f>
        <v>1320664.8069407518</v>
      </c>
      <c r="BF21" s="290">
        <f t="shared" ca="1" si="16"/>
        <v>1498447.0969407519</v>
      </c>
    </row>
    <row r="22" spans="1:58" x14ac:dyDescent="0.2">
      <c r="A22" s="268">
        <f>Intro!C22</f>
        <v>2000</v>
      </c>
      <c r="C22" s="291">
        <f ca="1">'e3.1B'!$I58</f>
        <v>2388707.8695035465</v>
      </c>
      <c r="E22" s="291">
        <f ca="1">'e3.2B'!$I58</f>
        <v>2353207.1661252072</v>
      </c>
      <c r="G22" s="291">
        <f ca="1">'e3.3A'!$K20</f>
        <v>2376670.0617722711</v>
      </c>
      <c r="I22" s="291">
        <f ca="1">'e3.4A'!$K20</f>
        <v>2327696.5619336693</v>
      </c>
      <c r="K22" s="291">
        <f ca="1">'e3.5A'!M21</f>
        <v>2418600.0957390657</v>
      </c>
      <c r="M22" s="291">
        <f>'e3.1B'!$E58</f>
        <v>2370485.2200000002</v>
      </c>
      <c r="O22" s="291">
        <f>'e3.2B'!$E58</f>
        <v>2314287.94</v>
      </c>
      <c r="Q22" s="378">
        <f t="shared" si="0"/>
        <v>4</v>
      </c>
      <c r="S22" s="291">
        <f t="shared" si="1"/>
        <v>2</v>
      </c>
      <c r="U22" s="550">
        <f>'e10.1'!C23</f>
        <v>2398255.8306415239</v>
      </c>
      <c r="W22" s="321">
        <f>U22/Intro!K22</f>
        <v>27.612776153363285</v>
      </c>
      <c r="X22" s="699"/>
      <c r="Y22" s="290">
        <f>'e7'!U20</f>
        <v>4</v>
      </c>
      <c r="Z22" s="290">
        <f>'e7'!Y20</f>
        <v>2</v>
      </c>
      <c r="AA22" s="290">
        <f t="shared" si="7"/>
        <v>56197.280000000261</v>
      </c>
      <c r="AB22" s="290">
        <f t="shared" si="8"/>
        <v>27770.61064152373</v>
      </c>
      <c r="AC22" s="552" t="b">
        <f t="shared" si="9"/>
        <v>1</v>
      </c>
      <c r="AD22" s="290">
        <f t="shared" si="2"/>
        <v>13885.305320761865</v>
      </c>
      <c r="AE22" s="296">
        <f t="shared" si="3"/>
        <v>0.49416289616728071</v>
      </c>
      <c r="AF22" s="290">
        <f>'e10.1'!Q23</f>
        <v>0</v>
      </c>
      <c r="AG22" s="290">
        <f>'e10.1'!U23</f>
        <v>0</v>
      </c>
      <c r="AH22" s="544" t="b">
        <f t="shared" si="10"/>
        <v>1</v>
      </c>
      <c r="AJ22" s="385">
        <v>135783</v>
      </c>
      <c r="AK22" s="222" t="b">
        <f t="shared" si="4"/>
        <v>1</v>
      </c>
      <c r="AM22" s="268">
        <f t="shared" si="5"/>
        <v>2000</v>
      </c>
      <c r="AN22" s="290">
        <f>Intro!I22</f>
        <v>1985102</v>
      </c>
      <c r="AP22" s="560">
        <f t="shared" si="11"/>
        <v>413153.83064152393</v>
      </c>
      <c r="AQ22" s="560">
        <f t="shared" si="12"/>
        <v>385383.2200000002</v>
      </c>
      <c r="AR22" s="560">
        <f t="shared" si="13"/>
        <v>329185.93999999994</v>
      </c>
      <c r="AS22" s="546"/>
      <c r="AT22" s="560">
        <f>'e2.2'!U22</f>
        <v>1314362.4618561231</v>
      </c>
      <c r="AU22" s="560">
        <f>'e2.2'!M22</f>
        <v>1048199.94</v>
      </c>
      <c r="AV22" s="560">
        <f>'e2.2'!O22</f>
        <v>513125.2200000002</v>
      </c>
      <c r="AW22" s="546"/>
      <c r="AX22" s="560">
        <f t="shared" si="14"/>
        <v>1727516.292497647</v>
      </c>
      <c r="AY22" s="560">
        <f t="shared" si="6"/>
        <v>1433583.1600000001</v>
      </c>
      <c r="AZ22" s="560">
        <f t="shared" si="6"/>
        <v>842311.16000000015</v>
      </c>
      <c r="BA22" s="578">
        <f t="shared" si="15"/>
        <v>2000</v>
      </c>
      <c r="BB22" s="561">
        <f>IF(Y22=0, 0, MAX(0, 'e1.3A'!C20-'e1.3A'!I20))</f>
        <v>0</v>
      </c>
      <c r="BD22" s="290">
        <f ca="1">MAX(0, O22+'e1.2A'!E21-$AN22)</f>
        <v>329185.93999999994</v>
      </c>
      <c r="BE22" s="290">
        <f ca="1">AV22+'e1.2B'!E21</f>
        <v>694436.94581309776</v>
      </c>
      <c r="BF22" s="290">
        <f t="shared" ca="1" si="16"/>
        <v>1023622.8858130977</v>
      </c>
    </row>
    <row r="23" spans="1:58" x14ac:dyDescent="0.2">
      <c r="A23" s="268">
        <f>Intro!C23</f>
        <v>2001</v>
      </c>
      <c r="C23" s="291">
        <f ca="1">'e3.1B'!$I59</f>
        <v>1361665.6383934908</v>
      </c>
      <c r="E23" s="291">
        <f ca="1">'e3.2B'!$I59</f>
        <v>1376376.3000446835</v>
      </c>
      <c r="G23" s="291">
        <f ca="1">'e3.3A'!$K21</f>
        <v>1357256.5451916629</v>
      </c>
      <c r="I23" s="291">
        <f ca="1">'e3.4A'!$K21</f>
        <v>1366438.1522733467</v>
      </c>
      <c r="K23" s="291">
        <f ca="1">'e3.5A'!M22</f>
        <v>1349531.11033392</v>
      </c>
      <c r="M23" s="291">
        <f>'e3.1B'!$E59</f>
        <v>1349446.97</v>
      </c>
      <c r="O23" s="291">
        <f>'e3.2B'!$E59</f>
        <v>1349346.97</v>
      </c>
      <c r="Q23" s="378">
        <f t="shared" si="0"/>
        <v>1</v>
      </c>
      <c r="S23" s="291">
        <f t="shared" si="1"/>
        <v>1</v>
      </c>
      <c r="U23" s="550">
        <f>'e10.1'!C24</f>
        <v>1349446.97</v>
      </c>
      <c r="W23" s="321">
        <f>U23/Intro!K23</f>
        <v>14.693744485313951</v>
      </c>
      <c r="X23" s="699"/>
      <c r="Y23" s="290">
        <f>'e7'!U21</f>
        <v>1</v>
      </c>
      <c r="Z23" s="290">
        <f>'e7'!Y21</f>
        <v>0</v>
      </c>
      <c r="AA23" s="290">
        <f t="shared" si="7"/>
        <v>100</v>
      </c>
      <c r="AB23" s="290">
        <f t="shared" si="8"/>
        <v>0</v>
      </c>
      <c r="AC23" s="552" t="b">
        <f t="shared" si="9"/>
        <v>0</v>
      </c>
      <c r="AD23" s="290">
        <f t="shared" si="2"/>
        <v>0</v>
      </c>
      <c r="AE23" s="296">
        <f t="shared" si="3"/>
        <v>0</v>
      </c>
      <c r="AF23" s="290">
        <f>'e10.1'!Q24</f>
        <v>0</v>
      </c>
      <c r="AG23" s="290">
        <f>'e10.1'!U24</f>
        <v>0</v>
      </c>
      <c r="AH23" s="544" t="b">
        <f t="shared" si="10"/>
        <v>1</v>
      </c>
      <c r="AJ23" s="385">
        <v>210840</v>
      </c>
      <c r="AK23" s="222" t="b">
        <f t="shared" si="4"/>
        <v>1</v>
      </c>
      <c r="AM23" s="268">
        <f t="shared" si="5"/>
        <v>2001</v>
      </c>
      <c r="AN23" s="290">
        <f>Intro!I23</f>
        <v>2121632</v>
      </c>
      <c r="AP23" s="560">
        <f t="shared" si="11"/>
        <v>0</v>
      </c>
      <c r="AQ23" s="560">
        <f t="shared" si="12"/>
        <v>0</v>
      </c>
      <c r="AR23" s="560">
        <f t="shared" si="13"/>
        <v>0</v>
      </c>
      <c r="AS23" s="546"/>
      <c r="AT23" s="560">
        <f>'e2.2'!U23</f>
        <v>289652</v>
      </c>
      <c r="AU23" s="560">
        <f>'e2.2'!M23</f>
        <v>289652</v>
      </c>
      <c r="AV23" s="560">
        <f>'e2.2'!O23</f>
        <v>289652</v>
      </c>
      <c r="AW23" s="546"/>
      <c r="AX23" s="560">
        <f t="shared" si="14"/>
        <v>289652</v>
      </c>
      <c r="AY23" s="560">
        <f t="shared" si="6"/>
        <v>289652</v>
      </c>
      <c r="AZ23" s="560">
        <f t="shared" si="6"/>
        <v>289652</v>
      </c>
      <c r="BA23" s="578">
        <f t="shared" si="15"/>
        <v>2001</v>
      </c>
      <c r="BB23" s="561">
        <f>IF(Y23=0, 0, MAX(0, 'e1.3A'!C21-'e1.3A'!I21))</f>
        <v>772285.03</v>
      </c>
      <c r="BD23" s="290">
        <f ca="1">MAX(0, O23+'e1.2A'!E22-$AN23)</f>
        <v>0</v>
      </c>
      <c r="BE23" s="290">
        <f ca="1">AV23+'e1.2B'!E22</f>
        <v>289652</v>
      </c>
      <c r="BF23" s="290">
        <f t="shared" ca="1" si="16"/>
        <v>289652</v>
      </c>
    </row>
    <row r="24" spans="1:58" x14ac:dyDescent="0.2">
      <c r="A24" s="268">
        <f>Intro!C24</f>
        <v>2002</v>
      </c>
      <c r="C24" s="291">
        <f ca="1">'e3.1B'!$I60</f>
        <v>2986078.6731469617</v>
      </c>
      <c r="E24" s="291">
        <f ca="1">'e3.2B'!$I60</f>
        <v>2827034.3518026657</v>
      </c>
      <c r="G24" s="291">
        <f ca="1">'e3.3A'!$K22</f>
        <v>2963262.2998409616</v>
      </c>
      <c r="I24" s="291">
        <f ca="1">'e3.4A'!$K22</f>
        <v>2780433.9459241745</v>
      </c>
      <c r="K24" s="291">
        <f ca="1">'e3.5A'!M23</f>
        <v>3114999.1868299711</v>
      </c>
      <c r="M24" s="291">
        <f>'e3.1B'!$E60</f>
        <v>2954508.65</v>
      </c>
      <c r="O24" s="291">
        <f>'e3.2B'!$E60</f>
        <v>2761132.9899999998</v>
      </c>
      <c r="Q24" s="378">
        <f>Y24</f>
        <v>3</v>
      </c>
      <c r="S24" s="291">
        <f t="shared" si="1"/>
        <v>1</v>
      </c>
      <c r="U24" s="550">
        <f>'e10.1'!C25</f>
        <v>3036578.8122747019</v>
      </c>
      <c r="W24" s="321">
        <f>U24/Intro!K24</f>
        <v>35.268810552919668</v>
      </c>
      <c r="X24" s="699"/>
      <c r="Y24" s="292">
        <f>'e7'!U22</f>
        <v>3</v>
      </c>
      <c r="Z24" s="292">
        <f>'e7'!Y22</f>
        <v>2</v>
      </c>
      <c r="AA24" s="292">
        <f t="shared" si="7"/>
        <v>193375.66000000015</v>
      </c>
      <c r="AB24" s="292">
        <f t="shared" si="8"/>
        <v>82070.162274701986</v>
      </c>
      <c r="AC24" s="553" t="b">
        <f t="shared" si="9"/>
        <v>1</v>
      </c>
      <c r="AD24" s="292">
        <f t="shared" si="2"/>
        <v>82070.162274701986</v>
      </c>
      <c r="AE24" s="383">
        <f t="shared" si="3"/>
        <v>0.42440792328621879</v>
      </c>
      <c r="AF24" s="292">
        <f>'e10.1'!Q25</f>
        <v>0</v>
      </c>
      <c r="AG24" s="292">
        <f>'e10.1'!U25</f>
        <v>0</v>
      </c>
      <c r="AH24" s="544" t="b">
        <f t="shared" si="10"/>
        <v>1</v>
      </c>
      <c r="AJ24" s="279">
        <v>193558</v>
      </c>
      <c r="AK24" s="384" t="b">
        <f t="shared" si="4"/>
        <v>1</v>
      </c>
      <c r="AM24" s="251">
        <f t="shared" si="5"/>
        <v>2002</v>
      </c>
      <c r="AN24" s="292">
        <f>Intro!I24</f>
        <v>2896730</v>
      </c>
      <c r="AO24" s="384"/>
      <c r="AP24" s="562">
        <f t="shared" si="11"/>
        <v>139848.81227470189</v>
      </c>
      <c r="AQ24" s="562">
        <f t="shared" si="12"/>
        <v>57778.649999999907</v>
      </c>
      <c r="AR24" s="562">
        <f t="shared" si="13"/>
        <v>0</v>
      </c>
      <c r="AS24" s="563"/>
      <c r="AT24" s="562">
        <f>'e2.2'!U24</f>
        <v>1587524.3727029616</v>
      </c>
      <c r="AU24" s="562">
        <f>'e2.2'!M24</f>
        <v>1352212.2399999998</v>
      </c>
      <c r="AV24" s="562">
        <f>'e2.2'!O24</f>
        <v>866577.4700000002</v>
      </c>
      <c r="AW24" s="563"/>
      <c r="AX24" s="562">
        <f t="shared" si="14"/>
        <v>1727373.1849776634</v>
      </c>
      <c r="AY24" s="562">
        <f t="shared" si="6"/>
        <v>1409990.8899999997</v>
      </c>
      <c r="AZ24" s="562">
        <f t="shared" si="6"/>
        <v>866577.4700000002</v>
      </c>
      <c r="BA24" s="578">
        <f t="shared" si="15"/>
        <v>2002</v>
      </c>
      <c r="BB24" s="564">
        <f>IF(Y24=0, 0, MAX(0, 'e1.3A'!C22-'e1.3A'!I22))</f>
        <v>135597.01000000024</v>
      </c>
      <c r="BD24" s="290">
        <f ca="1">MAX(0, O24+'e1.2A'!E23-$AN24)</f>
        <v>0</v>
      </c>
      <c r="BE24" s="290">
        <f ca="1">AV24+'e1.2B'!E23</f>
        <v>1036147.0110967408</v>
      </c>
      <c r="BF24" s="290">
        <f t="shared" ca="1" si="16"/>
        <v>1036147.0110967408</v>
      </c>
    </row>
    <row r="25" spans="1:58" x14ac:dyDescent="0.2">
      <c r="A25" s="268">
        <f>Intro!C25</f>
        <v>2003</v>
      </c>
      <c r="C25" s="291">
        <f ca="1">'e3.1B'!$I61</f>
        <v>1253828.6551194212</v>
      </c>
      <c r="E25" s="291">
        <f ca="1">'e3.2B'!$I61</f>
        <v>1266858.581296589</v>
      </c>
      <c r="G25" s="291">
        <f ca="1">'e3.3A'!$K23</f>
        <v>1251229.3322379577</v>
      </c>
      <c r="I25" s="291">
        <f ca="1">'e3.4A'!$K23</f>
        <v>1260938.1413038799</v>
      </c>
      <c r="K25" s="291">
        <f ca="1">'e3.5A'!M24</f>
        <v>1243025.0200000005</v>
      </c>
      <c r="M25" s="291">
        <f>'e3.1B'!$E61</f>
        <v>1243025.0200000005</v>
      </c>
      <c r="O25" s="291">
        <f>'e3.2B'!$E61</f>
        <v>1243025.0200000005</v>
      </c>
      <c r="Q25" s="290">
        <f ca="1">'e6.1'!M16</f>
        <v>0</v>
      </c>
      <c r="S25" s="291">
        <f ca="1">Q25-Z25</f>
        <v>0</v>
      </c>
      <c r="U25" s="302">
        <f t="shared" ref="U25:U30" ca="1" si="17">K25</f>
        <v>1243025.0200000005</v>
      </c>
      <c r="W25" s="321">
        <f ca="1">U25/Intro!K25</f>
        <v>12.96476665595053</v>
      </c>
      <c r="X25" s="699"/>
      <c r="Y25" s="290">
        <f>'e7'!U23</f>
        <v>0</v>
      </c>
      <c r="Z25" s="290">
        <f>'e7'!Y23</f>
        <v>0</v>
      </c>
      <c r="AA25" s="290">
        <f t="shared" si="7"/>
        <v>0</v>
      </c>
      <c r="AB25" s="290">
        <f t="shared" ca="1" si="8"/>
        <v>0</v>
      </c>
      <c r="AC25" s="552" t="b">
        <f t="shared" ca="1" si="9"/>
        <v>1</v>
      </c>
      <c r="AD25" s="290" t="str">
        <f t="shared" ca="1" si="2"/>
        <v/>
      </c>
      <c r="AE25" s="296" t="str">
        <f t="shared" ca="1" si="3"/>
        <v/>
      </c>
      <c r="AF25" s="290">
        <f>'e10.1'!Q26</f>
        <v>0</v>
      </c>
      <c r="AG25" s="290">
        <f ca="1">'e10.1'!U26</f>
        <v>0</v>
      </c>
      <c r="AH25" s="544" t="b">
        <f t="shared" ca="1" si="10"/>
        <v>1</v>
      </c>
      <c r="AJ25" s="304">
        <v>0</v>
      </c>
      <c r="AK25" s="222" t="b">
        <f ca="1">AJ25&gt;=AB25</f>
        <v>1</v>
      </c>
      <c r="AM25" s="268">
        <f t="shared" si="5"/>
        <v>2003</v>
      </c>
      <c r="AP25" s="565">
        <v>0</v>
      </c>
      <c r="AQ25" s="565">
        <v>0</v>
      </c>
      <c r="AR25" s="565">
        <v>0</v>
      </c>
      <c r="AS25" s="546"/>
      <c r="AT25" s="560">
        <f>'e2.2'!U25</f>
        <v>256580.59999999986</v>
      </c>
      <c r="AU25" s="560">
        <f>'e2.2'!M25</f>
        <v>256580.59999999986</v>
      </c>
      <c r="AV25" s="560">
        <f>'e2.2'!O25</f>
        <v>256580.59999999986</v>
      </c>
      <c r="AW25" s="546"/>
      <c r="AX25" s="560">
        <f t="shared" ref="AX25" si="18">AP25+AT25</f>
        <v>256580.59999999986</v>
      </c>
      <c r="AY25" s="560">
        <f t="shared" ref="AY25" si="19">AQ25+AU25</f>
        <v>256580.59999999986</v>
      </c>
      <c r="AZ25" s="560">
        <f t="shared" ref="AZ25" si="20">AR25+AV25</f>
        <v>256580.59999999986</v>
      </c>
      <c r="BA25" s="578">
        <f t="shared" si="15"/>
        <v>2003</v>
      </c>
      <c r="BB25" s="560">
        <f>AJ25+AA25</f>
        <v>0</v>
      </c>
    </row>
    <row r="26" spans="1:58" x14ac:dyDescent="0.2">
      <c r="A26" s="268">
        <f>Intro!C26</f>
        <v>2004</v>
      </c>
      <c r="C26" s="291">
        <f ca="1">'e3.1B'!$I62</f>
        <v>2422357.3090926795</v>
      </c>
      <c r="E26" s="291">
        <f ca="1">'e3.2B'!$I62</f>
        <v>2438945.1626365809</v>
      </c>
      <c r="G26" s="291">
        <f ca="1">'e3.3A'!$K24</f>
        <v>2400974.9115045387</v>
      </c>
      <c r="I26" s="291">
        <f ca="1">'e3.4A'!$K24</f>
        <v>2392847.1272947812</v>
      </c>
      <c r="K26" s="291">
        <f ca="1">'e3.5A'!M25</f>
        <v>2408164.2198278867</v>
      </c>
      <c r="M26" s="291">
        <f>'e3.1B'!$E62</f>
        <v>2385205.2599999993</v>
      </c>
      <c r="O26" s="291">
        <f>'e3.2B'!$E62</f>
        <v>2359249.2899999996</v>
      </c>
      <c r="Q26" s="290">
        <f ca="1">'e6.1'!M17</f>
        <v>2</v>
      </c>
      <c r="S26" s="291">
        <f t="shared" ref="S26:S41" ca="1" si="21">Q26-Z26</f>
        <v>1</v>
      </c>
      <c r="U26" s="304">
        <f ca="1">C26*0.75 + E26*0.25</f>
        <v>2426504.272478655</v>
      </c>
      <c r="W26" s="321">
        <f ca="1">U26/Intro!K26</f>
        <v>23.757188396861334</v>
      </c>
      <c r="X26" s="634"/>
      <c r="Y26" s="290">
        <f>'e7'!U24</f>
        <v>2</v>
      </c>
      <c r="Z26" s="290">
        <f>'e7'!Y24</f>
        <v>1</v>
      </c>
      <c r="AA26" s="290">
        <f t="shared" ref="AA26:AA41" si="22">M26-O26</f>
        <v>25955.969999999739</v>
      </c>
      <c r="AB26" s="290">
        <f t="shared" ref="AB26:AB40" ca="1" si="23">U26-M26</f>
        <v>41299.01247865567</v>
      </c>
      <c r="AC26" s="552" t="b">
        <f t="shared" ca="1" si="9"/>
        <v>1</v>
      </c>
      <c r="AD26" s="290">
        <f t="shared" ref="AD26:AD41" ca="1" si="24">IFERROR(AB26/S26, "")</f>
        <v>41299.01247865567</v>
      </c>
      <c r="AE26" s="296">
        <f t="shared" ref="AE26:AE41" ca="1" si="25">IFERROR(AB26/AA26, "")</f>
        <v>1.5911180540991565</v>
      </c>
      <c r="AF26" s="290">
        <f>'e10.1'!Q27</f>
        <v>-4409.06336724014</v>
      </c>
      <c r="AG26" s="290">
        <f ca="1">'e10.1'!U27</f>
        <v>-5470.5003798599355</v>
      </c>
      <c r="AH26" s="544" t="b">
        <f t="shared" ca="1" si="10"/>
        <v>1</v>
      </c>
      <c r="AJ26" s="304">
        <v>136208.54</v>
      </c>
      <c r="AK26" s="222" t="b">
        <f t="shared" ref="AK26:AK41" ca="1" si="26">AJ26&gt;=AB26</f>
        <v>1</v>
      </c>
      <c r="AM26" s="268">
        <f t="shared" ref="AM26:AM41" si="27">A26</f>
        <v>2004</v>
      </c>
      <c r="AP26" s="565">
        <v>0</v>
      </c>
      <c r="AQ26" s="565">
        <v>0</v>
      </c>
      <c r="AR26" s="565">
        <v>0</v>
      </c>
      <c r="AS26" s="546"/>
      <c r="AT26" s="560">
        <f ca="1">'e2.2'!U26</f>
        <v>478098.06128173234</v>
      </c>
      <c r="AU26" s="560">
        <f>'e2.2'!M26</f>
        <v>353506.28000000119</v>
      </c>
      <c r="AV26" s="560">
        <f>'e2.2'!O26</f>
        <v>239360.8600000008</v>
      </c>
      <c r="AW26" s="546"/>
      <c r="AX26" s="560">
        <f t="shared" ref="AX26:AX41" ca="1" si="28">AP26+AT26</f>
        <v>478098.06128173234</v>
      </c>
      <c r="AY26" s="560">
        <f t="shared" ref="AY26:AY41" si="29">AQ26+AU26</f>
        <v>353506.28000000119</v>
      </c>
      <c r="AZ26" s="560">
        <f t="shared" ref="AZ26:AZ41" si="30">AR26+AV26</f>
        <v>239360.8600000008</v>
      </c>
      <c r="BA26" s="578">
        <f t="shared" ref="BA26:BA41" si="31">AM26</f>
        <v>2004</v>
      </c>
      <c r="BB26" s="560">
        <f t="shared" ref="BB26:BB41" si="32">AJ26+AA26</f>
        <v>162164.50999999975</v>
      </c>
    </row>
    <row r="27" spans="1:58" x14ac:dyDescent="0.2">
      <c r="A27" s="268">
        <f>Intro!C27</f>
        <v>2005</v>
      </c>
      <c r="C27" s="291">
        <f ca="1">'e3.1B'!$I63</f>
        <v>712314.66404096398</v>
      </c>
      <c r="E27" s="291">
        <f ca="1">'e3.2B'!$I63</f>
        <v>727382.56424414425</v>
      </c>
      <c r="G27" s="291">
        <f ca="1">'e3.3A'!$K25</f>
        <v>719757.7445752793</v>
      </c>
      <c r="I27" s="291">
        <f ca="1">'e3.4A'!$K25</f>
        <v>742904.94174249819</v>
      </c>
      <c r="K27" s="291">
        <f ca="1">'e3.5A'!M26</f>
        <v>699839.89000000025</v>
      </c>
      <c r="M27" s="291">
        <f>'e3.1B'!$E63</f>
        <v>699839.89000000025</v>
      </c>
      <c r="O27" s="291">
        <f>'e3.2B'!$E63</f>
        <v>699839.89000000025</v>
      </c>
      <c r="Q27" s="290">
        <f ca="1">'e6.1'!M18</f>
        <v>0</v>
      </c>
      <c r="S27" s="291">
        <f t="shared" ca="1" si="21"/>
        <v>0</v>
      </c>
      <c r="U27" s="302">
        <f t="shared" ca="1" si="17"/>
        <v>699839.89000000025</v>
      </c>
      <c r="W27" s="321">
        <f ca="1">U27/Intro!K27</f>
        <v>6.2882994733368678</v>
      </c>
      <c r="X27" s="699"/>
      <c r="Y27" s="290">
        <f>'e7'!U25</f>
        <v>0</v>
      </c>
      <c r="Z27" s="290">
        <f>'e7'!Y25</f>
        <v>0</v>
      </c>
      <c r="AA27" s="290">
        <f t="shared" si="22"/>
        <v>0</v>
      </c>
      <c r="AB27" s="290">
        <f t="shared" ca="1" si="23"/>
        <v>0</v>
      </c>
      <c r="AC27" s="552" t="b">
        <f t="shared" ca="1" si="9"/>
        <v>1</v>
      </c>
      <c r="AD27" s="290" t="str">
        <f t="shared" ca="1" si="24"/>
        <v/>
      </c>
      <c r="AE27" s="296" t="str">
        <f t="shared" ca="1" si="25"/>
        <v/>
      </c>
      <c r="AF27" s="290">
        <f>'e10.1'!Q28</f>
        <v>0</v>
      </c>
      <c r="AG27" s="290">
        <f ca="1">'e10.1'!U28</f>
        <v>0</v>
      </c>
      <c r="AH27" s="544" t="b">
        <f t="shared" ca="1" si="10"/>
        <v>1</v>
      </c>
      <c r="AJ27" s="304">
        <v>0</v>
      </c>
      <c r="AK27" s="222" t="b">
        <f t="shared" ca="1" si="26"/>
        <v>1</v>
      </c>
      <c r="AM27" s="268">
        <f t="shared" si="27"/>
        <v>2005</v>
      </c>
      <c r="AP27" s="565">
        <v>0</v>
      </c>
      <c r="AQ27" s="565">
        <v>0</v>
      </c>
      <c r="AR27" s="565">
        <v>0</v>
      </c>
      <c r="AS27" s="546"/>
      <c r="AT27" s="560">
        <f>'e2.2'!U27</f>
        <v>0</v>
      </c>
      <c r="AU27" s="560">
        <f>'e2.2'!M27</f>
        <v>0</v>
      </c>
      <c r="AV27" s="560">
        <f>'e2.2'!O27</f>
        <v>0</v>
      </c>
      <c r="AW27" s="546"/>
      <c r="AX27" s="560">
        <f t="shared" si="28"/>
        <v>0</v>
      </c>
      <c r="AY27" s="560">
        <f t="shared" si="29"/>
        <v>0</v>
      </c>
      <c r="AZ27" s="560">
        <f t="shared" si="30"/>
        <v>0</v>
      </c>
      <c r="BA27" s="578">
        <f t="shared" si="31"/>
        <v>2005</v>
      </c>
      <c r="BB27" s="560">
        <f t="shared" si="32"/>
        <v>0</v>
      </c>
    </row>
    <row r="28" spans="1:58" x14ac:dyDescent="0.2">
      <c r="A28" s="268">
        <f>Intro!C28</f>
        <v>2006</v>
      </c>
      <c r="C28" s="291">
        <f ca="1">'e3.1B'!$I64</f>
        <v>2046596.9895344682</v>
      </c>
      <c r="E28" s="291">
        <f ca="1">'e3.2B'!$I64</f>
        <v>2097646.3215761879</v>
      </c>
      <c r="G28" s="291">
        <f ca="1">'e3.3A'!$K26</f>
        <v>2028489.1699441853</v>
      </c>
      <c r="I28" s="291">
        <f ca="1">'e3.4A'!$K26</f>
        <v>2055800.6153441702</v>
      </c>
      <c r="K28" s="291">
        <f ca="1">'e3.5A'!M27</f>
        <v>2005481.3700000008</v>
      </c>
      <c r="M28" s="291">
        <f>'e3.1B'!$E64</f>
        <v>2005481.3700000008</v>
      </c>
      <c r="O28" s="291">
        <f>'e3.2B'!$E64</f>
        <v>2005481.3700000008</v>
      </c>
      <c r="Q28" s="290">
        <f ca="1">'e6.1'!M19</f>
        <v>0</v>
      </c>
      <c r="S28" s="291">
        <f t="shared" ca="1" si="21"/>
        <v>0</v>
      </c>
      <c r="U28" s="302">
        <f t="shared" ca="1" si="17"/>
        <v>2005481.3700000008</v>
      </c>
      <c r="W28" s="321">
        <f ca="1">U28/Intro!K28</f>
        <v>18.611177422972311</v>
      </c>
      <c r="X28" s="699"/>
      <c r="Y28" s="290">
        <f>'e7'!U26</f>
        <v>0</v>
      </c>
      <c r="Z28" s="290">
        <f>'e7'!Y26</f>
        <v>0</v>
      </c>
      <c r="AA28" s="290">
        <f t="shared" si="22"/>
        <v>0</v>
      </c>
      <c r="AB28" s="290">
        <f t="shared" ca="1" si="23"/>
        <v>0</v>
      </c>
      <c r="AC28" s="552" t="b">
        <f t="shared" ca="1" si="9"/>
        <v>1</v>
      </c>
      <c r="AD28" s="290" t="str">
        <f t="shared" ca="1" si="24"/>
        <v/>
      </c>
      <c r="AE28" s="296" t="str">
        <f t="shared" ca="1" si="25"/>
        <v/>
      </c>
      <c r="AF28" s="290">
        <f>'e10.1'!Q29</f>
        <v>0</v>
      </c>
      <c r="AG28" s="290">
        <f ca="1">'e10.1'!U29</f>
        <v>0</v>
      </c>
      <c r="AH28" s="544" t="b">
        <f t="shared" ca="1" si="10"/>
        <v>1</v>
      </c>
      <c r="AJ28" s="304">
        <v>0</v>
      </c>
      <c r="AK28" s="222" t="b">
        <f t="shared" ca="1" si="26"/>
        <v>1</v>
      </c>
      <c r="AM28" s="268">
        <f t="shared" si="27"/>
        <v>2006</v>
      </c>
      <c r="AP28" s="565">
        <v>0</v>
      </c>
      <c r="AQ28" s="565">
        <v>0</v>
      </c>
      <c r="AR28" s="565">
        <v>0</v>
      </c>
      <c r="AS28" s="546"/>
      <c r="AT28" s="560">
        <f>'e2.2'!U28</f>
        <v>310667.57999999984</v>
      </c>
      <c r="AU28" s="560">
        <f>'e2.2'!M28</f>
        <v>310667.57999999984</v>
      </c>
      <c r="AV28" s="560">
        <f>'e2.2'!O28</f>
        <v>310667.57999999984</v>
      </c>
      <c r="AW28" s="546"/>
      <c r="AX28" s="560">
        <f t="shared" si="28"/>
        <v>310667.57999999984</v>
      </c>
      <c r="AY28" s="560">
        <f t="shared" si="29"/>
        <v>310667.57999999984</v>
      </c>
      <c r="AZ28" s="560">
        <f t="shared" si="30"/>
        <v>310667.57999999984</v>
      </c>
      <c r="BA28" s="578">
        <f t="shared" si="31"/>
        <v>2006</v>
      </c>
      <c r="BB28" s="560">
        <f t="shared" si="32"/>
        <v>0</v>
      </c>
    </row>
    <row r="29" spans="1:58" x14ac:dyDescent="0.2">
      <c r="A29" s="268">
        <f>Intro!C29</f>
        <v>2007</v>
      </c>
      <c r="C29" s="291">
        <f ca="1">'e3.1B'!$I65</f>
        <v>1125597.960096027</v>
      </c>
      <c r="E29" s="291">
        <f ca="1">'e3.2B'!$I65</f>
        <v>1158420.6088740246</v>
      </c>
      <c r="G29" s="291">
        <f ca="1">'e3.3A'!$K27</f>
        <v>1126516.9598012781</v>
      </c>
      <c r="I29" s="291">
        <f ca="1">'e3.4A'!$K27</f>
        <v>1158779.3765720471</v>
      </c>
      <c r="K29" s="291">
        <f ca="1">'e3.5A'!M28</f>
        <v>1099670.4199999997</v>
      </c>
      <c r="M29" s="291">
        <f>'e3.1B'!$E65</f>
        <v>1099670.4199999997</v>
      </c>
      <c r="O29" s="291">
        <f>'e3.2B'!$E65</f>
        <v>1099670.4199999997</v>
      </c>
      <c r="Q29" s="290">
        <f ca="1">'e6.1'!M20</f>
        <v>0</v>
      </c>
      <c r="S29" s="291">
        <f t="shared" ca="1" si="21"/>
        <v>0</v>
      </c>
      <c r="U29" s="302">
        <f t="shared" ca="1" si="17"/>
        <v>1099670.4199999997</v>
      </c>
      <c r="W29" s="321">
        <f ca="1">U29/Intro!K29</f>
        <v>10.51469964335497</v>
      </c>
      <c r="X29" s="699"/>
      <c r="Y29" s="290">
        <f>'e7'!U27</f>
        <v>0</v>
      </c>
      <c r="Z29" s="290">
        <f>'e7'!Y27</f>
        <v>0</v>
      </c>
      <c r="AA29" s="290">
        <f t="shared" si="22"/>
        <v>0</v>
      </c>
      <c r="AB29" s="290">
        <f t="shared" ca="1" si="23"/>
        <v>0</v>
      </c>
      <c r="AC29" s="552" t="b">
        <f t="shared" ca="1" si="9"/>
        <v>1</v>
      </c>
      <c r="AD29" s="290" t="str">
        <f t="shared" ca="1" si="24"/>
        <v/>
      </c>
      <c r="AE29" s="296" t="str">
        <f t="shared" ca="1" si="25"/>
        <v/>
      </c>
      <c r="AF29" s="290">
        <f>'e10.1'!Q30</f>
        <v>0</v>
      </c>
      <c r="AG29" s="290">
        <f ca="1">'e10.1'!U30</f>
        <v>0</v>
      </c>
      <c r="AH29" s="544" t="b">
        <f t="shared" ca="1" si="10"/>
        <v>1</v>
      </c>
      <c r="AJ29" s="304">
        <v>0</v>
      </c>
      <c r="AK29" s="222" t="b">
        <f t="shared" ca="1" si="26"/>
        <v>1</v>
      </c>
      <c r="AM29" s="268">
        <f t="shared" si="27"/>
        <v>2007</v>
      </c>
      <c r="AP29" s="565">
        <v>0</v>
      </c>
      <c r="AQ29" s="565">
        <v>0</v>
      </c>
      <c r="AR29" s="565">
        <v>0</v>
      </c>
      <c r="AS29" s="546"/>
      <c r="AT29" s="560">
        <f>'e2.2'!U29</f>
        <v>0</v>
      </c>
      <c r="AU29" s="560">
        <f>'e2.2'!M29</f>
        <v>0</v>
      </c>
      <c r="AV29" s="560">
        <f>'e2.2'!O29</f>
        <v>0</v>
      </c>
      <c r="AW29" s="546"/>
      <c r="AX29" s="560">
        <f t="shared" si="28"/>
        <v>0</v>
      </c>
      <c r="AY29" s="560">
        <f t="shared" si="29"/>
        <v>0</v>
      </c>
      <c r="AZ29" s="560">
        <f t="shared" si="30"/>
        <v>0</v>
      </c>
      <c r="BA29" s="578">
        <f t="shared" si="31"/>
        <v>2007</v>
      </c>
      <c r="BB29" s="560">
        <f t="shared" si="32"/>
        <v>0</v>
      </c>
    </row>
    <row r="30" spans="1:58" x14ac:dyDescent="0.2">
      <c r="A30" s="268">
        <f>Intro!C30</f>
        <v>2008</v>
      </c>
      <c r="C30" s="291">
        <f ca="1">'e3.1B'!$I66</f>
        <v>796014.75531730254</v>
      </c>
      <c r="E30" s="291">
        <f ca="1">'e3.2B'!$I66</f>
        <v>829254.9578850473</v>
      </c>
      <c r="G30" s="291">
        <f ca="1">'e3.3A'!$K28</f>
        <v>812418.6501953468</v>
      </c>
      <c r="I30" s="291">
        <f ca="1">'e3.4A'!$K28</f>
        <v>860073.37352683954</v>
      </c>
      <c r="K30" s="291">
        <f ca="1">'e3.5A'!M29</f>
        <v>766269.99000000011</v>
      </c>
      <c r="M30" s="291">
        <f>'e3.1B'!$E66</f>
        <v>766269.99000000011</v>
      </c>
      <c r="O30" s="291">
        <f>'e3.2B'!$E66</f>
        <v>766269.99000000011</v>
      </c>
      <c r="Q30" s="290">
        <f ca="1">'e6.1'!M21</f>
        <v>0</v>
      </c>
      <c r="S30" s="291">
        <f t="shared" ca="1" si="21"/>
        <v>0</v>
      </c>
      <c r="U30" s="302">
        <f t="shared" ca="1" si="17"/>
        <v>766269.99000000011</v>
      </c>
      <c r="W30" s="321">
        <f ca="1">U30/Intro!K30</f>
        <v>7.2255336540924544</v>
      </c>
      <c r="X30" s="699"/>
      <c r="Y30" s="290">
        <f>'e7'!U28</f>
        <v>0</v>
      </c>
      <c r="Z30" s="290">
        <f>'e7'!Y28</f>
        <v>0</v>
      </c>
      <c r="AA30" s="290">
        <f t="shared" si="22"/>
        <v>0</v>
      </c>
      <c r="AB30" s="290">
        <f t="shared" ca="1" si="23"/>
        <v>0</v>
      </c>
      <c r="AC30" s="552" t="b">
        <f t="shared" ca="1" si="9"/>
        <v>1</v>
      </c>
      <c r="AD30" s="290" t="str">
        <f t="shared" ca="1" si="24"/>
        <v/>
      </c>
      <c r="AE30" s="296" t="str">
        <f t="shared" ca="1" si="25"/>
        <v/>
      </c>
      <c r="AF30" s="290">
        <f>'e10.1'!Q31</f>
        <v>0</v>
      </c>
      <c r="AG30" s="290">
        <f ca="1">'e10.1'!U31</f>
        <v>0</v>
      </c>
      <c r="AH30" s="544" t="b">
        <f t="shared" ca="1" si="10"/>
        <v>1</v>
      </c>
      <c r="AJ30" s="304">
        <v>0</v>
      </c>
      <c r="AK30" s="222" t="b">
        <f t="shared" ca="1" si="26"/>
        <v>1</v>
      </c>
      <c r="AM30" s="268">
        <f t="shared" si="27"/>
        <v>2008</v>
      </c>
      <c r="AP30" s="565">
        <v>0</v>
      </c>
      <c r="AQ30" s="565">
        <v>0</v>
      </c>
      <c r="AR30" s="565">
        <v>0</v>
      </c>
      <c r="AS30" s="546"/>
      <c r="AT30" s="560">
        <f>'e2.2'!U30</f>
        <v>0</v>
      </c>
      <c r="AU30" s="560">
        <f>'e2.2'!M30</f>
        <v>0</v>
      </c>
      <c r="AV30" s="560">
        <f>'e2.2'!O30</f>
        <v>0</v>
      </c>
      <c r="AW30" s="546"/>
      <c r="AX30" s="560">
        <f t="shared" si="28"/>
        <v>0</v>
      </c>
      <c r="AY30" s="560">
        <f t="shared" si="29"/>
        <v>0</v>
      </c>
      <c r="AZ30" s="560">
        <f t="shared" si="30"/>
        <v>0</v>
      </c>
      <c r="BA30" s="578">
        <f t="shared" si="31"/>
        <v>2008</v>
      </c>
      <c r="BB30" s="560">
        <f t="shared" si="32"/>
        <v>0</v>
      </c>
    </row>
    <row r="31" spans="1:58" x14ac:dyDescent="0.2">
      <c r="A31" s="268">
        <f>Intro!C31</f>
        <v>2009</v>
      </c>
      <c r="C31" s="291">
        <f ca="1">'e3.1B'!$I67</f>
        <v>1965664.0366146131</v>
      </c>
      <c r="E31" s="291">
        <f ca="1">'e3.2B'!$I67</f>
        <v>1929731.588425579</v>
      </c>
      <c r="G31" s="291">
        <f ca="1">'e3.3A'!$K29</f>
        <v>1938328.14034425</v>
      </c>
      <c r="I31" s="291">
        <f ca="1">'e3.4A'!$K29</f>
        <v>1877584.6599805902</v>
      </c>
      <c r="K31" s="291">
        <f ca="1">'e3.5A'!M30</f>
        <v>1997864.971915989</v>
      </c>
      <c r="M31" s="291">
        <f>'e3.1B'!$E67</f>
        <v>1882294.4700000004</v>
      </c>
      <c r="O31" s="291">
        <f>'e3.2B'!$E67</f>
        <v>1764381.6700000004</v>
      </c>
      <c r="Q31" s="290">
        <f ca="1">'e6.1'!M22</f>
        <v>1</v>
      </c>
      <c r="S31" s="291">
        <f t="shared" ca="1" si="21"/>
        <v>1</v>
      </c>
      <c r="U31" s="304">
        <f ca="1">C31*1+K31*0</f>
        <v>1965664.0366146131</v>
      </c>
      <c r="W31" s="321">
        <f ca="1">U31/Intro!K31</f>
        <v>17.753034814445808</v>
      </c>
      <c r="X31" s="634"/>
      <c r="Y31" s="290">
        <f>'e7'!U29</f>
        <v>1</v>
      </c>
      <c r="Z31" s="290">
        <f>'e7'!Y29</f>
        <v>0</v>
      </c>
      <c r="AA31" s="290">
        <f t="shared" si="22"/>
        <v>117912.80000000005</v>
      </c>
      <c r="AB31" s="290">
        <f t="shared" ca="1" si="23"/>
        <v>83369.566614612704</v>
      </c>
      <c r="AC31" s="552" t="b">
        <f t="shared" ca="1" si="9"/>
        <v>1</v>
      </c>
      <c r="AD31" s="290">
        <f t="shared" ca="1" si="24"/>
        <v>83369.566614612704</v>
      </c>
      <c r="AE31" s="296">
        <f t="shared" ca="1" si="25"/>
        <v>0.70704424468431482</v>
      </c>
      <c r="AF31" s="290">
        <f>'e10.1'!Q32</f>
        <v>11096.880589754135</v>
      </c>
      <c r="AG31" s="290">
        <f ca="1">'e10.1'!U32</f>
        <v>164.65212034573779</v>
      </c>
      <c r="AH31" s="544" t="b">
        <f t="shared" ca="1" si="10"/>
        <v>1</v>
      </c>
      <c r="AJ31" s="304">
        <v>207927</v>
      </c>
      <c r="AK31" s="222" t="b">
        <f t="shared" ca="1" si="26"/>
        <v>1</v>
      </c>
      <c r="AM31" s="268">
        <f t="shared" si="27"/>
        <v>2009</v>
      </c>
      <c r="AP31" s="565">
        <v>0</v>
      </c>
      <c r="AQ31" s="565">
        <v>0</v>
      </c>
      <c r="AR31" s="565">
        <v>0</v>
      </c>
      <c r="AS31" s="546"/>
      <c r="AT31" s="560">
        <f>'e2.2'!U31</f>
        <v>83743.280000000028</v>
      </c>
      <c r="AU31" s="560">
        <f>'e2.2'!M31</f>
        <v>83743.280000000028</v>
      </c>
      <c r="AV31" s="560">
        <f>'e2.2'!O31</f>
        <v>83743.280000000028</v>
      </c>
      <c r="AW31" s="546"/>
      <c r="AX31" s="560">
        <f t="shared" si="28"/>
        <v>83743.280000000028</v>
      </c>
      <c r="AY31" s="560">
        <f t="shared" si="29"/>
        <v>83743.280000000028</v>
      </c>
      <c r="AZ31" s="560">
        <f t="shared" si="30"/>
        <v>83743.280000000028</v>
      </c>
      <c r="BA31" s="578">
        <f t="shared" si="31"/>
        <v>2009</v>
      </c>
      <c r="BB31" s="560">
        <f t="shared" si="32"/>
        <v>325839.80000000005</v>
      </c>
    </row>
    <row r="32" spans="1:58" x14ac:dyDescent="0.2">
      <c r="A32" s="268">
        <f>Intro!C32</f>
        <v>2010</v>
      </c>
      <c r="C32" s="291">
        <f ca="1">'e3.1B'!$I68</f>
        <v>1261183.6996226315</v>
      </c>
      <c r="E32" s="291">
        <f ca="1">'e3.2B'!$I68</f>
        <v>1310324.0072019941</v>
      </c>
      <c r="G32" s="291">
        <f ca="1">'e3.3A'!$K30</f>
        <v>1276048.2764901088</v>
      </c>
      <c r="I32" s="291">
        <f ca="1">'e3.4A'!$K30</f>
        <v>1335441.2718518928</v>
      </c>
      <c r="K32" s="291">
        <f ca="1">'e3.5A'!M31</f>
        <v>1217273.4835112297</v>
      </c>
      <c r="M32" s="291">
        <f>'e3.1B'!$E68</f>
        <v>1200315.5200000003</v>
      </c>
      <c r="O32" s="291">
        <f>'e3.2B'!$E68</f>
        <v>1183179.1900000002</v>
      </c>
      <c r="Q32" s="290">
        <f ca="1">'e6.1'!M23</f>
        <v>1</v>
      </c>
      <c r="S32" s="291">
        <f t="shared" ca="1" si="21"/>
        <v>1</v>
      </c>
      <c r="U32" s="304">
        <f>M32</f>
        <v>1200315.5200000003</v>
      </c>
      <c r="W32" s="321">
        <f>U32/Intro!K32</f>
        <v>9.3612215254243534</v>
      </c>
      <c r="X32" s="634"/>
      <c r="Y32" s="290">
        <f>'e7'!U30</f>
        <v>1</v>
      </c>
      <c r="Z32" s="290">
        <f>'e7'!Y30</f>
        <v>0</v>
      </c>
      <c r="AA32" s="290">
        <f t="shared" si="22"/>
        <v>17136.330000000075</v>
      </c>
      <c r="AB32" s="290">
        <f t="shared" si="23"/>
        <v>0</v>
      </c>
      <c r="AC32" s="552" t="b">
        <f t="shared" si="9"/>
        <v>0</v>
      </c>
      <c r="AD32" s="290">
        <f t="shared" ca="1" si="24"/>
        <v>0</v>
      </c>
      <c r="AE32" s="296">
        <f t="shared" si="25"/>
        <v>0</v>
      </c>
      <c r="AF32" s="290">
        <f>'e10.1'!Q33</f>
        <v>11399.899489678888</v>
      </c>
      <c r="AG32" s="290">
        <f>'e10.1'!U33</f>
        <v>-7426.8121619408485</v>
      </c>
      <c r="AH32" s="544" t="b">
        <f t="shared" si="10"/>
        <v>0</v>
      </c>
      <c r="AJ32" s="304">
        <v>306099.52</v>
      </c>
      <c r="AK32" s="222" t="b">
        <f t="shared" si="26"/>
        <v>1</v>
      </c>
      <c r="AM32" s="268">
        <f t="shared" si="27"/>
        <v>2010</v>
      </c>
      <c r="AP32" s="565">
        <v>0</v>
      </c>
      <c r="AQ32" s="565">
        <v>0</v>
      </c>
      <c r="AR32" s="565">
        <v>0</v>
      </c>
      <c r="AS32" s="546"/>
      <c r="AT32" s="560">
        <f>'e2.2'!U32</f>
        <v>0</v>
      </c>
      <c r="AU32" s="560">
        <f>'e2.2'!M32</f>
        <v>0</v>
      </c>
      <c r="AV32" s="560">
        <f>'e2.2'!O32</f>
        <v>0</v>
      </c>
      <c r="AW32" s="546"/>
      <c r="AX32" s="560">
        <f t="shared" si="28"/>
        <v>0</v>
      </c>
      <c r="AY32" s="560">
        <f t="shared" si="29"/>
        <v>0</v>
      </c>
      <c r="AZ32" s="560">
        <f t="shared" si="30"/>
        <v>0</v>
      </c>
      <c r="BA32" s="578">
        <f t="shared" si="31"/>
        <v>2010</v>
      </c>
      <c r="BB32" s="560">
        <f t="shared" si="32"/>
        <v>323235.85000000009</v>
      </c>
    </row>
    <row r="33" spans="1:54" x14ac:dyDescent="0.2">
      <c r="A33" s="268">
        <f>Intro!C33</f>
        <v>2011</v>
      </c>
      <c r="C33" s="291">
        <f ca="1">'e3.1B'!$I69</f>
        <v>1283565.5853734266</v>
      </c>
      <c r="E33" s="291">
        <f ca="1">'e3.2B'!$I69</f>
        <v>1363143.4531717226</v>
      </c>
      <c r="G33" s="291">
        <f ca="1">'e3.3A'!$K31</f>
        <v>1309892.3692273656</v>
      </c>
      <c r="I33" s="291">
        <f ca="1">'e3.4A'!$K31</f>
        <v>1407070.9416383498</v>
      </c>
      <c r="K33" s="291">
        <f ca="1">'e3.5A'!M32</f>
        <v>1212882.8100000003</v>
      </c>
      <c r="M33" s="291">
        <f>'e3.1B'!$E69</f>
        <v>1212882.8100000003</v>
      </c>
      <c r="O33" s="291">
        <f>'e3.2B'!$E69</f>
        <v>1212882.8100000003</v>
      </c>
      <c r="Q33" s="290">
        <f ca="1">'e6.1'!M24</f>
        <v>0</v>
      </c>
      <c r="S33" s="291">
        <f t="shared" ca="1" si="21"/>
        <v>0</v>
      </c>
      <c r="U33" s="302">
        <f ca="1">K33</f>
        <v>1212882.8100000003</v>
      </c>
      <c r="W33" s="321">
        <f ca="1">U33/Intro!K33</f>
        <v>8.4690019313284868</v>
      </c>
      <c r="X33" s="699"/>
      <c r="Y33" s="290">
        <f>'e7'!U31</f>
        <v>0</v>
      </c>
      <c r="Z33" s="290">
        <f>'e7'!Y31</f>
        <v>0</v>
      </c>
      <c r="AA33" s="290">
        <f t="shared" si="22"/>
        <v>0</v>
      </c>
      <c r="AB33" s="290">
        <f t="shared" ca="1" si="23"/>
        <v>0</v>
      </c>
      <c r="AC33" s="552" t="b">
        <f t="shared" ca="1" si="9"/>
        <v>1</v>
      </c>
      <c r="AD33" s="290" t="str">
        <f t="shared" ca="1" si="24"/>
        <v/>
      </c>
      <c r="AE33" s="296" t="str">
        <f t="shared" ca="1" si="25"/>
        <v/>
      </c>
      <c r="AF33" s="290">
        <f>'e10.1'!Q34</f>
        <v>67.000000000232831</v>
      </c>
      <c r="AG33" s="290">
        <f ca="1">'e10.1'!U34</f>
        <v>67.000000000232831</v>
      </c>
      <c r="AH33" s="544" t="b">
        <f t="shared" ca="1" si="10"/>
        <v>1</v>
      </c>
      <c r="AJ33" s="304">
        <v>0</v>
      </c>
      <c r="AK33" s="222" t="b">
        <f t="shared" ca="1" si="26"/>
        <v>1</v>
      </c>
      <c r="AM33" s="268">
        <f t="shared" si="27"/>
        <v>2011</v>
      </c>
      <c r="AP33" s="565">
        <v>0</v>
      </c>
      <c r="AQ33" s="565">
        <v>0</v>
      </c>
      <c r="AR33" s="565">
        <v>0</v>
      </c>
      <c r="AS33" s="546"/>
      <c r="AT33" s="560">
        <f>'e2.2'!U33</f>
        <v>0</v>
      </c>
      <c r="AU33" s="560">
        <f>'e2.2'!M33</f>
        <v>0</v>
      </c>
      <c r="AV33" s="560">
        <f>'e2.2'!O33</f>
        <v>0</v>
      </c>
      <c r="AW33" s="546"/>
      <c r="AX33" s="560">
        <f t="shared" si="28"/>
        <v>0</v>
      </c>
      <c r="AY33" s="560">
        <f t="shared" si="29"/>
        <v>0</v>
      </c>
      <c r="AZ33" s="560">
        <f t="shared" si="30"/>
        <v>0</v>
      </c>
      <c r="BA33" s="578">
        <f t="shared" si="31"/>
        <v>2011</v>
      </c>
      <c r="BB33" s="560">
        <f t="shared" si="32"/>
        <v>0</v>
      </c>
    </row>
    <row r="34" spans="1:54" x14ac:dyDescent="0.2">
      <c r="A34" s="268">
        <f>Intro!C34</f>
        <v>2012</v>
      </c>
      <c r="C34" s="291">
        <f ca="1">'e3.1B'!$I70</f>
        <v>2060301.9724739122</v>
      </c>
      <c r="E34" s="291">
        <f ca="1">'e3.2B'!$I70</f>
        <v>2204570.199286331</v>
      </c>
      <c r="G34" s="291">
        <f ca="1">'e3.3A'!$K32</f>
        <v>2042123.3598013043</v>
      </c>
      <c r="I34" s="291">
        <f ca="1">'e3.4A'!$K32</f>
        <v>2149853.0156035908</v>
      </c>
      <c r="K34" s="291">
        <f ca="1">'e3.5A'!M33</f>
        <v>1935084.4113207976</v>
      </c>
      <c r="M34" s="291">
        <f>'e3.1B'!$E70</f>
        <v>1930458.7599999993</v>
      </c>
      <c r="O34" s="291">
        <f>'e3.2B'!$E70</f>
        <v>1925803.2599999993</v>
      </c>
      <c r="Q34" s="290">
        <f ca="1">'e6.1'!M25</f>
        <v>1</v>
      </c>
      <c r="S34" s="291">
        <f t="shared" ca="1" si="21"/>
        <v>1</v>
      </c>
      <c r="U34" s="304">
        <f ca="1">G34*0.25 + K34*0.75</f>
        <v>1961844.1484409242</v>
      </c>
      <c r="W34" s="321">
        <f ca="1">U34/Intro!K34</f>
        <v>13.476994405791883</v>
      </c>
      <c r="X34" s="634"/>
      <c r="Y34" s="290">
        <f>'e7'!U32</f>
        <v>1</v>
      </c>
      <c r="Z34" s="290">
        <f>'e7'!Y32</f>
        <v>0</v>
      </c>
      <c r="AA34" s="290">
        <f t="shared" si="22"/>
        <v>4655.5</v>
      </c>
      <c r="AB34" s="290">
        <f t="shared" ca="1" si="23"/>
        <v>31385.388440924929</v>
      </c>
      <c r="AC34" s="552" t="b">
        <f t="shared" ca="1" si="9"/>
        <v>1</v>
      </c>
      <c r="AD34" s="290">
        <f t="shared" ca="1" si="24"/>
        <v>31385.388440924929</v>
      </c>
      <c r="AE34" s="296">
        <f t="shared" ca="1" si="25"/>
        <v>6.7415719989098761</v>
      </c>
      <c r="AF34" s="290">
        <f>'e10.1'!Q35</f>
        <v>963.58184246305427</v>
      </c>
      <c r="AG34" s="290">
        <f ca="1">'e10.1'!U35</f>
        <v>-13852.99105401733</v>
      </c>
      <c r="AH34" s="544" t="b">
        <f t="shared" ca="1" si="10"/>
        <v>0</v>
      </c>
      <c r="AJ34" s="304">
        <v>148275</v>
      </c>
      <c r="AK34" s="222" t="b">
        <f t="shared" ca="1" si="26"/>
        <v>1</v>
      </c>
      <c r="AM34" s="268">
        <f t="shared" si="27"/>
        <v>2012</v>
      </c>
      <c r="AP34" s="565">
        <v>0</v>
      </c>
      <c r="AQ34" s="565">
        <v>0</v>
      </c>
      <c r="AR34" s="565">
        <v>0</v>
      </c>
      <c r="AS34" s="546"/>
      <c r="AT34" s="560">
        <f>'e2.2'!U34</f>
        <v>35000</v>
      </c>
      <c r="AU34" s="560">
        <f>'e2.2'!M34</f>
        <v>0</v>
      </c>
      <c r="AV34" s="560">
        <f>'e2.2'!O34</f>
        <v>0</v>
      </c>
      <c r="AW34" s="546"/>
      <c r="AX34" s="560">
        <f t="shared" si="28"/>
        <v>35000</v>
      </c>
      <c r="AY34" s="560">
        <f t="shared" si="29"/>
        <v>0</v>
      </c>
      <c r="AZ34" s="560">
        <f t="shared" si="30"/>
        <v>0</v>
      </c>
      <c r="BA34" s="578">
        <f t="shared" si="31"/>
        <v>2012</v>
      </c>
      <c r="BB34" s="560">
        <f t="shared" si="32"/>
        <v>152930.5</v>
      </c>
    </row>
    <row r="35" spans="1:54" x14ac:dyDescent="0.2">
      <c r="A35" s="268">
        <f>Intro!C35</f>
        <v>2013</v>
      </c>
      <c r="C35" s="291">
        <f ca="1">'e3.1B'!$I71</f>
        <v>2271250.8747426774</v>
      </c>
      <c r="E35" s="291">
        <f ca="1">'e3.2B'!$I71</f>
        <v>2417448.5593850561</v>
      </c>
      <c r="G35" s="291">
        <f ca="1">'e3.3A'!$K33</f>
        <v>2258297.467794185</v>
      </c>
      <c r="I35" s="291">
        <f ca="1">'e3.4A'!$K33</f>
        <v>2369682.6901313043</v>
      </c>
      <c r="K35" s="291">
        <f ca="1">'e3.5A'!M34</f>
        <v>2149635.4886798779</v>
      </c>
      <c r="M35" s="291">
        <f>'e3.1B'!$E71</f>
        <v>2106047.2399999998</v>
      </c>
      <c r="O35" s="291">
        <f>'e3.2B'!$E71</f>
        <v>2061366.5999999999</v>
      </c>
      <c r="Q35" s="290">
        <f ca="1">'e6.1'!M26</f>
        <v>2</v>
      </c>
      <c r="S35" s="291">
        <f t="shared" ca="1" si="21"/>
        <v>2</v>
      </c>
      <c r="U35" s="364">
        <f ca="1">0.25*C35+0.75*K35</f>
        <v>2180039.3351955777</v>
      </c>
      <c r="W35" s="321">
        <f ca="1">U35/Intro!K35</f>
        <v>13.800468421642558</v>
      </c>
      <c r="X35" s="634"/>
      <c r="Y35" s="290">
        <f>'e7'!U33</f>
        <v>2</v>
      </c>
      <c r="Z35" s="290">
        <f>'e7'!Y33</f>
        <v>0</v>
      </c>
      <c r="AA35" s="290">
        <f t="shared" si="22"/>
        <v>44680.639999999898</v>
      </c>
      <c r="AB35" s="290">
        <f t="shared" ca="1" si="23"/>
        <v>73992.095195577946</v>
      </c>
      <c r="AC35" s="552" t="b">
        <f t="shared" ca="1" si="9"/>
        <v>1</v>
      </c>
      <c r="AD35" s="290">
        <f t="shared" ca="1" si="24"/>
        <v>36996.047597788973</v>
      </c>
      <c r="AE35" s="296">
        <f t="shared" ca="1" si="25"/>
        <v>1.6560213818687046</v>
      </c>
      <c r="AF35" s="290">
        <f>'e10.1'!Q36</f>
        <v>2938.9810553563857</v>
      </c>
      <c r="AG35" s="290">
        <f ca="1">'e10.1'!U36</f>
        <v>2705.0151955783367</v>
      </c>
      <c r="AH35" s="544" t="b">
        <f t="shared" ca="1" si="10"/>
        <v>1</v>
      </c>
      <c r="AJ35" s="304">
        <v>834108</v>
      </c>
      <c r="AK35" s="222" t="b">
        <f t="shared" ca="1" si="26"/>
        <v>1</v>
      </c>
      <c r="AM35" s="268">
        <f t="shared" si="27"/>
        <v>2013</v>
      </c>
      <c r="AP35" s="565">
        <v>0</v>
      </c>
      <c r="AQ35" s="565">
        <v>0</v>
      </c>
      <c r="AR35" s="565">
        <v>0</v>
      </c>
      <c r="AS35" s="546"/>
      <c r="AT35" s="560">
        <f ca="1">'e2.2'!U35</f>
        <v>107945.99851457874</v>
      </c>
      <c r="AU35" s="560">
        <f>'e2.2'!M35</f>
        <v>64795.240000000689</v>
      </c>
      <c r="AV35" s="560">
        <f>'e2.2'!O35</f>
        <v>64795.239999999525</v>
      </c>
      <c r="AW35" s="546"/>
      <c r="AX35" s="560">
        <f t="shared" ca="1" si="28"/>
        <v>107945.99851457874</v>
      </c>
      <c r="AY35" s="560">
        <f t="shared" si="29"/>
        <v>64795.240000000689</v>
      </c>
      <c r="AZ35" s="560">
        <f t="shared" si="30"/>
        <v>64795.239999999525</v>
      </c>
      <c r="BA35" s="578">
        <f t="shared" si="31"/>
        <v>2013</v>
      </c>
      <c r="BB35" s="560">
        <f t="shared" si="32"/>
        <v>878788.6399999999</v>
      </c>
    </row>
    <row r="36" spans="1:54" x14ac:dyDescent="0.2">
      <c r="A36" s="268">
        <f>Intro!C36</f>
        <v>2014</v>
      </c>
      <c r="C36" s="291">
        <f ca="1">'e3.1B'!$I72</f>
        <v>2559938.962407351</v>
      </c>
      <c r="E36" s="291">
        <f ca="1">'e3.2B'!$I72</f>
        <v>2836352.6808522204</v>
      </c>
      <c r="G36" s="291">
        <f ca="1">'e3.3A'!$K34</f>
        <v>2560371.4687016327</v>
      </c>
      <c r="I36" s="291">
        <f ca="1">'e3.4A'!$K34</f>
        <v>2789111.6640503989</v>
      </c>
      <c r="K36" s="291">
        <f ca="1">'e3.5A'!M35</f>
        <v>2342502.8100000005</v>
      </c>
      <c r="M36" s="291">
        <f>'e3.1B'!$E72</f>
        <v>2342502.8100000005</v>
      </c>
      <c r="O36" s="291">
        <f>'e3.2B'!$E72</f>
        <v>2342502.8100000005</v>
      </c>
      <c r="Q36" s="290">
        <f ca="1">'e6.1'!M27</f>
        <v>0</v>
      </c>
      <c r="S36" s="291">
        <f t="shared" ca="1" si="21"/>
        <v>0</v>
      </c>
      <c r="U36" s="364">
        <f ca="1">K36</f>
        <v>2342502.8100000005</v>
      </c>
      <c r="W36" s="321">
        <f ca="1">U36/Intro!K36</f>
        <v>12.832380184419339</v>
      </c>
      <c r="X36" s="699"/>
      <c r="Y36" s="290">
        <f>'e7'!U34</f>
        <v>0</v>
      </c>
      <c r="Z36" s="290">
        <f>'e7'!Y34</f>
        <v>0</v>
      </c>
      <c r="AA36" s="290">
        <f t="shared" si="22"/>
        <v>0</v>
      </c>
      <c r="AB36" s="290">
        <f t="shared" ca="1" si="23"/>
        <v>0</v>
      </c>
      <c r="AC36" s="552" t="b">
        <f t="shared" ca="1" si="9"/>
        <v>1</v>
      </c>
      <c r="AD36" s="290" t="str">
        <f t="shared" ca="1" si="24"/>
        <v/>
      </c>
      <c r="AE36" s="296" t="str">
        <f t="shared" ca="1" si="25"/>
        <v/>
      </c>
      <c r="AF36" s="290">
        <f>'e10.1'!Q37</f>
        <v>173.70000000065193</v>
      </c>
      <c r="AG36" s="290">
        <f ca="1">'e10.1'!U37</f>
        <v>173.70000000065193</v>
      </c>
      <c r="AH36" s="544" t="b">
        <f t="shared" ca="1" si="10"/>
        <v>1</v>
      </c>
      <c r="AJ36" s="304">
        <v>0</v>
      </c>
      <c r="AK36" s="222" t="b">
        <f t="shared" ca="1" si="26"/>
        <v>1</v>
      </c>
      <c r="AM36" s="268">
        <f t="shared" si="27"/>
        <v>2014</v>
      </c>
      <c r="AP36" s="565">
        <v>0</v>
      </c>
      <c r="AQ36" s="565">
        <v>0</v>
      </c>
      <c r="AR36" s="565">
        <v>0</v>
      </c>
      <c r="AS36" s="546"/>
      <c r="AT36" s="560">
        <f>'e2.2'!U36</f>
        <v>0</v>
      </c>
      <c r="AU36" s="560">
        <f>'e2.2'!M36</f>
        <v>0</v>
      </c>
      <c r="AV36" s="560">
        <f>'e2.2'!O36</f>
        <v>0</v>
      </c>
      <c r="AW36" s="546"/>
      <c r="AX36" s="560">
        <f t="shared" si="28"/>
        <v>0</v>
      </c>
      <c r="AY36" s="560">
        <f t="shared" si="29"/>
        <v>0</v>
      </c>
      <c r="AZ36" s="560">
        <f t="shared" si="30"/>
        <v>0</v>
      </c>
      <c r="BA36" s="578">
        <f t="shared" si="31"/>
        <v>2014</v>
      </c>
      <c r="BB36" s="560">
        <f t="shared" si="32"/>
        <v>0</v>
      </c>
    </row>
    <row r="37" spans="1:54" x14ac:dyDescent="0.2">
      <c r="A37" s="268">
        <f>Intro!C37</f>
        <v>2015</v>
      </c>
      <c r="C37" s="291">
        <f ca="1">'e3.1B'!$I73</f>
        <v>3627506.6580092385</v>
      </c>
      <c r="E37" s="291">
        <f ca="1">'e3.2B'!$I73</f>
        <v>3568260.6026782035</v>
      </c>
      <c r="G37" s="291">
        <f ca="1">'e3.3A'!$K35</f>
        <v>3534571.9273547782</v>
      </c>
      <c r="I37" s="291">
        <f ca="1">'e3.4A'!$K35</f>
        <v>3390352.7106485246</v>
      </c>
      <c r="K37" s="291">
        <f ca="1">'e3.5A'!M36</f>
        <v>3671961.2529721055</v>
      </c>
      <c r="M37" s="291">
        <f>'e3.1B'!$E73</f>
        <v>3251678.2500000009</v>
      </c>
      <c r="O37" s="291">
        <f>'e3.2B'!$E73</f>
        <v>2810502.1600000011</v>
      </c>
      <c r="Q37" s="290">
        <f ca="1">'e6.1'!M28</f>
        <v>4</v>
      </c>
      <c r="S37" s="291">
        <f t="shared" ca="1" si="21"/>
        <v>4</v>
      </c>
      <c r="U37" s="379">
        <f ca="1">0.5*C37+0.5*G37</f>
        <v>3581039.2926820084</v>
      </c>
      <c r="W37" s="321">
        <f ca="1">U37/Intro!K37</f>
        <v>18.185978444781963</v>
      </c>
      <c r="X37" s="634"/>
      <c r="Y37" s="290">
        <f>'e7'!U35</f>
        <v>4</v>
      </c>
      <c r="Z37" s="290">
        <f>'e7'!Y35</f>
        <v>0</v>
      </c>
      <c r="AA37" s="290">
        <f t="shared" si="22"/>
        <v>441176.08999999985</v>
      </c>
      <c r="AB37" s="290">
        <f t="shared" ca="1" si="23"/>
        <v>329361.04268200742</v>
      </c>
      <c r="AC37" s="552" t="b">
        <f t="shared" ca="1" si="9"/>
        <v>1</v>
      </c>
      <c r="AD37" s="290">
        <f t="shared" ca="1" si="24"/>
        <v>82340.260670501855</v>
      </c>
      <c r="AE37" s="296">
        <f t="shared" ca="1" si="25"/>
        <v>0.74655234077170307</v>
      </c>
      <c r="AF37" s="290">
        <f>'e10.1'!Q38</f>
        <v>-76539.176384891529</v>
      </c>
      <c r="AG37" s="290">
        <f ca="1">'e10.1'!U38</f>
        <v>-87947.652353886049</v>
      </c>
      <c r="AH37" s="544" t="b">
        <f t="shared" ca="1" si="10"/>
        <v>1</v>
      </c>
      <c r="AJ37" s="304">
        <v>854512.35</v>
      </c>
      <c r="AK37" s="222" t="b">
        <f t="shared" ca="1" si="26"/>
        <v>1</v>
      </c>
      <c r="AM37" s="268">
        <f t="shared" si="27"/>
        <v>2015</v>
      </c>
      <c r="AP37" s="565">
        <v>0</v>
      </c>
      <c r="AQ37" s="565">
        <v>0</v>
      </c>
      <c r="AR37" s="565">
        <v>0</v>
      </c>
      <c r="AS37" s="546"/>
      <c r="AT37" s="560">
        <f ca="1">'e2.2'!U37</f>
        <v>95278.348827948561</v>
      </c>
      <c r="AU37" s="560">
        <f>'e2.2'!M37</f>
        <v>0</v>
      </c>
      <c r="AV37" s="560">
        <f>'e2.2'!O37</f>
        <v>0</v>
      </c>
      <c r="AW37" s="546"/>
      <c r="AX37" s="560">
        <f t="shared" ca="1" si="28"/>
        <v>95278.348827948561</v>
      </c>
      <c r="AY37" s="560">
        <f t="shared" si="29"/>
        <v>0</v>
      </c>
      <c r="AZ37" s="560">
        <f t="shared" si="30"/>
        <v>0</v>
      </c>
      <c r="BA37" s="578">
        <f t="shared" si="31"/>
        <v>2015</v>
      </c>
      <c r="BB37" s="560">
        <f t="shared" si="32"/>
        <v>1295688.44</v>
      </c>
    </row>
    <row r="38" spans="1:54" x14ac:dyDescent="0.2">
      <c r="A38" s="268">
        <f>Intro!C38</f>
        <v>2016</v>
      </c>
      <c r="C38" s="291">
        <f ca="1">'e3.1B'!$I74</f>
        <v>3070978.6992080957</v>
      </c>
      <c r="E38" s="291">
        <f ca="1">'e3.2B'!$I74</f>
        <v>3399607.7416125936</v>
      </c>
      <c r="G38" s="291">
        <f ca="1">'e3.3A'!$K36</f>
        <v>3097471.5187295564</v>
      </c>
      <c r="I38" s="291">
        <f ca="1">'e3.4A'!$K36</f>
        <v>3359194.0604001982</v>
      </c>
      <c r="K38" s="291">
        <f ca="1">'e3.5A'!M37</f>
        <v>2818978.9574630912</v>
      </c>
      <c r="M38" s="291">
        <f>'e3.1B'!$E74</f>
        <v>2628716.9900000021</v>
      </c>
      <c r="O38" s="291">
        <f>'e3.2B'!$E74</f>
        <v>2449912.0500000017</v>
      </c>
      <c r="Q38" s="290">
        <f ca="1">'e6.1'!M29</f>
        <v>7</v>
      </c>
      <c r="S38" s="291">
        <f t="shared" ca="1" si="21"/>
        <v>7</v>
      </c>
      <c r="U38" s="379">
        <f ca="1">G38</f>
        <v>3097471.5187295564</v>
      </c>
      <c r="W38" s="321">
        <f ca="1">U38/Intro!K38</f>
        <v>13.959202970856762</v>
      </c>
      <c r="X38" s="422"/>
      <c r="Y38" s="290">
        <f>'e7'!U36</f>
        <v>8</v>
      </c>
      <c r="Z38" s="290">
        <f>'e7'!Y36</f>
        <v>0</v>
      </c>
      <c r="AA38" s="290">
        <f t="shared" si="22"/>
        <v>178804.94000000041</v>
      </c>
      <c r="AB38" s="290">
        <f t="shared" ca="1" si="23"/>
        <v>468754.52872955427</v>
      </c>
      <c r="AC38" s="552" t="b">
        <f t="shared" ca="1" si="9"/>
        <v>1</v>
      </c>
      <c r="AD38" s="290">
        <f t="shared" ca="1" si="24"/>
        <v>66964.932675650605</v>
      </c>
      <c r="AE38" s="296">
        <f t="shared" ca="1" si="25"/>
        <v>2.6215971926142152</v>
      </c>
      <c r="AF38" s="290">
        <f>'e10.1'!Q39</f>
        <v>106059.91589125736</v>
      </c>
      <c r="AG38" s="290">
        <f ca="1">'e10.1'!U39</f>
        <v>91741.755899058655</v>
      </c>
      <c r="AH38" s="544" t="b">
        <f t="shared" ca="1" si="10"/>
        <v>1</v>
      </c>
      <c r="AJ38" s="304">
        <v>4955793.43</v>
      </c>
      <c r="AK38" s="222" t="b">
        <f t="shared" ca="1" si="26"/>
        <v>1</v>
      </c>
      <c r="AM38" s="268">
        <f t="shared" si="27"/>
        <v>2016</v>
      </c>
      <c r="AP38" s="565">
        <v>0</v>
      </c>
      <c r="AQ38" s="565">
        <v>0</v>
      </c>
      <c r="AR38" s="565">
        <v>0</v>
      </c>
      <c r="AS38" s="546"/>
      <c r="AT38" s="560">
        <f ca="1">'e2.2'!U38</f>
        <v>101070.53576230325</v>
      </c>
      <c r="AU38" s="560">
        <f>'e2.2'!M38</f>
        <v>0</v>
      </c>
      <c r="AV38" s="560">
        <f>'e2.2'!O38</f>
        <v>0</v>
      </c>
      <c r="AW38" s="546"/>
      <c r="AX38" s="560">
        <f t="shared" ca="1" si="28"/>
        <v>101070.53576230325</v>
      </c>
      <c r="AY38" s="560">
        <f t="shared" si="29"/>
        <v>0</v>
      </c>
      <c r="AZ38" s="560">
        <f t="shared" si="30"/>
        <v>0</v>
      </c>
      <c r="BA38" s="578">
        <f t="shared" si="31"/>
        <v>2016</v>
      </c>
      <c r="BB38" s="560">
        <f t="shared" si="32"/>
        <v>5134598.37</v>
      </c>
    </row>
    <row r="39" spans="1:54" x14ac:dyDescent="0.2">
      <c r="A39" s="268">
        <f>Intro!C39</f>
        <v>2017</v>
      </c>
      <c r="C39" s="291">
        <f ca="1">'e3.1B'!$I75</f>
        <v>3292598.379296321</v>
      </c>
      <c r="E39" s="291">
        <f ca="1">'e3.2B'!$I75</f>
        <v>3719059.347323318</v>
      </c>
      <c r="G39" s="291">
        <f ca="1">'e3.3A'!$K37</f>
        <v>3447882.2158604558</v>
      </c>
      <c r="I39" s="291">
        <f ca="1">'e3.4A'!$K37</f>
        <v>3835558.3706902741</v>
      </c>
      <c r="K39" s="291">
        <f ca="1">'e3.5A'!M38</f>
        <v>2980293.8715911098</v>
      </c>
      <c r="M39" s="291">
        <f>'e3.1B'!$E75</f>
        <v>2585441.4500000016</v>
      </c>
      <c r="O39" s="291">
        <f>'e3.2B'!$E75</f>
        <v>2258070.4400000018</v>
      </c>
      <c r="Q39" s="291">
        <f ca="1">'e6.1'!M30</f>
        <v>6</v>
      </c>
      <c r="S39" s="291">
        <f t="shared" ca="1" si="21"/>
        <v>6</v>
      </c>
      <c r="U39" s="379">
        <f ca="1">G39</f>
        <v>3447882.2158604558</v>
      </c>
      <c r="W39" s="321">
        <f ca="1">U39/Intro!K39</f>
        <v>11.212272504945737</v>
      </c>
      <c r="X39" s="422"/>
      <c r="Y39" s="290">
        <f>'e7'!U37</f>
        <v>9</v>
      </c>
      <c r="Z39" s="290">
        <f>'e7'!Y37</f>
        <v>0</v>
      </c>
      <c r="AA39" s="290">
        <f t="shared" si="22"/>
        <v>327371.00999999978</v>
      </c>
      <c r="AB39" s="290">
        <f t="shared" ca="1" si="23"/>
        <v>862440.76586045418</v>
      </c>
      <c r="AC39" s="552" t="b">
        <f t="shared" ca="1" si="9"/>
        <v>1</v>
      </c>
      <c r="AD39" s="290">
        <f t="shared" ca="1" si="24"/>
        <v>143740.12764340904</v>
      </c>
      <c r="AE39" s="296">
        <f t="shared" ca="1" si="25"/>
        <v>2.6344445278170929</v>
      </c>
      <c r="AF39" s="290">
        <f>'e10.1'!Q40</f>
        <v>100924.58565593668</v>
      </c>
      <c r="AG39" s="290">
        <f ca="1">'e10.1'!U40</f>
        <v>92969.622658407781</v>
      </c>
      <c r="AH39" s="544" t="b">
        <f t="shared" ca="1" si="10"/>
        <v>1</v>
      </c>
      <c r="AJ39" s="304">
        <v>5943208.29</v>
      </c>
      <c r="AK39" s="222" t="b">
        <f t="shared" ca="1" si="26"/>
        <v>1</v>
      </c>
      <c r="AM39" s="268">
        <f t="shared" si="27"/>
        <v>2017</v>
      </c>
      <c r="AP39" s="565">
        <v>0</v>
      </c>
      <c r="AQ39" s="565">
        <v>0</v>
      </c>
      <c r="AR39" s="565">
        <v>0</v>
      </c>
      <c r="AS39" s="546"/>
      <c r="AT39" s="560">
        <f ca="1">'e2.2'!U39</f>
        <v>157976.96184336001</v>
      </c>
      <c r="AU39" s="560">
        <f>'e2.2'!M39</f>
        <v>0</v>
      </c>
      <c r="AV39" s="560">
        <f>'e2.2'!O39</f>
        <v>0</v>
      </c>
      <c r="AW39" s="546"/>
      <c r="AX39" s="560">
        <f t="shared" ca="1" si="28"/>
        <v>157976.96184336001</v>
      </c>
      <c r="AY39" s="560">
        <f t="shared" si="29"/>
        <v>0</v>
      </c>
      <c r="AZ39" s="560">
        <f t="shared" si="30"/>
        <v>0</v>
      </c>
      <c r="BA39" s="578">
        <f t="shared" si="31"/>
        <v>2017</v>
      </c>
      <c r="BB39" s="560">
        <f t="shared" si="32"/>
        <v>6270579.2999999998</v>
      </c>
    </row>
    <row r="40" spans="1:54" x14ac:dyDescent="0.2">
      <c r="A40" s="268">
        <f>Intro!C40</f>
        <v>2018</v>
      </c>
      <c r="C40" s="291">
        <f ca="1">'e3.1B'!$I76</f>
        <v>9423140.706474971</v>
      </c>
      <c r="E40" s="291">
        <f ca="1">'e3.2B'!$I76</f>
        <v>10451512.251885835</v>
      </c>
      <c r="G40" s="291">
        <f ca="1">'e3.3A'!$K38</f>
        <v>9213643.9481970221</v>
      </c>
      <c r="I40" s="291">
        <f ca="1">'e3.4A'!$K38</f>
        <v>9508757.4604399018</v>
      </c>
      <c r="K40" s="291">
        <f ca="1">'e3.5A'!M39</f>
        <v>8690029.442170551</v>
      </c>
      <c r="M40" s="291">
        <f>'e3.1B'!$E76</f>
        <v>5817996.7700000023</v>
      </c>
      <c r="O40" s="291">
        <f>'e3.2B'!$E76</f>
        <v>4199295.1499999976</v>
      </c>
      <c r="Q40" s="291">
        <f ca="1">'e6.1'!M31</f>
        <v>42</v>
      </c>
      <c r="S40" s="291">
        <f t="shared" ca="1" si="21"/>
        <v>42</v>
      </c>
      <c r="U40" s="379">
        <f ca="1">0.75*G40+0.25*I40</f>
        <v>9287422.3262577429</v>
      </c>
      <c r="W40" s="321">
        <f ca="1">U40/Intro!K40</f>
        <v>17.298354985133759</v>
      </c>
      <c r="X40" s="422"/>
      <c r="Y40" s="290">
        <f>'e7'!U38</f>
        <v>61</v>
      </c>
      <c r="Z40" s="290">
        <f>'e7'!Y38</f>
        <v>0</v>
      </c>
      <c r="AA40" s="290">
        <f t="shared" si="22"/>
        <v>1618701.6200000048</v>
      </c>
      <c r="AB40" s="290">
        <f t="shared" ca="1" si="23"/>
        <v>3469425.5562577406</v>
      </c>
      <c r="AC40" s="552" t="b">
        <f t="shared" ca="1" si="9"/>
        <v>1</v>
      </c>
      <c r="AD40" s="290">
        <f t="shared" ca="1" si="24"/>
        <v>82605.37038708906</v>
      </c>
      <c r="AE40" s="296">
        <f t="shared" ca="1" si="25"/>
        <v>2.1433385334214532</v>
      </c>
      <c r="AF40" s="290">
        <f>'e10.1'!Q41</f>
        <v>-188089.00987929059</v>
      </c>
      <c r="AG40" s="290">
        <f ca="1">'e10.1'!U41</f>
        <v>-25428.385847449303</v>
      </c>
      <c r="AH40" s="544" t="b">
        <f t="shared" ca="1" si="10"/>
        <v>1</v>
      </c>
      <c r="AJ40" s="304">
        <v>27043306.34</v>
      </c>
      <c r="AK40" s="222" t="b">
        <f t="shared" ca="1" si="26"/>
        <v>1</v>
      </c>
      <c r="AM40" s="268">
        <f t="shared" si="27"/>
        <v>2018</v>
      </c>
      <c r="AP40" s="565">
        <v>0</v>
      </c>
      <c r="AQ40" s="565">
        <v>0</v>
      </c>
      <c r="AR40" s="565">
        <v>0</v>
      </c>
      <c r="AS40" s="546"/>
      <c r="AT40" s="560">
        <f ca="1">'e2.2'!U40</f>
        <v>649880.95355622564</v>
      </c>
      <c r="AU40" s="560">
        <f>'e2.2'!M40</f>
        <v>0</v>
      </c>
      <c r="AV40" s="560">
        <f>'e2.2'!O40</f>
        <v>0</v>
      </c>
      <c r="AW40" s="546"/>
      <c r="AX40" s="560">
        <f t="shared" ca="1" si="28"/>
        <v>649880.95355622564</v>
      </c>
      <c r="AY40" s="560">
        <f t="shared" si="29"/>
        <v>0</v>
      </c>
      <c r="AZ40" s="560">
        <f t="shared" si="30"/>
        <v>0</v>
      </c>
      <c r="BA40" s="578">
        <f t="shared" si="31"/>
        <v>2018</v>
      </c>
      <c r="BB40" s="560">
        <f t="shared" si="32"/>
        <v>28662007.960000005</v>
      </c>
    </row>
    <row r="41" spans="1:54" x14ac:dyDescent="0.2">
      <c r="A41" s="268">
        <f>Intro!C41</f>
        <v>2019</v>
      </c>
      <c r="C41" s="292">
        <f ca="1">'e3.1B'!$I77</f>
        <v>5789765.0702531738</v>
      </c>
      <c r="E41" s="292">
        <f ca="1">'e3.2B'!$I77</f>
        <v>8591986.0959810279</v>
      </c>
      <c r="G41" s="292">
        <f ca="1">'e3.3A'!$K39</f>
        <v>8221979.4229797674</v>
      </c>
      <c r="I41" s="292">
        <f ca="1">'e3.4A'!$K39</f>
        <v>8877583.1106148027</v>
      </c>
      <c r="K41" s="292">
        <f ca="1">'e3.5A'!M40</f>
        <v>4706770.8655288927</v>
      </c>
      <c r="M41" s="292">
        <f>'e3.1B'!$E77</f>
        <v>1261811.2200000007</v>
      </c>
      <c r="O41" s="292">
        <f>'e3.2B'!$E77</f>
        <v>619309.30000000005</v>
      </c>
      <c r="Q41" s="292">
        <f ca="1">'e6.1'!M32</f>
        <v>79</v>
      </c>
      <c r="S41" s="292">
        <f t="shared" ca="1" si="21"/>
        <v>79</v>
      </c>
      <c r="U41" s="380">
        <f ca="1">0.5*G41+0.5*I41</f>
        <v>8549781.2667972855</v>
      </c>
      <c r="W41" s="298">
        <f ca="1">U41/Intro!K41</f>
        <v>15.741591283917812</v>
      </c>
      <c r="X41" s="422"/>
      <c r="Y41" s="292">
        <f>'e7'!U39</f>
        <v>114</v>
      </c>
      <c r="Z41" s="292">
        <f>'e7'!Y39</f>
        <v>0</v>
      </c>
      <c r="AA41" s="292">
        <f t="shared" si="22"/>
        <v>642501.92000000062</v>
      </c>
      <c r="AB41" s="279">
        <f ca="1">U41-M41-'e3.3A'!C39*Intro!AA43</f>
        <v>3579733.3835594044</v>
      </c>
      <c r="AC41" s="553" t="b">
        <f t="shared" ca="1" si="9"/>
        <v>1</v>
      </c>
      <c r="AD41" s="292">
        <f t="shared" ca="1" si="24"/>
        <v>45313.08080454942</v>
      </c>
      <c r="AE41" s="383">
        <f t="shared" ca="1" si="25"/>
        <v>5.5715528189540677</v>
      </c>
      <c r="AF41" s="292">
        <f>'e10.1'!Q42</f>
        <v>-752463.52085706149</v>
      </c>
      <c r="AG41" s="292">
        <f ca="1">'e10.1'!U42</f>
        <v>-559516.63111741096</v>
      </c>
      <c r="AH41" s="544" t="b">
        <f t="shared" ca="1" si="10"/>
        <v>1</v>
      </c>
      <c r="AJ41" s="304">
        <v>55859965.800000004</v>
      </c>
      <c r="AK41" s="222" t="b">
        <f t="shared" ca="1" si="26"/>
        <v>1</v>
      </c>
      <c r="AM41" s="268">
        <f t="shared" si="27"/>
        <v>2019</v>
      </c>
      <c r="AP41" s="566">
        <v>0</v>
      </c>
      <c r="AQ41" s="566">
        <v>0</v>
      </c>
      <c r="AR41" s="566">
        <v>0</v>
      </c>
      <c r="AS41" s="546"/>
      <c r="AT41" s="562">
        <f ca="1">'e2.2'!U41</f>
        <v>899578.17834159406</v>
      </c>
      <c r="AU41" s="562">
        <f>'e2.2'!M41</f>
        <v>0</v>
      </c>
      <c r="AV41" s="562">
        <f>'e2.2'!O41</f>
        <v>0</v>
      </c>
      <c r="AW41" s="546"/>
      <c r="AX41" s="562">
        <f t="shared" ca="1" si="28"/>
        <v>899578.17834159406</v>
      </c>
      <c r="AY41" s="562">
        <f t="shared" si="29"/>
        <v>0</v>
      </c>
      <c r="AZ41" s="562">
        <f t="shared" si="30"/>
        <v>0</v>
      </c>
      <c r="BA41" s="578">
        <f t="shared" si="31"/>
        <v>2019</v>
      </c>
      <c r="BB41" s="560">
        <f t="shared" si="32"/>
        <v>56502467.720000006</v>
      </c>
    </row>
    <row r="42" spans="1:54" x14ac:dyDescent="0.2">
      <c r="AE42" s="296"/>
      <c r="AP42" s="546"/>
      <c r="AQ42" s="546"/>
      <c r="AR42" s="546"/>
      <c r="AS42" s="546"/>
      <c r="AT42" s="546"/>
      <c r="AU42" s="546"/>
      <c r="AV42" s="546"/>
      <c r="AW42" s="546"/>
      <c r="AX42" s="546"/>
      <c r="AY42" s="546"/>
      <c r="AZ42" s="546"/>
      <c r="BA42" s="546"/>
      <c r="BB42" s="546"/>
    </row>
    <row r="43" spans="1:54" x14ac:dyDescent="0.2">
      <c r="A43" s="342" t="s">
        <v>78</v>
      </c>
      <c r="C43" s="289">
        <f ca="1">SUM(C18:C41)</f>
        <v>58994687.119864427</v>
      </c>
      <c r="E43" s="289">
        <f ca="1">SUM(E18:E41)</f>
        <v>64107563.064127281</v>
      </c>
      <c r="G43" s="289">
        <f ca="1">SUM(G18:G41)</f>
        <v>61208496.535694413</v>
      </c>
      <c r="I43" s="289">
        <f ca="1">SUM(I18:I41)</f>
        <v>63035545.697119027</v>
      </c>
      <c r="K43" s="289">
        <f ca="1">SUM(K18:K41)</f>
        <v>56171372.733223751</v>
      </c>
      <c r="M43" s="289">
        <f>SUM(M18:M41)</f>
        <v>48349071.600000001</v>
      </c>
      <c r="O43" s="289">
        <f>SUM(O18:O41)</f>
        <v>44580245.780000009</v>
      </c>
      <c r="Q43" s="290">
        <f ca="1">SUM(Q18:Q41)</f>
        <v>156</v>
      </c>
      <c r="S43" s="290">
        <f ca="1">SUM(S18:S41)</f>
        <v>150</v>
      </c>
      <c r="U43" s="289">
        <f ca="1">SUM(U18:U41)</f>
        <v>61126301.680981532</v>
      </c>
      <c r="W43" s="321">
        <f ca="1">U43/Intro!K45</f>
        <v>15.686964866465051</v>
      </c>
      <c r="Y43" s="290">
        <f>SUM(Y18:Y41)</f>
        <v>214</v>
      </c>
      <c r="Z43" s="290">
        <f>SUM(Z18:Z41)</f>
        <v>6</v>
      </c>
      <c r="AA43" s="290">
        <f t="shared" ref="AA43:AG43" si="33">SUM(AA18:AA41)</f>
        <v>3768825.820000005</v>
      </c>
      <c r="AB43" s="290">
        <f t="shared" ca="1" si="33"/>
        <v>9068993.4177436456</v>
      </c>
      <c r="AC43" s="344"/>
      <c r="AD43" s="290">
        <f ca="1">IFERROR(AB43/S43, "")</f>
        <v>60459.956118290967</v>
      </c>
      <c r="AE43" s="296">
        <f ca="1">IFERROR(AB43/AA43, "")</f>
        <v>2.4063180021791597</v>
      </c>
      <c r="AF43" s="290">
        <f t="shared" si="33"/>
        <v>-787876.2259640363</v>
      </c>
      <c r="AG43" s="290">
        <f t="shared" ca="1" si="33"/>
        <v>-511821.22704117303</v>
      </c>
      <c r="AH43" s="290"/>
      <c r="AP43" s="560">
        <f>SUM(AP18:AP41)</f>
        <v>1023387.4679247127</v>
      </c>
      <c r="AQ43" s="560">
        <f>SUM(AQ18:AQ41)</f>
        <v>894155.38999999966</v>
      </c>
      <c r="AR43" s="560">
        <f>SUM(AR18:AR41)</f>
        <v>679923.39999999991</v>
      </c>
      <c r="AS43" s="546"/>
      <c r="AT43" s="560">
        <f ca="1">SUM(AT18:AT41)</f>
        <v>8381554.3356388398</v>
      </c>
      <c r="AU43" s="560">
        <f>SUM(AU18:AU41)</f>
        <v>5638094.8400000017</v>
      </c>
      <c r="AV43" s="560">
        <f>SUM(AV18:AV41)</f>
        <v>4320955.3000000007</v>
      </c>
      <c r="AW43" s="546"/>
      <c r="AX43" s="560">
        <f ca="1">SUM(AX18:AX41)</f>
        <v>9404941.803563552</v>
      </c>
      <c r="AY43" s="560">
        <f>SUM(AY18:AY41)</f>
        <v>6532250.2300000004</v>
      </c>
      <c r="AZ43" s="560">
        <f>SUM(AZ18:AZ41)</f>
        <v>5000878.7000000011</v>
      </c>
      <c r="BA43" s="546"/>
      <c r="BB43" s="546"/>
    </row>
    <row r="44" spans="1:54" x14ac:dyDescent="0.2">
      <c r="AP44" s="546"/>
      <c r="AQ44" s="546"/>
      <c r="AR44" s="546"/>
      <c r="AS44" s="546"/>
      <c r="AT44" s="546"/>
      <c r="AU44" s="546"/>
      <c r="AV44" s="546"/>
      <c r="AW44" s="546"/>
      <c r="AX44" s="546"/>
      <c r="AY44" s="546"/>
      <c r="AZ44" s="546"/>
      <c r="BA44" s="546"/>
      <c r="BB44" s="546"/>
    </row>
    <row r="45" spans="1:54" x14ac:dyDescent="0.2">
      <c r="A45" s="268">
        <f>A41+1</f>
        <v>2020</v>
      </c>
      <c r="U45" s="381">
        <f ca="1">'e4.2'!Q42</f>
        <v>9253845.2613235246</v>
      </c>
      <c r="W45" s="321">
        <f ca="1">U45/Intro!K51</f>
        <v>16.541642725380203</v>
      </c>
      <c r="AA45" s="416" t="s">
        <v>602</v>
      </c>
      <c r="AB45" s="301"/>
      <c r="AC45" s="363"/>
      <c r="AM45" s="275">
        <f>A45</f>
        <v>2020</v>
      </c>
      <c r="AP45" s="565">
        <v>0</v>
      </c>
      <c r="AQ45" s="565">
        <v>0</v>
      </c>
      <c r="AR45" s="565">
        <v>0</v>
      </c>
      <c r="AS45" s="546"/>
      <c r="AT45" s="560">
        <f ca="1">'e2.2'!U45</f>
        <v>1054584.3804619629</v>
      </c>
      <c r="AU45" s="567">
        <v>0</v>
      </c>
      <c r="AV45" s="567">
        <v>0</v>
      </c>
      <c r="AW45" s="546"/>
      <c r="AX45" s="568">
        <f ca="1">AP45+AT45</f>
        <v>1054584.3804619629</v>
      </c>
      <c r="AY45" s="568">
        <f>AQ45+AU45</f>
        <v>0</v>
      </c>
      <c r="AZ45" s="568">
        <f>AR45+AV45</f>
        <v>0</v>
      </c>
      <c r="BA45" s="546"/>
      <c r="BB45" s="546"/>
    </row>
    <row r="46" spans="1:54" x14ac:dyDescent="0.2">
      <c r="AA46" s="412" t="s">
        <v>601</v>
      </c>
      <c r="AB46" s="252">
        <f ca="1">SUM(AA43:AB43) / Q43</f>
        <v>82293.713062459297</v>
      </c>
      <c r="AC46" s="344"/>
    </row>
    <row r="47" spans="1:54" x14ac:dyDescent="0.2">
      <c r="AA47" s="417" t="s">
        <v>603</v>
      </c>
      <c r="AB47" s="252">
        <f ca="1">SUM(AA27:AB39) / SUM(Q27:Q39)</f>
        <v>135501.84988741507</v>
      </c>
      <c r="AC47" s="344"/>
    </row>
    <row r="48" spans="1:54" x14ac:dyDescent="0.2">
      <c r="A48" s="327" t="s">
        <v>83</v>
      </c>
      <c r="AA48" s="418" t="s">
        <v>605</v>
      </c>
      <c r="AB48" s="252">
        <f ca="1">SUM(AA30:AB37) / SUM(Q30:Q37)</f>
        <v>127074.38365923587</v>
      </c>
      <c r="AC48" s="344"/>
    </row>
    <row r="49" spans="1:29" x14ac:dyDescent="0.2">
      <c r="A49" s="327" t="s">
        <v>578</v>
      </c>
      <c r="L49" s="327" t="str">
        <f>"Columns (6) and (7) are provided by "&amp;client&amp;"."</f>
        <v>Columns (6) and (7) are provided by CLIENT XYZ.</v>
      </c>
      <c r="AA49" s="418" t="s">
        <v>604</v>
      </c>
      <c r="AB49" s="252">
        <f ca="1">SUM(AA29:AB38) / SUM(Q29:Q38)</f>
        <v>111951.80760391735</v>
      </c>
      <c r="AC49" s="344"/>
    </row>
    <row r="50" spans="1:29" x14ac:dyDescent="0.2">
      <c r="A50" s="327" t="s">
        <v>579</v>
      </c>
      <c r="L50" s="327" t="s">
        <v>514</v>
      </c>
      <c r="AA50" s="420" t="s">
        <v>744</v>
      </c>
      <c r="AB50" s="419">
        <f ca="1">SUM(AA37:AB41) / SUM(Q37:Q40, 'e6.1'!O32)</f>
        <v>101002.29539906072</v>
      </c>
      <c r="AC50" s="551"/>
    </row>
    <row r="51" spans="1:29" x14ac:dyDescent="0.2">
      <c r="A51" s="327" t="s">
        <v>511</v>
      </c>
      <c r="L51" s="327" t="s">
        <v>515</v>
      </c>
    </row>
    <row r="52" spans="1:29" x14ac:dyDescent="0.2">
      <c r="A52" s="327" t="s">
        <v>512</v>
      </c>
      <c r="L52" s="327" t="s">
        <v>516</v>
      </c>
    </row>
    <row r="53" spans="1:29" x14ac:dyDescent="0.2">
      <c r="A53" s="327" t="s">
        <v>513</v>
      </c>
      <c r="L53" s="327" t="s">
        <v>517</v>
      </c>
    </row>
  </sheetData>
  <printOptions horizontalCentered="1"/>
  <pageMargins left="0.7" right="0.7" top="0.75" bottom="0.75" header="0.3" footer="0.3"/>
  <pageSetup scale="69" orientation="landscape" blackAndWhite="1" r:id="rId1"/>
  <headerFooter>
    <oddHeader xml:space="preserve">&amp;L&amp;"Arial"&amp;10  
  &amp;R&amp;"Arial"&amp;10  Exhibit 2
Sheet 1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4">
    <tabColor rgb="FF0070C0"/>
    <pageSetUpPr fitToPage="1"/>
  </sheetPr>
  <dimension ref="A1:AH53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1.625" style="222" customWidth="1"/>
    <col min="4" max="4" width="2.625" style="222" customWidth="1"/>
    <col min="5" max="5" width="11.625" style="222" customWidth="1"/>
    <col min="6" max="6" width="2.625" style="222" customWidth="1"/>
    <col min="7" max="7" width="11.625" style="222" customWidth="1"/>
    <col min="8" max="8" width="2.625" style="222" customWidth="1"/>
    <col min="9" max="9" width="11.6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11.625" style="222" customWidth="1"/>
    <col min="14" max="14" width="2.625" style="222" customWidth="1"/>
    <col min="15" max="15" width="11.625" style="222" customWidth="1"/>
    <col min="16" max="16" width="2.625" style="222" customWidth="1"/>
    <col min="17" max="17" width="10.625" style="222" customWidth="1"/>
    <col min="18" max="18" width="2.625" style="222" customWidth="1"/>
    <col min="19" max="19" width="10.625" style="222" customWidth="1"/>
    <col min="20" max="20" width="2.625" style="222" customWidth="1"/>
    <col min="21" max="21" width="11.625" style="222" customWidth="1"/>
    <col min="22" max="22" width="2.625" style="222" customWidth="1"/>
    <col min="23" max="23" width="10.75" style="222" customWidth="1"/>
    <col min="24" max="24" width="2.625" style="222" customWidth="1"/>
    <col min="25" max="26" width="9.125" style="222" bestFit="1" customWidth="1"/>
    <col min="27" max="27" width="9.25" style="222" bestFit="1" customWidth="1"/>
    <col min="28" max="28" width="9.5" style="222" customWidth="1"/>
    <col min="29" max="29" width="9.125" style="222" bestFit="1" customWidth="1"/>
    <col min="30" max="30" width="21.375" style="222" bestFit="1" customWidth="1"/>
    <col min="31" max="33" width="9.125" style="222" bestFit="1" customWidth="1"/>
    <col min="34" max="16384" width="9" style="222"/>
  </cols>
  <sheetData>
    <row r="1" spans="1:34" x14ac:dyDescent="0.2">
      <c r="A1" s="1" t="str">
        <f>[1]!getlabels()</f>
        <v>Exhibit 2, Sheet 2</v>
      </c>
    </row>
    <row r="2" spans="1:3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</row>
    <row r="3" spans="1:3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</row>
    <row r="4" spans="1:3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</row>
    <row r="5" spans="1:3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</row>
    <row r="6" spans="1:3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</row>
    <row r="7" spans="1:34" x14ac:dyDescent="0.2">
      <c r="A7" s="224" t="str">
        <f>VLOOKUP(A1, index_lkups, 3, FALSE)</f>
        <v>Estimate of Ultimate Losses - Loss &amp; ALAE Excess of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</row>
    <row r="10" spans="1:34" x14ac:dyDescent="0.2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227"/>
      <c r="R10" s="227"/>
      <c r="S10" s="348" t="s">
        <v>362</v>
      </c>
      <c r="T10" s="148"/>
      <c r="U10" s="148"/>
      <c r="V10" s="148"/>
      <c r="W10" s="148"/>
      <c r="X10" s="148"/>
      <c r="Y10" s="148"/>
      <c r="Z10" s="227"/>
      <c r="AA10" s="227"/>
      <c r="AB10" s="227"/>
      <c r="AC10" s="227"/>
      <c r="AD10" s="227"/>
      <c r="AE10" s="227"/>
      <c r="AF10" s="227"/>
    </row>
    <row r="11" spans="1:34" x14ac:dyDescent="0.2">
      <c r="A11" s="148"/>
      <c r="B11" s="148"/>
      <c r="C11" s="151" t="s">
        <v>36</v>
      </c>
      <c r="D11" s="148"/>
      <c r="E11" s="151" t="s">
        <v>36</v>
      </c>
      <c r="F11" s="148"/>
      <c r="G11" s="151" t="s">
        <v>36</v>
      </c>
      <c r="H11" s="148"/>
      <c r="I11" s="151" t="s">
        <v>36</v>
      </c>
      <c r="J11" s="148"/>
      <c r="K11" s="148"/>
      <c r="L11" s="148"/>
      <c r="M11" s="151" t="s">
        <v>36</v>
      </c>
      <c r="N11" s="148"/>
      <c r="O11" s="151" t="s">
        <v>36</v>
      </c>
      <c r="P11" s="148"/>
      <c r="Q11" s="227"/>
      <c r="R11" s="227"/>
      <c r="S11" s="348" t="s">
        <v>509</v>
      </c>
      <c r="T11" s="148"/>
      <c r="U11" s="148"/>
      <c r="V11" s="148"/>
      <c r="W11" s="148"/>
      <c r="X11" s="148"/>
      <c r="Y11" s="148"/>
      <c r="Z11" s="227"/>
      <c r="AA11" s="227"/>
      <c r="AB11" s="227"/>
      <c r="AC11" s="227"/>
      <c r="AD11" s="227"/>
      <c r="AE11" s="227"/>
      <c r="AF11" s="227"/>
    </row>
    <row r="12" spans="1:34" x14ac:dyDescent="0.2">
      <c r="A12" s="151"/>
      <c r="B12" s="148"/>
      <c r="C12" s="151" t="s">
        <v>71</v>
      </c>
      <c r="D12" s="148"/>
      <c r="E12" s="151" t="s">
        <v>75</v>
      </c>
      <c r="F12" s="148"/>
      <c r="G12" s="151" t="s">
        <v>71</v>
      </c>
      <c r="H12" s="148"/>
      <c r="I12" s="151" t="s">
        <v>75</v>
      </c>
      <c r="J12" s="148"/>
      <c r="K12" s="151" t="s">
        <v>36</v>
      </c>
      <c r="L12" s="148"/>
      <c r="M12" s="151" t="s">
        <v>71</v>
      </c>
      <c r="N12" s="148"/>
      <c r="O12" s="151" t="s">
        <v>75</v>
      </c>
      <c r="P12" s="148"/>
      <c r="Q12" s="348" t="s">
        <v>362</v>
      </c>
      <c r="R12" s="348"/>
      <c r="S12" s="348" t="s">
        <v>498</v>
      </c>
      <c r="T12" s="148"/>
      <c r="U12" s="151"/>
      <c r="V12" s="148"/>
      <c r="W12" s="151"/>
      <c r="X12" s="148"/>
      <c r="Y12" s="148"/>
      <c r="Z12" s="227"/>
      <c r="AA12" s="227"/>
      <c r="AB12" s="227"/>
      <c r="AC12" s="227"/>
      <c r="AD12" s="227"/>
      <c r="AE12" s="227"/>
      <c r="AF12" s="227"/>
    </row>
    <row r="13" spans="1:34" x14ac:dyDescent="0.2">
      <c r="A13" s="151" t="str">
        <f>Intro!M9</f>
        <v>Policy</v>
      </c>
      <c r="B13" s="148"/>
      <c r="C13" s="151" t="s">
        <v>8</v>
      </c>
      <c r="D13" s="148"/>
      <c r="E13" s="151" t="s">
        <v>8</v>
      </c>
      <c r="F13" s="148"/>
      <c r="G13" s="151" t="s">
        <v>333</v>
      </c>
      <c r="H13" s="148"/>
      <c r="I13" s="151" t="s">
        <v>333</v>
      </c>
      <c r="J13" s="148"/>
      <c r="K13" s="151" t="s">
        <v>74</v>
      </c>
      <c r="L13" s="148"/>
      <c r="M13" s="151" t="s">
        <v>8</v>
      </c>
      <c r="N13" s="148"/>
      <c r="O13" s="151" t="s">
        <v>8</v>
      </c>
      <c r="P13" s="148"/>
      <c r="Q13" s="348" t="s">
        <v>509</v>
      </c>
      <c r="R13" s="348"/>
      <c r="S13" s="348" t="s">
        <v>377</v>
      </c>
      <c r="T13" s="148"/>
      <c r="U13" s="151" t="s">
        <v>105</v>
      </c>
      <c r="V13" s="148"/>
      <c r="W13" s="151" t="s">
        <v>362</v>
      </c>
      <c r="X13" s="148"/>
      <c r="Y13" s="148"/>
      <c r="Z13" s="227"/>
      <c r="AA13" s="227"/>
      <c r="AB13" s="227"/>
      <c r="AC13" s="227"/>
      <c r="AD13" s="227"/>
      <c r="AE13" s="227"/>
      <c r="AF13" s="227"/>
      <c r="AH13" s="700" t="s">
        <v>816</v>
      </c>
    </row>
    <row r="14" spans="1:34" x14ac:dyDescent="0.2">
      <c r="A14" s="151" t="str">
        <f>Intro!M10</f>
        <v>Period</v>
      </c>
      <c r="B14" s="148"/>
      <c r="C14" s="151" t="s">
        <v>499</v>
      </c>
      <c r="D14" s="148"/>
      <c r="E14" s="151" t="s">
        <v>499</v>
      </c>
      <c r="F14" s="148"/>
      <c r="G14" s="151" t="s">
        <v>337</v>
      </c>
      <c r="H14" s="148"/>
      <c r="I14" s="151" t="s">
        <v>337</v>
      </c>
      <c r="J14" s="148"/>
      <c r="K14" s="151" t="s">
        <v>499</v>
      </c>
      <c r="L14" s="148"/>
      <c r="M14" s="151" t="s">
        <v>334</v>
      </c>
      <c r="N14" s="148"/>
      <c r="O14" s="151" t="s">
        <v>334</v>
      </c>
      <c r="P14" s="148"/>
      <c r="Q14" s="348" t="s">
        <v>498</v>
      </c>
      <c r="R14" s="348"/>
      <c r="S14" s="348" t="s">
        <v>36</v>
      </c>
      <c r="T14" s="148"/>
      <c r="U14" s="151" t="s">
        <v>245</v>
      </c>
      <c r="V14" s="148"/>
      <c r="W14" s="151" t="s">
        <v>8</v>
      </c>
      <c r="X14" s="148"/>
      <c r="Y14" s="181" t="s">
        <v>78</v>
      </c>
      <c r="Z14" s="376" t="s">
        <v>501</v>
      </c>
      <c r="AA14" s="348" t="s">
        <v>36</v>
      </c>
      <c r="AB14" s="348" t="s">
        <v>36</v>
      </c>
      <c r="AC14" s="375" t="s">
        <v>411</v>
      </c>
      <c r="AD14" s="375" t="s">
        <v>510</v>
      </c>
      <c r="AE14" s="229" t="s">
        <v>502</v>
      </c>
      <c r="AF14" s="376" t="s">
        <v>503</v>
      </c>
      <c r="AH14" s="700" t="s">
        <v>817</v>
      </c>
    </row>
    <row r="15" spans="1:34" x14ac:dyDescent="0.2">
      <c r="A15" s="176" t="str">
        <f>Intro!M11</f>
        <v>Ending 9/30</v>
      </c>
      <c r="B15" s="148"/>
      <c r="C15" s="179" t="s">
        <v>339</v>
      </c>
      <c r="D15" s="148"/>
      <c r="E15" s="179" t="s">
        <v>339</v>
      </c>
      <c r="F15" s="148"/>
      <c r="G15" s="179" t="s">
        <v>339</v>
      </c>
      <c r="H15" s="148"/>
      <c r="I15" s="179" t="s">
        <v>339</v>
      </c>
      <c r="J15" s="148"/>
      <c r="K15" s="179" t="s">
        <v>339</v>
      </c>
      <c r="L15" s="148"/>
      <c r="M15" s="179" t="str">
        <f>ctxt</f>
        <v>4/30/19</v>
      </c>
      <c r="N15" s="148"/>
      <c r="O15" s="179" t="str">
        <f>M15</f>
        <v>4/30/19</v>
      </c>
      <c r="P15" s="148"/>
      <c r="Q15" s="244" t="s">
        <v>377</v>
      </c>
      <c r="R15" s="229"/>
      <c r="S15" s="244" t="s">
        <v>15</v>
      </c>
      <c r="T15" s="148"/>
      <c r="U15" s="176" t="s">
        <v>8</v>
      </c>
      <c r="V15" s="148"/>
      <c r="W15" s="176" t="s">
        <v>349</v>
      </c>
      <c r="X15" s="148"/>
      <c r="Y15" s="176" t="s">
        <v>412</v>
      </c>
      <c r="Z15" s="377" t="s">
        <v>16</v>
      </c>
      <c r="AA15" s="244" t="s">
        <v>74</v>
      </c>
      <c r="AB15" s="244" t="s">
        <v>191</v>
      </c>
      <c r="AC15" s="377" t="s">
        <v>521</v>
      </c>
      <c r="AD15" s="244" t="s">
        <v>74</v>
      </c>
      <c r="AE15" s="377" t="s">
        <v>504</v>
      </c>
      <c r="AF15" s="244" t="s">
        <v>505</v>
      </c>
      <c r="AG15" s="498" t="s">
        <v>475</v>
      </c>
      <c r="AH15" s="700" t="s">
        <v>412</v>
      </c>
    </row>
    <row r="16" spans="1:34" x14ac:dyDescent="0.2">
      <c r="C16" s="288">
        <v>1</v>
      </c>
      <c r="E16" s="288">
        <f>C16+1</f>
        <v>2</v>
      </c>
      <c r="G16" s="288">
        <f>E16+1</f>
        <v>3</v>
      </c>
      <c r="I16" s="288">
        <f>G16+1</f>
        <v>4</v>
      </c>
      <c r="K16" s="288">
        <f>I16+1</f>
        <v>5</v>
      </c>
      <c r="M16" s="288">
        <f>K16+1</f>
        <v>6</v>
      </c>
      <c r="O16" s="288">
        <f>M16+1</f>
        <v>7</v>
      </c>
      <c r="Q16" s="373" t="s">
        <v>507</v>
      </c>
      <c r="S16" s="373" t="s">
        <v>508</v>
      </c>
      <c r="U16" s="288">
        <f>O16+2</f>
        <v>9</v>
      </c>
      <c r="W16" s="288">
        <f>U16+1</f>
        <v>10</v>
      </c>
    </row>
    <row r="18" spans="1:34" x14ac:dyDescent="0.2">
      <c r="A18" s="268">
        <f>Intro!C18</f>
        <v>1996</v>
      </c>
      <c r="C18" s="374">
        <f ca="1">'e3.1C'!$I19</f>
        <v>158380.83886288683</v>
      </c>
      <c r="E18" s="374">
        <f ca="1">'e3.2C'!$I19</f>
        <v>163707.83695576852</v>
      </c>
      <c r="G18" s="678" t="str">
        <f>'e3.3B'!$K16</f>
        <v xml:space="preserve">n/a </v>
      </c>
      <c r="H18" s="679"/>
      <c r="I18" s="678" t="str">
        <f>'e3.4B'!$K16</f>
        <v xml:space="preserve">n/a </v>
      </c>
      <c r="K18" s="374">
        <f ca="1">'e3.5B'!$M17</f>
        <v>141454.19999999995</v>
      </c>
      <c r="M18" s="374">
        <f>'e3.1C'!$E19</f>
        <v>141454.19999999995</v>
      </c>
      <c r="O18" s="374">
        <f>'e3.2C'!$E19</f>
        <v>141454.19999999995</v>
      </c>
      <c r="Q18" s="351">
        <f>'e2.1'!Q18</f>
        <v>0</v>
      </c>
      <c r="S18" s="291">
        <f>Z18</f>
        <v>0</v>
      </c>
      <c r="U18" s="381">
        <f>'e10.2'!C19</f>
        <v>141454.19999999995</v>
      </c>
      <c r="W18" s="297">
        <f>U18/Intro!K18</f>
        <v>2.735066208485943</v>
      </c>
      <c r="Y18" s="290">
        <f>'e7'!U16</f>
        <v>0</v>
      </c>
      <c r="Z18" s="290">
        <f>'e7'!Y16</f>
        <v>0</v>
      </c>
      <c r="AA18" s="290">
        <f>M18-O18</f>
        <v>0</v>
      </c>
      <c r="AB18" s="290">
        <f>U18-M18</f>
        <v>0</v>
      </c>
      <c r="AC18" s="290" t="str">
        <f>IFERROR(AB18/S18, "")</f>
        <v/>
      </c>
      <c r="AD18" s="296" t="str">
        <f>IFERROR(AB18/AA18, "")</f>
        <v/>
      </c>
      <c r="AE18" s="290">
        <f>'e10.2'!Q19</f>
        <v>0</v>
      </c>
      <c r="AF18" s="290">
        <f>'e10.2'!U19</f>
        <v>0</v>
      </c>
      <c r="AG18" s="544" t="b">
        <f t="shared" ref="AG18:AG41" si="0">IF(AE18&lt;=0, AF18&lt;=0, AF18&gt;0)</f>
        <v>1</v>
      </c>
      <c r="AH18" s="701" t="str">
        <f t="shared" ref="AH18:AH40" si="1">IFERROR(AB18/Y18,"")</f>
        <v/>
      </c>
    </row>
    <row r="19" spans="1:34" x14ac:dyDescent="0.2">
      <c r="A19" s="268">
        <f>Intro!C19</f>
        <v>1997</v>
      </c>
      <c r="C19" s="291">
        <f ca="1">'e3.1C'!$I20</f>
        <v>191432.31610477596</v>
      </c>
      <c r="E19" s="291">
        <f ca="1">'e3.2C'!$I20</f>
        <v>199025.1623949027</v>
      </c>
      <c r="G19" s="680" t="str">
        <f>'e3.3B'!$K17</f>
        <v xml:space="preserve">n/a </v>
      </c>
      <c r="H19" s="679"/>
      <c r="I19" s="680" t="str">
        <f>'e3.4B'!$K17</f>
        <v xml:space="preserve">n/a </v>
      </c>
      <c r="K19" s="291">
        <f ca="1">'e3.5B'!$M18</f>
        <v>169167</v>
      </c>
      <c r="M19" s="291">
        <f>'e3.1C'!$E20</f>
        <v>169167</v>
      </c>
      <c r="O19" s="291">
        <f>'e3.2C'!$E20</f>
        <v>169167</v>
      </c>
      <c r="Q19" s="351">
        <f>'e2.1'!Q19</f>
        <v>0</v>
      </c>
      <c r="S19" s="291">
        <f t="shared" ref="S19:S41" si="2">Z19</f>
        <v>0</v>
      </c>
      <c r="U19" s="364">
        <f>'e10.2'!C20</f>
        <v>169167</v>
      </c>
      <c r="W19" s="321">
        <f>U19/Intro!K19</f>
        <v>2.3732799650752483</v>
      </c>
      <c r="Y19" s="290">
        <f>'e7'!U17</f>
        <v>0</v>
      </c>
      <c r="Z19" s="290">
        <f>'e7'!Y17</f>
        <v>0</v>
      </c>
      <c r="AA19" s="290">
        <f t="shared" ref="AA19:AA39" si="3">M19-O19</f>
        <v>0</v>
      </c>
      <c r="AB19" s="290">
        <f t="shared" ref="AB19:AB33" si="4">U19-M19</f>
        <v>0</v>
      </c>
      <c r="AC19" s="290" t="str">
        <f t="shared" ref="AC19:AC33" si="5">IFERROR(AB19/S19, "")</f>
        <v/>
      </c>
      <c r="AD19" s="296" t="str">
        <f t="shared" ref="AD19:AD33" si="6">IFERROR(AB19/AA19, "")</f>
        <v/>
      </c>
      <c r="AE19" s="290">
        <f>'e10.2'!Q20</f>
        <v>0</v>
      </c>
      <c r="AF19" s="290">
        <f>'e10.2'!U20</f>
        <v>0</v>
      </c>
      <c r="AG19" s="544" t="b">
        <f t="shared" si="0"/>
        <v>1</v>
      </c>
      <c r="AH19" s="701" t="str">
        <f t="shared" si="1"/>
        <v/>
      </c>
    </row>
    <row r="20" spans="1:34" x14ac:dyDescent="0.2">
      <c r="A20" s="268">
        <f>Intro!C20</f>
        <v>1998</v>
      </c>
      <c r="C20" s="291">
        <f ca="1">'e3.1C'!$I21</f>
        <v>171603.28211583922</v>
      </c>
      <c r="E20" s="291">
        <f ca="1">'e3.2C'!$I21</f>
        <v>179595.15206061309</v>
      </c>
      <c r="G20" s="680" t="str">
        <f>'e3.3B'!$K18</f>
        <v xml:space="preserve">n/a </v>
      </c>
      <c r="H20" s="679"/>
      <c r="I20" s="680" t="str">
        <f>'e3.4B'!$K18</f>
        <v xml:space="preserve">n/a </v>
      </c>
      <c r="K20" s="291">
        <f ca="1">'e3.5B'!$M19</f>
        <v>149905</v>
      </c>
      <c r="M20" s="291">
        <f>'e3.1C'!$E21</f>
        <v>149905</v>
      </c>
      <c r="O20" s="291">
        <f>'e3.2C'!$E21</f>
        <v>149905</v>
      </c>
      <c r="Q20" s="351">
        <f>'e2.1'!Q20</f>
        <v>1</v>
      </c>
      <c r="S20" s="291">
        <f t="shared" si="2"/>
        <v>0</v>
      </c>
      <c r="U20" s="364">
        <f>'e10.2'!C21</f>
        <v>161876.62629242678</v>
      </c>
      <c r="W20" s="321">
        <f>U20/Intro!K20</f>
        <v>1.7842376088925231</v>
      </c>
      <c r="Y20" s="290">
        <f>'e7'!U18</f>
        <v>1</v>
      </c>
      <c r="Z20" s="290">
        <f>'e7'!Y18</f>
        <v>0</v>
      </c>
      <c r="AA20" s="290">
        <f t="shared" si="3"/>
        <v>0</v>
      </c>
      <c r="AB20" s="290">
        <f t="shared" si="4"/>
        <v>11971.626292426779</v>
      </c>
      <c r="AC20" s="290" t="str">
        <f t="shared" si="5"/>
        <v/>
      </c>
      <c r="AD20" s="296" t="str">
        <f t="shared" si="6"/>
        <v/>
      </c>
      <c r="AE20" s="290">
        <f>'e10.2'!Q21</f>
        <v>0</v>
      </c>
      <c r="AF20" s="290">
        <f>'e10.2'!U21</f>
        <v>0</v>
      </c>
      <c r="AG20" s="544" t="b">
        <f t="shared" si="0"/>
        <v>1</v>
      </c>
      <c r="AH20" s="701">
        <f t="shared" si="1"/>
        <v>11971.626292426779</v>
      </c>
    </row>
    <row r="21" spans="1:34" x14ac:dyDescent="0.2">
      <c r="A21" s="268">
        <f>Intro!C21</f>
        <v>1999</v>
      </c>
      <c r="C21" s="291">
        <f ca="1">'e3.1C'!$I22</f>
        <v>1643928.54620859</v>
      </c>
      <c r="E21" s="291">
        <f ca="1">'e3.2C'!$I22</f>
        <v>1510664.9098068867</v>
      </c>
      <c r="G21" s="291">
        <f ca="1">'e3.3B'!$K19</f>
        <v>1426771.0487265594</v>
      </c>
      <c r="I21" s="291">
        <f ca="1">'e3.4B'!$K19</f>
        <v>1247264.4494329146</v>
      </c>
      <c r="K21" s="291">
        <f ca="1">'e3.5B'!$M20</f>
        <v>1979860.3540427163</v>
      </c>
      <c r="M21" s="291">
        <f>'e3.1C'!$E22</f>
        <v>1418211.48</v>
      </c>
      <c r="O21" s="291">
        <f>'e3.2C'!$E22</f>
        <v>1235926.8500000001</v>
      </c>
      <c r="Q21" s="351">
        <f>'e2.1'!Q21</f>
        <v>2</v>
      </c>
      <c r="S21" s="291">
        <f t="shared" si="2"/>
        <v>1</v>
      </c>
      <c r="U21" s="364">
        <f>'e10.2'!C22</f>
        <v>1541697.1766595847</v>
      </c>
      <c r="W21" s="321">
        <f>U21/Intro!K21</f>
        <v>13.310209939276366</v>
      </c>
      <c r="Y21" s="290">
        <f>'e7'!U19</f>
        <v>2</v>
      </c>
      <c r="Z21" s="290">
        <f>'e7'!Y19</f>
        <v>1</v>
      </c>
      <c r="AA21" s="290">
        <f t="shared" si="3"/>
        <v>182284.62999999989</v>
      </c>
      <c r="AB21" s="290">
        <f t="shared" si="4"/>
        <v>123485.69665958476</v>
      </c>
      <c r="AC21" s="290">
        <f t="shared" si="5"/>
        <v>123485.69665958476</v>
      </c>
      <c r="AD21" s="296">
        <f t="shared" si="6"/>
        <v>0.67743339995031304</v>
      </c>
      <c r="AE21" s="290">
        <f>'e10.2'!Q22</f>
        <v>0</v>
      </c>
      <c r="AF21" s="290">
        <f>'e10.2'!U22</f>
        <v>0</v>
      </c>
      <c r="AG21" s="544" t="b">
        <f t="shared" si="0"/>
        <v>1</v>
      </c>
      <c r="AH21" s="701">
        <f t="shared" si="1"/>
        <v>61742.848329792381</v>
      </c>
    </row>
    <row r="22" spans="1:34" x14ac:dyDescent="0.2">
      <c r="A22" s="268">
        <f>Intro!C22</f>
        <v>2000</v>
      </c>
      <c r="C22" s="291">
        <f ca="1">'e3.1C'!$I23</f>
        <v>1231589.2987789458</v>
      </c>
      <c r="E22" s="291">
        <f ca="1">'e3.2C'!$I23</f>
        <v>641165.2340444274</v>
      </c>
      <c r="G22" s="291">
        <f ca="1">'e3.3B'!$K20</f>
        <v>1056212.0817396231</v>
      </c>
      <c r="I22" s="291">
        <f ca="1">'e3.4B'!$K20</f>
        <v>523870.46063758741</v>
      </c>
      <c r="K22" s="291">
        <f ca="1">'e3.5B'!$M21</f>
        <v>2616783.6824773322</v>
      </c>
      <c r="M22" s="291">
        <f>'e3.1C'!$E23</f>
        <v>1048199.94</v>
      </c>
      <c r="O22" s="291">
        <f>'e3.2C'!$E23</f>
        <v>513125.2200000002</v>
      </c>
      <c r="Q22" s="351">
        <f>'e2.1'!Q22</f>
        <v>4</v>
      </c>
      <c r="S22" s="291">
        <f t="shared" si="2"/>
        <v>2</v>
      </c>
      <c r="U22" s="364">
        <f>'e10.2'!C23</f>
        <v>1314362.4618561231</v>
      </c>
      <c r="W22" s="321">
        <f>U22/Intro!K22</f>
        <v>15.133163017853823</v>
      </c>
      <c r="Y22" s="290">
        <f>'e7'!U20</f>
        <v>4</v>
      </c>
      <c r="Z22" s="290">
        <f>'e7'!Y20</f>
        <v>2</v>
      </c>
      <c r="AA22" s="290">
        <f t="shared" si="3"/>
        <v>535074.71999999974</v>
      </c>
      <c r="AB22" s="290">
        <f t="shared" si="4"/>
        <v>266162.52185612312</v>
      </c>
      <c r="AC22" s="290">
        <f t="shared" si="5"/>
        <v>133081.26092806156</v>
      </c>
      <c r="AD22" s="296">
        <f t="shared" si="6"/>
        <v>0.49743056793287344</v>
      </c>
      <c r="AE22" s="290">
        <f>'e10.2'!Q23</f>
        <v>0</v>
      </c>
      <c r="AF22" s="290">
        <f>'e10.2'!U23</f>
        <v>0</v>
      </c>
      <c r="AG22" s="544" t="b">
        <f t="shared" si="0"/>
        <v>1</v>
      </c>
      <c r="AH22" s="701">
        <f t="shared" si="1"/>
        <v>66540.630464030779</v>
      </c>
    </row>
    <row r="23" spans="1:34" x14ac:dyDescent="0.2">
      <c r="A23" s="268">
        <f>Intro!C23</f>
        <v>2001</v>
      </c>
      <c r="C23" s="291">
        <f ca="1">'e3.1C'!$I24</f>
        <v>345341.31968650396</v>
      </c>
      <c r="E23" s="291">
        <f ca="1">'e3.2C'!$I24</f>
        <v>370792.01358107105</v>
      </c>
      <c r="G23" s="291">
        <f ca="1">'e3.3B'!$K21</f>
        <v>300083.87825133582</v>
      </c>
      <c r="I23" s="291">
        <f ca="1">'e3.4B'!$K21</f>
        <v>303808.10731599765</v>
      </c>
      <c r="K23" s="291">
        <f ca="1">'e3.5B'!$M22</f>
        <v>289652</v>
      </c>
      <c r="M23" s="291">
        <f>'e3.1C'!$E24</f>
        <v>289652</v>
      </c>
      <c r="O23" s="291">
        <f>'e3.2C'!$E24</f>
        <v>289652</v>
      </c>
      <c r="Q23" s="351">
        <f>'e2.1'!Q23</f>
        <v>1</v>
      </c>
      <c r="S23" s="291">
        <f t="shared" si="2"/>
        <v>0</v>
      </c>
      <c r="U23" s="364">
        <f>'e10.2'!C24</f>
        <v>289652</v>
      </c>
      <c r="W23" s="321">
        <f>U23/Intro!K23</f>
        <v>3.153938296412016</v>
      </c>
      <c r="Y23" s="290">
        <f>'e7'!U21</f>
        <v>1</v>
      </c>
      <c r="Z23" s="290">
        <f>'e7'!Y21</f>
        <v>0</v>
      </c>
      <c r="AA23" s="290">
        <f t="shared" si="3"/>
        <v>0</v>
      </c>
      <c r="AB23" s="290">
        <f t="shared" si="4"/>
        <v>0</v>
      </c>
      <c r="AC23" s="290" t="str">
        <f t="shared" si="5"/>
        <v/>
      </c>
      <c r="AD23" s="296" t="str">
        <f t="shared" si="6"/>
        <v/>
      </c>
      <c r="AE23" s="290">
        <f>'e10.2'!Q24</f>
        <v>0</v>
      </c>
      <c r="AF23" s="290">
        <f>'e10.2'!U24</f>
        <v>0</v>
      </c>
      <c r="AG23" s="544" t="b">
        <f t="shared" si="0"/>
        <v>1</v>
      </c>
      <c r="AH23" s="701">
        <f t="shared" si="1"/>
        <v>0</v>
      </c>
    </row>
    <row r="24" spans="1:34" x14ac:dyDescent="0.2">
      <c r="A24" s="268">
        <f>Intro!C24</f>
        <v>2002</v>
      </c>
      <c r="C24" s="291">
        <f ca="1">'e3.1C'!$I25</f>
        <v>1635010.1998420532</v>
      </c>
      <c r="E24" s="291">
        <f ca="1">'e3.2C'!$I25</f>
        <v>1139097.3039162543</v>
      </c>
      <c r="G24" s="291">
        <f ca="1">'e3.3B'!$K22</f>
        <v>1364005.7506667671</v>
      </c>
      <c r="I24" s="291">
        <f ca="1">'e3.4B'!$K22</f>
        <v>882890.12270084745</v>
      </c>
      <c r="K24" s="291">
        <f ca="1">'e3.5B'!$M23</f>
        <v>2619563.1656750375</v>
      </c>
      <c r="M24" s="291">
        <f>'e3.1C'!$E25</f>
        <v>1352212.2399999998</v>
      </c>
      <c r="O24" s="291">
        <f>'e3.2C'!$E25</f>
        <v>866577.4700000002</v>
      </c>
      <c r="Q24" s="351">
        <f>'e2.1'!Q24</f>
        <v>3</v>
      </c>
      <c r="S24" s="291">
        <f t="shared" si="2"/>
        <v>2</v>
      </c>
      <c r="U24" s="364">
        <f>'e10.2'!C25</f>
        <v>1587524.3727029616</v>
      </c>
      <c r="W24" s="321">
        <f>U24/Intro!K24</f>
        <v>18.43854541916572</v>
      </c>
      <c r="Y24" s="292">
        <f>'e7'!U22</f>
        <v>3</v>
      </c>
      <c r="Z24" s="292">
        <f>'e7'!Y22</f>
        <v>2</v>
      </c>
      <c r="AA24" s="292">
        <f t="shared" si="3"/>
        <v>485634.76999999955</v>
      </c>
      <c r="AB24" s="292">
        <f>U24-M24</f>
        <v>235312.1327029618</v>
      </c>
      <c r="AC24" s="292">
        <f>IFERROR(AB24/S24, "")</f>
        <v>117656.0663514809</v>
      </c>
      <c r="AD24" s="383">
        <f>IFERROR(AB24/AA24, "")</f>
        <v>0.48454547993538849</v>
      </c>
      <c r="AE24" s="292">
        <f>'e10.2'!Q25</f>
        <v>0</v>
      </c>
      <c r="AF24" s="292">
        <f>'e10.2'!U25</f>
        <v>0</v>
      </c>
      <c r="AG24" s="544" t="b">
        <f t="shared" si="0"/>
        <v>1</v>
      </c>
      <c r="AH24" s="701">
        <f t="shared" si="1"/>
        <v>78437.377567653937</v>
      </c>
    </row>
    <row r="25" spans="1:34" x14ac:dyDescent="0.2">
      <c r="A25" s="268">
        <f>Intro!C25</f>
        <v>2003</v>
      </c>
      <c r="C25" s="291">
        <f ca="1">'e3.1C'!$I26</f>
        <v>304762.8665579735</v>
      </c>
      <c r="E25" s="291">
        <f ca="1">'e3.2C'!$I26</f>
        <v>326406.05487242498</v>
      </c>
      <c r="G25" s="291">
        <f ca="1">'e3.3B'!$K23</f>
        <v>270193.84693082783</v>
      </c>
      <c r="I25" s="291">
        <f ca="1">'e3.4B'!$K23</f>
        <v>275000.7055037056</v>
      </c>
      <c r="K25" s="291">
        <f ca="1">'e3.5B'!$M24</f>
        <v>256580.59999999986</v>
      </c>
      <c r="M25" s="291">
        <f>'e3.1C'!$E26</f>
        <v>256580.59999999986</v>
      </c>
      <c r="O25" s="291">
        <f>'e3.2C'!$E26</f>
        <v>256580.59999999986</v>
      </c>
      <c r="Q25" s="235">
        <f ca="1">'e2.1'!Q25</f>
        <v>0</v>
      </c>
      <c r="S25" s="291">
        <f t="shared" si="2"/>
        <v>0</v>
      </c>
      <c r="U25" s="302">
        <f>M25</f>
        <v>256580.59999999986</v>
      </c>
      <c r="W25" s="321">
        <f>U25/Intro!K25</f>
        <v>2.6761388981886927</v>
      </c>
      <c r="Y25" s="290">
        <f>'e7'!U23</f>
        <v>0</v>
      </c>
      <c r="Z25" s="290">
        <f>'e7'!Y23</f>
        <v>0</v>
      </c>
      <c r="AA25" s="290">
        <f t="shared" si="3"/>
        <v>0</v>
      </c>
      <c r="AB25" s="290">
        <f t="shared" si="4"/>
        <v>0</v>
      </c>
      <c r="AC25" s="290" t="str">
        <f t="shared" si="5"/>
        <v/>
      </c>
      <c r="AD25" s="296" t="str">
        <f t="shared" si="6"/>
        <v/>
      </c>
      <c r="AE25" s="290">
        <f>'e10.2'!Q26</f>
        <v>0</v>
      </c>
      <c r="AF25" s="290">
        <f>'e10.2'!U26</f>
        <v>0</v>
      </c>
      <c r="AG25" s="544" t="b">
        <f t="shared" si="0"/>
        <v>1</v>
      </c>
      <c r="AH25" s="701" t="str">
        <f t="shared" si="1"/>
        <v/>
      </c>
    </row>
    <row r="26" spans="1:34" x14ac:dyDescent="0.2">
      <c r="A26" s="268">
        <f>Intro!C26</f>
        <v>2004</v>
      </c>
      <c r="C26" s="291">
        <f ca="1">'e3.1C'!$I27</f>
        <v>442017.81232985487</v>
      </c>
      <c r="E26" s="291">
        <f ca="1">'e3.2C'!$I27</f>
        <v>319623.01626710885</v>
      </c>
      <c r="G26" s="291">
        <f ca="1">'e3.3B'!$K24</f>
        <v>368024.54483448778</v>
      </c>
      <c r="I26" s="291">
        <f ca="1">'e3.4B'!$K24</f>
        <v>257567.39930761748</v>
      </c>
      <c r="K26" s="291">
        <f ca="1">'e3.5B'!$M25</f>
        <v>802820.30184862961</v>
      </c>
      <c r="M26" s="291">
        <f>'e3.1C'!$E27</f>
        <v>353506.28000000119</v>
      </c>
      <c r="O26" s="291">
        <f>'e3.2C'!$E27</f>
        <v>239360.8600000008</v>
      </c>
      <c r="Q26" s="235">
        <f ca="1">'e2.1'!Q26</f>
        <v>2</v>
      </c>
      <c r="S26" s="291">
        <f t="shared" si="2"/>
        <v>1</v>
      </c>
      <c r="U26" s="304">
        <f ca="1">C26*0.9 + K26*0.1</f>
        <v>478098.06128173234</v>
      </c>
      <c r="W26" s="321">
        <f ca="1">U26/Intro!K26</f>
        <v>4.6809172532145977</v>
      </c>
      <c r="Y26" s="290">
        <f>'e7'!U24</f>
        <v>2</v>
      </c>
      <c r="Z26" s="290">
        <f>'e7'!Y24</f>
        <v>1</v>
      </c>
      <c r="AA26" s="290">
        <f t="shared" si="3"/>
        <v>114145.42000000039</v>
      </c>
      <c r="AB26" s="290">
        <f ca="1">U26-M26</f>
        <v>124591.78128173115</v>
      </c>
      <c r="AC26" s="290">
        <f ca="1">IFERROR(AB26/S26, "")</f>
        <v>124591.78128173115</v>
      </c>
      <c r="AD26" s="296">
        <f ca="1">IFERROR(AB26/AA26, "")</f>
        <v>1.0915180064318895</v>
      </c>
      <c r="AE26" s="290">
        <f>'e10.2'!Q27</f>
        <v>-4042.5053700787926</v>
      </c>
      <c r="AF26" s="290">
        <f ca="1">'e10.2'!U27</f>
        <v>-2832.3425515267299</v>
      </c>
      <c r="AG26" s="544" t="b">
        <f t="shared" ca="1" si="0"/>
        <v>1</v>
      </c>
      <c r="AH26" s="701">
        <f t="shared" ca="1" si="1"/>
        <v>62295.890640865575</v>
      </c>
    </row>
    <row r="27" spans="1:34" x14ac:dyDescent="0.2">
      <c r="A27" s="268">
        <f>Intro!C27</f>
        <v>2005</v>
      </c>
      <c r="C27" s="291">
        <f ca="1">'e3.1C'!$I28</f>
        <v>0</v>
      </c>
      <c r="E27" s="291">
        <f ca="1">'e3.2C'!$I28</f>
        <v>0</v>
      </c>
      <c r="G27" s="291">
        <f ca="1">'e3.3B'!$K25</f>
        <v>18398.262951097549</v>
      </c>
      <c r="I27" s="291">
        <f ca="1">'e3.4B'!$K25</f>
        <v>23489.925535859362</v>
      </c>
      <c r="K27" s="291">
        <f ca="1">'e3.5B'!$M26</f>
        <v>0</v>
      </c>
      <c r="M27" s="291">
        <f>'e3.1C'!$E28</f>
        <v>0</v>
      </c>
      <c r="O27" s="291">
        <f>'e3.2C'!$E28</f>
        <v>0</v>
      </c>
      <c r="Q27" s="235">
        <f ca="1">'e2.1'!Q27</f>
        <v>0</v>
      </c>
      <c r="S27" s="291">
        <f t="shared" si="2"/>
        <v>0</v>
      </c>
      <c r="U27" s="302">
        <f t="shared" ref="U27:U36" si="7">M27</f>
        <v>0</v>
      </c>
      <c r="W27" s="321">
        <f>U27/Intro!K27</f>
        <v>0</v>
      </c>
      <c r="Y27" s="290">
        <f>'e7'!U25</f>
        <v>0</v>
      </c>
      <c r="Z27" s="290">
        <f>'e7'!Y25</f>
        <v>0</v>
      </c>
      <c r="AA27" s="290">
        <f t="shared" si="3"/>
        <v>0</v>
      </c>
      <c r="AB27" s="290">
        <f t="shared" si="4"/>
        <v>0</v>
      </c>
      <c r="AC27" s="290" t="str">
        <f t="shared" si="5"/>
        <v/>
      </c>
      <c r="AD27" s="296" t="str">
        <f t="shared" si="6"/>
        <v/>
      </c>
      <c r="AE27" s="290">
        <f>'e10.2'!Q28</f>
        <v>0</v>
      </c>
      <c r="AF27" s="290">
        <f>'e10.2'!U28</f>
        <v>0</v>
      </c>
      <c r="AG27" s="544" t="b">
        <f t="shared" si="0"/>
        <v>1</v>
      </c>
      <c r="AH27" s="701" t="str">
        <f t="shared" si="1"/>
        <v/>
      </c>
    </row>
    <row r="28" spans="1:34" x14ac:dyDescent="0.2">
      <c r="A28" s="268">
        <f>Intro!C28</f>
        <v>2006</v>
      </c>
      <c r="C28" s="291">
        <f ca="1">'e3.1C'!$I29</f>
        <v>401855.50613897265</v>
      </c>
      <c r="E28" s="291">
        <f ca="1">'e3.2C'!$I29</f>
        <v>439792.75120166352</v>
      </c>
      <c r="G28" s="291">
        <f ca="1">'e3.3B'!$K26</f>
        <v>331762.16835202498</v>
      </c>
      <c r="I28" s="291">
        <f ca="1">'e3.4B'!$K26</f>
        <v>337961.53572813701</v>
      </c>
      <c r="K28" s="291">
        <f ca="1">'e3.5B'!$M27</f>
        <v>310667.57999999984</v>
      </c>
      <c r="M28" s="291">
        <f>'e3.1C'!$E29</f>
        <v>310667.57999999984</v>
      </c>
      <c r="O28" s="291">
        <f>'e3.2C'!$E29</f>
        <v>310667.57999999984</v>
      </c>
      <c r="Q28" s="235">
        <f ca="1">'e2.1'!Q28</f>
        <v>0</v>
      </c>
      <c r="S28" s="291">
        <f t="shared" si="2"/>
        <v>0</v>
      </c>
      <c r="U28" s="302">
        <f t="shared" si="7"/>
        <v>310667.57999999984</v>
      </c>
      <c r="W28" s="321">
        <f>U28/Intro!K28</f>
        <v>2.8830432121867275</v>
      </c>
      <c r="Y28" s="290">
        <f>'e7'!U26</f>
        <v>0</v>
      </c>
      <c r="Z28" s="290">
        <f>'e7'!Y26</f>
        <v>0</v>
      </c>
      <c r="AA28" s="290">
        <f t="shared" si="3"/>
        <v>0</v>
      </c>
      <c r="AB28" s="290">
        <f t="shared" si="4"/>
        <v>0</v>
      </c>
      <c r="AC28" s="290" t="str">
        <f t="shared" si="5"/>
        <v/>
      </c>
      <c r="AD28" s="296" t="str">
        <f t="shared" si="6"/>
        <v/>
      </c>
      <c r="AE28" s="290">
        <f>'e10.2'!Q29</f>
        <v>0</v>
      </c>
      <c r="AF28" s="290">
        <f>'e10.2'!U29</f>
        <v>0</v>
      </c>
      <c r="AG28" s="544" t="b">
        <f t="shared" si="0"/>
        <v>1</v>
      </c>
      <c r="AH28" s="701" t="str">
        <f t="shared" si="1"/>
        <v/>
      </c>
    </row>
    <row r="29" spans="1:34" x14ac:dyDescent="0.2">
      <c r="A29" s="268">
        <f>Intro!C29</f>
        <v>2007</v>
      </c>
      <c r="C29" s="291">
        <f ca="1">'e3.1C'!$I30</f>
        <v>0</v>
      </c>
      <c r="E29" s="291">
        <f ca="1">'e3.2C'!$I30</f>
        <v>0</v>
      </c>
      <c r="G29" s="291">
        <f ca="1">'e3.3B'!$K27</f>
        <v>24367.048488844332</v>
      </c>
      <c r="I29" s="291">
        <f ca="1">'e3.4B'!$K27</f>
        <v>31851.48188763412</v>
      </c>
      <c r="K29" s="291">
        <f ca="1">'e3.5B'!$M28</f>
        <v>0</v>
      </c>
      <c r="M29" s="291">
        <f>'e3.1C'!$E30</f>
        <v>0</v>
      </c>
      <c r="O29" s="291">
        <f>'e3.2C'!$E30</f>
        <v>0</v>
      </c>
      <c r="Q29" s="235">
        <f ca="1">'e2.1'!Q29</f>
        <v>0</v>
      </c>
      <c r="S29" s="291">
        <f t="shared" si="2"/>
        <v>0</v>
      </c>
      <c r="U29" s="302">
        <f t="shared" si="7"/>
        <v>0</v>
      </c>
      <c r="W29" s="321">
        <f>U29/Intro!K29</f>
        <v>0</v>
      </c>
      <c r="Y29" s="290">
        <f>'e7'!U27</f>
        <v>0</v>
      </c>
      <c r="Z29" s="290">
        <f>'e7'!Y27</f>
        <v>0</v>
      </c>
      <c r="AA29" s="290">
        <f t="shared" si="3"/>
        <v>0</v>
      </c>
      <c r="AB29" s="290">
        <f t="shared" si="4"/>
        <v>0</v>
      </c>
      <c r="AC29" s="290" t="str">
        <f t="shared" si="5"/>
        <v/>
      </c>
      <c r="AD29" s="296" t="str">
        <f t="shared" si="6"/>
        <v/>
      </c>
      <c r="AE29" s="290">
        <f>'e10.2'!Q30</f>
        <v>0</v>
      </c>
      <c r="AF29" s="290">
        <f>'e10.2'!U30</f>
        <v>0</v>
      </c>
      <c r="AG29" s="544" t="b">
        <f t="shared" si="0"/>
        <v>1</v>
      </c>
      <c r="AH29" s="701" t="str">
        <f t="shared" si="1"/>
        <v/>
      </c>
    </row>
    <row r="30" spans="1:34" x14ac:dyDescent="0.2">
      <c r="A30" s="268">
        <f>Intro!C30</f>
        <v>2008</v>
      </c>
      <c r="C30" s="291">
        <f ca="1">'e3.1C'!$I31</f>
        <v>0</v>
      </c>
      <c r="E30" s="291">
        <f ca="1">'e3.2C'!$I31</f>
        <v>0</v>
      </c>
      <c r="G30" s="291">
        <f ca="1">'e3.3B'!$K28</f>
        <v>22666.444223294679</v>
      </c>
      <c r="I30" s="291">
        <f ca="1">'e3.4B'!$K28</f>
        <v>27210.127494388908</v>
      </c>
      <c r="K30" s="291">
        <f ca="1">'e3.5B'!$M29</f>
        <v>0</v>
      </c>
      <c r="M30" s="291">
        <f>'e3.1C'!$E31</f>
        <v>0</v>
      </c>
      <c r="O30" s="291">
        <f>'e3.2C'!$E31</f>
        <v>0</v>
      </c>
      <c r="Q30" s="235">
        <f ca="1">'e2.1'!Q30</f>
        <v>0</v>
      </c>
      <c r="S30" s="291">
        <f t="shared" si="2"/>
        <v>0</v>
      </c>
      <c r="U30" s="302">
        <f t="shared" si="7"/>
        <v>0</v>
      </c>
      <c r="W30" s="321">
        <f>U30/Intro!K30</f>
        <v>0</v>
      </c>
      <c r="Y30" s="290">
        <f>'e7'!U28</f>
        <v>0</v>
      </c>
      <c r="Z30" s="290">
        <f>'e7'!Y28</f>
        <v>0</v>
      </c>
      <c r="AA30" s="290">
        <f t="shared" si="3"/>
        <v>0</v>
      </c>
      <c r="AB30" s="290">
        <f t="shared" si="4"/>
        <v>0</v>
      </c>
      <c r="AC30" s="290" t="str">
        <f t="shared" si="5"/>
        <v/>
      </c>
      <c r="AD30" s="296" t="str">
        <f t="shared" si="6"/>
        <v/>
      </c>
      <c r="AE30" s="290">
        <f>'e10.2'!Q31</f>
        <v>0</v>
      </c>
      <c r="AF30" s="290">
        <f>'e10.2'!U31</f>
        <v>0</v>
      </c>
      <c r="AG30" s="544" t="b">
        <f t="shared" si="0"/>
        <v>1</v>
      </c>
      <c r="AH30" s="701" t="str">
        <f t="shared" si="1"/>
        <v/>
      </c>
    </row>
    <row r="31" spans="1:34" x14ac:dyDescent="0.2">
      <c r="A31" s="268">
        <f>Intro!C31</f>
        <v>2009</v>
      </c>
      <c r="C31" s="291">
        <f ca="1">'e3.1C'!$I32</f>
        <v>109870.1160692649</v>
      </c>
      <c r="E31" s="291">
        <f ca="1">'e3.2C'!$I32</f>
        <v>118126.73811191396</v>
      </c>
      <c r="G31" s="291">
        <f ca="1">'e3.3B'!$K29</f>
        <v>110152.69279191676</v>
      </c>
      <c r="I31" s="291">
        <f ca="1">'e3.4B'!$K29</f>
        <v>116069.34558718122</v>
      </c>
      <c r="K31" s="291">
        <f ca="1">'e3.5B'!$M30</f>
        <v>83743.280000000028</v>
      </c>
      <c r="M31" s="291">
        <f>'e3.1C'!$E32</f>
        <v>83743.280000000028</v>
      </c>
      <c r="O31" s="291">
        <f>'e3.2C'!$E32</f>
        <v>83743.280000000028</v>
      </c>
      <c r="Q31" s="235">
        <f ca="1">'e2.1'!Q31</f>
        <v>1</v>
      </c>
      <c r="S31" s="291">
        <f t="shared" si="2"/>
        <v>0</v>
      </c>
      <c r="U31" s="302">
        <f t="shared" si="7"/>
        <v>83743.280000000028</v>
      </c>
      <c r="W31" s="321">
        <f>U31/Intro!K31</f>
        <v>0.75633340063359211</v>
      </c>
      <c r="Y31" s="290">
        <f>'e7'!U29</f>
        <v>1</v>
      </c>
      <c r="Z31" s="290">
        <f>'e7'!Y29</f>
        <v>0</v>
      </c>
      <c r="AA31" s="290">
        <f t="shared" si="3"/>
        <v>0</v>
      </c>
      <c r="AB31" s="290">
        <f t="shared" si="4"/>
        <v>0</v>
      </c>
      <c r="AC31" s="290" t="str">
        <f t="shared" si="5"/>
        <v/>
      </c>
      <c r="AD31" s="296" t="str">
        <f t="shared" si="6"/>
        <v/>
      </c>
      <c r="AE31" s="290">
        <f>'e10.2'!Q32</f>
        <v>0</v>
      </c>
      <c r="AF31" s="290">
        <f>'e10.2'!U32</f>
        <v>0</v>
      </c>
      <c r="AG31" s="544" t="b">
        <f t="shared" si="0"/>
        <v>1</v>
      </c>
      <c r="AH31" s="701">
        <f t="shared" si="1"/>
        <v>0</v>
      </c>
    </row>
    <row r="32" spans="1:34" x14ac:dyDescent="0.2">
      <c r="A32" s="268">
        <f>Intro!C32</f>
        <v>2010</v>
      </c>
      <c r="C32" s="291">
        <f ca="1">'e3.1C'!$I33</f>
        <v>0</v>
      </c>
      <c r="E32" s="291">
        <f ca="1">'e3.2C'!$I33</f>
        <v>0</v>
      </c>
      <c r="G32" s="291">
        <f ca="1">'e3.3B'!$K30</f>
        <v>34160.915530296086</v>
      </c>
      <c r="I32" s="291">
        <f ca="1">'e3.4B'!$K30</f>
        <v>42799.785769891103</v>
      </c>
      <c r="K32" s="291">
        <f ca="1">'e3.5B'!$M31</f>
        <v>0</v>
      </c>
      <c r="M32" s="291">
        <f>'e3.1C'!$E33</f>
        <v>0</v>
      </c>
      <c r="O32" s="291">
        <f>'e3.2C'!$E33</f>
        <v>0</v>
      </c>
      <c r="Q32" s="235">
        <f ca="1">'e2.1'!Q32</f>
        <v>1</v>
      </c>
      <c r="S32" s="291">
        <f t="shared" si="2"/>
        <v>0</v>
      </c>
      <c r="U32" s="302">
        <f t="shared" si="7"/>
        <v>0</v>
      </c>
      <c r="W32" s="321">
        <f>U32/Intro!K32</f>
        <v>0</v>
      </c>
      <c r="Y32" s="290">
        <f>'e7'!U30</f>
        <v>1</v>
      </c>
      <c r="Z32" s="290">
        <f>'e7'!Y30</f>
        <v>0</v>
      </c>
      <c r="AA32" s="290">
        <f t="shared" si="3"/>
        <v>0</v>
      </c>
      <c r="AB32" s="290">
        <f t="shared" si="4"/>
        <v>0</v>
      </c>
      <c r="AC32" s="290" t="str">
        <f t="shared" si="5"/>
        <v/>
      </c>
      <c r="AD32" s="296" t="str">
        <f t="shared" si="6"/>
        <v/>
      </c>
      <c r="AE32" s="290">
        <f>'e10.2'!Q33</f>
        <v>0</v>
      </c>
      <c r="AF32" s="290">
        <f>'e10.2'!U33</f>
        <v>0</v>
      </c>
      <c r="AG32" s="544" t="b">
        <f t="shared" si="0"/>
        <v>1</v>
      </c>
      <c r="AH32" s="701">
        <f t="shared" si="1"/>
        <v>0</v>
      </c>
    </row>
    <row r="33" spans="1:34" x14ac:dyDescent="0.2">
      <c r="A33" s="268">
        <f>Intro!C33</f>
        <v>2011</v>
      </c>
      <c r="C33" s="291">
        <f ca="1">'e3.1C'!$I34</f>
        <v>0</v>
      </c>
      <c r="E33" s="291">
        <f ca="1">'e3.2C'!$I34</f>
        <v>0</v>
      </c>
      <c r="G33" s="291">
        <f ca="1">'e3.3B'!$K31</f>
        <v>41771.537349524784</v>
      </c>
      <c r="I33" s="291">
        <f ca="1">'e3.4B'!$K31</f>
        <v>53717.202129073936</v>
      </c>
      <c r="K33" s="291">
        <f ca="1">'e3.5B'!$M32</f>
        <v>0</v>
      </c>
      <c r="M33" s="291">
        <f>'e3.1C'!$E34</f>
        <v>0</v>
      </c>
      <c r="O33" s="291">
        <f>'e3.2C'!$E34</f>
        <v>0</v>
      </c>
      <c r="Q33" s="235">
        <f ca="1">'e2.1'!Q33</f>
        <v>0</v>
      </c>
      <c r="S33" s="291">
        <f t="shared" si="2"/>
        <v>0</v>
      </c>
      <c r="U33" s="302">
        <f t="shared" si="7"/>
        <v>0</v>
      </c>
      <c r="W33" s="321">
        <f>U33/Intro!K33</f>
        <v>0</v>
      </c>
      <c r="Y33" s="290">
        <f>'e7'!U31</f>
        <v>0</v>
      </c>
      <c r="Z33" s="290">
        <f>'e7'!Y31</f>
        <v>0</v>
      </c>
      <c r="AA33" s="290">
        <f t="shared" si="3"/>
        <v>0</v>
      </c>
      <c r="AB33" s="290">
        <f t="shared" si="4"/>
        <v>0</v>
      </c>
      <c r="AC33" s="290" t="str">
        <f t="shared" si="5"/>
        <v/>
      </c>
      <c r="AD33" s="296" t="str">
        <f t="shared" si="6"/>
        <v/>
      </c>
      <c r="AE33" s="290">
        <f>'e10.2'!Q34</f>
        <v>0</v>
      </c>
      <c r="AF33" s="290">
        <f>'e10.2'!U34</f>
        <v>0</v>
      </c>
      <c r="AG33" s="544" t="b">
        <f t="shared" si="0"/>
        <v>1</v>
      </c>
      <c r="AH33" s="701" t="str">
        <f t="shared" si="1"/>
        <v/>
      </c>
    </row>
    <row r="34" spans="1:34" x14ac:dyDescent="0.2">
      <c r="A34" s="268">
        <f>Intro!C34</f>
        <v>2012</v>
      </c>
      <c r="C34" s="291">
        <f ca="1">'e3.1C'!$I35</f>
        <v>0</v>
      </c>
      <c r="E34" s="291">
        <f ca="1">'e3.2C'!$I35</f>
        <v>0</v>
      </c>
      <c r="G34" s="291">
        <f ca="1">'e3.3B'!$K32</f>
        <v>45705.318486356555</v>
      </c>
      <c r="I34" s="291">
        <f ca="1">'e3.4B'!$K32</f>
        <v>60307.051847422168</v>
      </c>
      <c r="K34" s="291">
        <f ca="1">'e3.5B'!$M33</f>
        <v>0</v>
      </c>
      <c r="M34" s="291">
        <f>'e3.1C'!$E35</f>
        <v>0</v>
      </c>
      <c r="O34" s="291">
        <f>'e3.2C'!$E35</f>
        <v>0</v>
      </c>
      <c r="Q34" s="235">
        <f ca="1">'e2.1'!Q34</f>
        <v>1</v>
      </c>
      <c r="S34" s="291">
        <f t="shared" si="2"/>
        <v>0</v>
      </c>
      <c r="U34" s="385">
        <v>35000</v>
      </c>
      <c r="W34" s="321">
        <f>U34/Intro!K34</f>
        <v>0.2404343915787456</v>
      </c>
      <c r="Y34" s="290">
        <f>'e7'!U32</f>
        <v>1</v>
      </c>
      <c r="Z34" s="290">
        <f>'e7'!Y32</f>
        <v>0</v>
      </c>
      <c r="AA34" s="290">
        <f t="shared" si="3"/>
        <v>0</v>
      </c>
      <c r="AB34" s="290">
        <f t="shared" ref="AB34:AB39" si="8">U34-M34</f>
        <v>35000</v>
      </c>
      <c r="AC34" s="290" t="str">
        <f t="shared" ref="AC34:AC39" si="9">IFERROR(AB34/S34, "")</f>
        <v/>
      </c>
      <c r="AD34" s="296" t="str">
        <f t="shared" ref="AD34:AD39" si="10">IFERROR(AB34/AA34, "")</f>
        <v/>
      </c>
      <c r="AE34" s="290">
        <f>'e10.2'!Q35</f>
        <v>-972.19092703810077</v>
      </c>
      <c r="AF34" s="290">
        <f>'e10.2'!U35</f>
        <v>-5000</v>
      </c>
      <c r="AG34" s="544" t="b">
        <f t="shared" si="0"/>
        <v>1</v>
      </c>
      <c r="AH34" s="701">
        <f t="shared" si="1"/>
        <v>35000</v>
      </c>
    </row>
    <row r="35" spans="1:34" x14ac:dyDescent="0.2">
      <c r="A35" s="268">
        <f>Intro!C35</f>
        <v>2013</v>
      </c>
      <c r="C35" s="291">
        <f ca="1">'e3.1C'!$I36</f>
        <v>92156.687071145279</v>
      </c>
      <c r="E35" s="291">
        <f ca="1">'e3.2C'!$I36</f>
        <v>107302.73984789249</v>
      </c>
      <c r="G35" s="291">
        <f ca="1">'e3.3B'!$K33</f>
        <v>123735.30995801219</v>
      </c>
      <c r="I35" s="291">
        <f ca="1">'e3.4B'!$K33</f>
        <v>143436.9936398986</v>
      </c>
      <c r="K35" s="291">
        <f ca="1">'e3.5B'!$M34</f>
        <v>64795.240000004174</v>
      </c>
      <c r="M35" s="291">
        <f>'e3.1C'!$E36</f>
        <v>64795.240000000689</v>
      </c>
      <c r="O35" s="291">
        <f>'e3.2C'!$E36</f>
        <v>64795.239999999525</v>
      </c>
      <c r="Q35" s="235">
        <f ca="1">'e2.1'!Q35</f>
        <v>2</v>
      </c>
      <c r="S35" s="291">
        <f t="shared" si="2"/>
        <v>0</v>
      </c>
      <c r="U35" s="379">
        <f ca="1">0.5*C35+0.5*G35</f>
        <v>107945.99851457874</v>
      </c>
      <c r="W35" s="321">
        <f ca="1">U35/Intro!K35</f>
        <v>0.68333874517428028</v>
      </c>
      <c r="X35" s="422"/>
      <c r="Y35" s="290">
        <f>'e7'!U33</f>
        <v>2</v>
      </c>
      <c r="Z35" s="290">
        <f>'e7'!Y33</f>
        <v>0</v>
      </c>
      <c r="AA35" s="290">
        <f t="shared" si="3"/>
        <v>1.1641532182693481E-9</v>
      </c>
      <c r="AB35" s="290">
        <f t="shared" ca="1" si="8"/>
        <v>43150.758514578047</v>
      </c>
      <c r="AC35" s="290" t="str">
        <f t="shared" ca="1" si="9"/>
        <v/>
      </c>
      <c r="AD35" s="296">
        <f t="shared" ca="1" si="10"/>
        <v>37066219323541.25</v>
      </c>
      <c r="AE35" s="290">
        <f>'e10.2'!Q36</f>
        <v>-903.75203337872676</v>
      </c>
      <c r="AF35" s="290">
        <f ca="1">'e10.2'!U36</f>
        <v>-4816.2365602061909</v>
      </c>
      <c r="AG35" s="544" t="b">
        <f t="shared" ca="1" si="0"/>
        <v>1</v>
      </c>
      <c r="AH35" s="701">
        <f t="shared" ca="1" si="1"/>
        <v>21575.379257289023</v>
      </c>
    </row>
    <row r="36" spans="1:34" x14ac:dyDescent="0.2">
      <c r="A36" s="268">
        <f>Intro!C36</f>
        <v>2014</v>
      </c>
      <c r="C36" s="291">
        <f ca="1">'e3.1C'!$I37</f>
        <v>0</v>
      </c>
      <c r="E36" s="291">
        <f ca="1">'e3.2C'!$I37</f>
        <v>0</v>
      </c>
      <c r="G36" s="291">
        <f ca="1">'e3.3B'!$K34</f>
        <v>79841.908997269202</v>
      </c>
      <c r="I36" s="291">
        <f ca="1">'e3.4B'!$K34</f>
        <v>105942.4626728406</v>
      </c>
      <c r="K36" s="291">
        <f ca="1">'e3.5B'!$M35</f>
        <v>0</v>
      </c>
      <c r="M36" s="291">
        <f>'e3.1C'!$E37</f>
        <v>0</v>
      </c>
      <c r="O36" s="291">
        <f>'e3.2C'!$E37</f>
        <v>0</v>
      </c>
      <c r="Q36" s="235">
        <f ca="1">'e2.1'!Q36</f>
        <v>0</v>
      </c>
      <c r="S36" s="291">
        <f t="shared" si="2"/>
        <v>0</v>
      </c>
      <c r="U36" s="302">
        <f t="shared" si="7"/>
        <v>0</v>
      </c>
      <c r="W36" s="321">
        <f>U36/Intro!K36</f>
        <v>0</v>
      </c>
      <c r="X36" s="422"/>
      <c r="Y36" s="290">
        <f>'e7'!U34</f>
        <v>0</v>
      </c>
      <c r="Z36" s="290">
        <f>'e7'!Y34</f>
        <v>0</v>
      </c>
      <c r="AA36" s="290">
        <f t="shared" si="3"/>
        <v>0</v>
      </c>
      <c r="AB36" s="290">
        <f t="shared" si="8"/>
        <v>0</v>
      </c>
      <c r="AC36" s="290" t="str">
        <f t="shared" si="9"/>
        <v/>
      </c>
      <c r="AD36" s="296" t="str">
        <f t="shared" si="10"/>
        <v/>
      </c>
      <c r="AE36" s="290">
        <f>'e10.2'!Q37</f>
        <v>0</v>
      </c>
      <c r="AF36" s="290">
        <f>'e10.2'!U37</f>
        <v>0</v>
      </c>
      <c r="AG36" s="544" t="b">
        <f t="shared" si="0"/>
        <v>1</v>
      </c>
      <c r="AH36" s="701" t="str">
        <f t="shared" si="1"/>
        <v/>
      </c>
    </row>
    <row r="37" spans="1:34" x14ac:dyDescent="0.2">
      <c r="A37" s="268">
        <f>Intro!C37</f>
        <v>2015</v>
      </c>
      <c r="C37" s="291">
        <f ca="1">'e3.1C'!$I38</f>
        <v>0</v>
      </c>
      <c r="E37" s="291">
        <f ca="1">'e3.2C'!$I38</f>
        <v>0</v>
      </c>
      <c r="G37" s="291">
        <f ca="1">'e3.3B'!$K35</f>
        <v>95278.348827948561</v>
      </c>
      <c r="I37" s="291">
        <f ca="1">'e3.4B'!$K35</f>
        <v>124537.10808213269</v>
      </c>
      <c r="K37" s="291">
        <f ca="1">'e3.5B'!$M36</f>
        <v>0</v>
      </c>
      <c r="M37" s="291">
        <f>'e3.1C'!$E38</f>
        <v>0</v>
      </c>
      <c r="O37" s="291">
        <f>'e3.2C'!$E38</f>
        <v>0</v>
      </c>
      <c r="Q37" s="235">
        <f ca="1">'e2.1'!Q37</f>
        <v>4</v>
      </c>
      <c r="S37" s="291">
        <f t="shared" si="2"/>
        <v>0</v>
      </c>
      <c r="U37" s="379">
        <f ca="1">G37</f>
        <v>95278.348827948561</v>
      </c>
      <c r="W37" s="321">
        <f ca="1">U37/Intro!K37</f>
        <v>0.48386232499051035</v>
      </c>
      <c r="X37" s="422"/>
      <c r="Y37" s="290">
        <f>'e7'!U35</f>
        <v>4</v>
      </c>
      <c r="Z37" s="290">
        <f>'e7'!Y35</f>
        <v>0</v>
      </c>
      <c r="AA37" s="290">
        <f t="shared" si="3"/>
        <v>0</v>
      </c>
      <c r="AB37" s="290">
        <f t="shared" ca="1" si="8"/>
        <v>95278.348827948561</v>
      </c>
      <c r="AC37" s="290" t="str">
        <f t="shared" ca="1" si="9"/>
        <v/>
      </c>
      <c r="AD37" s="296" t="str">
        <f t="shared" ca="1" si="10"/>
        <v/>
      </c>
      <c r="AE37" s="290">
        <f>'e10.2'!Q38</f>
        <v>-3920.5202787932485</v>
      </c>
      <c r="AF37" s="290">
        <f ca="1">'e10.2'!U38</f>
        <v>9274.6400599636981</v>
      </c>
      <c r="AG37" s="544" t="b">
        <f t="shared" ca="1" si="0"/>
        <v>0</v>
      </c>
      <c r="AH37" s="701">
        <f t="shared" ca="1" si="1"/>
        <v>23819.58720698714</v>
      </c>
    </row>
    <row r="38" spans="1:34" x14ac:dyDescent="0.2">
      <c r="A38" s="268">
        <f>Intro!C38</f>
        <v>2016</v>
      </c>
      <c r="C38" s="291">
        <f ca="1">'e3.1C'!$I39</f>
        <v>0</v>
      </c>
      <c r="E38" s="291">
        <f ca="1">'e3.2C'!$I39</f>
        <v>0</v>
      </c>
      <c r="G38" s="291">
        <f ca="1">'e3.3B'!$K36</f>
        <v>93910.135632041114</v>
      </c>
      <c r="I38" s="291">
        <f ca="1">'e3.4B'!$K36</f>
        <v>122551.7361530897</v>
      </c>
      <c r="K38" s="291">
        <f ca="1">'e3.5B'!$M37</f>
        <v>0</v>
      </c>
      <c r="M38" s="291">
        <f>'e3.1C'!$E39</f>
        <v>0</v>
      </c>
      <c r="O38" s="291">
        <f>'e3.2C'!$E39</f>
        <v>0</v>
      </c>
      <c r="Q38" s="235">
        <f ca="1">'e2.1'!Q38</f>
        <v>7</v>
      </c>
      <c r="S38" s="291">
        <f t="shared" si="2"/>
        <v>0</v>
      </c>
      <c r="U38" s="379">
        <f ca="1">0.75*G38 + I38*0.25</f>
        <v>101070.53576230325</v>
      </c>
      <c r="W38" s="321">
        <f ca="1">U38/Intro!K38</f>
        <v>0.45548897368325153</v>
      </c>
      <c r="X38" s="422"/>
      <c r="Y38" s="290">
        <f>'e7'!U36</f>
        <v>8</v>
      </c>
      <c r="Z38" s="290">
        <f>'e7'!Y36</f>
        <v>0</v>
      </c>
      <c r="AA38" s="290">
        <f t="shared" si="3"/>
        <v>0</v>
      </c>
      <c r="AB38" s="290">
        <f t="shared" ca="1" si="8"/>
        <v>101070.53576230325</v>
      </c>
      <c r="AC38" s="290" t="str">
        <f t="shared" ca="1" si="9"/>
        <v/>
      </c>
      <c r="AD38" s="296" t="str">
        <f t="shared" ca="1" si="10"/>
        <v/>
      </c>
      <c r="AE38" s="290">
        <f>'e10.2'!Q39</f>
        <v>-3864.6294091974491</v>
      </c>
      <c r="AF38" s="290">
        <f ca="1">'e10.2'!U39</f>
        <v>-488.44301878551778</v>
      </c>
      <c r="AG38" s="544" t="b">
        <f t="shared" ca="1" si="0"/>
        <v>1</v>
      </c>
      <c r="AH38" s="701">
        <f t="shared" ca="1" si="1"/>
        <v>12633.816970287906</v>
      </c>
    </row>
    <row r="39" spans="1:34" x14ac:dyDescent="0.2">
      <c r="A39" s="268">
        <f>Intro!C39</f>
        <v>2017</v>
      </c>
      <c r="C39" s="291">
        <f ca="1">'e3.1C'!$I40</f>
        <v>0</v>
      </c>
      <c r="E39" s="291">
        <f ca="1">'e3.2C'!$I40</f>
        <v>0</v>
      </c>
      <c r="G39" s="291">
        <f ca="1">'e3.3B'!$K37</f>
        <v>140831.22983825053</v>
      </c>
      <c r="I39" s="291">
        <f ca="1">'e3.4B'!$K37</f>
        <v>183695.55985102427</v>
      </c>
      <c r="K39" s="291">
        <f ca="1">'e3.5B'!$M38</f>
        <v>0</v>
      </c>
      <c r="M39" s="291">
        <f>'e3.1C'!$E40</f>
        <v>0</v>
      </c>
      <c r="O39" s="291">
        <f>'e3.2C'!$E40</f>
        <v>0</v>
      </c>
      <c r="Q39" s="235">
        <f ca="1">'e2.1'!Q39</f>
        <v>6</v>
      </c>
      <c r="S39" s="291">
        <f t="shared" si="2"/>
        <v>0</v>
      </c>
      <c r="U39" s="379">
        <f ca="1">0.6*G39 + I39*0.4</f>
        <v>157976.96184336001</v>
      </c>
      <c r="W39" s="321">
        <f ca="1">U39/Intro!K39</f>
        <v>0.51373006233889729</v>
      </c>
      <c r="X39" s="422"/>
      <c r="Y39" s="290">
        <f>'e7'!U37</f>
        <v>9</v>
      </c>
      <c r="Z39" s="290">
        <f>'e7'!Y37</f>
        <v>0</v>
      </c>
      <c r="AA39" s="290">
        <f t="shared" si="3"/>
        <v>0</v>
      </c>
      <c r="AB39" s="290">
        <f t="shared" ca="1" si="8"/>
        <v>157976.96184336001</v>
      </c>
      <c r="AC39" s="290" t="str">
        <f t="shared" ca="1" si="9"/>
        <v/>
      </c>
      <c r="AD39" s="296" t="str">
        <f t="shared" ca="1" si="10"/>
        <v/>
      </c>
      <c r="AE39" s="290">
        <f>'e10.2'!Q40</f>
        <v>-22461.443810135061</v>
      </c>
      <c r="AF39" s="290">
        <f ca="1">'e10.2'!U40</f>
        <v>-6414.3076985984808</v>
      </c>
      <c r="AG39" s="544" t="b">
        <f t="shared" ca="1" si="0"/>
        <v>1</v>
      </c>
      <c r="AH39" s="701">
        <f t="shared" ca="1" si="1"/>
        <v>17552.995760373335</v>
      </c>
    </row>
    <row r="40" spans="1:34" x14ac:dyDescent="0.2">
      <c r="A40" s="268">
        <f>Intro!C40</f>
        <v>2018</v>
      </c>
      <c r="C40" s="291">
        <f ca="1">'e3.1C'!$I41</f>
        <v>0</v>
      </c>
      <c r="E40" s="291">
        <f ca="1">'e3.2C'!$I41</f>
        <v>0</v>
      </c>
      <c r="G40" s="291">
        <f ca="1">'e3.3B'!$K38</f>
        <v>586770.83830472128</v>
      </c>
      <c r="I40" s="291">
        <f ca="1">'e3.4B'!$K38</f>
        <v>712991.06880772987</v>
      </c>
      <c r="K40" s="291">
        <f ca="1">'e3.5B'!$M39</f>
        <v>0</v>
      </c>
      <c r="M40" s="291">
        <f>'e3.1C'!$E41</f>
        <v>0</v>
      </c>
      <c r="O40" s="291">
        <f>'e3.2C'!$E41</f>
        <v>0</v>
      </c>
      <c r="Q40" s="235">
        <f ca="1">'e2.1'!Q40</f>
        <v>42</v>
      </c>
      <c r="S40" s="291">
        <f t="shared" si="2"/>
        <v>0</v>
      </c>
      <c r="U40" s="379">
        <f t="shared" ref="U40:U41" ca="1" si="11">0.5*G40 + I40*0.5</f>
        <v>649880.95355622564</v>
      </c>
      <c r="W40" s="321">
        <f ca="1">U40/Intro!K40</f>
        <v>1.210440425532215</v>
      </c>
      <c r="X40" s="422"/>
      <c r="Y40" s="290">
        <f>'e7'!U38</f>
        <v>61</v>
      </c>
      <c r="Z40" s="290">
        <f>'e7'!Y38</f>
        <v>0</v>
      </c>
      <c r="AA40" s="290">
        <f t="shared" ref="AA40:AA41" si="12">M40-O40</f>
        <v>0</v>
      </c>
      <c r="AB40" s="290">
        <f t="shared" ref="AB40:AB41" ca="1" si="13">U40-M40</f>
        <v>649880.95355622564</v>
      </c>
      <c r="AC40" s="290" t="str">
        <f t="shared" ref="AC40:AC41" ca="1" si="14">IFERROR(AB40/S40, "")</f>
        <v/>
      </c>
      <c r="AD40" s="296" t="str">
        <f t="shared" ref="AD40:AD41" ca="1" si="15">IFERROR(AB40/AA40, "")</f>
        <v/>
      </c>
      <c r="AE40" s="290">
        <f>'e10.2'!Q41</f>
        <v>-85995.563629867305</v>
      </c>
      <c r="AF40" s="290">
        <f ca="1">'e10.2'!U41</f>
        <v>-25901.092147456482</v>
      </c>
      <c r="AG40" s="544" t="b">
        <f t="shared" ca="1" si="0"/>
        <v>1</v>
      </c>
      <c r="AH40" s="701">
        <f t="shared" ca="1" si="1"/>
        <v>10653.786123872551</v>
      </c>
    </row>
    <row r="41" spans="1:34" x14ac:dyDescent="0.2">
      <c r="A41" s="268">
        <f>Intro!C41</f>
        <v>2019</v>
      </c>
      <c r="C41" s="292">
        <f ca="1">'e3.1C'!$I42</f>
        <v>0</v>
      </c>
      <c r="E41" s="292">
        <f ca="1">'e3.2C'!$I42</f>
        <v>0</v>
      </c>
      <c r="G41" s="292">
        <f ca="1">'e3.3B'!$K39</f>
        <v>853320.64022119995</v>
      </c>
      <c r="I41" s="292">
        <f ca="1">'e3.4B'!$K39</f>
        <v>945835.71646198817</v>
      </c>
      <c r="K41" s="292">
        <f ca="1">'e3.5B'!$M40</f>
        <v>0</v>
      </c>
      <c r="M41" s="292">
        <f>'e3.1C'!$E42</f>
        <v>0</v>
      </c>
      <c r="O41" s="292">
        <f>'e3.2C'!$E42</f>
        <v>0</v>
      </c>
      <c r="Q41" s="248">
        <f ca="1">'e2.1'!Q41</f>
        <v>79</v>
      </c>
      <c r="S41" s="292">
        <f t="shared" si="2"/>
        <v>0</v>
      </c>
      <c r="U41" s="380">
        <f t="shared" ca="1" si="11"/>
        <v>899578.17834159406</v>
      </c>
      <c r="W41" s="298">
        <f ca="1">U41/Intro!K41</f>
        <v>1.6562753559997538</v>
      </c>
      <c r="X41" s="422"/>
      <c r="Y41" s="292">
        <f>'e7'!U39</f>
        <v>114</v>
      </c>
      <c r="Z41" s="292">
        <f>'e7'!Y39</f>
        <v>0</v>
      </c>
      <c r="AA41" s="292">
        <f t="shared" si="12"/>
        <v>0</v>
      </c>
      <c r="AB41" s="292">
        <f t="shared" ca="1" si="13"/>
        <v>899578.17834159406</v>
      </c>
      <c r="AC41" s="292" t="str">
        <f t="shared" ca="1" si="14"/>
        <v/>
      </c>
      <c r="AD41" s="383" t="str">
        <f t="shared" ca="1" si="15"/>
        <v/>
      </c>
      <c r="AE41" s="292">
        <f>'e10.2'!Q42</f>
        <v>-116724.44086115601</v>
      </c>
      <c r="AF41" s="292">
        <f ca="1">'e10.2'!U42</f>
        <v>-35824.178926433437</v>
      </c>
      <c r="AG41" s="544" t="b">
        <f t="shared" ca="1" si="0"/>
        <v>1</v>
      </c>
      <c r="AH41" s="701">
        <f ca="1">IFERROR(AB41/Y41,"")</f>
        <v>7891.0366521192464</v>
      </c>
    </row>
    <row r="42" spans="1:34" x14ac:dyDescent="0.2">
      <c r="AD42" s="296"/>
    </row>
    <row r="43" spans="1:34" x14ac:dyDescent="0.2">
      <c r="A43" s="342" t="s">
        <v>78</v>
      </c>
      <c r="C43" s="289">
        <f ca="1">SUM(C18:C41)</f>
        <v>6727948.7897668071</v>
      </c>
      <c r="E43" s="289">
        <f ca="1">SUM(E18:E41)</f>
        <v>5515298.9130609278</v>
      </c>
      <c r="G43" s="289">
        <f ca="1">SUM(G18:G41)</f>
        <v>7387963.9511023993</v>
      </c>
      <c r="I43" s="289">
        <f ca="1">SUM(I18:I41)</f>
        <v>6522798.346546961</v>
      </c>
      <c r="K43" s="289">
        <f ca="1">SUM(K18:K41)</f>
        <v>9484992.4040437192</v>
      </c>
      <c r="M43" s="289">
        <f>SUM(M18:M41)</f>
        <v>5638094.8400000017</v>
      </c>
      <c r="O43" s="289">
        <f>SUM(O18:O41)</f>
        <v>4320955.3000000007</v>
      </c>
      <c r="Q43" s="290">
        <f ca="1">SUM(Q18:Q41)</f>
        <v>156</v>
      </c>
      <c r="S43" s="290">
        <f>SUM(S18:S41)</f>
        <v>6</v>
      </c>
      <c r="U43" s="289">
        <f ca="1">SUM(U18:U41)</f>
        <v>8381554.3356388398</v>
      </c>
      <c r="W43" s="321">
        <f ca="1">U43/Intro!K45</f>
        <v>2.1509750266871217</v>
      </c>
      <c r="Y43" s="290">
        <f>SUM(Y18:Y41)</f>
        <v>214</v>
      </c>
      <c r="Z43" s="290">
        <f>SUM(Z18:Z41)</f>
        <v>6</v>
      </c>
      <c r="AA43" s="290">
        <f>SUM(AA18:AA41)</f>
        <v>1317139.5400000007</v>
      </c>
      <c r="AB43" s="290">
        <f ca="1">SUM(AB18:AB41)</f>
        <v>2743459.4956388371</v>
      </c>
      <c r="AC43" s="290">
        <f ca="1">IFERROR(AB43/S43, "")</f>
        <v>457243.24927313952</v>
      </c>
      <c r="AD43" s="296">
        <f ca="1">IFERROR(AB43/AA43, "")</f>
        <v>2.0828920644496298</v>
      </c>
      <c r="AE43" s="290">
        <f>SUM(AE18:AE41)</f>
        <v>-238885.04631964469</v>
      </c>
      <c r="AF43" s="290">
        <f ca="1">SUM(AF18:AF41)</f>
        <v>-72001.96084304314</v>
      </c>
    </row>
    <row r="45" spans="1:34" x14ac:dyDescent="0.2">
      <c r="A45" s="268">
        <f>A41+1</f>
        <v>2020</v>
      </c>
      <c r="U45" s="381">
        <f ca="1">'e4.2'!Z42</f>
        <v>1054584.3804619629</v>
      </c>
      <c r="W45" s="321">
        <f ca="1">U45/Intro!K51</f>
        <v>1.8851145175592898</v>
      </c>
      <c r="AA45" s="416" t="s">
        <v>602</v>
      </c>
      <c r="AB45" s="301"/>
    </row>
    <row r="46" spans="1:34" x14ac:dyDescent="0.2">
      <c r="AA46" s="412" t="s">
        <v>601</v>
      </c>
      <c r="AB46" s="252">
        <f ca="1">SUM(AA43:AB43) / Q43</f>
        <v>26029.480997684859</v>
      </c>
    </row>
    <row r="47" spans="1:34" x14ac:dyDescent="0.2">
      <c r="AA47" s="417" t="s">
        <v>603</v>
      </c>
      <c r="AB47" s="252">
        <f ca="1">SUM(AA27:AB39) / SUM(Q27:Q39)</f>
        <v>19658.027497645046</v>
      </c>
    </row>
    <row r="48" spans="1:34" x14ac:dyDescent="0.2">
      <c r="A48" s="327" t="s">
        <v>83</v>
      </c>
      <c r="AA48" s="418" t="s">
        <v>605</v>
      </c>
      <c r="AB48" s="252">
        <f ca="1">SUM(AA30:AB37) / SUM(Q30:Q37)</f>
        <v>19269.900815836419</v>
      </c>
    </row>
    <row r="49" spans="1:29" x14ac:dyDescent="0.2">
      <c r="A49" s="327" t="s">
        <v>580</v>
      </c>
      <c r="L49" s="327" t="s">
        <v>570</v>
      </c>
      <c r="AA49" s="418" t="s">
        <v>604</v>
      </c>
      <c r="AB49" s="252">
        <f ca="1">SUM(AA29:AB38) / SUM(Q29:Q38)</f>
        <v>17156.227694051937</v>
      </c>
    </row>
    <row r="50" spans="1:29" x14ac:dyDescent="0.2">
      <c r="A50" s="327" t="s">
        <v>581</v>
      </c>
      <c r="L50" s="327" t="s">
        <v>514</v>
      </c>
      <c r="AA50" s="420" t="s">
        <v>607</v>
      </c>
      <c r="AB50" s="419">
        <f ca="1">SUM(AA37:AB41) / SUM(Q37:Q40, 'e6.1'!O32)</f>
        <v>16133.771002808742</v>
      </c>
      <c r="AC50" s="290"/>
    </row>
    <row r="51" spans="1:29" x14ac:dyDescent="0.2">
      <c r="A51" s="327" t="s">
        <v>582</v>
      </c>
      <c r="L51" s="327" t="s">
        <v>515</v>
      </c>
    </row>
    <row r="52" spans="1:29" x14ac:dyDescent="0.2">
      <c r="A52" s="327" t="s">
        <v>583</v>
      </c>
      <c r="L52" s="327" t="s">
        <v>516</v>
      </c>
      <c r="AA52" s="253"/>
      <c r="AB52" s="419"/>
    </row>
    <row r="53" spans="1:29" x14ac:dyDescent="0.2">
      <c r="A53" s="327" t="s">
        <v>830</v>
      </c>
      <c r="L53" s="327" t="s">
        <v>517</v>
      </c>
    </row>
  </sheetData>
  <printOptions horizontalCentered="1"/>
  <pageMargins left="0.7" right="0.7" top="0.75" bottom="0.75" header="0.3" footer="0.3"/>
  <pageSetup scale="69" orientation="landscape" blackAndWhite="1" r:id="rId1"/>
  <headerFooter>
    <oddHeader xml:space="preserve">&amp;L&amp;"Arial"&amp;10  
  &amp;R&amp;"Arial"&amp;10  Exhibit 2
Sheet 2
</oddHeader>
    <oddFooter xml:space="preserve">&amp;L&amp;"Arial"&amp;10 Oliver Wyman Actuarial Consulting, Inc.
&amp;C&amp;"Arial"&amp;10 &amp;R&amp;"Arial"&amp;10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5">
    <tabColor rgb="FF0070C0"/>
    <pageSetUpPr fitToPage="1"/>
  </sheetPr>
  <dimension ref="A1:AQ53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1.625" style="222" customWidth="1"/>
    <col min="4" max="4" width="2.625" style="222" customWidth="1"/>
    <col min="5" max="5" width="11.625" style="222" customWidth="1"/>
    <col min="6" max="6" width="2.625" style="222" customWidth="1"/>
    <col min="7" max="7" width="11.625" style="222" customWidth="1"/>
    <col min="8" max="8" width="2.625" style="222" customWidth="1"/>
    <col min="9" max="9" width="11.6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11.625" style="222" customWidth="1"/>
    <col min="14" max="14" width="2.625" style="222" customWidth="1"/>
    <col min="15" max="15" width="11.625" style="222" customWidth="1"/>
    <col min="16" max="16" width="2.625" style="222" customWidth="1"/>
    <col min="17" max="17" width="10.625" style="222" customWidth="1"/>
    <col min="18" max="18" width="2.625" style="222" customWidth="1"/>
    <col min="19" max="19" width="10.625" style="222" customWidth="1"/>
    <col min="20" max="20" width="2.625" style="222" customWidth="1"/>
    <col min="21" max="21" width="11.625" style="222" customWidth="1"/>
    <col min="22" max="22" width="2.625" style="222" customWidth="1"/>
    <col min="23" max="23" width="10.75" style="222" customWidth="1"/>
    <col min="24" max="24" width="2.625" style="222" customWidth="1"/>
    <col min="25" max="27" width="9" style="222"/>
    <col min="28" max="28" width="9.5" style="222" customWidth="1"/>
    <col min="29" max="30" width="9" style="222"/>
    <col min="31" max="31" width="2.625" style="222" customWidth="1"/>
    <col min="32" max="32" width="9.5" style="222" customWidth="1"/>
    <col min="33" max="33" width="9" style="222"/>
    <col min="34" max="34" width="2.625" style="222" customWidth="1"/>
    <col min="35" max="37" width="9" style="222"/>
    <col min="38" max="38" width="2.625" style="222" customWidth="1"/>
    <col min="39" max="16384" width="9" style="222"/>
  </cols>
  <sheetData>
    <row r="1" spans="1:43" x14ac:dyDescent="0.2">
      <c r="A1" s="1" t="str">
        <f>[1]!getlabels()</f>
        <v>Exhibit 2, Sheet 3</v>
      </c>
    </row>
    <row r="2" spans="1:4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</row>
    <row r="3" spans="1:4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</row>
    <row r="4" spans="1:4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</row>
    <row r="5" spans="1:4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</row>
    <row r="6" spans="1:4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</row>
    <row r="7" spans="1:43" x14ac:dyDescent="0.2">
      <c r="A7" s="224" t="str">
        <f>VLOOKUP(A1, index_lkups, 3, FALSE)</f>
        <v>Estimate of Ultimate Losses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</row>
    <row r="10" spans="1:43" x14ac:dyDescent="0.2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227"/>
      <c r="R10" s="227"/>
      <c r="S10" s="348" t="s">
        <v>362</v>
      </c>
      <c r="T10" s="148"/>
      <c r="U10" s="148"/>
      <c r="V10" s="148"/>
      <c r="W10" s="148"/>
      <c r="X10" s="148"/>
      <c r="Y10" s="148"/>
      <c r="Z10" s="227"/>
      <c r="AA10" s="227"/>
      <c r="AB10" s="227"/>
      <c r="AC10" s="227"/>
      <c r="AD10" s="227"/>
      <c r="AE10" s="227"/>
      <c r="AF10" s="227"/>
      <c r="AG10" s="227"/>
      <c r="AH10" s="148"/>
    </row>
    <row r="11" spans="1:43" x14ac:dyDescent="0.2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227"/>
      <c r="R11" s="227"/>
      <c r="S11" s="348" t="s">
        <v>509</v>
      </c>
      <c r="T11" s="148"/>
      <c r="U11" s="148"/>
      <c r="V11" s="148"/>
      <c r="W11" s="148"/>
      <c r="X11" s="148"/>
      <c r="Y11" s="148"/>
      <c r="Z11" s="227"/>
      <c r="AA11" s="227"/>
      <c r="AB11" s="227"/>
      <c r="AC11" s="227"/>
      <c r="AD11" s="227"/>
      <c r="AE11" s="227"/>
      <c r="AF11" s="227"/>
      <c r="AG11" s="227"/>
      <c r="AH11" s="148"/>
    </row>
    <row r="12" spans="1:43" x14ac:dyDescent="0.2">
      <c r="A12" s="151"/>
      <c r="B12" s="148"/>
      <c r="C12" s="151" t="s">
        <v>71</v>
      </c>
      <c r="D12" s="148"/>
      <c r="E12" s="151" t="s">
        <v>75</v>
      </c>
      <c r="F12" s="148"/>
      <c r="G12" s="151" t="s">
        <v>71</v>
      </c>
      <c r="H12" s="148"/>
      <c r="I12" s="151" t="s">
        <v>75</v>
      </c>
      <c r="J12" s="148"/>
      <c r="K12" s="151"/>
      <c r="L12" s="148"/>
      <c r="M12" s="151" t="s">
        <v>71</v>
      </c>
      <c r="N12" s="148"/>
      <c r="O12" s="151" t="s">
        <v>75</v>
      </c>
      <c r="P12" s="148"/>
      <c r="Q12" s="348" t="s">
        <v>362</v>
      </c>
      <c r="R12" s="348"/>
      <c r="S12" s="348" t="s">
        <v>498</v>
      </c>
      <c r="T12" s="148"/>
      <c r="U12" s="151"/>
      <c r="V12" s="148"/>
      <c r="W12" s="151"/>
      <c r="X12" s="148"/>
      <c r="Y12" s="148"/>
      <c r="Z12" s="227"/>
      <c r="AA12" s="227"/>
      <c r="AB12" s="227"/>
      <c r="AC12" s="227"/>
      <c r="AD12" s="227"/>
      <c r="AE12" s="227"/>
      <c r="AF12" s="227"/>
      <c r="AG12" s="227"/>
      <c r="AH12" s="227"/>
    </row>
    <row r="13" spans="1:43" x14ac:dyDescent="0.2">
      <c r="A13" s="151" t="str">
        <f>Intro!M9</f>
        <v>Policy</v>
      </c>
      <c r="B13" s="148"/>
      <c r="C13" s="151" t="s">
        <v>8</v>
      </c>
      <c r="D13" s="148"/>
      <c r="E13" s="151" t="s">
        <v>8</v>
      </c>
      <c r="F13" s="148"/>
      <c r="G13" s="151" t="s">
        <v>333</v>
      </c>
      <c r="H13" s="148"/>
      <c r="I13" s="151" t="s">
        <v>333</v>
      </c>
      <c r="J13" s="148"/>
      <c r="K13" s="151" t="s">
        <v>74</v>
      </c>
      <c r="L13" s="148"/>
      <c r="M13" s="151" t="s">
        <v>8</v>
      </c>
      <c r="N13" s="148"/>
      <c r="O13" s="151" t="s">
        <v>8</v>
      </c>
      <c r="P13" s="148"/>
      <c r="Q13" s="348" t="s">
        <v>509</v>
      </c>
      <c r="R13" s="348"/>
      <c r="S13" s="348" t="s">
        <v>377</v>
      </c>
      <c r="T13" s="148"/>
      <c r="U13" s="151" t="s">
        <v>105</v>
      </c>
      <c r="V13" s="148"/>
      <c r="W13" s="151" t="s">
        <v>362</v>
      </c>
      <c r="X13" s="148"/>
      <c r="Y13" s="148"/>
      <c r="Z13" s="227"/>
      <c r="AA13" s="227"/>
      <c r="AB13" s="227"/>
      <c r="AC13" s="227"/>
      <c r="AD13" s="227"/>
      <c r="AE13" s="227"/>
      <c r="AF13" s="227"/>
      <c r="AG13" s="227"/>
      <c r="AH13" s="227"/>
      <c r="AM13" s="497" t="s">
        <v>608</v>
      </c>
      <c r="AN13" s="497"/>
      <c r="AO13" s="497"/>
      <c r="AP13" s="497"/>
      <c r="AQ13" s="497"/>
    </row>
    <row r="14" spans="1:43" x14ac:dyDescent="0.2">
      <c r="A14" s="151" t="str">
        <f>Intro!M10</f>
        <v>Period</v>
      </c>
      <c r="B14" s="148"/>
      <c r="C14" s="151" t="s">
        <v>499</v>
      </c>
      <c r="D14" s="148"/>
      <c r="E14" s="151" t="s">
        <v>499</v>
      </c>
      <c r="F14" s="148"/>
      <c r="G14" s="151" t="s">
        <v>337</v>
      </c>
      <c r="H14" s="148"/>
      <c r="I14" s="151" t="s">
        <v>337</v>
      </c>
      <c r="J14" s="148"/>
      <c r="K14" s="151" t="s">
        <v>499</v>
      </c>
      <c r="L14" s="148"/>
      <c r="M14" s="151" t="s">
        <v>334</v>
      </c>
      <c r="N14" s="148"/>
      <c r="O14" s="151" t="s">
        <v>334</v>
      </c>
      <c r="P14" s="148"/>
      <c r="Q14" s="348" t="s">
        <v>498</v>
      </c>
      <c r="R14" s="348"/>
      <c r="S14" s="348" t="s">
        <v>522</v>
      </c>
      <c r="T14" s="148"/>
      <c r="U14" s="151" t="s">
        <v>245</v>
      </c>
      <c r="V14" s="148"/>
      <c r="W14" s="151" t="s">
        <v>8</v>
      </c>
      <c r="X14" s="148"/>
      <c r="Y14" s="181" t="s">
        <v>78</v>
      </c>
      <c r="Z14" s="376" t="s">
        <v>501</v>
      </c>
      <c r="AA14" s="372"/>
      <c r="AB14" s="372"/>
      <c r="AC14" s="375" t="s">
        <v>411</v>
      </c>
      <c r="AD14" s="375" t="s">
        <v>510</v>
      </c>
      <c r="AG14" s="227"/>
      <c r="AH14" s="227"/>
      <c r="AI14" s="496" t="s">
        <v>696</v>
      </c>
      <c r="AJ14" s="496" t="s">
        <v>245</v>
      </c>
      <c r="AK14" s="285"/>
      <c r="AM14" s="488"/>
      <c r="AN14" s="488"/>
      <c r="AO14" s="488"/>
      <c r="AP14" s="488"/>
      <c r="AQ14" s="488"/>
    </row>
    <row r="15" spans="1:43" x14ac:dyDescent="0.2">
      <c r="A15" s="176" t="str">
        <f>Intro!M11</f>
        <v>Ending 9/30</v>
      </c>
      <c r="B15" s="148"/>
      <c r="C15" s="179" t="s">
        <v>339</v>
      </c>
      <c r="D15" s="148"/>
      <c r="E15" s="179" t="s">
        <v>339</v>
      </c>
      <c r="F15" s="148"/>
      <c r="G15" s="179" t="s">
        <v>339</v>
      </c>
      <c r="H15" s="148"/>
      <c r="I15" s="179" t="s">
        <v>339</v>
      </c>
      <c r="J15" s="148"/>
      <c r="K15" s="179" t="s">
        <v>339</v>
      </c>
      <c r="L15" s="148"/>
      <c r="M15" s="179" t="str">
        <f>ctxt</f>
        <v>4/30/19</v>
      </c>
      <c r="N15" s="148"/>
      <c r="O15" s="179" t="str">
        <f>M15</f>
        <v>4/30/19</v>
      </c>
      <c r="P15" s="148"/>
      <c r="Q15" s="244" t="s">
        <v>377</v>
      </c>
      <c r="R15" s="229"/>
      <c r="S15" s="386">
        <v>250000</v>
      </c>
      <c r="T15" s="148"/>
      <c r="U15" s="176" t="s">
        <v>8</v>
      </c>
      <c r="V15" s="148"/>
      <c r="W15" s="176" t="s">
        <v>349</v>
      </c>
      <c r="X15" s="148"/>
      <c r="Y15" s="176" t="s">
        <v>412</v>
      </c>
      <c r="Z15" s="377" t="s">
        <v>263</v>
      </c>
      <c r="AA15" s="244" t="s">
        <v>74</v>
      </c>
      <c r="AB15" s="244" t="s">
        <v>191</v>
      </c>
      <c r="AC15" s="377" t="s">
        <v>412</v>
      </c>
      <c r="AD15" s="244" t="s">
        <v>74</v>
      </c>
      <c r="AF15" s="244" t="s">
        <v>506</v>
      </c>
      <c r="AG15" s="343" t="s">
        <v>475</v>
      </c>
      <c r="AI15" s="498" t="s">
        <v>504</v>
      </c>
      <c r="AJ15" s="498" t="s">
        <v>697</v>
      </c>
      <c r="AK15" s="498" t="s">
        <v>475</v>
      </c>
      <c r="AL15" s="488"/>
      <c r="AM15" s="498" t="s">
        <v>71</v>
      </c>
      <c r="AN15" s="498" t="s">
        <v>74</v>
      </c>
      <c r="AO15" s="498" t="s">
        <v>191</v>
      </c>
      <c r="AP15" s="498" t="s">
        <v>245</v>
      </c>
      <c r="AQ15" s="498" t="s">
        <v>475</v>
      </c>
    </row>
    <row r="16" spans="1:43" x14ac:dyDescent="0.2">
      <c r="C16" s="288">
        <v>1</v>
      </c>
      <c r="E16" s="288">
        <f>C16+1</f>
        <v>2</v>
      </c>
      <c r="G16" s="288">
        <f>E16+1</f>
        <v>3</v>
      </c>
      <c r="I16" s="288">
        <f>G16+1</f>
        <v>4</v>
      </c>
      <c r="K16" s="288">
        <f>I16+1</f>
        <v>5</v>
      </c>
      <c r="M16" s="288">
        <f>K16+1</f>
        <v>6</v>
      </c>
      <c r="O16" s="288">
        <f>M16+1</f>
        <v>7</v>
      </c>
      <c r="Q16" s="373" t="s">
        <v>507</v>
      </c>
      <c r="S16" s="373" t="s">
        <v>508</v>
      </c>
      <c r="U16" s="288">
        <f>O16+2</f>
        <v>9</v>
      </c>
      <c r="W16" s="288">
        <f>U16+1</f>
        <v>10</v>
      </c>
    </row>
    <row r="18" spans="1:43" x14ac:dyDescent="0.2">
      <c r="A18" s="268">
        <f>Intro!C18</f>
        <v>1996</v>
      </c>
      <c r="C18" s="374">
        <f ca="1">'e3.1A'!$I18</f>
        <v>686057.54951012426</v>
      </c>
      <c r="E18" s="374">
        <f ca="1">'e3.2A'!$I18</f>
        <v>689046.71734513121</v>
      </c>
      <c r="G18" s="374">
        <f ca="1">'e3.3C'!$K16</f>
        <v>685188.6957388845</v>
      </c>
      <c r="I18" s="374">
        <f ca="1">'e3.4C'!$K16</f>
        <v>687210.14303316583</v>
      </c>
      <c r="K18" s="374">
        <f ca="1">'e3.5C'!$M17</f>
        <v>683326</v>
      </c>
      <c r="M18" s="374">
        <f>'e3.1A'!$E18</f>
        <v>683326</v>
      </c>
      <c r="O18" s="374">
        <f>'e3.2A'!$E18</f>
        <v>683326</v>
      </c>
      <c r="Q18" s="378">
        <f t="shared" ref="Q18" si="0">Y18</f>
        <v>0</v>
      </c>
      <c r="S18" s="291">
        <f t="shared" ref="S18" si="1">Q18-Z18</f>
        <v>0</v>
      </c>
      <c r="U18" s="381">
        <f>'e10.1'!C19</f>
        <v>683326</v>
      </c>
      <c r="W18" s="297">
        <f>U18/Intro!K18</f>
        <v>13.212346130265953</v>
      </c>
      <c r="Y18" s="290">
        <f>'e7'!U16</f>
        <v>0</v>
      </c>
      <c r="Z18" s="290">
        <f>'e7'!Y16</f>
        <v>0</v>
      </c>
      <c r="AA18" s="290">
        <f>M18-O18</f>
        <v>0</v>
      </c>
      <c r="AB18" s="290">
        <f>U18-M18</f>
        <v>0</v>
      </c>
      <c r="AC18" s="290" t="str">
        <f>IFERROR(AB18/S18, "")</f>
        <v/>
      </c>
      <c r="AD18" s="296" t="str">
        <f>IFERROR(AB18/AA18, "")</f>
        <v/>
      </c>
      <c r="AF18" s="385">
        <v>0</v>
      </c>
      <c r="AG18" s="222" t="b">
        <f t="shared" ref="AG18:AG41" si="2">AF18&gt;=AB18</f>
        <v>1</v>
      </c>
      <c r="AI18" s="290">
        <f>'e3.1A'!AB18</f>
        <v>0</v>
      </c>
      <c r="AJ18" s="291">
        <v>0</v>
      </c>
      <c r="AK18" s="544" t="b">
        <f>IF(AI18&lt;=0, AJ18&lt;=0, AJ18&gt;0)</f>
        <v>1</v>
      </c>
      <c r="AM18" s="676">
        <f>'e2.1'!M18-'e2.3'!M18</f>
        <v>0</v>
      </c>
      <c r="AN18" s="676">
        <f>'e2.1'!AA18-'e2.3'!AA18</f>
        <v>0</v>
      </c>
      <c r="AO18" s="676">
        <f>'e2.1'!AB18-'e2.3'!AB18</f>
        <v>0</v>
      </c>
      <c r="AP18" s="676">
        <f>'e2.1'!U18-'e2.3'!U18</f>
        <v>0</v>
      </c>
      <c r="AQ18" s="488" t="b">
        <f t="shared" ref="AQ18:AQ36" si="3">IF(AN18=0,AO18=0,AO18&gt;0)</f>
        <v>1</v>
      </c>
    </row>
    <row r="19" spans="1:43" x14ac:dyDescent="0.2">
      <c r="A19" s="268">
        <f>Intro!C19</f>
        <v>1997</v>
      </c>
      <c r="C19" s="291">
        <f ca="1">'e3.1A'!$I19</f>
        <v>1343899.9479962431</v>
      </c>
      <c r="E19" s="291">
        <f ca="1">'e3.2A'!$I19</f>
        <v>1350932.1730051334</v>
      </c>
      <c r="G19" s="291">
        <f ca="1">'e3.3C'!$K17</f>
        <v>1340597.2355000034</v>
      </c>
      <c r="I19" s="291">
        <f ca="1">'e3.4C'!$K17</f>
        <v>1343907.5292011199</v>
      </c>
      <c r="K19" s="291">
        <f ca="1">'e3.5C'!$M18</f>
        <v>1337604</v>
      </c>
      <c r="M19" s="291">
        <f>'e3.1A'!$E19</f>
        <v>1337604</v>
      </c>
      <c r="O19" s="291">
        <f>'e3.2A'!$E19</f>
        <v>1337604</v>
      </c>
      <c r="Q19" s="378">
        <f t="shared" ref="Q19:Q24" si="4">Y19</f>
        <v>0</v>
      </c>
      <c r="S19" s="291">
        <f t="shared" ref="S19:S41" si="5">Q19-Z19</f>
        <v>0</v>
      </c>
      <c r="U19" s="364">
        <f>'e10.1'!C20</f>
        <v>1337604</v>
      </c>
      <c r="W19" s="321">
        <f>U19/Intro!K19</f>
        <v>18.765532133362374</v>
      </c>
      <c r="Y19" s="290">
        <f>'e7'!U17</f>
        <v>0</v>
      </c>
      <c r="Z19" s="290">
        <f>'e7'!Y17</f>
        <v>0</v>
      </c>
      <c r="AA19" s="290">
        <f t="shared" ref="AA19:AA41" si="6">M19-O19</f>
        <v>0</v>
      </c>
      <c r="AB19" s="290">
        <f t="shared" ref="AB19:AB25" si="7">U19-M19</f>
        <v>0</v>
      </c>
      <c r="AC19" s="290" t="str">
        <f t="shared" ref="AC19:AC41" si="8">IFERROR(AB19/S19, "")</f>
        <v/>
      </c>
      <c r="AD19" s="296" t="str">
        <f t="shared" ref="AD19:AD41" si="9">IFERROR(AB19/AA19, "")</f>
        <v/>
      </c>
      <c r="AF19" s="385">
        <v>0</v>
      </c>
      <c r="AG19" s="222" t="b">
        <f t="shared" si="2"/>
        <v>1</v>
      </c>
      <c r="AI19" s="290">
        <f>'e3.1A'!AB19</f>
        <v>0</v>
      </c>
      <c r="AJ19" s="291">
        <v>0</v>
      </c>
      <c r="AK19" s="544" t="b">
        <f t="shared" ref="AK19:AK41" si="10">IF(AI19&lt;=0, AJ19&lt;=0, AJ19&gt;0)</f>
        <v>1</v>
      </c>
      <c r="AM19" s="676">
        <f>'e2.1'!M19-'e2.3'!M19</f>
        <v>0</v>
      </c>
      <c r="AN19" s="676">
        <f>'e2.1'!AA19-'e2.3'!AA19</f>
        <v>0</v>
      </c>
      <c r="AO19" s="676">
        <f>'e2.1'!AB19-'e2.3'!AB19</f>
        <v>0</v>
      </c>
      <c r="AP19" s="676">
        <f>'e2.1'!U19-'e2.3'!U19</f>
        <v>0</v>
      </c>
      <c r="AQ19" s="488" t="b">
        <f t="shared" si="3"/>
        <v>1</v>
      </c>
    </row>
    <row r="20" spans="1:43" x14ac:dyDescent="0.2">
      <c r="A20" s="268">
        <f>Intro!C20</f>
        <v>1998</v>
      </c>
      <c r="C20" s="291">
        <f ca="1">'e3.1A'!$I20</f>
        <v>2608056.4441664326</v>
      </c>
      <c r="E20" s="291">
        <f ca="1">'e3.2A'!$I20</f>
        <v>2615615.8412902113</v>
      </c>
      <c r="G20" s="291">
        <f ca="1">'e3.3C'!$K18</f>
        <v>2598228.3425421347</v>
      </c>
      <c r="I20" s="291">
        <f ca="1">'e3.4C'!$K18</f>
        <v>2594626.347759333</v>
      </c>
      <c r="K20" s="291">
        <f ca="1">'e3.5C'!$M19</f>
        <v>2601425.441426897</v>
      </c>
      <c r="M20" s="291">
        <f>'e3.1A'!$E20</f>
        <v>2593680.7199999997</v>
      </c>
      <c r="O20" s="291">
        <f>'e3.2A'!$E20</f>
        <v>2584955.17</v>
      </c>
      <c r="Q20" s="378">
        <f t="shared" si="4"/>
        <v>1</v>
      </c>
      <c r="S20" s="291">
        <f t="shared" si="5"/>
        <v>1</v>
      </c>
      <c r="U20" s="364">
        <f>'e10.1'!C21</f>
        <v>2603276.8798025614</v>
      </c>
      <c r="W20" s="321">
        <f>U20/Intro!K20</f>
        <v>28.693855448366332</v>
      </c>
      <c r="Y20" s="290">
        <f>'e7'!U18</f>
        <v>1</v>
      </c>
      <c r="Z20" s="290">
        <f>'e7'!Y18</f>
        <v>0</v>
      </c>
      <c r="AA20" s="290">
        <f t="shared" si="6"/>
        <v>8725.5499999998137</v>
      </c>
      <c r="AB20" s="290">
        <f t="shared" si="7"/>
        <v>9596.1598025616258</v>
      </c>
      <c r="AC20" s="290">
        <f t="shared" si="8"/>
        <v>9596.1598025616258</v>
      </c>
      <c r="AD20" s="296">
        <f t="shared" si="9"/>
        <v>1.0997770687878508</v>
      </c>
      <c r="AF20" s="385">
        <v>26236</v>
      </c>
      <c r="AG20" s="222" t="b">
        <f t="shared" si="2"/>
        <v>1</v>
      </c>
      <c r="AI20" s="290">
        <f>'e3.1A'!AB20</f>
        <v>0</v>
      </c>
      <c r="AJ20" s="291">
        <v>0</v>
      </c>
      <c r="AK20" s="544" t="b">
        <f t="shared" si="10"/>
        <v>1</v>
      </c>
      <c r="AM20" s="676">
        <f>'e2.1'!M20-'e2.3'!M20</f>
        <v>0</v>
      </c>
      <c r="AN20" s="676">
        <f>'e2.1'!AA20-'e2.3'!AA20</f>
        <v>0</v>
      </c>
      <c r="AO20" s="676">
        <f>'e2.1'!AB20-'e2.3'!AB20</f>
        <v>0</v>
      </c>
      <c r="AP20" s="676">
        <f>'e2.1'!U20-'e2.3'!U20</f>
        <v>0</v>
      </c>
      <c r="AQ20" s="488" t="b">
        <f t="shared" si="3"/>
        <v>1</v>
      </c>
    </row>
    <row r="21" spans="1:43" x14ac:dyDescent="0.2">
      <c r="A21" s="268">
        <f>Intro!C21</f>
        <v>1999</v>
      </c>
      <c r="C21" s="291">
        <f ca="1">'e3.1A'!$I21</f>
        <v>2657616.0194703522</v>
      </c>
      <c r="E21" s="291">
        <f ca="1">'e3.2A'!$I21</f>
        <v>2584845.7901977873</v>
      </c>
      <c r="G21" s="291">
        <f ca="1">'e3.3C'!$K19</f>
        <v>2647296.4713694849</v>
      </c>
      <c r="I21" s="291">
        <f ca="1">'e3.4C'!$K19</f>
        <v>2563699.4851601832</v>
      </c>
      <c r="K21" s="291">
        <f ca="1">'e3.5C'!$M20</f>
        <v>2720157.6239123754</v>
      </c>
      <c r="M21" s="291">
        <f>'e3.1A'!$E21</f>
        <v>2640381.7999999998</v>
      </c>
      <c r="O21" s="291">
        <f>'e3.2A'!$E21</f>
        <v>2548851.29</v>
      </c>
      <c r="Q21" s="378">
        <f t="shared" si="4"/>
        <v>2</v>
      </c>
      <c r="S21" s="291">
        <f t="shared" si="5"/>
        <v>1</v>
      </c>
      <c r="U21" s="364">
        <f>'e10.1'!C22</f>
        <v>2650176.9452059255</v>
      </c>
      <c r="W21" s="321">
        <f>U21/Intro!K21</f>
        <v>22.880246556169034</v>
      </c>
      <c r="Y21" s="290">
        <f>'e7'!U19</f>
        <v>2</v>
      </c>
      <c r="Z21" s="290">
        <f>'e7'!Y19</f>
        <v>1</v>
      </c>
      <c r="AA21" s="290">
        <f t="shared" si="6"/>
        <v>91530.509999999776</v>
      </c>
      <c r="AB21" s="290">
        <f t="shared" si="7"/>
        <v>9795.1452059256844</v>
      </c>
      <c r="AC21" s="290">
        <f t="shared" si="8"/>
        <v>9795.1452059256844</v>
      </c>
      <c r="AD21" s="296">
        <f t="shared" si="9"/>
        <v>0.1070150838876098</v>
      </c>
      <c r="AF21" s="385">
        <v>11884</v>
      </c>
      <c r="AG21" s="222" t="b">
        <f t="shared" si="2"/>
        <v>1</v>
      </c>
      <c r="AI21" s="290">
        <f>'e3.1A'!AB21</f>
        <v>0</v>
      </c>
      <c r="AJ21" s="291">
        <v>0</v>
      </c>
      <c r="AK21" s="544" t="b">
        <f t="shared" si="10"/>
        <v>1</v>
      </c>
      <c r="AM21" s="676">
        <f>'e2.1'!M21-'e2.3'!M21</f>
        <v>0</v>
      </c>
      <c r="AN21" s="676">
        <f>'e2.1'!AA21-'e2.3'!AA21</f>
        <v>0</v>
      </c>
      <c r="AO21" s="676">
        <f>'e2.1'!AB21-'e2.3'!AB21</f>
        <v>0</v>
      </c>
      <c r="AP21" s="676">
        <f>'e2.1'!U21-'e2.3'!U21</f>
        <v>0</v>
      </c>
      <c r="AQ21" s="488" t="b">
        <f t="shared" si="3"/>
        <v>1</v>
      </c>
    </row>
    <row r="22" spans="1:43" x14ac:dyDescent="0.2">
      <c r="A22" s="268">
        <f>Intro!C22</f>
        <v>2000</v>
      </c>
      <c r="C22" s="291">
        <f ca="1">'e3.1A'!$I22</f>
        <v>2388707.8695035465</v>
      </c>
      <c r="E22" s="291">
        <f ca="1">'e3.2A'!$I22</f>
        <v>2353207.1661252072</v>
      </c>
      <c r="G22" s="291">
        <f ca="1">'e3.3C'!$K20</f>
        <v>2376670.0617722711</v>
      </c>
      <c r="I22" s="291">
        <f ca="1">'e3.4C'!$K20</f>
        <v>2327696.5619336693</v>
      </c>
      <c r="K22" s="291">
        <f ca="1">'e3.5C'!$M21</f>
        <v>2418600.0957390657</v>
      </c>
      <c r="M22" s="291">
        <f>'e3.1A'!$E22</f>
        <v>2370485.2200000002</v>
      </c>
      <c r="O22" s="291">
        <f>'e3.2A'!$E22</f>
        <v>2314287.94</v>
      </c>
      <c r="Q22" s="378">
        <f t="shared" si="4"/>
        <v>4</v>
      </c>
      <c r="S22" s="291">
        <f t="shared" si="5"/>
        <v>2</v>
      </c>
      <c r="U22" s="364">
        <f>'e10.1'!C23</f>
        <v>2398255.8306415239</v>
      </c>
      <c r="W22" s="321">
        <f>U22/Intro!K22</f>
        <v>27.612776153363285</v>
      </c>
      <c r="Y22" s="290">
        <f>'e7'!U20</f>
        <v>4</v>
      </c>
      <c r="Z22" s="290">
        <f>'e7'!Y20</f>
        <v>2</v>
      </c>
      <c r="AA22" s="290">
        <f t="shared" si="6"/>
        <v>56197.280000000261</v>
      </c>
      <c r="AB22" s="290">
        <f t="shared" si="7"/>
        <v>27770.61064152373</v>
      </c>
      <c r="AC22" s="290">
        <f t="shared" si="8"/>
        <v>13885.305320761865</v>
      </c>
      <c r="AD22" s="296">
        <f t="shared" si="9"/>
        <v>0.49416289616728071</v>
      </c>
      <c r="AF22" s="385">
        <v>135783</v>
      </c>
      <c r="AG22" s="222" t="b">
        <f t="shared" si="2"/>
        <v>1</v>
      </c>
      <c r="AI22" s="290">
        <f>'e3.1A'!AB22</f>
        <v>0</v>
      </c>
      <c r="AJ22" s="291">
        <v>0</v>
      </c>
      <c r="AK22" s="544" t="b">
        <f t="shared" si="10"/>
        <v>1</v>
      </c>
      <c r="AM22" s="676">
        <f>'e2.1'!M22-'e2.3'!M22</f>
        <v>0</v>
      </c>
      <c r="AN22" s="676">
        <f>'e2.1'!AA22-'e2.3'!AA22</f>
        <v>0</v>
      </c>
      <c r="AO22" s="676">
        <f>'e2.1'!AB22-'e2.3'!AB22</f>
        <v>0</v>
      </c>
      <c r="AP22" s="676">
        <f>'e2.1'!U22-'e2.3'!U22</f>
        <v>0</v>
      </c>
      <c r="AQ22" s="488" t="b">
        <f t="shared" si="3"/>
        <v>1</v>
      </c>
    </row>
    <row r="23" spans="1:43" x14ac:dyDescent="0.2">
      <c r="A23" s="268">
        <f>Intro!C23</f>
        <v>2001</v>
      </c>
      <c r="C23" s="291">
        <f ca="1">'e3.1A'!$I23</f>
        <v>1361665.6383934908</v>
      </c>
      <c r="E23" s="291">
        <f ca="1">'e3.2A'!$I23</f>
        <v>1376376.3000446835</v>
      </c>
      <c r="G23" s="291">
        <f ca="1">'e3.3C'!$K21</f>
        <v>1357256.5451916629</v>
      </c>
      <c r="I23" s="291">
        <f ca="1">'e3.4C'!$K21</f>
        <v>1366438.1522733467</v>
      </c>
      <c r="K23" s="291">
        <f ca="1">'e3.5C'!$M22</f>
        <v>1349531.11033392</v>
      </c>
      <c r="M23" s="291">
        <f>'e3.1A'!$E23</f>
        <v>1349446.97</v>
      </c>
      <c r="O23" s="291">
        <f>'e3.2A'!$E23</f>
        <v>1349346.97</v>
      </c>
      <c r="Q23" s="378">
        <f t="shared" si="4"/>
        <v>1</v>
      </c>
      <c r="S23" s="291">
        <f t="shared" si="5"/>
        <v>1</v>
      </c>
      <c r="U23" s="364">
        <f>'e10.1'!C24</f>
        <v>1349446.97</v>
      </c>
      <c r="W23" s="321">
        <f>U23/Intro!K23</f>
        <v>14.693744485313951</v>
      </c>
      <c r="Y23" s="290">
        <f>'e7'!U21</f>
        <v>1</v>
      </c>
      <c r="Z23" s="290">
        <f>'e7'!Y21</f>
        <v>0</v>
      </c>
      <c r="AA23" s="290">
        <f t="shared" si="6"/>
        <v>100</v>
      </c>
      <c r="AB23" s="290">
        <f t="shared" si="7"/>
        <v>0</v>
      </c>
      <c r="AC23" s="290">
        <f t="shared" si="8"/>
        <v>0</v>
      </c>
      <c r="AD23" s="296">
        <f t="shared" si="9"/>
        <v>0</v>
      </c>
      <c r="AF23" s="385">
        <v>210840</v>
      </c>
      <c r="AG23" s="222" t="b">
        <f t="shared" si="2"/>
        <v>1</v>
      </c>
      <c r="AI23" s="290">
        <f>'e3.1A'!AB23</f>
        <v>0</v>
      </c>
      <c r="AJ23" s="291">
        <v>0</v>
      </c>
      <c r="AK23" s="544" t="b">
        <f t="shared" si="10"/>
        <v>1</v>
      </c>
      <c r="AM23" s="676">
        <f>'e2.1'!M23-'e2.3'!M23</f>
        <v>0</v>
      </c>
      <c r="AN23" s="676">
        <f>'e2.1'!AA23-'e2.3'!AA23</f>
        <v>0</v>
      </c>
      <c r="AO23" s="676">
        <f>'e2.1'!AB23-'e2.3'!AB23</f>
        <v>0</v>
      </c>
      <c r="AP23" s="676">
        <f>'e2.1'!U23-'e2.3'!U23</f>
        <v>0</v>
      </c>
      <c r="AQ23" s="488" t="b">
        <f t="shared" si="3"/>
        <v>1</v>
      </c>
    </row>
    <row r="24" spans="1:43" x14ac:dyDescent="0.2">
      <c r="A24" s="268">
        <f>Intro!C24</f>
        <v>2002</v>
      </c>
      <c r="C24" s="291">
        <f ca="1">'e3.1A'!$I24</f>
        <v>2986078.6731469617</v>
      </c>
      <c r="E24" s="291">
        <f ca="1">'e3.2A'!$I24</f>
        <v>2827034.3518026657</v>
      </c>
      <c r="G24" s="291">
        <f ca="1">'e3.3C'!$K22</f>
        <v>2963262.2998409616</v>
      </c>
      <c r="I24" s="291">
        <f ca="1">'e3.4C'!$K22</f>
        <v>2780433.9459241745</v>
      </c>
      <c r="K24" s="291">
        <f ca="1">'e3.5C'!$M23</f>
        <v>3114999.1868299711</v>
      </c>
      <c r="M24" s="291">
        <f>'e3.1A'!$E24</f>
        <v>2954508.65</v>
      </c>
      <c r="O24" s="291">
        <f>'e3.2A'!$E24</f>
        <v>2761132.9899999998</v>
      </c>
      <c r="Q24" s="378">
        <f t="shared" si="4"/>
        <v>3</v>
      </c>
      <c r="S24" s="291">
        <f t="shared" si="5"/>
        <v>1</v>
      </c>
      <c r="U24" s="364">
        <f>'e10.1'!C25</f>
        <v>3036578.8122747019</v>
      </c>
      <c r="W24" s="321">
        <f>U24/Intro!K24</f>
        <v>35.268810552919668</v>
      </c>
      <c r="Y24" s="292">
        <f>'e7'!U22</f>
        <v>3</v>
      </c>
      <c r="Z24" s="292">
        <f>'e7'!Y22</f>
        <v>2</v>
      </c>
      <c r="AA24" s="292">
        <f t="shared" si="6"/>
        <v>193375.66000000015</v>
      </c>
      <c r="AB24" s="292">
        <f t="shared" si="7"/>
        <v>82070.162274701986</v>
      </c>
      <c r="AC24" s="292">
        <f t="shared" si="8"/>
        <v>82070.162274701986</v>
      </c>
      <c r="AD24" s="383">
        <f t="shared" si="9"/>
        <v>0.42440792328621879</v>
      </c>
      <c r="AF24" s="279">
        <v>193558</v>
      </c>
      <c r="AG24" s="384" t="b">
        <f t="shared" si="2"/>
        <v>1</v>
      </c>
      <c r="AI24" s="292">
        <f>'e3.1A'!AB24</f>
        <v>0</v>
      </c>
      <c r="AJ24" s="292">
        <v>0</v>
      </c>
      <c r="AK24" s="545" t="b">
        <f t="shared" si="10"/>
        <v>1</v>
      </c>
      <c r="AM24" s="676">
        <f>'e2.1'!M24-'e2.3'!M24</f>
        <v>0</v>
      </c>
      <c r="AN24" s="676">
        <f>'e2.1'!AA24-'e2.3'!AA24</f>
        <v>0</v>
      </c>
      <c r="AO24" s="676">
        <f>'e2.1'!AB24-'e2.3'!AB24</f>
        <v>0</v>
      </c>
      <c r="AP24" s="676">
        <f>'e2.1'!U24-'e2.3'!U24</f>
        <v>0</v>
      </c>
      <c r="AQ24" s="488" t="b">
        <f t="shared" si="3"/>
        <v>1</v>
      </c>
    </row>
    <row r="25" spans="1:43" x14ac:dyDescent="0.2">
      <c r="A25" s="268">
        <f>Intro!C25</f>
        <v>2003</v>
      </c>
      <c r="C25" s="291">
        <f ca="1">'e3.1A'!$I25</f>
        <v>1253828.6551194212</v>
      </c>
      <c r="E25" s="291">
        <f ca="1">'e3.2A'!$I25</f>
        <v>1266858.581296589</v>
      </c>
      <c r="G25" s="291">
        <f ca="1">'e3.3C'!$K23</f>
        <v>1251229.3322379577</v>
      </c>
      <c r="I25" s="291">
        <f ca="1">'e3.4C'!$K23</f>
        <v>1260938.1413038799</v>
      </c>
      <c r="K25" s="291">
        <f ca="1">'e3.5C'!$M24</f>
        <v>1243025.0200000005</v>
      </c>
      <c r="M25" s="291">
        <f>'e3.1A'!$E25</f>
        <v>1243025.0200000005</v>
      </c>
      <c r="O25" s="291">
        <f>'e3.2A'!$E25</f>
        <v>1243025.0200000005</v>
      </c>
      <c r="Q25" s="290">
        <f ca="1">'e6.1'!M16</f>
        <v>0</v>
      </c>
      <c r="S25" s="291">
        <f t="shared" ca="1" si="5"/>
        <v>0</v>
      </c>
      <c r="U25" s="302">
        <f t="shared" ref="U25:U30" ca="1" si="11">K25</f>
        <v>1243025.0200000005</v>
      </c>
      <c r="W25" s="321">
        <f ca="1">U25/Intro!K25</f>
        <v>12.96476665595053</v>
      </c>
      <c r="Y25" s="290">
        <f>'e7'!U23</f>
        <v>0</v>
      </c>
      <c r="Z25" s="304">
        <v>0</v>
      </c>
      <c r="AA25" s="290">
        <f t="shared" si="6"/>
        <v>0</v>
      </c>
      <c r="AB25" s="290">
        <f t="shared" ca="1" si="7"/>
        <v>0</v>
      </c>
      <c r="AC25" s="290" t="str">
        <f t="shared" ca="1" si="8"/>
        <v/>
      </c>
      <c r="AD25" s="296" t="str">
        <f t="shared" ca="1" si="9"/>
        <v/>
      </c>
      <c r="AF25" s="304">
        <v>0</v>
      </c>
      <c r="AG25" s="222" t="b">
        <f t="shared" ca="1" si="2"/>
        <v>1</v>
      </c>
      <c r="AI25" s="290">
        <f>'e3.1A'!AB25</f>
        <v>0</v>
      </c>
      <c r="AJ25" s="291">
        <v>0</v>
      </c>
      <c r="AK25" s="544" t="b">
        <f t="shared" si="10"/>
        <v>1</v>
      </c>
      <c r="AM25" s="676">
        <f>'e2.1'!M25-'e2.3'!M25</f>
        <v>0</v>
      </c>
      <c r="AN25" s="676">
        <f>'e2.1'!AA25-'e2.3'!AA25</f>
        <v>0</v>
      </c>
      <c r="AO25" s="676">
        <f ca="1">'e2.1'!AB25-'e2.3'!AB25</f>
        <v>0</v>
      </c>
      <c r="AP25" s="676">
        <f ca="1">'e2.1'!U25-'e2.3'!U25</f>
        <v>0</v>
      </c>
      <c r="AQ25" s="488" t="b">
        <f t="shared" ca="1" si="3"/>
        <v>1</v>
      </c>
    </row>
    <row r="26" spans="1:43" x14ac:dyDescent="0.2">
      <c r="A26" s="268">
        <f>Intro!C26</f>
        <v>2004</v>
      </c>
      <c r="C26" s="291">
        <f ca="1">'e3.1A'!$I26</f>
        <v>2005552.8150348195</v>
      </c>
      <c r="E26" s="291">
        <f ca="1">'e3.2A'!$I26</f>
        <v>2016372.2471008042</v>
      </c>
      <c r="G26" s="291">
        <f ca="1">'e3.3C'!$K24</f>
        <v>1995370.5233921621</v>
      </c>
      <c r="I26" s="291">
        <f ca="1">'e3.4C'!$K24</f>
        <v>1993716.1773992267</v>
      </c>
      <c r="K26" s="291">
        <f ca="1">'e3.5C'!$M25</f>
        <v>1996747.6358977123</v>
      </c>
      <c r="M26" s="291">
        <f>'e3.1A'!$E26</f>
        <v>1985205.2599999991</v>
      </c>
      <c r="O26" s="291">
        <f>'e3.2A'!$E26</f>
        <v>1971339.2299999993</v>
      </c>
      <c r="Q26" s="290">
        <f ca="1">'e6.1'!M17</f>
        <v>2</v>
      </c>
      <c r="S26" s="291">
        <f t="shared" ca="1" si="5"/>
        <v>1</v>
      </c>
      <c r="U26" s="304">
        <f ca="1">C26*0.75 + E26*0.25</f>
        <v>2008257.6730513156</v>
      </c>
      <c r="W26" s="321">
        <f ca="1">U26/Intro!K26</f>
        <v>19.662259172280997</v>
      </c>
      <c r="Y26" s="290">
        <f>'e7'!U24</f>
        <v>2</v>
      </c>
      <c r="Z26" s="304">
        <v>1</v>
      </c>
      <c r="AA26" s="290">
        <f t="shared" ref="AA26:AA40" si="12">M26-O26</f>
        <v>13866.029999999795</v>
      </c>
      <c r="AB26" s="290">
        <f t="shared" ref="AB26:AB40" ca="1" si="13">U26-M26</f>
        <v>23052.413051316515</v>
      </c>
      <c r="AC26" s="290">
        <f t="shared" ref="AC26:AC40" ca="1" si="14">IFERROR(AB26/S26, "")</f>
        <v>23052.413051316515</v>
      </c>
      <c r="AD26" s="296">
        <f t="shared" ref="AD26:AD40" ca="1" si="15">IFERROR(AB26/AA26, "")</f>
        <v>1.6625099650957669</v>
      </c>
      <c r="AF26" s="304">
        <v>36208.540000000008</v>
      </c>
      <c r="AG26" s="222" t="b">
        <f t="shared" ca="1" si="2"/>
        <v>1</v>
      </c>
      <c r="AI26" s="290">
        <f>'e3.1A'!AB26</f>
        <v>-3334.7220144115727</v>
      </c>
      <c r="AJ26" s="291">
        <v>-664.04355661454611</v>
      </c>
      <c r="AK26" s="544" t="b">
        <f t="shared" si="10"/>
        <v>1</v>
      </c>
      <c r="AM26" s="676">
        <f>'e2.1'!M26-'e2.3'!M26</f>
        <v>400000.00000000023</v>
      </c>
      <c r="AN26" s="676">
        <f>'e2.1'!AA26-'e2.3'!AA26</f>
        <v>12089.939999999944</v>
      </c>
      <c r="AO26" s="676">
        <f ca="1">'e2.1'!AB26-'e2.3'!AB26</f>
        <v>18246.599427339155</v>
      </c>
      <c r="AP26" s="676">
        <f ca="1">'e2.1'!U26-'e2.3'!U26</f>
        <v>418246.59942733939</v>
      </c>
      <c r="AQ26" s="488" t="b">
        <f t="shared" ca="1" si="3"/>
        <v>1</v>
      </c>
    </row>
    <row r="27" spans="1:43" x14ac:dyDescent="0.2">
      <c r="A27" s="268">
        <f>Intro!C27</f>
        <v>2005</v>
      </c>
      <c r="C27" s="291">
        <f ca="1">'e3.1A'!$I27</f>
        <v>708300.32706071471</v>
      </c>
      <c r="E27" s="291">
        <f ca="1">'e3.2A'!$I27</f>
        <v>719039.36659589503</v>
      </c>
      <c r="G27" s="291">
        <f ca="1">'e3.3C'!$K25</f>
        <v>713044.95554408559</v>
      </c>
      <c r="I27" s="291">
        <f ca="1">'e3.4C'!$K25</f>
        <v>729358.90935392526</v>
      </c>
      <c r="K27" s="291">
        <f ca="1">'e3.5C'!$M26</f>
        <v>699839.89000000025</v>
      </c>
      <c r="M27" s="291">
        <f>'e3.1A'!$E27</f>
        <v>699839.89000000025</v>
      </c>
      <c r="O27" s="291">
        <f>'e3.2A'!$E27</f>
        <v>699839.89000000025</v>
      </c>
      <c r="Q27" s="290">
        <f ca="1">'e6.1'!M18</f>
        <v>0</v>
      </c>
      <c r="S27" s="291">
        <f t="shared" ca="1" si="5"/>
        <v>0</v>
      </c>
      <c r="U27" s="302">
        <f t="shared" ca="1" si="11"/>
        <v>699839.89000000025</v>
      </c>
      <c r="W27" s="321">
        <f ca="1">U27/Intro!K27</f>
        <v>6.2882994733368678</v>
      </c>
      <c r="Y27" s="290">
        <f>'e7'!U25</f>
        <v>0</v>
      </c>
      <c r="Z27" s="304">
        <v>0</v>
      </c>
      <c r="AA27" s="290">
        <f t="shared" si="12"/>
        <v>0</v>
      </c>
      <c r="AB27" s="290">
        <f t="shared" ca="1" si="13"/>
        <v>0</v>
      </c>
      <c r="AC27" s="290" t="str">
        <f t="shared" ca="1" si="14"/>
        <v/>
      </c>
      <c r="AD27" s="296" t="str">
        <f t="shared" ca="1" si="15"/>
        <v/>
      </c>
      <c r="AF27" s="304">
        <v>0</v>
      </c>
      <c r="AG27" s="222" t="b">
        <f t="shared" ca="1" si="2"/>
        <v>1</v>
      </c>
      <c r="AI27" s="290">
        <f>'e3.1A'!AB27</f>
        <v>0</v>
      </c>
      <c r="AJ27" s="291">
        <v>0</v>
      </c>
      <c r="AK27" s="544" t="b">
        <f t="shared" si="10"/>
        <v>1</v>
      </c>
      <c r="AM27" s="676">
        <f>'e2.1'!M27-'e2.3'!M27</f>
        <v>0</v>
      </c>
      <c r="AN27" s="676">
        <f>'e2.1'!AA27-'e2.3'!AA27</f>
        <v>0</v>
      </c>
      <c r="AO27" s="676">
        <f ca="1">'e2.1'!AB27-'e2.3'!AB27</f>
        <v>0</v>
      </c>
      <c r="AP27" s="676">
        <f ca="1">'e2.1'!U27-'e2.3'!U27</f>
        <v>0</v>
      </c>
      <c r="AQ27" s="488" t="b">
        <f t="shared" ca="1" si="3"/>
        <v>1</v>
      </c>
    </row>
    <row r="28" spans="1:43" x14ac:dyDescent="0.2">
      <c r="A28" s="268">
        <f>Intro!C28</f>
        <v>2006</v>
      </c>
      <c r="C28" s="291">
        <f ca="1">'e3.1A'!$I28</f>
        <v>1800708.7144326777</v>
      </c>
      <c r="E28" s="291">
        <f ca="1">'e3.2A'!$I28</f>
        <v>1834383.7028736917</v>
      </c>
      <c r="G28" s="291">
        <f ca="1">'e3.3C'!$K26</f>
        <v>1791037.2194274133</v>
      </c>
      <c r="I28" s="291">
        <f ca="1">'e3.4C'!$K26</f>
        <v>1811137.1030510899</v>
      </c>
      <c r="K28" s="291">
        <f ca="1">'e3.5C'!$M27</f>
        <v>1775477.7400000007</v>
      </c>
      <c r="M28" s="291">
        <f>'e3.1A'!$E28</f>
        <v>1775477.7400000007</v>
      </c>
      <c r="O28" s="291">
        <f>'e3.2A'!$E28</f>
        <v>1775477.7400000007</v>
      </c>
      <c r="Q28" s="290">
        <f ca="1">'e6.1'!M19</f>
        <v>0</v>
      </c>
      <c r="S28" s="291">
        <f t="shared" ca="1" si="5"/>
        <v>0</v>
      </c>
      <c r="U28" s="302">
        <f t="shared" ca="1" si="11"/>
        <v>1775477.7400000007</v>
      </c>
      <c r="W28" s="321">
        <f ca="1">U28/Intro!K28</f>
        <v>16.476708147968438</v>
      </c>
      <c r="Y28" s="290">
        <f>'e7'!U26</f>
        <v>0</v>
      </c>
      <c r="Z28" s="304">
        <v>0</v>
      </c>
      <c r="AA28" s="290">
        <f t="shared" si="12"/>
        <v>0</v>
      </c>
      <c r="AB28" s="290">
        <f t="shared" ca="1" si="13"/>
        <v>0</v>
      </c>
      <c r="AC28" s="290" t="str">
        <f t="shared" ca="1" si="14"/>
        <v/>
      </c>
      <c r="AD28" s="296" t="str">
        <f t="shared" ca="1" si="15"/>
        <v/>
      </c>
      <c r="AF28" s="304">
        <v>0</v>
      </c>
      <c r="AG28" s="222" t="b">
        <f t="shared" ca="1" si="2"/>
        <v>1</v>
      </c>
      <c r="AI28" s="290">
        <f>'e3.1A'!AB28</f>
        <v>0</v>
      </c>
      <c r="AJ28" s="291">
        <v>0</v>
      </c>
      <c r="AK28" s="544" t="b">
        <f t="shared" si="10"/>
        <v>1</v>
      </c>
      <c r="AM28" s="676">
        <f>'e2.1'!M28-'e2.3'!M28</f>
        <v>230003.63000000012</v>
      </c>
      <c r="AN28" s="676">
        <f>'e2.1'!AA28-'e2.3'!AA28</f>
        <v>0</v>
      </c>
      <c r="AO28" s="676">
        <f ca="1">'e2.1'!AB28-'e2.3'!AB28</f>
        <v>0</v>
      </c>
      <c r="AP28" s="676">
        <f ca="1">'e2.1'!U28-'e2.3'!U28</f>
        <v>230003.63000000012</v>
      </c>
      <c r="AQ28" s="488" t="b">
        <f t="shared" ca="1" si="3"/>
        <v>1</v>
      </c>
    </row>
    <row r="29" spans="1:43" x14ac:dyDescent="0.2">
      <c r="A29" s="268">
        <f>Intro!C29</f>
        <v>2007</v>
      </c>
      <c r="C29" s="291">
        <f ca="1">'e3.1A'!$I29</f>
        <v>1117992.0358323511</v>
      </c>
      <c r="E29" s="291">
        <f ca="1">'e3.2A'!$I29</f>
        <v>1143364.2292368354</v>
      </c>
      <c r="G29" s="291">
        <f ca="1">'e3.3C'!$K27</f>
        <v>1118144.3696296935</v>
      </c>
      <c r="I29" s="291">
        <f ca="1">'e3.4C'!$K27</f>
        <v>1142749.8550888649</v>
      </c>
      <c r="K29" s="291">
        <f ca="1">'e3.5C'!$M28</f>
        <v>1099670.4199999997</v>
      </c>
      <c r="M29" s="291">
        <f>'e3.1A'!$E29</f>
        <v>1099670.4199999997</v>
      </c>
      <c r="O29" s="291">
        <f>'e3.2A'!$E29</f>
        <v>1099670.4199999997</v>
      </c>
      <c r="Q29" s="290">
        <f ca="1">'e6.1'!M20</f>
        <v>0</v>
      </c>
      <c r="S29" s="291">
        <f t="shared" ca="1" si="5"/>
        <v>0</v>
      </c>
      <c r="U29" s="302">
        <f t="shared" ca="1" si="11"/>
        <v>1099670.4199999997</v>
      </c>
      <c r="W29" s="321">
        <f ca="1">U29/Intro!K29</f>
        <v>10.51469964335497</v>
      </c>
      <c r="Y29" s="290">
        <f>'e7'!U27</f>
        <v>0</v>
      </c>
      <c r="Z29" s="304">
        <v>0</v>
      </c>
      <c r="AA29" s="290">
        <f t="shared" si="12"/>
        <v>0</v>
      </c>
      <c r="AB29" s="290">
        <f t="shared" ca="1" si="13"/>
        <v>0</v>
      </c>
      <c r="AC29" s="290" t="str">
        <f t="shared" ca="1" si="14"/>
        <v/>
      </c>
      <c r="AD29" s="296" t="str">
        <f t="shared" ca="1" si="15"/>
        <v/>
      </c>
      <c r="AF29" s="304">
        <v>0</v>
      </c>
      <c r="AG29" s="222" t="b">
        <f t="shared" ca="1" si="2"/>
        <v>1</v>
      </c>
      <c r="AI29" s="290">
        <f>'e3.1A'!AB29</f>
        <v>0</v>
      </c>
      <c r="AJ29" s="291">
        <v>0</v>
      </c>
      <c r="AK29" s="544" t="b">
        <f t="shared" si="10"/>
        <v>1</v>
      </c>
      <c r="AM29" s="676">
        <f>'e2.1'!M29-'e2.3'!M29</f>
        <v>0</v>
      </c>
      <c r="AN29" s="676">
        <f>'e2.1'!AA29-'e2.3'!AA29</f>
        <v>0</v>
      </c>
      <c r="AO29" s="676">
        <f ca="1">'e2.1'!AB29-'e2.3'!AB29</f>
        <v>0</v>
      </c>
      <c r="AP29" s="676">
        <f ca="1">'e2.1'!U29-'e2.3'!U29</f>
        <v>0</v>
      </c>
      <c r="AQ29" s="488" t="b">
        <f t="shared" ca="1" si="3"/>
        <v>1</v>
      </c>
    </row>
    <row r="30" spans="1:43" x14ac:dyDescent="0.2">
      <c r="A30" s="268">
        <f>Intro!C30</f>
        <v>2008</v>
      </c>
      <c r="C30" s="291">
        <f ca="1">'e3.1A'!$I30</f>
        <v>781221.29060661339</v>
      </c>
      <c r="E30" s="291">
        <f ca="1">'e3.2A'!$I30</f>
        <v>802420.79842890403</v>
      </c>
      <c r="G30" s="291">
        <f ca="1">'e3.3C'!$K28</f>
        <v>788854.0909289663</v>
      </c>
      <c r="I30" s="291">
        <f ca="1">'e3.4C'!$K28</f>
        <v>819433.51145049918</v>
      </c>
      <c r="K30" s="291">
        <f ca="1">'e3.5C'!$M29</f>
        <v>766269.99000000011</v>
      </c>
      <c r="M30" s="291">
        <f>'e3.1A'!$E30</f>
        <v>766269.99000000011</v>
      </c>
      <c r="O30" s="291">
        <f>'e3.2A'!$E30</f>
        <v>766269.99000000011</v>
      </c>
      <c r="Q30" s="290">
        <f ca="1">'e6.1'!M21</f>
        <v>0</v>
      </c>
      <c r="S30" s="291">
        <f t="shared" ca="1" si="5"/>
        <v>0</v>
      </c>
      <c r="U30" s="302">
        <f t="shared" ca="1" si="11"/>
        <v>766269.99000000011</v>
      </c>
      <c r="W30" s="321">
        <f ca="1">U30/Intro!K30</f>
        <v>7.2255336540924544</v>
      </c>
      <c r="Y30" s="290">
        <f>'e7'!U28</f>
        <v>0</v>
      </c>
      <c r="Z30" s="304">
        <v>0</v>
      </c>
      <c r="AA30" s="290">
        <f t="shared" si="12"/>
        <v>0</v>
      </c>
      <c r="AB30" s="290">
        <f t="shared" ca="1" si="13"/>
        <v>0</v>
      </c>
      <c r="AC30" s="290" t="str">
        <f t="shared" ca="1" si="14"/>
        <v/>
      </c>
      <c r="AD30" s="296" t="str">
        <f t="shared" ca="1" si="15"/>
        <v/>
      </c>
      <c r="AF30" s="304">
        <v>0</v>
      </c>
      <c r="AG30" s="222" t="b">
        <f t="shared" ca="1" si="2"/>
        <v>1</v>
      </c>
      <c r="AI30" s="290">
        <f>'e3.1A'!AB30</f>
        <v>0</v>
      </c>
      <c r="AJ30" s="291">
        <v>0</v>
      </c>
      <c r="AK30" s="544" t="b">
        <f t="shared" si="10"/>
        <v>1</v>
      </c>
      <c r="AM30" s="676">
        <f>'e2.1'!M30-'e2.3'!M30</f>
        <v>0</v>
      </c>
      <c r="AN30" s="676">
        <f>'e2.1'!AA30-'e2.3'!AA30</f>
        <v>0</v>
      </c>
      <c r="AO30" s="676">
        <f ca="1">'e2.1'!AB30-'e2.3'!AB30</f>
        <v>0</v>
      </c>
      <c r="AP30" s="676">
        <f ca="1">'e2.1'!U30-'e2.3'!U30</f>
        <v>0</v>
      </c>
      <c r="AQ30" s="488" t="b">
        <f t="shared" ca="1" si="3"/>
        <v>1</v>
      </c>
    </row>
    <row r="31" spans="1:43" x14ac:dyDescent="0.2">
      <c r="A31" s="268">
        <f>Intro!C31</f>
        <v>2009</v>
      </c>
      <c r="C31" s="291">
        <f ca="1">'e3.1A'!$I31</f>
        <v>1626563.6818139998</v>
      </c>
      <c r="E31" s="291">
        <f ca="1">'e3.2A'!$I31</f>
        <v>1599005.7117604401</v>
      </c>
      <c r="G31" s="291">
        <f ca="1">'e3.3C'!$K29</f>
        <v>1618286.3348895006</v>
      </c>
      <c r="I31" s="291">
        <f ca="1">'e3.4C'!$K29</f>
        <v>1580857.9059280886</v>
      </c>
      <c r="K31" s="291">
        <f ca="1">'e3.5C'!$M30</f>
        <v>1645633.0234722393</v>
      </c>
      <c r="M31" s="291">
        <f>'e3.1A'!$E31</f>
        <v>1590221.4700000002</v>
      </c>
      <c r="O31" s="291">
        <f>'e3.2A'!$E31</f>
        <v>1514381.6700000002</v>
      </c>
      <c r="Q31" s="290">
        <f ca="1">'e6.1'!M22</f>
        <v>1</v>
      </c>
      <c r="S31" s="291">
        <f t="shared" ca="1" si="5"/>
        <v>0</v>
      </c>
      <c r="U31" s="547">
        <f>M31</f>
        <v>1590221.4700000002</v>
      </c>
      <c r="W31" s="321">
        <f>U31/Intro!K31</f>
        <v>14.362198521071177</v>
      </c>
      <c r="Y31" s="290">
        <f>'e7'!U29</f>
        <v>1</v>
      </c>
      <c r="Z31" s="304">
        <v>1</v>
      </c>
      <c r="AA31" s="290">
        <f t="shared" si="12"/>
        <v>75839.800000000047</v>
      </c>
      <c r="AB31" s="290">
        <f t="shared" si="13"/>
        <v>0</v>
      </c>
      <c r="AC31" s="290" t="str">
        <f t="shared" ca="1" si="14"/>
        <v/>
      </c>
      <c r="AD31" s="296">
        <f t="shared" si="15"/>
        <v>0</v>
      </c>
      <c r="AF31" s="304">
        <v>0</v>
      </c>
      <c r="AG31" s="222" t="b">
        <f t="shared" si="2"/>
        <v>1</v>
      </c>
      <c r="AI31" s="290">
        <f>'e3.1A'!AB31</f>
        <v>0</v>
      </c>
      <c r="AJ31" s="291">
        <v>0</v>
      </c>
      <c r="AK31" s="544" t="b">
        <f t="shared" si="10"/>
        <v>1</v>
      </c>
      <c r="AM31" s="676">
        <f>'e2.1'!M31-'e2.3'!M31</f>
        <v>292073.00000000023</v>
      </c>
      <c r="AN31" s="676">
        <f>'e2.1'!AA31-'e2.3'!AA31</f>
        <v>42073</v>
      </c>
      <c r="AO31" s="676">
        <f ca="1">'e2.1'!AB31-'e2.3'!AB31</f>
        <v>83369.566614612704</v>
      </c>
      <c r="AP31" s="676">
        <f ca="1">'e2.1'!U31-'e2.3'!U31</f>
        <v>375442.56661461294</v>
      </c>
      <c r="AQ31" s="488" t="b">
        <f t="shared" ca="1" si="3"/>
        <v>1</v>
      </c>
    </row>
    <row r="32" spans="1:43" x14ac:dyDescent="0.2">
      <c r="A32" s="268">
        <f>Intro!C32</f>
        <v>2010</v>
      </c>
      <c r="C32" s="291">
        <f ca="1">'e3.1A'!$I32</f>
        <v>1232465.5338992665</v>
      </c>
      <c r="E32" s="291">
        <f ca="1">'e3.2A'!$I32</f>
        <v>1261594.7786869977</v>
      </c>
      <c r="G32" s="291">
        <f ca="1">'e3.3C'!$K30</f>
        <v>1239040.7184828881</v>
      </c>
      <c r="I32" s="291">
        <f ca="1">'e3.4C'!$K30</f>
        <v>1275451.1603701231</v>
      </c>
      <c r="K32" s="291">
        <f ca="1">'e3.5C'!$M31</f>
        <v>1212708.5692376979</v>
      </c>
      <c r="M32" s="291">
        <f>'e3.1A'!$E32</f>
        <v>1200315.5200000003</v>
      </c>
      <c r="O32" s="291">
        <f>'e3.2A'!$E32</f>
        <v>1183179.1900000002</v>
      </c>
      <c r="Q32" s="290">
        <f ca="1">'e6.1'!M23</f>
        <v>1</v>
      </c>
      <c r="S32" s="291">
        <f t="shared" ca="1" si="5"/>
        <v>1</v>
      </c>
      <c r="U32" s="677">
        <f>M32</f>
        <v>1200315.5200000003</v>
      </c>
      <c r="W32" s="321">
        <f>U32/Intro!K32</f>
        <v>9.3612215254243534</v>
      </c>
      <c r="Y32" s="290">
        <f>'e7'!U30</f>
        <v>1</v>
      </c>
      <c r="Z32" s="304">
        <v>0</v>
      </c>
      <c r="AA32" s="290">
        <f t="shared" si="12"/>
        <v>17136.330000000075</v>
      </c>
      <c r="AB32" s="290">
        <f t="shared" si="13"/>
        <v>0</v>
      </c>
      <c r="AC32" s="290">
        <f t="shared" ca="1" si="14"/>
        <v>0</v>
      </c>
      <c r="AD32" s="296">
        <f t="shared" si="15"/>
        <v>0</v>
      </c>
      <c r="AF32" s="304">
        <v>56099.520000000019</v>
      </c>
      <c r="AG32" s="222" t="b">
        <f t="shared" si="2"/>
        <v>1</v>
      </c>
      <c r="AI32" s="290">
        <f>'e3.1A'!AB32</f>
        <v>10109.325766235805</v>
      </c>
      <c r="AJ32" s="291">
        <v>1195.373730695108</v>
      </c>
      <c r="AK32" s="544" t="b">
        <f t="shared" si="10"/>
        <v>1</v>
      </c>
      <c r="AM32" s="676">
        <f>'e2.1'!M32-'e2.3'!M32</f>
        <v>0</v>
      </c>
      <c r="AN32" s="676">
        <f>'e2.1'!AA32-'e2.3'!AA32</f>
        <v>0</v>
      </c>
      <c r="AO32" s="560">
        <f>'e2.1'!AB32-'e2.3'!AB32</f>
        <v>0</v>
      </c>
      <c r="AP32" s="676">
        <f>'e2.1'!U32-'e2.3'!U32</f>
        <v>0</v>
      </c>
      <c r="AQ32" s="488" t="b">
        <f t="shared" si="3"/>
        <v>1</v>
      </c>
    </row>
    <row r="33" spans="1:43" x14ac:dyDescent="0.2">
      <c r="A33" s="268">
        <f>Intro!C33</f>
        <v>2011</v>
      </c>
      <c r="C33" s="291">
        <f ca="1">'e3.1A'!$I33</f>
        <v>1251543.1035006377</v>
      </c>
      <c r="E33" s="291">
        <f ca="1">'e3.2A'!$I33</f>
        <v>1308608.5796470868</v>
      </c>
      <c r="G33" s="291">
        <f ca="1">'e3.3C'!$K31</f>
        <v>1264109.6333611496</v>
      </c>
      <c r="I33" s="291">
        <f ca="1">'e3.4C'!$K31</f>
        <v>1334192.97507345</v>
      </c>
      <c r="K33" s="291">
        <f ca="1">'e3.5C'!$M32</f>
        <v>1212882.8100000003</v>
      </c>
      <c r="M33" s="291">
        <f>'e3.1A'!$E33</f>
        <v>1212882.8100000003</v>
      </c>
      <c r="O33" s="291">
        <f>'e3.2A'!$E33</f>
        <v>1212882.8100000003</v>
      </c>
      <c r="Q33" s="290">
        <f ca="1">'e6.1'!M24</f>
        <v>0</v>
      </c>
      <c r="S33" s="291">
        <f t="shared" ca="1" si="5"/>
        <v>0</v>
      </c>
      <c r="U33" s="302">
        <f ca="1">K33</f>
        <v>1212882.8100000003</v>
      </c>
      <c r="W33" s="321">
        <f ca="1">U33/Intro!K33</f>
        <v>8.4690019313284868</v>
      </c>
      <c r="Y33" s="290">
        <f>'e7'!U31</f>
        <v>0</v>
      </c>
      <c r="Z33" s="304">
        <v>0</v>
      </c>
      <c r="AA33" s="290">
        <f t="shared" si="12"/>
        <v>0</v>
      </c>
      <c r="AB33" s="290">
        <f t="shared" ca="1" si="13"/>
        <v>0</v>
      </c>
      <c r="AC33" s="290" t="str">
        <f t="shared" ca="1" si="14"/>
        <v/>
      </c>
      <c r="AD33" s="296" t="str">
        <f t="shared" ca="1" si="15"/>
        <v/>
      </c>
      <c r="AF33" s="304">
        <v>0</v>
      </c>
      <c r="AG33" s="222" t="b">
        <f t="shared" ca="1" si="2"/>
        <v>1</v>
      </c>
      <c r="AI33" s="290">
        <f>'e3.1A'!AB33</f>
        <v>67.000000000232831</v>
      </c>
      <c r="AJ33" s="291">
        <v>67.000000000232831</v>
      </c>
      <c r="AK33" s="544" t="b">
        <f t="shared" si="10"/>
        <v>1</v>
      </c>
      <c r="AM33" s="676">
        <f>'e2.1'!M33-'e2.3'!M33</f>
        <v>0</v>
      </c>
      <c r="AN33" s="676">
        <f>'e2.1'!AA33-'e2.3'!AA33</f>
        <v>0</v>
      </c>
      <c r="AO33" s="676">
        <f ca="1">'e2.1'!AB33-'e2.3'!AB33</f>
        <v>0</v>
      </c>
      <c r="AP33" s="676">
        <f ca="1">'e2.1'!U33-'e2.3'!U33</f>
        <v>0</v>
      </c>
      <c r="AQ33" s="488" t="b">
        <f t="shared" ca="1" si="3"/>
        <v>1</v>
      </c>
    </row>
    <row r="34" spans="1:43" x14ac:dyDescent="0.2">
      <c r="A34" s="268">
        <f>Intro!C34</f>
        <v>2012</v>
      </c>
      <c r="C34" s="291">
        <f ca="1">'e3.1A'!$I34</f>
        <v>1899580.4086483456</v>
      </c>
      <c r="E34" s="291">
        <f ca="1">'e3.2A'!$I34</f>
        <v>2002691.4045532309</v>
      </c>
      <c r="G34" s="291">
        <f ca="1">'e3.3C'!$K32</f>
        <v>1890633.8778078922</v>
      </c>
      <c r="I34" s="291">
        <f ca="1">'e3.4C'!$K32</f>
        <v>1972898.5922654169</v>
      </c>
      <c r="K34" s="291">
        <f ca="1">'e3.5C'!$M33</f>
        <v>1828733.7599999993</v>
      </c>
      <c r="M34" s="291">
        <f>'e3.1A'!$E34</f>
        <v>1828733.7599999993</v>
      </c>
      <c r="O34" s="291">
        <f>'e3.2A'!$E34</f>
        <v>1828733.7599999993</v>
      </c>
      <c r="Q34" s="290">
        <f ca="1">'e6.1'!M25</f>
        <v>1</v>
      </c>
      <c r="S34" s="291">
        <f t="shared" ca="1" si="5"/>
        <v>0</v>
      </c>
      <c r="U34" s="302">
        <f>M34</f>
        <v>1828733.7599999993</v>
      </c>
      <c r="W34" s="321">
        <f>U34/Intro!K34</f>
        <v>12.562585398431761</v>
      </c>
      <c r="Y34" s="290">
        <f>'e7'!U32</f>
        <v>1</v>
      </c>
      <c r="Z34" s="304">
        <v>1</v>
      </c>
      <c r="AA34" s="290">
        <f t="shared" si="12"/>
        <v>0</v>
      </c>
      <c r="AB34" s="290">
        <f t="shared" si="13"/>
        <v>0</v>
      </c>
      <c r="AC34" s="290" t="str">
        <f t="shared" ca="1" si="14"/>
        <v/>
      </c>
      <c r="AD34" s="296" t="str">
        <f t="shared" si="15"/>
        <v/>
      </c>
      <c r="AF34" s="304">
        <v>0</v>
      </c>
      <c r="AG34" s="222" t="b">
        <f t="shared" si="2"/>
        <v>1</v>
      </c>
      <c r="AI34" s="290">
        <f>'e3.1A'!AB34</f>
        <v>64.469999999273568</v>
      </c>
      <c r="AJ34" s="291">
        <v>64.469999999273568</v>
      </c>
      <c r="AK34" s="544" t="b">
        <f t="shared" si="10"/>
        <v>1</v>
      </c>
      <c r="AM34" s="676">
        <f>'e2.1'!M34-'e2.3'!M34</f>
        <v>101725</v>
      </c>
      <c r="AN34" s="676">
        <f>'e2.1'!AA34-'e2.3'!AA34</f>
        <v>4655.5</v>
      </c>
      <c r="AO34" s="676">
        <f ca="1">'e2.1'!AB34-'e2.3'!AB34</f>
        <v>31385.388440924929</v>
      </c>
      <c r="AP34" s="676">
        <f ca="1">'e2.1'!U34-'e2.3'!U34</f>
        <v>133110.38844092493</v>
      </c>
      <c r="AQ34" s="488" t="b">
        <f t="shared" ca="1" si="3"/>
        <v>1</v>
      </c>
    </row>
    <row r="35" spans="1:43" x14ac:dyDescent="0.2">
      <c r="A35" s="268">
        <f>Intro!C35</f>
        <v>2013</v>
      </c>
      <c r="C35" s="291">
        <f ca="1">'e3.1A'!$I35</f>
        <v>1943820.757447863</v>
      </c>
      <c r="E35" s="291">
        <f ca="1">'e3.2A'!$I35</f>
        <v>2025448.7140006337</v>
      </c>
      <c r="G35" s="291">
        <f ca="1">'e3.3C'!$K33</f>
        <v>1944143.4188749536</v>
      </c>
      <c r="I35" s="291">
        <f ca="1">'e3.4C'!$K33</f>
        <v>2017576.2181450203</v>
      </c>
      <c r="K35" s="291">
        <f ca="1">'e3.5C'!$M34</f>
        <v>1889372.7758409071</v>
      </c>
      <c r="M35" s="291">
        <f>'e3.1A'!$E35</f>
        <v>1856047.24</v>
      </c>
      <c r="O35" s="291">
        <f>'e3.2A'!$E35</f>
        <v>1811366.5999999999</v>
      </c>
      <c r="Q35" s="290">
        <f ca="1">'e6.1'!M26</f>
        <v>2</v>
      </c>
      <c r="S35" s="291">
        <f t="shared" ca="1" si="5"/>
        <v>2</v>
      </c>
      <c r="U35" s="364">
        <f ca="1">0.25*C35+0.75*K35</f>
        <v>1902984.771242646</v>
      </c>
      <c r="W35" s="321">
        <f ca="1">U35/Intro!K35</f>
        <v>12.046608892974298</v>
      </c>
      <c r="X35" s="422"/>
      <c r="Y35" s="290">
        <f>'e7'!U33</f>
        <v>2</v>
      </c>
      <c r="Z35" s="304">
        <v>0</v>
      </c>
      <c r="AA35" s="290">
        <f t="shared" si="12"/>
        <v>44680.64000000013</v>
      </c>
      <c r="AB35" s="290">
        <f t="shared" ca="1" si="13"/>
        <v>46937.531242646044</v>
      </c>
      <c r="AC35" s="290">
        <f t="shared" ca="1" si="14"/>
        <v>23468.765621323022</v>
      </c>
      <c r="AD35" s="296">
        <f t="shared" ca="1" si="15"/>
        <v>1.0505116140378898</v>
      </c>
      <c r="AF35" s="304">
        <v>334108</v>
      </c>
      <c r="AG35" s="222" t="b">
        <f t="shared" ca="1" si="2"/>
        <v>1</v>
      </c>
      <c r="AI35" s="290">
        <f>'e3.1A'!AB35</f>
        <v>-269.96505428966884</v>
      </c>
      <c r="AJ35" s="291">
        <v>-4349.5487573533319</v>
      </c>
      <c r="AK35" s="675" t="b">
        <f t="shared" si="10"/>
        <v>1</v>
      </c>
      <c r="AM35" s="676">
        <f>'e2.1'!M35-'e2.3'!M35</f>
        <v>249999.99999999977</v>
      </c>
      <c r="AN35" s="676">
        <f>'e2.1'!AA35-'e2.3'!AA35</f>
        <v>-2.3283064365386963E-10</v>
      </c>
      <c r="AO35" s="560">
        <f ca="1">'e2.1'!AB35-'e2.3'!AB35</f>
        <v>27054.563952931901</v>
      </c>
      <c r="AP35" s="676">
        <f ca="1">'e2.1'!U35-'e2.3'!U35</f>
        <v>277054.56395293167</v>
      </c>
      <c r="AQ35" s="488" t="b">
        <f t="shared" ca="1" si="3"/>
        <v>1</v>
      </c>
    </row>
    <row r="36" spans="1:43" x14ac:dyDescent="0.2">
      <c r="A36" s="268">
        <f>Intro!C36</f>
        <v>2014</v>
      </c>
      <c r="C36" s="291">
        <f ca="1">'e3.1A'!$I36</f>
        <v>2299989.7933251476</v>
      </c>
      <c r="E36" s="291">
        <f ca="1">'e3.2A'!$I36</f>
        <v>2503608.9064274114</v>
      </c>
      <c r="G36" s="291">
        <f ca="1">'e3.3C'!$K34</f>
        <v>2304341.8799651847</v>
      </c>
      <c r="I36" s="291">
        <f ca="1">'e3.4C'!$K34</f>
        <v>2487155.0944925044</v>
      </c>
      <c r="K36" s="291">
        <f ca="1">'e3.5C'!$M35</f>
        <v>2173195.9299999997</v>
      </c>
      <c r="M36" s="291">
        <f>'e3.1A'!$E36</f>
        <v>2173195.9299999997</v>
      </c>
      <c r="O36" s="291">
        <f>'e3.2A'!$E36</f>
        <v>2173195.9299999997</v>
      </c>
      <c r="Q36" s="290">
        <f ca="1">'e6.1'!M27</f>
        <v>0</v>
      </c>
      <c r="S36" s="291">
        <f t="shared" ca="1" si="5"/>
        <v>0</v>
      </c>
      <c r="U36" s="364">
        <f ca="1">K36</f>
        <v>2173195.9299999997</v>
      </c>
      <c r="W36" s="321">
        <f ca="1">U36/Intro!K36</f>
        <v>11.904906269458326</v>
      </c>
      <c r="X36" s="422"/>
      <c r="Y36" s="290">
        <f>'e7'!U34</f>
        <v>0</v>
      </c>
      <c r="Z36" s="304">
        <v>0</v>
      </c>
      <c r="AA36" s="290">
        <f t="shared" si="12"/>
        <v>0</v>
      </c>
      <c r="AB36" s="290">
        <f t="shared" ca="1" si="13"/>
        <v>0</v>
      </c>
      <c r="AC36" s="290" t="str">
        <f t="shared" ca="1" si="14"/>
        <v/>
      </c>
      <c r="AD36" s="296" t="str">
        <f t="shared" ca="1" si="15"/>
        <v/>
      </c>
      <c r="AF36" s="304">
        <v>0</v>
      </c>
      <c r="AG36" s="222" t="b">
        <f t="shared" ca="1" si="2"/>
        <v>1</v>
      </c>
      <c r="AI36" s="290">
        <f>'e3.1A'!AB36</f>
        <v>173.69999999925494</v>
      </c>
      <c r="AJ36" s="291">
        <v>173.69999999925494</v>
      </c>
      <c r="AK36" s="544" t="b">
        <f t="shared" si="10"/>
        <v>1</v>
      </c>
      <c r="AM36" s="676">
        <f>'e2.1'!M36-'e2.3'!M36</f>
        <v>169306.88000000082</v>
      </c>
      <c r="AN36" s="676">
        <f>'e2.1'!AA36-'e2.3'!AA36</f>
        <v>0</v>
      </c>
      <c r="AO36" s="676">
        <f ca="1">'e2.1'!AB36-'e2.3'!AB36</f>
        <v>0</v>
      </c>
      <c r="AP36" s="676">
        <f ca="1">'e2.1'!U36-'e2.3'!U36</f>
        <v>169306.88000000082</v>
      </c>
      <c r="AQ36" s="488" t="b">
        <f t="shared" ca="1" si="3"/>
        <v>1</v>
      </c>
    </row>
    <row r="37" spans="1:43" x14ac:dyDescent="0.2">
      <c r="A37" s="268">
        <f>Intro!C37</f>
        <v>2015</v>
      </c>
      <c r="C37" s="291">
        <f ca="1">'e3.1A'!$I37</f>
        <v>3287972.3958715829</v>
      </c>
      <c r="E37" s="291">
        <f ca="1">'e3.2A'!$I37</f>
        <v>3342650.0790152252</v>
      </c>
      <c r="G37" s="291">
        <f ca="1">'e3.3C'!$K35</f>
        <v>3233548.2737394725</v>
      </c>
      <c r="I37" s="291">
        <f ca="1">'e3.4C'!$K35</f>
        <v>3203196.8372291592</v>
      </c>
      <c r="K37" s="291">
        <f ca="1">'e3.5C'!$M36</f>
        <v>3255351.4355596141</v>
      </c>
      <c r="M37" s="291">
        <f>'e3.1A'!$E37</f>
        <v>3055006.9300000016</v>
      </c>
      <c r="O37" s="291">
        <f>'e3.2A'!$E37</f>
        <v>2776114.1900000009</v>
      </c>
      <c r="Q37" s="290">
        <f ca="1">'e6.1'!M28</f>
        <v>4</v>
      </c>
      <c r="S37" s="291">
        <f t="shared" ca="1" si="5"/>
        <v>2</v>
      </c>
      <c r="U37" s="561">
        <f ca="1">0.5*C37+0.5*G37</f>
        <v>3260760.3348055277</v>
      </c>
      <c r="W37" s="321">
        <f ca="1">U37/Intro!K37</f>
        <v>16.559471236061388</v>
      </c>
      <c r="X37" s="422"/>
      <c r="Y37" s="290">
        <f>'e7'!U35</f>
        <v>4</v>
      </c>
      <c r="Z37" s="304">
        <v>2</v>
      </c>
      <c r="AA37" s="290">
        <f t="shared" si="12"/>
        <v>278892.74000000069</v>
      </c>
      <c r="AB37" s="290">
        <f t="shared" ca="1" si="13"/>
        <v>205753.40480552614</v>
      </c>
      <c r="AC37" s="290">
        <f t="shared" ca="1" si="14"/>
        <v>102876.70240276307</v>
      </c>
      <c r="AD37" s="296">
        <f t="shared" ca="1" si="15"/>
        <v>0.73775102501960299</v>
      </c>
      <c r="AF37" s="304">
        <v>16795.700000000012</v>
      </c>
      <c r="AG37" s="674" t="s">
        <v>751</v>
      </c>
      <c r="AI37" s="290">
        <f>'e3.1A'!AB37</f>
        <v>-50505.467698924527</v>
      </c>
      <c r="AJ37" s="291">
        <v>-52379.864737853874</v>
      </c>
      <c r="AK37" s="544" t="b">
        <f t="shared" si="10"/>
        <v>1</v>
      </c>
      <c r="AM37" s="676">
        <f>'e2.1'!M37-'e2.3'!M37</f>
        <v>196671.31999999937</v>
      </c>
      <c r="AN37" s="676">
        <f>'e2.1'!AA37-'e2.3'!AA37</f>
        <v>162283.34999999916</v>
      </c>
      <c r="AO37" s="676">
        <f ca="1">'e2.1'!AB37-'e2.3'!AB37</f>
        <v>123607.63787648128</v>
      </c>
      <c r="AP37" s="676">
        <f ca="1">'e2.1'!U37-'e2.3'!U37</f>
        <v>320278.95787648065</v>
      </c>
      <c r="AQ37" s="488" t="b">
        <f ca="1">IF(AN37=0,AO37=0,AO37&gt;0)</f>
        <v>1</v>
      </c>
    </row>
    <row r="38" spans="1:43" x14ac:dyDescent="0.2">
      <c r="A38" s="268">
        <f>Intro!C38</f>
        <v>2016</v>
      </c>
      <c r="C38" s="291">
        <f ca="1">'e3.1A'!$I38</f>
        <v>2765962.2720213775</v>
      </c>
      <c r="E38" s="291">
        <f ca="1">'e3.2A'!$I38</f>
        <v>3044927.3125490942</v>
      </c>
      <c r="G38" s="291">
        <f ca="1">'e3.3C'!$K36</f>
        <v>2780637.3469103635</v>
      </c>
      <c r="I38" s="291">
        <f ca="1">'e3.4C'!$K36</f>
        <v>3013737.5319054062</v>
      </c>
      <c r="K38" s="291">
        <f ca="1">'e3.5C'!$M37</f>
        <v>2590877.5651368769</v>
      </c>
      <c r="M38" s="291">
        <f>'e3.1A'!$E38</f>
        <v>2481681.0000000019</v>
      </c>
      <c r="O38" s="291">
        <f>'e3.2A'!$E38</f>
        <v>2347544.3600000013</v>
      </c>
      <c r="Q38" s="290">
        <f ca="1">'e6.1'!M29</f>
        <v>7</v>
      </c>
      <c r="S38" s="291">
        <f t="shared" ca="1" si="5"/>
        <v>5</v>
      </c>
      <c r="U38" s="379">
        <f ca="1">G38</f>
        <v>2780637.3469103635</v>
      </c>
      <c r="W38" s="321">
        <f ca="1">U38/Intro!K38</f>
        <v>12.531343994338576</v>
      </c>
      <c r="X38" s="422"/>
      <c r="Y38" s="290">
        <f>'e7'!U36</f>
        <v>8</v>
      </c>
      <c r="Z38" s="304">
        <v>2</v>
      </c>
      <c r="AA38" s="290">
        <f t="shared" si="12"/>
        <v>134136.6400000006</v>
      </c>
      <c r="AB38" s="290">
        <f t="shared" ca="1" si="13"/>
        <v>298956.34691036167</v>
      </c>
      <c r="AC38" s="290">
        <f t="shared" ca="1" si="14"/>
        <v>59791.269382072336</v>
      </c>
      <c r="AD38" s="296">
        <f t="shared" ca="1" si="15"/>
        <v>2.228744859796401</v>
      </c>
      <c r="AF38" s="304">
        <v>1027181.39</v>
      </c>
      <c r="AG38" s="222" t="b">
        <f t="shared" ca="1" si="2"/>
        <v>1</v>
      </c>
      <c r="AI38" s="290">
        <f>'e3.1A'!AB38</f>
        <v>125980.01265480887</v>
      </c>
      <c r="AJ38" s="291">
        <v>104085.41797841433</v>
      </c>
      <c r="AK38" s="544" t="b">
        <f t="shared" si="10"/>
        <v>1</v>
      </c>
      <c r="AM38" s="676">
        <f>'e2.1'!M38-'e2.3'!M38</f>
        <v>147035.99000000022</v>
      </c>
      <c r="AN38" s="676">
        <f>'e2.1'!AA38-'e2.3'!AA38</f>
        <v>44668.299999999814</v>
      </c>
      <c r="AO38" s="676">
        <f ca="1">'e2.1'!AB38-'e2.3'!AB38</f>
        <v>169798.1818191926</v>
      </c>
      <c r="AP38" s="676">
        <f ca="1">'e2.1'!U38-'e2.3'!U38</f>
        <v>316834.17181919282</v>
      </c>
      <c r="AQ38" s="488" t="b">
        <f t="shared" ref="AQ38:AQ41" ca="1" si="16">IF(AN38=0,AO38=0,AO38&gt;0)</f>
        <v>1</v>
      </c>
    </row>
    <row r="39" spans="1:43" x14ac:dyDescent="0.2">
      <c r="A39" s="268">
        <f>Intro!C39</f>
        <v>2017</v>
      </c>
      <c r="C39" s="291">
        <f ca="1">'e3.1A'!$I39</f>
        <v>3119810.9942307575</v>
      </c>
      <c r="E39" s="291">
        <f ca="1">'e3.2A'!$I39</f>
        <v>3431503.0807305798</v>
      </c>
      <c r="G39" s="291">
        <f ca="1">'e3.3C'!$K37</f>
        <v>3196140.5416368018</v>
      </c>
      <c r="I39" s="291">
        <f ca="1">'e3.4C'!$K37</f>
        <v>3477306.0305128582</v>
      </c>
      <c r="K39" s="291">
        <f ca="1">'e3.5C'!$M38</f>
        <v>2913975.8580502593</v>
      </c>
      <c r="M39" s="291">
        <f>'e3.1A'!$E39</f>
        <v>2585441.4500000016</v>
      </c>
      <c r="O39" s="291">
        <f>'e3.2A'!$E39</f>
        <v>2258070.4400000018</v>
      </c>
      <c r="Q39" s="290">
        <f ca="1">'e6.1'!M30</f>
        <v>6</v>
      </c>
      <c r="S39" s="291">
        <f t="shared" ca="1" si="5"/>
        <v>6</v>
      </c>
      <c r="U39" s="379">
        <f ca="1">G39</f>
        <v>3196140.5416368018</v>
      </c>
      <c r="W39" s="321">
        <f ca="1">U39/Intro!K39</f>
        <v>10.393626137252904</v>
      </c>
      <c r="X39" s="422"/>
      <c r="Y39" s="290">
        <f>'e7'!U37</f>
        <v>9</v>
      </c>
      <c r="Z39" s="304">
        <v>0</v>
      </c>
      <c r="AA39" s="290">
        <f t="shared" si="12"/>
        <v>327371.00999999978</v>
      </c>
      <c r="AB39" s="290">
        <f t="shared" ca="1" si="13"/>
        <v>610699.09163680021</v>
      </c>
      <c r="AC39" s="290">
        <f t="shared" ca="1" si="14"/>
        <v>101783.1819394667</v>
      </c>
      <c r="AD39" s="296">
        <f t="shared" ca="1" si="15"/>
        <v>1.8654647876023005</v>
      </c>
      <c r="AF39" s="304">
        <v>1443208.29</v>
      </c>
      <c r="AG39" s="222" t="b">
        <f t="shared" ca="1" si="2"/>
        <v>1</v>
      </c>
      <c r="AI39" s="290">
        <f>'e3.1A'!AB39</f>
        <v>171336.60169024492</v>
      </c>
      <c r="AJ39" s="291">
        <v>126106.13095683279</v>
      </c>
      <c r="AK39" s="544" t="b">
        <f t="shared" si="10"/>
        <v>1</v>
      </c>
      <c r="AM39" s="676">
        <f>'e2.1'!M39-'e2.3'!M39</f>
        <v>0</v>
      </c>
      <c r="AN39" s="676">
        <f>'e2.1'!AA39-'e2.3'!AA39</f>
        <v>0</v>
      </c>
      <c r="AO39" s="560">
        <f ca="1">'e2.1'!AB39-'e2.3'!AB39</f>
        <v>251741.67422365397</v>
      </c>
      <c r="AP39" s="676">
        <f ca="1">'e2.1'!U39-'e2.3'!U39</f>
        <v>251741.67422365397</v>
      </c>
      <c r="AQ39" s="488" t="b">
        <f t="shared" ca="1" si="16"/>
        <v>0</v>
      </c>
    </row>
    <row r="40" spans="1:43" x14ac:dyDescent="0.2">
      <c r="A40" s="268">
        <f>Intro!C40</f>
        <v>2018</v>
      </c>
      <c r="C40" s="291">
        <f ca="1">'e3.1A'!$I40</f>
        <v>8722941.3906945344</v>
      </c>
      <c r="E40" s="291">
        <f ca="1">'e3.2A'!$I40</f>
        <v>9610249.783806596</v>
      </c>
      <c r="G40" s="291">
        <f ca="1">'e3.3C'!$K38</f>
        <v>8503587.7895801663</v>
      </c>
      <c r="I40" s="291">
        <f ca="1">'e3.4C'!$K38</f>
        <v>8742886.4179890454</v>
      </c>
      <c r="K40" s="291">
        <f ca="1">'e3.5C'!$M39</f>
        <v>8149921.6562833395</v>
      </c>
      <c r="M40" s="291">
        <f>'e3.1A'!$E40</f>
        <v>5793621.7700000023</v>
      </c>
      <c r="O40" s="291">
        <f>'e3.2A'!$E40</f>
        <v>4199295.1499999976</v>
      </c>
      <c r="Q40" s="290">
        <f ca="1">'e6.1'!M31</f>
        <v>42</v>
      </c>
      <c r="S40" s="291">
        <f t="shared" ca="1" si="5"/>
        <v>41</v>
      </c>
      <c r="U40" s="379">
        <f ca="1">0.75*G40+0.25*I40</f>
        <v>8563412.4466823861</v>
      </c>
      <c r="W40" s="321">
        <f ca="1">U40/Intro!K40</f>
        <v>15.949845197414767</v>
      </c>
      <c r="X40" s="422"/>
      <c r="Y40" s="290">
        <f>'e7'!U38</f>
        <v>61</v>
      </c>
      <c r="Z40" s="304">
        <v>1</v>
      </c>
      <c r="AA40" s="290">
        <f t="shared" si="12"/>
        <v>1594326.6200000048</v>
      </c>
      <c r="AB40" s="290">
        <f t="shared" ca="1" si="13"/>
        <v>2769790.6766823838</v>
      </c>
      <c r="AC40" s="290">
        <f t="shared" ca="1" si="14"/>
        <v>67555.870162984967</v>
      </c>
      <c r="AD40" s="296">
        <f t="shared" ca="1" si="15"/>
        <v>1.7372793265424971</v>
      </c>
      <c r="AF40" s="304">
        <v>11817681.34</v>
      </c>
      <c r="AG40" s="222" t="b">
        <f t="shared" ca="1" si="2"/>
        <v>1</v>
      </c>
      <c r="AI40" s="290">
        <f>'e3.1A'!AB40</f>
        <v>-143531.13325701025</v>
      </c>
      <c r="AJ40" s="291">
        <v>94838.932673150674</v>
      </c>
      <c r="AK40" s="675" t="b">
        <f t="shared" si="10"/>
        <v>0</v>
      </c>
      <c r="AM40" s="676">
        <f>'e2.1'!M40-'e2.3'!M40</f>
        <v>24375</v>
      </c>
      <c r="AN40" s="676">
        <f>'e2.1'!AA40-'e2.3'!AA40</f>
        <v>24375</v>
      </c>
      <c r="AO40" s="676">
        <f ca="1">'e2.1'!AB40-'e2.3'!AB40</f>
        <v>699634.87957535684</v>
      </c>
      <c r="AP40" s="676">
        <f ca="1">'e2.1'!U40-'e2.3'!U40</f>
        <v>724009.87957535684</v>
      </c>
      <c r="AQ40" s="488" t="b">
        <f t="shared" ca="1" si="16"/>
        <v>1</v>
      </c>
    </row>
    <row r="41" spans="1:43" x14ac:dyDescent="0.2">
      <c r="A41" s="268">
        <f>Intro!C41</f>
        <v>2019</v>
      </c>
      <c r="C41" s="292">
        <f ca="1">'e3.1A'!$I41</f>
        <v>5092062.6825138796</v>
      </c>
      <c r="E41" s="292">
        <f ca="1">'e3.2A'!$I41</f>
        <v>7826148.334131144</v>
      </c>
      <c r="G41" s="292">
        <f ca="1">'e3.3C'!$K39</f>
        <v>7318290.8641507355</v>
      </c>
      <c r="I41" s="292">
        <f ca="1">'e3.4C'!$K39</f>
        <v>8033836.5040546795</v>
      </c>
      <c r="K41" s="292">
        <f ca="1">'e3.5C'!$M40</f>
        <v>4127174.6392921787</v>
      </c>
      <c r="M41" s="292">
        <f>'e3.1A'!$E41</f>
        <v>1261811.2200000007</v>
      </c>
      <c r="O41" s="292">
        <f>'e3.2A'!$E41</f>
        <v>619309.30000000005</v>
      </c>
      <c r="Q41" s="292">
        <f ca="1">'e6.1'!M32</f>
        <v>79</v>
      </c>
      <c r="S41" s="292">
        <f t="shared" ca="1" si="5"/>
        <v>79</v>
      </c>
      <c r="U41" s="380">
        <f ca="1">0.5*G41+0.5*I41</f>
        <v>7676063.6841027075</v>
      </c>
      <c r="W41" s="298">
        <f ca="1">U41/Intro!K41</f>
        <v>14.132929652097751</v>
      </c>
      <c r="X41" s="422"/>
      <c r="Y41" s="292">
        <f>'e7'!U39</f>
        <v>114</v>
      </c>
      <c r="Z41" s="305">
        <v>0</v>
      </c>
      <c r="AA41" s="292">
        <f t="shared" si="6"/>
        <v>642501.92000000062</v>
      </c>
      <c r="AB41" s="279">
        <f ca="1">U41-M41-'e3.3C'!C39*Intro!W43</f>
        <v>3059384.1779066948</v>
      </c>
      <c r="AC41" s="292">
        <f t="shared" ca="1" si="8"/>
        <v>38726.381998818921</v>
      </c>
      <c r="AD41" s="383">
        <f t="shared" ca="1" si="9"/>
        <v>4.7616732069947618</v>
      </c>
      <c r="AF41" s="304">
        <v>27359965.800000004</v>
      </c>
      <c r="AG41" s="222" t="b">
        <f t="shared" ca="1" si="2"/>
        <v>1</v>
      </c>
      <c r="AI41" s="292">
        <f>'e3.1A'!AB41</f>
        <v>-794322.32677209005</v>
      </c>
      <c r="AJ41" s="292">
        <v>-503927.99088472966</v>
      </c>
      <c r="AK41" s="544" t="b">
        <f t="shared" si="10"/>
        <v>1</v>
      </c>
      <c r="AM41" s="676">
        <f>'e2.1'!M41-'e2.3'!M41</f>
        <v>0</v>
      </c>
      <c r="AN41" s="676">
        <f>'e2.1'!AA41-'e2.3'!AA41</f>
        <v>0</v>
      </c>
      <c r="AO41" s="676">
        <f ca="1">'e2.1'!AB41-'e2.3'!AB41</f>
        <v>520349.20565270958</v>
      </c>
      <c r="AP41" s="676">
        <f ca="1">'e2.1'!U41-'e2.3'!U41</f>
        <v>873717.58269457798</v>
      </c>
      <c r="AQ41" s="488" t="b">
        <f t="shared" ca="1" si="16"/>
        <v>0</v>
      </c>
    </row>
    <row r="42" spans="1:43" x14ac:dyDescent="0.2">
      <c r="AD42" s="296"/>
    </row>
    <row r="43" spans="1:43" x14ac:dyDescent="0.2">
      <c r="A43" s="342" t="s">
        <v>78</v>
      </c>
      <c r="C43" s="289">
        <f ca="1">SUM(C18:C41)</f>
        <v>54942398.994241133</v>
      </c>
      <c r="E43" s="289">
        <f ca="1">SUM(E18:E41)</f>
        <v>59535933.950651981</v>
      </c>
      <c r="G43" s="289">
        <f ca="1">SUM(G18:G41)</f>
        <v>56918940.822514795</v>
      </c>
      <c r="I43" s="289">
        <f ca="1">SUM(I18:I41)</f>
        <v>58560441.130898237</v>
      </c>
      <c r="K43" s="289">
        <f ca="1">SUM(K18:K41)</f>
        <v>52806502.177013054</v>
      </c>
      <c r="M43" s="289">
        <f>SUM(M18:M41)</f>
        <v>46537880.780000001</v>
      </c>
      <c r="O43" s="289">
        <f>SUM(O18:O41)</f>
        <v>43059200.050000004</v>
      </c>
      <c r="Q43" s="290">
        <f ca="1">SUM(Q18:Q41)</f>
        <v>156</v>
      </c>
      <c r="S43" s="290">
        <f ca="1">SUM(S18:S41)</f>
        <v>143</v>
      </c>
      <c r="U43" s="289">
        <f ca="1">SUM(U18:U41)</f>
        <v>57036554.786356457</v>
      </c>
      <c r="W43" s="321">
        <f ca="1">U43/Intro!K45</f>
        <v>14.637404953883605</v>
      </c>
      <c r="Y43" s="290">
        <f>SUM(Y18:Y41)</f>
        <v>214</v>
      </c>
      <c r="Z43" s="290">
        <f>SUM(Z18:Z41)</f>
        <v>13</v>
      </c>
      <c r="AA43" s="290">
        <f>SUM(AA18:AA41)</f>
        <v>3478680.730000007</v>
      </c>
      <c r="AB43" s="290">
        <f ca="1">SUM(AB18:AB41)</f>
        <v>7143805.7201604424</v>
      </c>
      <c r="AC43" s="290">
        <f ca="1">IFERROR(AB43/S43, "")</f>
        <v>49956.683357765331</v>
      </c>
      <c r="AD43" s="296">
        <f ca="1">IFERROR(AB43/AA43, "")</f>
        <v>2.0535962551988574</v>
      </c>
      <c r="AI43" s="290">
        <f>SUM(AI18:AI41)</f>
        <v>-684232.50468543777</v>
      </c>
      <c r="AJ43" s="290">
        <f>SUM(AJ18:AJ41)</f>
        <v>-234790.42259745975</v>
      </c>
    </row>
    <row r="45" spans="1:43" x14ac:dyDescent="0.2">
      <c r="A45" s="268"/>
      <c r="U45" s="381"/>
      <c r="W45" s="321"/>
      <c r="AA45" s="416" t="s">
        <v>602</v>
      </c>
      <c r="AB45" s="301"/>
    </row>
    <row r="46" spans="1:43" x14ac:dyDescent="0.2">
      <c r="AA46" s="412" t="s">
        <v>601</v>
      </c>
      <c r="AB46" s="252">
        <f ca="1">SUM(AA43:AB43) / Q43</f>
        <v>68092.861860002886</v>
      </c>
    </row>
    <row r="47" spans="1:43" x14ac:dyDescent="0.2">
      <c r="AA47" s="417" t="s">
        <v>603</v>
      </c>
      <c r="AB47" s="252">
        <f ca="1">SUM(AA27:AB39) / SUM(Q27:Q39)</f>
        <v>92745.61520887888</v>
      </c>
    </row>
    <row r="48" spans="1:43" x14ac:dyDescent="0.2">
      <c r="A48" s="327" t="s">
        <v>83</v>
      </c>
      <c r="AA48" s="418" t="s">
        <v>605</v>
      </c>
      <c r="AB48" s="252">
        <f ca="1">SUM(AA30:AB37) / SUM(Q30:Q37)</f>
        <v>74360.049560908126</v>
      </c>
    </row>
    <row r="49" spans="1:28" x14ac:dyDescent="0.2">
      <c r="A49" s="327" t="s">
        <v>584</v>
      </c>
      <c r="L49" s="327" t="s">
        <v>570</v>
      </c>
      <c r="AA49" s="418" t="s">
        <v>604</v>
      </c>
      <c r="AB49" s="252">
        <f ca="1">SUM(AA29:AB38) / SUM(Q29:Q38)</f>
        <v>68895.839559908462</v>
      </c>
    </row>
    <row r="50" spans="1:28" x14ac:dyDescent="0.2">
      <c r="A50" s="327" t="s">
        <v>585</v>
      </c>
      <c r="L50" s="327" t="s">
        <v>514</v>
      </c>
    </row>
    <row r="51" spans="1:28" x14ac:dyDescent="0.2">
      <c r="A51" s="327" t="s">
        <v>586</v>
      </c>
      <c r="L51" s="327" t="s">
        <v>515</v>
      </c>
    </row>
    <row r="52" spans="1:28" x14ac:dyDescent="0.2">
      <c r="A52" s="327" t="s">
        <v>587</v>
      </c>
      <c r="L52" s="327" t="s">
        <v>516</v>
      </c>
    </row>
    <row r="53" spans="1:28" x14ac:dyDescent="0.2">
      <c r="A53" s="327" t="s">
        <v>588</v>
      </c>
      <c r="L53" s="327" t="s">
        <v>517</v>
      </c>
    </row>
  </sheetData>
  <printOptions horizontalCentered="1"/>
  <pageMargins left="0.7" right="0.7" top="0.75" bottom="0.75" header="0.3" footer="0.3"/>
  <pageSetup scale="69" orientation="landscape" blackAndWhite="1" r:id="rId1"/>
  <headerFooter>
    <oddHeader xml:space="preserve">&amp;L&amp;"Arial"&amp;10  
  &amp;R&amp;"Arial"&amp;10  Exhibit 2
Sheet 3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6">
    <tabColor theme="5" tint="0.79998168889431442"/>
    <pageSetUpPr fitToPage="1"/>
  </sheetPr>
  <dimension ref="A1:AP122"/>
  <sheetViews>
    <sheetView zoomScale="85" zoomScaleNormal="85" workbookViewId="0"/>
  </sheetViews>
  <sheetFormatPr defaultColWidth="9" defaultRowHeight="12.75" x14ac:dyDescent="0.2"/>
  <cols>
    <col min="1" max="1" width="9.5" style="488" bestFit="1" customWidth="1"/>
    <col min="2" max="2" width="2.625" style="488" customWidth="1"/>
    <col min="3" max="3" width="9" style="488"/>
    <col min="4" max="4" width="2.625" style="488" customWidth="1"/>
    <col min="5" max="5" width="10.75" style="488" bestFit="1" customWidth="1"/>
    <col min="6" max="6" width="2.625" style="488" customWidth="1"/>
    <col min="7" max="7" width="9" style="488"/>
    <col min="8" max="8" width="2.625" style="488" customWidth="1"/>
    <col min="9" max="9" width="10.75" style="488" bestFit="1" customWidth="1"/>
    <col min="10" max="10" width="2.625" style="488" customWidth="1"/>
    <col min="11" max="11" width="10.625" style="488" customWidth="1"/>
    <col min="12" max="12" width="2.625" style="488" customWidth="1"/>
    <col min="13" max="13" width="10.75" style="488" bestFit="1" customWidth="1"/>
    <col min="14" max="14" width="2.625" style="488" customWidth="1"/>
    <col min="15" max="16" width="9.75" style="488" customWidth="1"/>
    <col min="17" max="22" width="9.625" style="488" customWidth="1"/>
    <col min="23" max="23" width="2.625" style="488" customWidth="1"/>
    <col min="24" max="24" width="9.625" style="490" customWidth="1"/>
    <col min="25" max="30" width="9.625" style="488" customWidth="1"/>
    <col min="31" max="31" width="2.625" style="488" customWidth="1"/>
    <col min="32" max="32" width="9.625" style="488" bestFit="1" customWidth="1"/>
    <col min="33" max="33" width="9" style="488"/>
    <col min="34" max="34" width="2.625" style="488" customWidth="1"/>
    <col min="35" max="37" width="9" style="488"/>
    <col min="38" max="38" width="2.625" style="488" customWidth="1"/>
    <col min="39" max="16384" width="9" style="488"/>
  </cols>
  <sheetData>
    <row r="1" spans="1:39" x14ac:dyDescent="0.2">
      <c r="A1" s="1" t="str">
        <f>[1]!getlabels()</f>
        <v>Exhibit 3, Sheet 1A</v>
      </c>
    </row>
    <row r="2" spans="1:39" ht="22.5" x14ac:dyDescent="0.45">
      <c r="A2" s="78" t="str">
        <f>client</f>
        <v>CLIENT XYZ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39" ht="15" x14ac:dyDescent="0.2">
      <c r="A3" s="80" t="str">
        <f>tit</f>
        <v>Analysis of Unpaid Loss &amp; ALAE as of June 30, 2019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</row>
    <row r="4" spans="1:39" ht="15" x14ac:dyDescent="0.2">
      <c r="A4" s="80" t="str">
        <f>cov</f>
        <v>Workers Compensation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</row>
    <row r="5" spans="1:39" ht="15" x14ac:dyDescent="0.2">
      <c r="A5" s="80" t="str">
        <f>"Data Evaluated as of "&amp;ctxt_l</f>
        <v>Data Evaluated as of April 30, 2019</v>
      </c>
      <c r="B5" s="491"/>
      <c r="C5" s="491"/>
      <c r="D5" s="491"/>
      <c r="E5" s="491"/>
      <c r="F5" s="491"/>
      <c r="G5" s="491"/>
      <c r="H5" s="491"/>
      <c r="I5" s="491"/>
      <c r="J5" s="491"/>
      <c r="K5" s="491"/>
      <c r="L5" s="491"/>
      <c r="M5" s="491"/>
    </row>
    <row r="7" spans="1:39" s="619" customFormat="1" x14ac:dyDescent="0.2">
      <c r="A7" s="224" t="str">
        <f>VLOOKUP($A$1, index_lkups, 3, FALSE)</f>
        <v>Reported Development Method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O7" s="626" t="s">
        <v>668</v>
      </c>
      <c r="X7" s="604"/>
    </row>
    <row r="10" spans="1:39" x14ac:dyDescent="0.2">
      <c r="A10" s="392" t="s">
        <v>413</v>
      </c>
      <c r="O10" s="492" t="s">
        <v>210</v>
      </c>
    </row>
    <row r="12" spans="1:39" x14ac:dyDescent="0.2">
      <c r="E12" s="493" t="s">
        <v>71</v>
      </c>
      <c r="O12" s="494"/>
      <c r="P12" s="494"/>
      <c r="Q12" s="494"/>
      <c r="U12" s="495"/>
      <c r="V12" s="495"/>
    </row>
    <row r="13" spans="1:39" x14ac:dyDescent="0.2">
      <c r="A13" s="496" t="str">
        <f>Intro!M9</f>
        <v>Policy</v>
      </c>
      <c r="E13" s="493" t="s">
        <v>8</v>
      </c>
      <c r="G13" s="496" t="s">
        <v>331</v>
      </c>
      <c r="I13" s="496" t="s">
        <v>330</v>
      </c>
      <c r="M13" s="496" t="s">
        <v>332</v>
      </c>
      <c r="O13" s="496"/>
      <c r="P13" s="496"/>
      <c r="Q13" s="663" t="s">
        <v>105</v>
      </c>
      <c r="U13" s="495"/>
      <c r="V13" s="495"/>
      <c r="X13" s="494"/>
      <c r="Y13" s="494"/>
      <c r="Z13" s="497" t="str">
        <f>pr_to_curr</f>
        <v>10/18-4/19</v>
      </c>
      <c r="AA13" s="497"/>
      <c r="AB13" s="497"/>
      <c r="AC13" s="497"/>
      <c r="AD13" s="497"/>
    </row>
    <row r="14" spans="1:39" x14ac:dyDescent="0.2">
      <c r="A14" s="496" t="str">
        <f>Intro!M10</f>
        <v>Period</v>
      </c>
      <c r="E14" s="493" t="s">
        <v>334</v>
      </c>
      <c r="G14" s="496" t="s">
        <v>245</v>
      </c>
      <c r="I14" s="496" t="s">
        <v>245</v>
      </c>
      <c r="K14" s="496" t="s">
        <v>5</v>
      </c>
      <c r="M14" s="496" t="s">
        <v>8</v>
      </c>
      <c r="O14" s="493" t="s">
        <v>75</v>
      </c>
      <c r="P14" s="496" t="s">
        <v>669</v>
      </c>
      <c r="Q14" s="664" t="s">
        <v>410</v>
      </c>
      <c r="R14" s="496"/>
      <c r="S14" s="496" t="s">
        <v>55</v>
      </c>
      <c r="T14" s="496" t="s">
        <v>332</v>
      </c>
      <c r="U14" s="496" t="s">
        <v>411</v>
      </c>
      <c r="X14" s="496" t="s">
        <v>18</v>
      </c>
      <c r="Y14" s="496" t="s">
        <v>18</v>
      </c>
      <c r="Z14" s="496" t="s">
        <v>242</v>
      </c>
      <c r="AA14" s="496" t="s">
        <v>244</v>
      </c>
      <c r="AF14" s="496" t="s">
        <v>670</v>
      </c>
      <c r="AG14" s="496"/>
      <c r="AI14" s="497" t="s">
        <v>671</v>
      </c>
      <c r="AJ14" s="497"/>
      <c r="AK14" s="497"/>
    </row>
    <row r="15" spans="1:39" x14ac:dyDescent="0.2">
      <c r="A15" s="498" t="str">
        <f>Intro!M11</f>
        <v>Ending 9/30</v>
      </c>
      <c r="C15" s="498" t="s">
        <v>90</v>
      </c>
      <c r="E15" s="498" t="str">
        <f>ctxt</f>
        <v>4/30/19</v>
      </c>
      <c r="G15" s="498" t="s">
        <v>338</v>
      </c>
      <c r="I15" s="498" t="s">
        <v>8</v>
      </c>
      <c r="K15" s="498" t="s">
        <v>6</v>
      </c>
      <c r="M15" s="498" t="s">
        <v>349</v>
      </c>
      <c r="O15" s="498" t="s">
        <v>409</v>
      </c>
      <c r="P15" s="498" t="s">
        <v>93</v>
      </c>
      <c r="Q15" s="665" t="s">
        <v>245</v>
      </c>
      <c r="R15" s="498" t="s">
        <v>74</v>
      </c>
      <c r="S15" s="498" t="s">
        <v>672</v>
      </c>
      <c r="T15" s="498" t="s">
        <v>191</v>
      </c>
      <c r="U15" s="498" t="s">
        <v>412</v>
      </c>
      <c r="V15" s="498" t="s">
        <v>475</v>
      </c>
      <c r="X15" s="498" t="s">
        <v>673</v>
      </c>
      <c r="Y15" s="498" t="s">
        <v>93</v>
      </c>
      <c r="Z15" s="498" t="s">
        <v>71</v>
      </c>
      <c r="AA15" s="498" t="s">
        <v>71</v>
      </c>
      <c r="AB15" s="498" t="s">
        <v>504</v>
      </c>
      <c r="AC15" s="498" t="s">
        <v>674</v>
      </c>
      <c r="AD15" s="498" t="s">
        <v>475</v>
      </c>
      <c r="AF15" s="498" t="s">
        <v>191</v>
      </c>
      <c r="AG15" s="498" t="s">
        <v>475</v>
      </c>
      <c r="AI15" s="499" t="str">
        <f>ptxt</f>
        <v>10/31/18</v>
      </c>
      <c r="AJ15" s="499" t="str">
        <f>ctxt</f>
        <v>4/30/19</v>
      </c>
      <c r="AK15" s="497" t="str">
        <f>pr_to_curr</f>
        <v>10/18-4/19</v>
      </c>
      <c r="AM15" s="496"/>
    </row>
    <row r="16" spans="1:39" x14ac:dyDescent="0.2">
      <c r="E16" s="500">
        <v>1</v>
      </c>
      <c r="G16" s="500">
        <f>E16+1</f>
        <v>2</v>
      </c>
      <c r="I16" s="500">
        <f>G16+1</f>
        <v>3</v>
      </c>
      <c r="K16" s="500">
        <f>I16+1</f>
        <v>4</v>
      </c>
      <c r="M16" s="500">
        <f>K16+1</f>
        <v>5</v>
      </c>
      <c r="Q16" s="666"/>
      <c r="X16" s="488"/>
      <c r="AF16" s="490"/>
    </row>
    <row r="17" spans="1:37" x14ac:dyDescent="0.2">
      <c r="E17" s="500"/>
      <c r="G17" s="500"/>
      <c r="I17" s="500"/>
      <c r="K17" s="500"/>
      <c r="M17" s="500"/>
      <c r="Q17" s="666"/>
      <c r="X17" s="488"/>
      <c r="AF17" s="490"/>
    </row>
    <row r="18" spans="1:37" x14ac:dyDescent="0.2">
      <c r="A18" s="493">
        <f>Intro!C18</f>
        <v>1996</v>
      </c>
      <c r="C18" s="517">
        <v>250000</v>
      </c>
      <c r="E18" s="501">
        <f>'e7'!G49</f>
        <v>683326</v>
      </c>
      <c r="G18" s="502">
        <f ca="1">[1]!ldfsir(ldfs, ldf_ages, ldf_type, ldf_ret, Intro!$AA18, "Rept", $C18, cutoff, 3)</f>
        <v>1.0039974324262859</v>
      </c>
      <c r="I18" s="501">
        <f ca="1">E18*G18</f>
        <v>686057.54951012426</v>
      </c>
      <c r="K18" s="501">
        <f>Intro!K18</f>
        <v>51718.748</v>
      </c>
      <c r="M18" s="503">
        <f ca="1">I18/K18</f>
        <v>13.265161591114392</v>
      </c>
      <c r="O18" s="504">
        <f ca="1">'e3.2A'!I18</f>
        <v>689046.71734513121</v>
      </c>
      <c r="P18" s="505">
        <f t="shared" ref="P18:P41" ca="1" si="0">O18/I18</f>
        <v>1.0043570219978504</v>
      </c>
      <c r="Q18" s="657">
        <f>E18</f>
        <v>683326</v>
      </c>
      <c r="R18" s="504">
        <f>'e7'!$E49</f>
        <v>0</v>
      </c>
      <c r="S18" s="385">
        <v>0</v>
      </c>
      <c r="T18" s="504">
        <f t="shared" ref="T18" si="1">Q18-E18</f>
        <v>0</v>
      </c>
      <c r="U18" s="504" t="str">
        <f t="shared" ref="U18" si="2">IFERROR(T18/S18, "")</f>
        <v/>
      </c>
      <c r="V18" s="504" t="b">
        <f t="shared" ref="V18" si="3">IF(OR(S18=0,R18=0),T18=0,T18&gt;0)</f>
        <v>1</v>
      </c>
      <c r="X18" s="506">
        <v>683326</v>
      </c>
      <c r="Y18" s="506">
        <v>683326</v>
      </c>
      <c r="Z18" s="504">
        <f t="shared" ref="Z18" si="4">E18-Y18</f>
        <v>0</v>
      </c>
      <c r="AA18" s="507">
        <f t="shared" ref="AA18" si="5">AK18*(X18-Y18)</f>
        <v>0</v>
      </c>
      <c r="AB18" s="504">
        <f>Z18-AA18</f>
        <v>0</v>
      </c>
      <c r="AC18" s="507">
        <f t="shared" ref="AC18" si="6">Q18-X18</f>
        <v>0</v>
      </c>
      <c r="AD18" s="493" t="b">
        <f t="shared" ref="AD18" si="7">IF(AB18&lt;=0,AC18&lt;=0,AC18&gt;=0)</f>
        <v>1</v>
      </c>
      <c r="AF18" s="508"/>
      <c r="AG18" s="504"/>
      <c r="AI18" s="509">
        <f>1 / [1]!ldfsir(prldfs, prldf_ages, prldf_type, prldf_ret, Intro!$Y18, "Rept", $C18, prldf_cutoff, 3)</f>
        <v>0.99601848341720789</v>
      </c>
      <c r="AJ18" s="509">
        <f>1 / [1]!ldfsir(prldfs, prldf_ages, prldf_type, prldf_ret, Intro!$AA18, "Rept", $C18, prldf_cutoff, 3)</f>
        <v>0.99601848341720789</v>
      </c>
      <c r="AK18" s="509">
        <f>(AJ18-AI18)/(1-AI18)</f>
        <v>0</v>
      </c>
    </row>
    <row r="19" spans="1:37" x14ac:dyDescent="0.2">
      <c r="A19" s="493">
        <f>Intro!C19</f>
        <v>1997</v>
      </c>
      <c r="C19" s="518">
        <f>C18</f>
        <v>250000</v>
      </c>
      <c r="E19" s="504">
        <f>'e7'!G50</f>
        <v>1337604</v>
      </c>
      <c r="G19" s="502">
        <f ca="1">[1]!ldfsir(ldfs, ldf_ages, ldf_type, ldf_ret, Intro!$AA19, "Rept", $C19, cutoff, 3)</f>
        <v>1.0047068848450238</v>
      </c>
      <c r="I19" s="507">
        <f t="shared" ref="I19:I41" ca="1" si="8">E19*G19</f>
        <v>1343899.9479962431</v>
      </c>
      <c r="K19" s="504">
        <f>Intro!K19</f>
        <v>71279.833180000031</v>
      </c>
      <c r="M19" s="510">
        <f t="shared" ref="M19:M41" ca="1" si="9">I19/K19</f>
        <v>18.853859332169701</v>
      </c>
      <c r="O19" s="504">
        <f ca="1">'e3.2A'!I19</f>
        <v>1350932.1730051334</v>
      </c>
      <c r="P19" s="505">
        <f t="shared" ca="1" si="0"/>
        <v>1.0052326998147261</v>
      </c>
      <c r="Q19" s="657">
        <f>E19</f>
        <v>1337604</v>
      </c>
      <c r="R19" s="504">
        <f>'e7'!$E50</f>
        <v>0</v>
      </c>
      <c r="S19" s="385">
        <v>0</v>
      </c>
      <c r="T19" s="504">
        <f t="shared" ref="T19:T41" si="10">Q19-E19</f>
        <v>0</v>
      </c>
      <c r="U19" s="504" t="str">
        <f t="shared" ref="U19:U41" si="11">IFERROR(T19/S19, "")</f>
        <v/>
      </c>
      <c r="V19" s="504" t="b">
        <f t="shared" ref="V19:V41" si="12">IF(OR(S19=0,R19=0),T19=0,T19&gt;0)</f>
        <v>1</v>
      </c>
      <c r="X19" s="506">
        <v>1337604</v>
      </c>
      <c r="Y19" s="506">
        <v>1337604</v>
      </c>
      <c r="Z19" s="504">
        <f t="shared" ref="Z19:Z41" si="13">E19-Y19</f>
        <v>0</v>
      </c>
      <c r="AA19" s="507">
        <f t="shared" ref="AA19:AA41" si="14">AK19*(X19-Y19)</f>
        <v>0</v>
      </c>
      <c r="AB19" s="504">
        <f t="shared" ref="AB19:AB41" si="15">Z19-AA19</f>
        <v>0</v>
      </c>
      <c r="AC19" s="507">
        <f t="shared" ref="AC19:AC41" si="16">Q19-X19</f>
        <v>0</v>
      </c>
      <c r="AD19" s="493" t="b">
        <f t="shared" ref="AD19:AD41" si="17">IF(AB19&lt;=0,AC19&lt;=0,AC19&gt;=0)</f>
        <v>1</v>
      </c>
      <c r="AF19" s="508"/>
      <c r="AG19" s="504"/>
      <c r="AI19" s="509">
        <f>1 / [1]!ldfsir(prldfs, prldf_ages, prldf_type, prldf_ret, Intro!$Y19, "Rept", $C19, prldf_cutoff, 3)</f>
        <v>0.99531516612852733</v>
      </c>
      <c r="AJ19" s="509">
        <f>1 / [1]!ldfsir(prldfs, prldf_ages, prldf_type, prldf_ret, Intro!$AA19, "Rept", $C19, prldf_cutoff, 3)</f>
        <v>0.99531516612852733</v>
      </c>
      <c r="AK19" s="509">
        <f t="shared" ref="AK19:AK41" si="18">(AJ19-AI19)/(1-AI19)</f>
        <v>0</v>
      </c>
    </row>
    <row r="20" spans="1:37" x14ac:dyDescent="0.2">
      <c r="A20" s="493">
        <f>Intro!C20</f>
        <v>1998</v>
      </c>
      <c r="C20" s="518">
        <f t="shared" ref="C20:C41" si="19">C19</f>
        <v>250000</v>
      </c>
      <c r="E20" s="504">
        <f>'e7'!G51</f>
        <v>2593680.7199999997</v>
      </c>
      <c r="G20" s="502">
        <f ca="1">[1]!ldfsir(ldfs, ldf_ages, ldf_type, ldf_ret, Intro!$AA20, "Rept", $C20, cutoff, 3)</f>
        <v>1.0055425959161362</v>
      </c>
      <c r="I20" s="507">
        <f t="shared" ca="1" si="8"/>
        <v>2608056.4441664326</v>
      </c>
      <c r="K20" s="504">
        <f>Intro!K20</f>
        <v>90725.935539999991</v>
      </c>
      <c r="M20" s="510">
        <f t="shared" ca="1" si="9"/>
        <v>28.746536793953162</v>
      </c>
      <c r="O20" s="504">
        <f ca="1">'e3.2A'!I20</f>
        <v>2615615.8412902113</v>
      </c>
      <c r="P20" s="505">
        <f t="shared" ca="1" si="0"/>
        <v>1.0028984791110205</v>
      </c>
      <c r="Q20" s="658">
        <f t="shared" ref="Q20:Q26" ca="1" si="20">I20</f>
        <v>2608056.4441664326</v>
      </c>
      <c r="R20" s="504">
        <f>'e7'!$E51</f>
        <v>8725.5499999998137</v>
      </c>
      <c r="S20" s="385">
        <v>1</v>
      </c>
      <c r="T20" s="504">
        <f t="shared" ca="1" si="10"/>
        <v>14375.724166432861</v>
      </c>
      <c r="U20" s="504">
        <f t="shared" ca="1" si="11"/>
        <v>14375.724166432861</v>
      </c>
      <c r="V20" s="504" t="b">
        <f t="shared" ca="1" si="12"/>
        <v>1</v>
      </c>
      <c r="X20" s="506">
        <v>2608056.4441664326</v>
      </c>
      <c r="Y20" s="506">
        <v>2593680.7199999997</v>
      </c>
      <c r="Z20" s="504">
        <f t="shared" si="13"/>
        <v>0</v>
      </c>
      <c r="AA20" s="507">
        <f t="shared" si="14"/>
        <v>0</v>
      </c>
      <c r="AB20" s="504">
        <f t="shared" si="15"/>
        <v>0</v>
      </c>
      <c r="AC20" s="507">
        <f t="shared" ca="1" si="16"/>
        <v>0</v>
      </c>
      <c r="AD20" s="493" t="b">
        <f t="shared" ca="1" si="17"/>
        <v>1</v>
      </c>
      <c r="AF20" s="508"/>
      <c r="AG20" s="504"/>
      <c r="AI20" s="509">
        <f>1 / [1]!ldfsir(prldfs, prldf_ages, prldf_type, prldf_ret, Intro!$Y20, "Rept", $C20, prldf_cutoff, 3)</f>
        <v>0.99448795512129806</v>
      </c>
      <c r="AJ20" s="509">
        <f>1 / [1]!ldfsir(prldfs, prldf_ages, prldf_type, prldf_ret, Intro!$AA20, "Rept", $C20, prldf_cutoff, 3)</f>
        <v>0.99448795512129806</v>
      </c>
      <c r="AK20" s="509">
        <f t="shared" si="18"/>
        <v>0</v>
      </c>
    </row>
    <row r="21" spans="1:37" x14ac:dyDescent="0.2">
      <c r="A21" s="493">
        <f>Intro!C21</f>
        <v>1999</v>
      </c>
      <c r="C21" s="518">
        <f t="shared" si="19"/>
        <v>250000</v>
      </c>
      <c r="E21" s="504">
        <f>'e7'!G52</f>
        <v>2640381.7999999998</v>
      </c>
      <c r="G21" s="502">
        <f ca="1">[1]!ldfsir(ldfs, ldf_ages, ldf_type, ldf_ret, Intro!$AA21, "Rept", $C21, cutoff, 3)</f>
        <v>1.0065271694685793</v>
      </c>
      <c r="I21" s="507">
        <f t="shared" ca="1" si="8"/>
        <v>2657616.0194703522</v>
      </c>
      <c r="K21" s="504">
        <f>Intro!K21</f>
        <v>115828.16377000001</v>
      </c>
      <c r="M21" s="510">
        <f t="shared" ca="1" si="9"/>
        <v>22.944471646356931</v>
      </c>
      <c r="O21" s="504">
        <f ca="1">'e3.2A'!I21</f>
        <v>2584845.7901977873</v>
      </c>
      <c r="P21" s="505">
        <f t="shared" ca="1" si="0"/>
        <v>0.97261823049701979</v>
      </c>
      <c r="Q21" s="658">
        <f t="shared" ca="1" si="20"/>
        <v>2657616.0194703522</v>
      </c>
      <c r="R21" s="504">
        <f>'e7'!$E52</f>
        <v>91530.509999999776</v>
      </c>
      <c r="S21" s="385">
        <v>2</v>
      </c>
      <c r="T21" s="504">
        <f t="shared" ca="1" si="10"/>
        <v>17234.2194703524</v>
      </c>
      <c r="U21" s="504">
        <f t="shared" ca="1" si="11"/>
        <v>8617.1097351762</v>
      </c>
      <c r="V21" s="504" t="b">
        <f t="shared" ca="1" si="12"/>
        <v>1</v>
      </c>
      <c r="X21" s="506">
        <v>2657616.0194703522</v>
      </c>
      <c r="Y21" s="506">
        <v>2640381.7999999998</v>
      </c>
      <c r="Z21" s="504">
        <f t="shared" si="13"/>
        <v>0</v>
      </c>
      <c r="AA21" s="507">
        <f t="shared" si="14"/>
        <v>0</v>
      </c>
      <c r="AB21" s="504">
        <f t="shared" si="15"/>
        <v>0</v>
      </c>
      <c r="AC21" s="507">
        <f t="shared" ca="1" si="16"/>
        <v>0</v>
      </c>
      <c r="AD21" s="493" t="b">
        <f t="shared" ca="1" si="17"/>
        <v>1</v>
      </c>
      <c r="AF21" s="508"/>
      <c r="AG21" s="504"/>
      <c r="AI21" s="509">
        <f>1 / [1]!ldfsir(prldfs, prldf_ages, prldf_type, prldf_ret, Intro!$Y21, "Rept", $C21, prldf_cutoff, 3)</f>
        <v>0.99351515819287273</v>
      </c>
      <c r="AJ21" s="509">
        <f>1 / [1]!ldfsir(prldfs, prldf_ages, prldf_type, prldf_ret, Intro!$AA21, "Rept", $C21, prldf_cutoff, 3)</f>
        <v>0.99351515819287273</v>
      </c>
      <c r="AK21" s="509">
        <f t="shared" si="18"/>
        <v>0</v>
      </c>
    </row>
    <row r="22" spans="1:37" x14ac:dyDescent="0.2">
      <c r="A22" s="493">
        <f>Intro!C22</f>
        <v>2000</v>
      </c>
      <c r="C22" s="518">
        <f t="shared" si="19"/>
        <v>250000</v>
      </c>
      <c r="E22" s="504">
        <f>'e7'!G53</f>
        <v>2370485.2200000002</v>
      </c>
      <c r="G22" s="502">
        <f ca="1">[1]!ldfsir(ldfs, ldf_ages, ldf_type, ldf_ret, Intro!$AA22, "Rept", $C22, cutoff, 3)</f>
        <v>1.00768730779243</v>
      </c>
      <c r="I22" s="507">
        <f t="shared" ca="1" si="8"/>
        <v>2388707.8695035465</v>
      </c>
      <c r="K22" s="504">
        <f>Intro!K22</f>
        <v>86853.122530000022</v>
      </c>
      <c r="M22" s="510">
        <f t="shared" ca="1" si="9"/>
        <v>27.502843880811085</v>
      </c>
      <c r="O22" s="504">
        <f ca="1">'e3.2A'!I22</f>
        <v>2353207.1661252072</v>
      </c>
      <c r="P22" s="505">
        <f t="shared" ca="1" si="0"/>
        <v>0.98513811427861309</v>
      </c>
      <c r="Q22" s="658">
        <f t="shared" ca="1" si="20"/>
        <v>2388707.8695035465</v>
      </c>
      <c r="R22" s="504">
        <f>'e7'!$E53</f>
        <v>56197.280000000261</v>
      </c>
      <c r="S22" s="385">
        <v>4</v>
      </c>
      <c r="T22" s="504">
        <f t="shared" ca="1" si="10"/>
        <v>18222.649503546301</v>
      </c>
      <c r="U22" s="504">
        <f t="shared" ca="1" si="11"/>
        <v>4555.6623758865753</v>
      </c>
      <c r="V22" s="504" t="b">
        <f t="shared" ca="1" si="12"/>
        <v>1</v>
      </c>
      <c r="X22" s="506">
        <v>2388707.8695035465</v>
      </c>
      <c r="Y22" s="506">
        <v>2370485.2200000002</v>
      </c>
      <c r="Z22" s="504">
        <f t="shared" si="13"/>
        <v>0</v>
      </c>
      <c r="AA22" s="507">
        <f t="shared" si="14"/>
        <v>0</v>
      </c>
      <c r="AB22" s="504">
        <f t="shared" si="15"/>
        <v>0</v>
      </c>
      <c r="AC22" s="507">
        <f t="shared" ca="1" si="16"/>
        <v>0</v>
      </c>
      <c r="AD22" s="493" t="b">
        <f t="shared" ca="1" si="17"/>
        <v>1</v>
      </c>
      <c r="AF22" s="508"/>
      <c r="AG22" s="504"/>
      <c r="AI22" s="509">
        <f>1 / [1]!ldfsir(prldfs, prldf_ages, prldf_type, prldf_ret, Intro!$Y22, "Rept", $C22, prldf_cutoff, 3)</f>
        <v>0.99237133609505235</v>
      </c>
      <c r="AJ22" s="509">
        <f>1 / [1]!ldfsir(prldfs, prldf_ages, prldf_type, prldf_ret, Intro!$AA22, "Rept", $C22, prldf_cutoff, 3)</f>
        <v>0.99237133609505235</v>
      </c>
      <c r="AK22" s="509">
        <f t="shared" si="18"/>
        <v>0</v>
      </c>
    </row>
    <row r="23" spans="1:37" x14ac:dyDescent="0.2">
      <c r="A23" s="493">
        <f>Intro!C23</f>
        <v>2001</v>
      </c>
      <c r="C23" s="518">
        <f t="shared" si="19"/>
        <v>250000</v>
      </c>
      <c r="E23" s="504">
        <f>'e7'!G54</f>
        <v>1349446.97</v>
      </c>
      <c r="G23" s="502">
        <f ca="1">[1]!ldfsir(ldfs, ldf_ages, ldf_type, ldf_ret, Intro!$AA23, "Rept", $C23, cutoff, 3)</f>
        <v>1.0090545746999535</v>
      </c>
      <c r="I23" s="507">
        <f t="shared" ca="1" si="8"/>
        <v>1361665.6383934908</v>
      </c>
      <c r="K23" s="504">
        <f>Intro!K23</f>
        <v>91838.194909999977</v>
      </c>
      <c r="M23" s="510">
        <f t="shared" ca="1" si="9"/>
        <v>14.826790092378255</v>
      </c>
      <c r="O23" s="504">
        <f ca="1">'e3.2A'!I23</f>
        <v>1376376.3000446835</v>
      </c>
      <c r="P23" s="505">
        <f t="shared" ca="1" si="0"/>
        <v>1.0108034316475434</v>
      </c>
      <c r="Q23" s="658">
        <f t="shared" ca="1" si="20"/>
        <v>1361665.6383934908</v>
      </c>
      <c r="R23" s="504">
        <f>'e7'!$E54</f>
        <v>100</v>
      </c>
      <c r="S23" s="385">
        <v>1</v>
      </c>
      <c r="T23" s="504">
        <f t="shared" ca="1" si="10"/>
        <v>12218.668393490836</v>
      </c>
      <c r="U23" s="504">
        <f t="shared" ca="1" si="11"/>
        <v>12218.668393490836</v>
      </c>
      <c r="V23" s="504" t="b">
        <f t="shared" ca="1" si="12"/>
        <v>1</v>
      </c>
      <c r="X23" s="506">
        <v>1361665.6383934908</v>
      </c>
      <c r="Y23" s="506">
        <v>1349446.97</v>
      </c>
      <c r="Z23" s="504">
        <f t="shared" si="13"/>
        <v>0</v>
      </c>
      <c r="AA23" s="507">
        <f t="shared" si="14"/>
        <v>0</v>
      </c>
      <c r="AB23" s="504">
        <f t="shared" si="15"/>
        <v>0</v>
      </c>
      <c r="AC23" s="507">
        <f t="shared" ca="1" si="16"/>
        <v>0</v>
      </c>
      <c r="AD23" s="493" t="b">
        <f t="shared" ca="1" si="17"/>
        <v>1</v>
      </c>
      <c r="AF23" s="508"/>
      <c r="AG23" s="504"/>
      <c r="AI23" s="509">
        <f>1 / [1]!ldfsir(prldfs, prldf_ages, prldf_type, prldf_ret, Intro!$Y23, "Rept", $C23, prldf_cutoff, 3)</f>
        <v>0.99102667494209029</v>
      </c>
      <c r="AJ23" s="509">
        <f>1 / [1]!ldfsir(prldfs, prldf_ages, prldf_type, prldf_ret, Intro!$AA23, "Rept", $C23, prldf_cutoff, 3)</f>
        <v>0.99102667494209029</v>
      </c>
      <c r="AK23" s="509">
        <f t="shared" si="18"/>
        <v>0</v>
      </c>
    </row>
    <row r="24" spans="1:37" x14ac:dyDescent="0.2">
      <c r="A24" s="493">
        <f>Intro!C24</f>
        <v>2002</v>
      </c>
      <c r="C24" s="518">
        <f t="shared" si="19"/>
        <v>250000</v>
      </c>
      <c r="E24" s="504">
        <f>'e7'!G55</f>
        <v>2954508.65</v>
      </c>
      <c r="G24" s="502">
        <f ca="1">[1]!ldfsir(ldfs, ldf_ages, ldf_type, ldf_ret, Intro!$AA24, "Rept", $C24, cutoff, 3)</f>
        <v>1.0106853717104405</v>
      </c>
      <c r="I24" s="507">
        <f t="shared" ca="1" si="8"/>
        <v>2986078.6731469617</v>
      </c>
      <c r="K24" s="504">
        <f>Intro!K24</f>
        <v>86098.134999999995</v>
      </c>
      <c r="M24" s="510">
        <f t="shared" ca="1" si="9"/>
        <v>34.682268938194326</v>
      </c>
      <c r="O24" s="504">
        <f ca="1">'e3.2A'!I24</f>
        <v>2827034.3518026657</v>
      </c>
      <c r="P24" s="505">
        <f t="shared" ca="1" si="0"/>
        <v>0.94673806729389254</v>
      </c>
      <c r="Q24" s="658">
        <f t="shared" ca="1" si="20"/>
        <v>2986078.6731469617</v>
      </c>
      <c r="R24" s="504">
        <f>'e7'!$E55</f>
        <v>193375.66000000015</v>
      </c>
      <c r="S24" s="385">
        <v>3</v>
      </c>
      <c r="T24" s="504">
        <f t="shared" ca="1" si="10"/>
        <v>31570.023146961816</v>
      </c>
      <c r="U24" s="504">
        <f t="shared" ca="1" si="11"/>
        <v>10523.341048987271</v>
      </c>
      <c r="V24" s="504" t="b">
        <f t="shared" ca="1" si="12"/>
        <v>1</v>
      </c>
      <c r="X24" s="506">
        <v>2986078.6731469617</v>
      </c>
      <c r="Y24" s="506">
        <v>2954508.65</v>
      </c>
      <c r="Z24" s="504">
        <f t="shared" si="13"/>
        <v>0</v>
      </c>
      <c r="AA24" s="507">
        <f t="shared" si="14"/>
        <v>0</v>
      </c>
      <c r="AB24" s="504">
        <f t="shared" si="15"/>
        <v>0</v>
      </c>
      <c r="AC24" s="507">
        <f t="shared" ca="1" si="16"/>
        <v>0</v>
      </c>
      <c r="AD24" s="493" t="b">
        <f t="shared" ca="1" si="17"/>
        <v>1</v>
      </c>
      <c r="AF24" s="508"/>
      <c r="AG24" s="504"/>
      <c r="AI24" s="509">
        <f>1 / [1]!ldfsir(prldfs, prldf_ages, prldf_type, prldf_ret, Intro!$Y24, "Rept", $C24, prldf_cutoff, 3)</f>
        <v>0.98942759833126204</v>
      </c>
      <c r="AJ24" s="509">
        <f>1 / [1]!ldfsir(prldfs, prldf_ages, prldf_type, prldf_ret, Intro!$AA24, "Rept", $C24, prldf_cutoff, 3)</f>
        <v>0.98942759833126204</v>
      </c>
      <c r="AK24" s="509">
        <f t="shared" si="18"/>
        <v>0</v>
      </c>
    </row>
    <row r="25" spans="1:37" x14ac:dyDescent="0.2">
      <c r="A25" s="493">
        <f>Intro!C25</f>
        <v>2003</v>
      </c>
      <c r="C25" s="518">
        <f t="shared" si="19"/>
        <v>250000</v>
      </c>
      <c r="E25" s="504">
        <f>'e7'!G56</f>
        <v>1243025.0200000005</v>
      </c>
      <c r="G25" s="502">
        <f ca="1">[1]!ldfsir(ldfs, ldf_ages, ldf_type, ldf_ret, Intro!$AA25, "Rept", $C25, cutoff, 3)</f>
        <v>1.0086914060019649</v>
      </c>
      <c r="I25" s="507">
        <f t="shared" ca="1" si="8"/>
        <v>1253828.6551194212</v>
      </c>
      <c r="K25" s="504">
        <f>Intro!K25</f>
        <v>95877.160999999993</v>
      </c>
      <c r="M25" s="510">
        <f t="shared" ca="1" si="9"/>
        <v>13.077448706678135</v>
      </c>
      <c r="O25" s="504">
        <f ca="1">'e3.2A'!I25</f>
        <v>1266858.581296589</v>
      </c>
      <c r="P25" s="505">
        <f t="shared" ca="1" si="0"/>
        <v>1.0103921106954816</v>
      </c>
      <c r="Q25" s="657">
        <f>E25</f>
        <v>1243025.0200000005</v>
      </c>
      <c r="R25" s="504">
        <f>'e7'!$E56</f>
        <v>0</v>
      </c>
      <c r="S25" s="361">
        <v>0</v>
      </c>
      <c r="T25" s="504">
        <f t="shared" si="10"/>
        <v>0</v>
      </c>
      <c r="U25" s="504" t="str">
        <f t="shared" si="11"/>
        <v/>
      </c>
      <c r="V25" s="504" t="b">
        <f t="shared" si="12"/>
        <v>1</v>
      </c>
      <c r="X25" s="506">
        <v>1243025.0200000005</v>
      </c>
      <c r="Y25" s="506">
        <v>1243025.0200000005</v>
      </c>
      <c r="Z25" s="504">
        <f t="shared" si="13"/>
        <v>0</v>
      </c>
      <c r="AA25" s="507">
        <f t="shared" si="14"/>
        <v>0</v>
      </c>
      <c r="AB25" s="504">
        <f t="shared" si="15"/>
        <v>0</v>
      </c>
      <c r="AC25" s="507">
        <f t="shared" si="16"/>
        <v>0</v>
      </c>
      <c r="AD25" s="493" t="b">
        <f t="shared" si="17"/>
        <v>1</v>
      </c>
      <c r="AF25" s="511">
        <v>0</v>
      </c>
      <c r="AG25" s="504" t="b">
        <f t="shared" ref="AG25:AG41" si="21">AF25&gt;=T25</f>
        <v>1</v>
      </c>
      <c r="AI25" s="509">
        <f>1 / [1]!ldfsir(prldfs, prldf_ages, prldf_type, prldf_ret, Intro!$Y25, "Rept", $C25, prldf_cutoff, 3)</f>
        <v>0.99065516060169634</v>
      </c>
      <c r="AJ25" s="509">
        <f>1 / [1]!ldfsir(prldfs, prldf_ages, prldf_type, prldf_ret, Intro!$AA25, "Rept", $C25, prldf_cutoff, 3)</f>
        <v>0.99138348364004203</v>
      </c>
      <c r="AK25" s="509">
        <f t="shared" si="18"/>
        <v>7.7938529203391213E-2</v>
      </c>
    </row>
    <row r="26" spans="1:37" x14ac:dyDescent="0.2">
      <c r="A26" s="493">
        <f>Intro!C26</f>
        <v>2004</v>
      </c>
      <c r="C26" s="518">
        <f t="shared" si="19"/>
        <v>250000</v>
      </c>
      <c r="E26" s="504">
        <f>'e7'!G57</f>
        <v>1985205.2599999991</v>
      </c>
      <c r="G26" s="502">
        <f ca="1">[1]!ldfsir(ldfs, ldf_ages, ldf_type, ldf_ret, Intro!$AA26, "Rept", $C26, cutoff, 3)</f>
        <v>1.0102495975830834</v>
      </c>
      <c r="I26" s="507">
        <f t="shared" ca="1" si="8"/>
        <v>2005552.8150348195</v>
      </c>
      <c r="K26" s="504">
        <f>Intro!K26</f>
        <v>102137.68700000001</v>
      </c>
      <c r="M26" s="510">
        <f t="shared" ca="1" si="9"/>
        <v>19.635776704389432</v>
      </c>
      <c r="O26" s="504">
        <f ca="1">'e3.2A'!I26</f>
        <v>2016372.2471008042</v>
      </c>
      <c r="P26" s="505">
        <f t="shared" ca="1" si="0"/>
        <v>1.0053947380417387</v>
      </c>
      <c r="Q26" s="658">
        <f t="shared" ca="1" si="20"/>
        <v>2005552.8150348195</v>
      </c>
      <c r="R26" s="504">
        <f>'e7'!$E57</f>
        <v>13866.029999999795</v>
      </c>
      <c r="S26" s="361">
        <v>1</v>
      </c>
      <c r="T26" s="504">
        <f t="shared" ca="1" si="10"/>
        <v>20347.555034820456</v>
      </c>
      <c r="U26" s="504">
        <f t="shared" ca="1" si="11"/>
        <v>20347.555034820456</v>
      </c>
      <c r="V26" s="504" t="b">
        <f t="shared" ca="1" si="12"/>
        <v>1</v>
      </c>
      <c r="X26" s="506">
        <v>2008921.7166079301</v>
      </c>
      <c r="Y26" s="506">
        <v>1986789.3299999994</v>
      </c>
      <c r="Z26" s="504">
        <f t="shared" si="13"/>
        <v>-1584.070000000298</v>
      </c>
      <c r="AA26" s="507">
        <f t="shared" si="14"/>
        <v>1750.6520144112749</v>
      </c>
      <c r="AB26" s="504">
        <f t="shared" si="15"/>
        <v>-3334.7220144115727</v>
      </c>
      <c r="AC26" s="507">
        <f t="shared" ca="1" si="16"/>
        <v>-3368.9015731106047</v>
      </c>
      <c r="AD26" s="493" t="b">
        <f t="shared" ca="1" si="17"/>
        <v>1</v>
      </c>
      <c r="AF26" s="511">
        <v>36208.540000000008</v>
      </c>
      <c r="AG26" s="504" t="b">
        <f t="shared" ca="1" si="21"/>
        <v>1</v>
      </c>
      <c r="AI26" s="509">
        <f>1 / [1]!ldfsir(prldfs, prldf_ages, prldf_type, prldf_ret, Intro!$Y26, "Rept", $C26, prldf_cutoff, 3)</f>
        <v>0.98898295218526411</v>
      </c>
      <c r="AJ26" s="509">
        <f>1 / [1]!ldfsir(prldfs, prldf_ages, prldf_type, prldf_ret, Intro!$AA26, "Rept", $C26, prldf_cutoff, 3)</f>
        <v>0.98985439082816318</v>
      </c>
      <c r="AK26" s="509">
        <f t="shared" si="18"/>
        <v>7.9099106907158337E-2</v>
      </c>
    </row>
    <row r="27" spans="1:37" x14ac:dyDescent="0.2">
      <c r="A27" s="493">
        <f>Intro!C27</f>
        <v>2005</v>
      </c>
      <c r="C27" s="518">
        <f t="shared" si="19"/>
        <v>250000</v>
      </c>
      <c r="E27" s="504">
        <f>'e7'!G58</f>
        <v>699839.89000000025</v>
      </c>
      <c r="G27" s="502">
        <f ca="1">[1]!ldfsir(ldfs, ldf_ages, ldf_type, ldf_ret, Intro!$AA27, "Rept", $C27, cutoff, 3)</f>
        <v>1.0120891037816013</v>
      </c>
      <c r="I27" s="507">
        <f t="shared" ca="1" si="8"/>
        <v>708300.32706071471</v>
      </c>
      <c r="K27" s="504">
        <f>Intro!K27</f>
        <v>111292.39200000001</v>
      </c>
      <c r="M27" s="510">
        <f t="shared" ca="1" si="9"/>
        <v>6.3643193782798262</v>
      </c>
      <c r="O27" s="504">
        <f ca="1">'e3.2A'!I27</f>
        <v>719039.36659589503</v>
      </c>
      <c r="P27" s="505">
        <f t="shared" ca="1" si="0"/>
        <v>1.0151617034821159</v>
      </c>
      <c r="Q27" s="657">
        <f>E27</f>
        <v>699839.89000000025</v>
      </c>
      <c r="R27" s="504">
        <f>'e7'!$E58</f>
        <v>0</v>
      </c>
      <c r="S27" s="361">
        <v>0</v>
      </c>
      <c r="T27" s="504">
        <f t="shared" si="10"/>
        <v>0</v>
      </c>
      <c r="U27" s="504" t="str">
        <f t="shared" si="11"/>
        <v/>
      </c>
      <c r="V27" s="504" t="b">
        <f t="shared" si="12"/>
        <v>1</v>
      </c>
      <c r="X27" s="506">
        <v>699839.89000000025</v>
      </c>
      <c r="Y27" s="506">
        <v>699839.89000000025</v>
      </c>
      <c r="Z27" s="504">
        <f t="shared" si="13"/>
        <v>0</v>
      </c>
      <c r="AA27" s="507">
        <f t="shared" si="14"/>
        <v>0</v>
      </c>
      <c r="AB27" s="504">
        <f t="shared" si="15"/>
        <v>0</v>
      </c>
      <c r="AC27" s="507">
        <f t="shared" si="16"/>
        <v>0</v>
      </c>
      <c r="AD27" s="493" t="b">
        <f t="shared" si="17"/>
        <v>1</v>
      </c>
      <c r="AF27" s="511">
        <v>0</v>
      </c>
      <c r="AG27" s="504" t="b">
        <f t="shared" si="21"/>
        <v>1</v>
      </c>
      <c r="AI27" s="509">
        <f>1 / [1]!ldfsir(prldfs, prldf_ages, prldf_type, prldf_ret, Intro!$Y27, "Rept", $C27, prldf_cutoff, 3)</f>
        <v>0.98705398076933892</v>
      </c>
      <c r="AJ27" s="509">
        <f>1 / [1]!ldfsir(prldfs, prldf_ages, prldf_type, prldf_ret, Intro!$AA27, "Rept", $C27, prldf_cutoff, 3)</f>
        <v>0.98805529697293348</v>
      </c>
      <c r="AK27" s="509">
        <f t="shared" si="18"/>
        <v>7.7345490204669548E-2</v>
      </c>
    </row>
    <row r="28" spans="1:37" x14ac:dyDescent="0.2">
      <c r="A28" s="493">
        <f>Intro!C28</f>
        <v>2006</v>
      </c>
      <c r="C28" s="518">
        <f t="shared" si="19"/>
        <v>250000</v>
      </c>
      <c r="E28" s="504">
        <f>'e7'!G59</f>
        <v>1775477.7400000007</v>
      </c>
      <c r="G28" s="502">
        <f ca="1">[1]!ldfsir(ldfs, ldf_ages, ldf_type, ldf_ret, Intro!$AA28, "Rept", $C28, cutoff, 3)</f>
        <v>1.0142108086540567</v>
      </c>
      <c r="I28" s="507">
        <f t="shared" ca="1" si="8"/>
        <v>1800708.7144326777</v>
      </c>
      <c r="K28" s="504">
        <f>Intro!K28</f>
        <v>107756.82399999999</v>
      </c>
      <c r="M28" s="510">
        <f t="shared" ca="1" si="9"/>
        <v>16.710855494707953</v>
      </c>
      <c r="O28" s="504">
        <f ca="1">'e3.2A'!I28</f>
        <v>1834383.7028736917</v>
      </c>
      <c r="P28" s="505">
        <f t="shared" ca="1" si="0"/>
        <v>1.0187009637767113</v>
      </c>
      <c r="Q28" s="657">
        <f t="shared" ref="Q28:Q30" si="22">E28</f>
        <v>1775477.7400000007</v>
      </c>
      <c r="R28" s="504">
        <f>'e7'!$E59</f>
        <v>0</v>
      </c>
      <c r="S28" s="361">
        <v>0</v>
      </c>
      <c r="T28" s="504">
        <f t="shared" si="10"/>
        <v>0</v>
      </c>
      <c r="U28" s="504" t="str">
        <f t="shared" si="11"/>
        <v/>
      </c>
      <c r="V28" s="504" t="b">
        <f t="shared" si="12"/>
        <v>1</v>
      </c>
      <c r="X28" s="506">
        <v>1775477.7400000007</v>
      </c>
      <c r="Y28" s="506">
        <v>1775477.7400000007</v>
      </c>
      <c r="Z28" s="504">
        <f t="shared" si="13"/>
        <v>0</v>
      </c>
      <c r="AA28" s="507">
        <f t="shared" si="14"/>
        <v>0</v>
      </c>
      <c r="AB28" s="504">
        <f t="shared" si="15"/>
        <v>0</v>
      </c>
      <c r="AC28" s="507">
        <f t="shared" si="16"/>
        <v>0</v>
      </c>
      <c r="AD28" s="493" t="b">
        <f t="shared" si="17"/>
        <v>1</v>
      </c>
      <c r="AF28" s="511">
        <v>0</v>
      </c>
      <c r="AG28" s="504" t="b">
        <f t="shared" si="21"/>
        <v>1</v>
      </c>
      <c r="AI28" s="509">
        <f>1 / [1]!ldfsir(prldfs, prldf_ages, prldf_type, prldf_ret, Intro!$Y28, "Rept", $C28, prldf_cutoff, 3)</f>
        <v>0.98483969412763672</v>
      </c>
      <c r="AJ28" s="509">
        <f>1 / [1]!ldfsir(prldfs, prldf_ages, prldf_type, prldf_ret, Intro!$AA28, "Rept", $C28, prldf_cutoff, 3)</f>
        <v>0.98598830880838706</v>
      </c>
      <c r="AK28" s="509">
        <f t="shared" si="18"/>
        <v>7.5764611243380173E-2</v>
      </c>
    </row>
    <row r="29" spans="1:37" x14ac:dyDescent="0.2">
      <c r="A29" s="493">
        <f>Intro!C29</f>
        <v>2007</v>
      </c>
      <c r="C29" s="518">
        <f t="shared" si="19"/>
        <v>250000</v>
      </c>
      <c r="E29" s="504">
        <f>'e7'!G60</f>
        <v>1099670.4199999997</v>
      </c>
      <c r="G29" s="502">
        <f ca="1">[1]!ldfsir(ldfs, ldf_ages, ldf_type, ldf_ret, Intro!$AA29, "Rept", $C29, cutoff, 3)</f>
        <v>1.0166610063334716</v>
      </c>
      <c r="I29" s="507">
        <f t="shared" ca="1" si="8"/>
        <v>1117992.0358323511</v>
      </c>
      <c r="K29" s="504">
        <f>Intro!K29</f>
        <v>104584.102</v>
      </c>
      <c r="M29" s="510">
        <f t="shared" ca="1" si="9"/>
        <v>10.689885120707459</v>
      </c>
      <c r="O29" s="504">
        <f ca="1">'e3.2A'!I29</f>
        <v>1143364.2292368354</v>
      </c>
      <c r="P29" s="505">
        <f t="shared" ca="1" si="0"/>
        <v>1.0226944312582644</v>
      </c>
      <c r="Q29" s="657">
        <f t="shared" si="22"/>
        <v>1099670.4199999997</v>
      </c>
      <c r="R29" s="504">
        <f>'e7'!$E60</f>
        <v>0</v>
      </c>
      <c r="S29" s="361">
        <v>0</v>
      </c>
      <c r="T29" s="504">
        <f t="shared" si="10"/>
        <v>0</v>
      </c>
      <c r="U29" s="504" t="str">
        <f t="shared" si="11"/>
        <v/>
      </c>
      <c r="V29" s="504" t="b">
        <f t="shared" si="12"/>
        <v>1</v>
      </c>
      <c r="X29" s="506">
        <v>1099670.4199999997</v>
      </c>
      <c r="Y29" s="506">
        <v>1099670.4199999997</v>
      </c>
      <c r="Z29" s="504">
        <f t="shared" si="13"/>
        <v>0</v>
      </c>
      <c r="AA29" s="507">
        <f t="shared" si="14"/>
        <v>0</v>
      </c>
      <c r="AB29" s="504">
        <f t="shared" si="15"/>
        <v>0</v>
      </c>
      <c r="AC29" s="507">
        <f t="shared" si="16"/>
        <v>0</v>
      </c>
      <c r="AD29" s="493" t="b">
        <f t="shared" si="17"/>
        <v>1</v>
      </c>
      <c r="AF29" s="511">
        <v>0</v>
      </c>
      <c r="AG29" s="504" t="b">
        <f t="shared" si="21"/>
        <v>1</v>
      </c>
      <c r="AI29" s="509">
        <f>1 / [1]!ldfsir(prldfs, prldf_ages, prldf_type, prldf_ret, Intro!$Y29, "Rept", $C29, prldf_cutoff, 3)</f>
        <v>0.98228894963345981</v>
      </c>
      <c r="AJ29" s="509">
        <f>1 / [1]!ldfsir(prldfs, prldf_ages, prldf_type, prldf_ret, Intro!$AA29, "Rept", $C29, prldf_cutoff, 3)</f>
        <v>0.98361203367722494</v>
      </c>
      <c r="AK29" s="509">
        <f t="shared" si="18"/>
        <v>7.4703872237002367E-2</v>
      </c>
    </row>
    <row r="30" spans="1:37" x14ac:dyDescent="0.2">
      <c r="A30" s="493">
        <f>Intro!C30</f>
        <v>2008</v>
      </c>
      <c r="C30" s="518">
        <f t="shared" si="19"/>
        <v>250000</v>
      </c>
      <c r="E30" s="504">
        <f>'e7'!G61</f>
        <v>766269.99000000011</v>
      </c>
      <c r="G30" s="502">
        <f ca="1">[1]!ldfsir(ldfs, ldf_ages, ldf_type, ldf_ret, Intro!$AA30, "Rept", $C30, cutoff, 3)</f>
        <v>1.0195117919293868</v>
      </c>
      <c r="I30" s="507">
        <f t="shared" ca="1" si="8"/>
        <v>781221.29060661339</v>
      </c>
      <c r="K30" s="504">
        <f>Intro!K30</f>
        <v>106050.29700000001</v>
      </c>
      <c r="M30" s="510">
        <f t="shared" ca="1" si="9"/>
        <v>7.366516763329888</v>
      </c>
      <c r="O30" s="504">
        <f ca="1">'e3.2A'!I30</f>
        <v>802420.79842890403</v>
      </c>
      <c r="P30" s="505">
        <f t="shared" ca="1" si="0"/>
        <v>1.0271363672203933</v>
      </c>
      <c r="Q30" s="657">
        <f t="shared" si="22"/>
        <v>766269.99000000011</v>
      </c>
      <c r="R30" s="504">
        <f>'e7'!$E61</f>
        <v>0</v>
      </c>
      <c r="S30" s="361">
        <v>0</v>
      </c>
      <c r="T30" s="504">
        <f t="shared" si="10"/>
        <v>0</v>
      </c>
      <c r="U30" s="504" t="str">
        <f t="shared" si="11"/>
        <v/>
      </c>
      <c r="V30" s="504" t="b">
        <f t="shared" si="12"/>
        <v>1</v>
      </c>
      <c r="X30" s="506">
        <v>766269.99000000011</v>
      </c>
      <c r="Y30" s="506">
        <v>766269.99000000011</v>
      </c>
      <c r="Z30" s="504">
        <f t="shared" si="13"/>
        <v>0</v>
      </c>
      <c r="AA30" s="507">
        <f t="shared" si="14"/>
        <v>0</v>
      </c>
      <c r="AB30" s="504">
        <f t="shared" si="15"/>
        <v>0</v>
      </c>
      <c r="AC30" s="507">
        <f t="shared" si="16"/>
        <v>0</v>
      </c>
      <c r="AD30" s="493" t="b">
        <f t="shared" si="17"/>
        <v>1</v>
      </c>
      <c r="AF30" s="511">
        <v>0</v>
      </c>
      <c r="AG30" s="504" t="b">
        <f t="shared" si="21"/>
        <v>1</v>
      </c>
      <c r="AI30" s="509">
        <f>1 / [1]!ldfsir(prldfs, prldf_ages, prldf_type, prldf_ret, Intro!$Y30, "Rept", $C30, prldf_cutoff, 3)</f>
        <v>0.97932083662719016</v>
      </c>
      <c r="AJ30" s="509">
        <f>1 / [1]!ldfsir(prldfs, prldf_ages, prldf_type, prldf_ret, Intro!$AA30, "Rept", $C30, prldf_cutoff, 3)</f>
        <v>0.98086163192633458</v>
      </c>
      <c r="AK30" s="509">
        <f t="shared" si="18"/>
        <v>7.4509556860039225E-2</v>
      </c>
    </row>
    <row r="31" spans="1:37" x14ac:dyDescent="0.2">
      <c r="A31" s="493">
        <f>Intro!C31</f>
        <v>2009</v>
      </c>
      <c r="C31" s="518">
        <f t="shared" si="19"/>
        <v>250000</v>
      </c>
      <c r="E31" s="504">
        <f>'e7'!G62</f>
        <v>1590221.4700000002</v>
      </c>
      <c r="G31" s="502">
        <f ca="1">[1]!ldfsir(ldfs, ldf_ages, ldf_type, ldf_ret, Intro!$AA31, "Rept", $C31, cutoff, 3)</f>
        <v>1.0228535537342478</v>
      </c>
      <c r="I31" s="507">
        <f t="shared" ca="1" si="8"/>
        <v>1626563.6818139998</v>
      </c>
      <c r="K31" s="504">
        <f>Intro!K31</f>
        <v>110722.705</v>
      </c>
      <c r="M31" s="510">
        <f t="shared" ca="1" si="9"/>
        <v>14.690425796714411</v>
      </c>
      <c r="O31" s="504">
        <f ca="1">'e3.2A'!I31</f>
        <v>1599005.7117604401</v>
      </c>
      <c r="P31" s="505">
        <f t="shared" ca="1" si="0"/>
        <v>0.9830575523346089</v>
      </c>
      <c r="Q31" s="659">
        <f>E31</f>
        <v>1590221.4700000002</v>
      </c>
      <c r="R31" s="504">
        <f>'e7'!$E62</f>
        <v>75839.800000000047</v>
      </c>
      <c r="S31" s="361">
        <v>0</v>
      </c>
      <c r="T31" s="504">
        <f t="shared" si="10"/>
        <v>0</v>
      </c>
      <c r="U31" s="504" t="str">
        <f t="shared" si="11"/>
        <v/>
      </c>
      <c r="V31" s="504" t="b">
        <f t="shared" si="12"/>
        <v>1</v>
      </c>
      <c r="X31" s="506">
        <v>1590221.4700000002</v>
      </c>
      <c r="Y31" s="506">
        <v>1590221.4700000002</v>
      </c>
      <c r="Z31" s="504">
        <f t="shared" si="13"/>
        <v>0</v>
      </c>
      <c r="AA31" s="507">
        <f t="shared" si="14"/>
        <v>0</v>
      </c>
      <c r="AB31" s="504">
        <f t="shared" si="15"/>
        <v>0</v>
      </c>
      <c r="AC31" s="507">
        <f t="shared" si="16"/>
        <v>0</v>
      </c>
      <c r="AD31" s="493" t="b">
        <f t="shared" si="17"/>
        <v>1</v>
      </c>
      <c r="AF31" s="511">
        <v>0</v>
      </c>
      <c r="AG31" s="504" t="b">
        <f t="shared" si="21"/>
        <v>1</v>
      </c>
      <c r="AI31" s="509">
        <f>1 / [1]!ldfsir(prldfs, prldf_ages, prldf_type, prldf_ret, Intro!$Y31, "Rept", $C31, prldf_cutoff, 3)</f>
        <v>0.97586100681572496</v>
      </c>
      <c r="AJ31" s="509">
        <f>1 / [1]!ldfsir(prldfs, prldf_ages, prldf_type, prldf_ret, Intro!$AA31, "Rept", $C31, prldf_cutoff, 3)</f>
        <v>0.97765706180438661</v>
      </c>
      <c r="AK31" s="509">
        <f t="shared" si="18"/>
        <v>7.4404718330657441E-2</v>
      </c>
    </row>
    <row r="32" spans="1:37" x14ac:dyDescent="0.2">
      <c r="A32" s="493">
        <f>Intro!C32</f>
        <v>2010</v>
      </c>
      <c r="C32" s="518">
        <f t="shared" si="19"/>
        <v>250000</v>
      </c>
      <c r="E32" s="504">
        <f>'e7'!G63</f>
        <v>1200315.5200000003</v>
      </c>
      <c r="G32" s="502">
        <f ca="1">[1]!ldfsir(ldfs, ldf_ages, ldf_type, ldf_ret, Intro!$AA32, "Rept", $C32, cutoff, 3)</f>
        <v>1.0267846356758481</v>
      </c>
      <c r="I32" s="507">
        <f t="shared" ca="1" si="8"/>
        <v>1232465.5338992665</v>
      </c>
      <c r="K32" s="504">
        <f>Intro!K32</f>
        <v>128222.10400000001</v>
      </c>
      <c r="M32" s="510">
        <f t="shared" ca="1" si="9"/>
        <v>9.6119584334637533</v>
      </c>
      <c r="O32" s="504">
        <f ca="1">'e3.2A'!I32</f>
        <v>1261594.7786869977</v>
      </c>
      <c r="P32" s="505">
        <f t="shared" ca="1" si="0"/>
        <v>1.0236349366262376</v>
      </c>
      <c r="Q32" s="658">
        <f t="shared" ref="Q32" ca="1" si="23">I32</f>
        <v>1232465.5338992665</v>
      </c>
      <c r="R32" s="504">
        <f>'e7'!$E63</f>
        <v>17136.330000000075</v>
      </c>
      <c r="S32" s="361">
        <v>1</v>
      </c>
      <c r="T32" s="504">
        <f t="shared" ca="1" si="10"/>
        <v>32150.013899266254</v>
      </c>
      <c r="U32" s="504">
        <f t="shared" ca="1" si="11"/>
        <v>32150.013899266254</v>
      </c>
      <c r="V32" s="504" t="b">
        <f t="shared" ca="1" si="12"/>
        <v>1</v>
      </c>
      <c r="X32" s="506">
        <v>1222085.4335254533</v>
      </c>
      <c r="Y32" s="506">
        <v>1187635.5200000003</v>
      </c>
      <c r="Z32" s="504">
        <f t="shared" si="13"/>
        <v>12680</v>
      </c>
      <c r="AA32" s="507">
        <f t="shared" si="14"/>
        <v>2570.6742337641945</v>
      </c>
      <c r="AB32" s="504">
        <f t="shared" si="15"/>
        <v>10109.325766235805</v>
      </c>
      <c r="AC32" s="507">
        <f t="shared" ca="1" si="16"/>
        <v>10380.100373813184</v>
      </c>
      <c r="AD32" s="493" t="b">
        <f t="shared" ca="1" si="17"/>
        <v>1</v>
      </c>
      <c r="AF32" s="511">
        <v>56099.520000000019</v>
      </c>
      <c r="AG32" s="504" t="b">
        <f t="shared" ca="1" si="21"/>
        <v>1</v>
      </c>
      <c r="AI32" s="509">
        <f>1 / [1]!ldfsir(prldfs, prldf_ages, prldf_type, prldf_ret, Intro!$Y32, "Rept", $C32, prldf_cutoff, 3)</f>
        <v>0.97181055220822621</v>
      </c>
      <c r="AJ32" s="509">
        <f>1 / [1]!ldfsir(prldfs, prldf_ages, prldf_type, prldf_ret, Intro!$AA32, "Rept", $C32, prldf_cutoff, 3)</f>
        <v>0.97391406654793022</v>
      </c>
      <c r="AK32" s="509">
        <f t="shared" si="18"/>
        <v>7.4620629507962929E-2</v>
      </c>
    </row>
    <row r="33" spans="1:39" x14ac:dyDescent="0.2">
      <c r="A33" s="493">
        <f>Intro!C33</f>
        <v>2011</v>
      </c>
      <c r="C33" s="518">
        <f t="shared" si="19"/>
        <v>250000</v>
      </c>
      <c r="E33" s="504">
        <f>'e7'!G64</f>
        <v>1212882.8100000003</v>
      </c>
      <c r="G33" s="502">
        <f ca="1">[1]!ldfsir(ldfs, ldf_ages, ldf_type, ldf_ret, Intro!$AA33, "Rept", $C33, cutoff, 3)</f>
        <v>1.0318747146730831</v>
      </c>
      <c r="I33" s="507">
        <f t="shared" ca="1" si="8"/>
        <v>1251543.1035006377</v>
      </c>
      <c r="K33" s="504">
        <f>Intro!K33</f>
        <v>143214.37400000001</v>
      </c>
      <c r="M33" s="510">
        <f t="shared" ca="1" si="9"/>
        <v>8.738948951455372</v>
      </c>
      <c r="O33" s="504">
        <f ca="1">'e3.2A'!I33</f>
        <v>1308608.5796470868</v>
      </c>
      <c r="P33" s="505">
        <f t="shared" ca="1" si="0"/>
        <v>1.0455960933241801</v>
      </c>
      <c r="Q33" s="657">
        <f t="shared" ref="Q33:Q34" si="24">E33</f>
        <v>1212882.8100000003</v>
      </c>
      <c r="R33" s="504">
        <f>'e7'!$E64</f>
        <v>0</v>
      </c>
      <c r="S33" s="361">
        <v>0</v>
      </c>
      <c r="T33" s="504">
        <f t="shared" si="10"/>
        <v>0</v>
      </c>
      <c r="U33" s="504" t="str">
        <f t="shared" si="11"/>
        <v/>
      </c>
      <c r="V33" s="504" t="b">
        <f t="shared" si="12"/>
        <v>1</v>
      </c>
      <c r="X33" s="506">
        <v>1212815.81</v>
      </c>
      <c r="Y33" s="506">
        <v>1212815.81</v>
      </c>
      <c r="Z33" s="504">
        <f t="shared" si="13"/>
        <v>67.000000000232831</v>
      </c>
      <c r="AA33" s="507">
        <f t="shared" si="14"/>
        <v>0</v>
      </c>
      <c r="AB33" s="504">
        <f t="shared" si="15"/>
        <v>67.000000000232831</v>
      </c>
      <c r="AC33" s="507">
        <f t="shared" si="16"/>
        <v>67.000000000232831</v>
      </c>
      <c r="AD33" s="493" t="b">
        <f t="shared" si="17"/>
        <v>1</v>
      </c>
      <c r="AF33" s="511">
        <v>0</v>
      </c>
      <c r="AG33" s="504" t="b">
        <f t="shared" si="21"/>
        <v>1</v>
      </c>
      <c r="AI33" s="509">
        <f>1 / [1]!ldfsir(prldfs, prldf_ages, prldf_type, prldf_ret, Intro!$Y33, "Rept", $C33, prldf_cutoff, 3)</f>
        <v>0.96606014383735472</v>
      </c>
      <c r="AJ33" s="509">
        <f>1 / [1]!ldfsir(prldfs, prldf_ages, prldf_type, prldf_ret, Intro!$AA33, "Rept", $C33, prldf_cutoff, 3)</f>
        <v>0.96910989849850016</v>
      </c>
      <c r="AK33" s="509">
        <f t="shared" si="18"/>
        <v>8.9857618916547977E-2</v>
      </c>
    </row>
    <row r="34" spans="1:39" x14ac:dyDescent="0.2">
      <c r="A34" s="493">
        <f>Intro!C34</f>
        <v>2012</v>
      </c>
      <c r="C34" s="518">
        <f t="shared" si="19"/>
        <v>250000</v>
      </c>
      <c r="E34" s="504">
        <f>'e7'!G65</f>
        <v>1828733.7599999993</v>
      </c>
      <c r="G34" s="502">
        <f ca="1">[1]!ldfsir(ldfs, ldf_ages, ldf_type, ldf_ret, Intro!$AA34, "Rept", $C34, cutoff, 3)</f>
        <v>1.0387408217631124</v>
      </c>
      <c r="I34" s="507">
        <f t="shared" ca="1" si="8"/>
        <v>1899580.4086483456</v>
      </c>
      <c r="K34" s="504">
        <f>Intro!K34</f>
        <v>145569.85699999999</v>
      </c>
      <c r="M34" s="510">
        <f t="shared" ca="1" si="9"/>
        <v>13.049270280236284</v>
      </c>
      <c r="O34" s="504">
        <f ca="1">'e3.2A'!I34</f>
        <v>2002691.4045532309</v>
      </c>
      <c r="P34" s="505">
        <f t="shared" ca="1" si="0"/>
        <v>1.0542809324814286</v>
      </c>
      <c r="Q34" s="657">
        <f t="shared" si="24"/>
        <v>1828733.7599999993</v>
      </c>
      <c r="R34" s="504">
        <f>'e7'!$E65</f>
        <v>0</v>
      </c>
      <c r="S34" s="361">
        <v>0</v>
      </c>
      <c r="T34" s="504">
        <f t="shared" si="10"/>
        <v>0</v>
      </c>
      <c r="U34" s="504" t="str">
        <f t="shared" si="11"/>
        <v/>
      </c>
      <c r="V34" s="504" t="b">
        <f t="shared" si="12"/>
        <v>1</v>
      </c>
      <c r="X34" s="506">
        <v>1828669.29</v>
      </c>
      <c r="Y34" s="506">
        <v>1828669.29</v>
      </c>
      <c r="Z34" s="504">
        <f t="shared" si="13"/>
        <v>64.469999999273568</v>
      </c>
      <c r="AA34" s="507">
        <f t="shared" si="14"/>
        <v>0</v>
      </c>
      <c r="AB34" s="504">
        <f t="shared" si="15"/>
        <v>64.469999999273568</v>
      </c>
      <c r="AC34" s="507">
        <f t="shared" si="16"/>
        <v>64.469999999273568</v>
      </c>
      <c r="AD34" s="493" t="b">
        <f t="shared" si="17"/>
        <v>1</v>
      </c>
      <c r="AF34" s="511">
        <v>0</v>
      </c>
      <c r="AG34" s="504" t="b">
        <f t="shared" si="21"/>
        <v>1</v>
      </c>
      <c r="AI34" s="509">
        <f>1 / [1]!ldfsir(prldfs, prldf_ages, prldf_type, prldf_ret, Intro!$Y34, "Rept", $C34, prldf_cutoff, 3)</f>
        <v>0.95902076918138712</v>
      </c>
      <c r="AJ34" s="509">
        <f>1 / [1]!ldfsir(prldfs, prldf_ages, prldf_type, prldf_ret, Intro!$AA34, "Rept", $C34, prldf_cutoff, 3)</f>
        <v>0.96270405383957547</v>
      </c>
      <c r="AK34" s="509">
        <f t="shared" si="18"/>
        <v>8.9881742155965214E-2</v>
      </c>
    </row>
    <row r="35" spans="1:39" x14ac:dyDescent="0.2">
      <c r="A35" s="493">
        <f>Intro!C35</f>
        <v>2013</v>
      </c>
      <c r="C35" s="518">
        <f t="shared" si="19"/>
        <v>250000</v>
      </c>
      <c r="E35" s="504">
        <f>'e7'!G66</f>
        <v>1856047.24</v>
      </c>
      <c r="G35" s="502">
        <f ca="1">[1]!ldfsir(ldfs, ldf_ages, ldf_type, ldf_ret, Intro!$AA35, "Rept", $C35, cutoff, 3)</f>
        <v>1.0472905621991944</v>
      </c>
      <c r="I35" s="507">
        <f t="shared" ca="1" si="8"/>
        <v>1943820.757447863</v>
      </c>
      <c r="K35" s="504">
        <f>Intro!K35</f>
        <v>157968.50285000002</v>
      </c>
      <c r="M35" s="510">
        <f t="shared" ca="1" si="9"/>
        <v>12.305116035021426</v>
      </c>
      <c r="O35" s="504">
        <f ca="1">'e3.2A'!I35</f>
        <v>2025448.7140006337</v>
      </c>
      <c r="P35" s="505">
        <f t="shared" ca="1" si="0"/>
        <v>1.0419935615153859</v>
      </c>
      <c r="Q35" s="658">
        <f t="shared" ref="Q35" ca="1" si="25">I35</f>
        <v>1943820.757447863</v>
      </c>
      <c r="R35" s="504">
        <f>'e7'!$E66</f>
        <v>44680.64000000013</v>
      </c>
      <c r="S35" s="361">
        <v>2</v>
      </c>
      <c r="T35" s="504">
        <f t="shared" ca="1" si="10"/>
        <v>87773.517447863007</v>
      </c>
      <c r="U35" s="504">
        <f t="shared" ca="1" si="11"/>
        <v>43886.758723931503</v>
      </c>
      <c r="V35" s="504" t="b">
        <f t="shared" ca="1" si="12"/>
        <v>1</v>
      </c>
      <c r="X35" s="506">
        <v>1944103.4893013441</v>
      </c>
      <c r="Y35" s="506">
        <v>1847334.3199999994</v>
      </c>
      <c r="Z35" s="504">
        <f t="shared" si="13"/>
        <v>8712.920000000624</v>
      </c>
      <c r="AA35" s="507">
        <f t="shared" si="14"/>
        <v>8982.8850542902928</v>
      </c>
      <c r="AB35" s="504">
        <f t="shared" si="15"/>
        <v>-269.96505428966884</v>
      </c>
      <c r="AC35" s="507">
        <f t="shared" ca="1" si="16"/>
        <v>-282.7318534811493</v>
      </c>
      <c r="AD35" s="493" t="b">
        <f t="shared" ca="1" si="17"/>
        <v>1</v>
      </c>
      <c r="AF35" s="511">
        <v>334108</v>
      </c>
      <c r="AG35" s="504" t="b">
        <f t="shared" ca="1" si="21"/>
        <v>1</v>
      </c>
      <c r="AI35" s="509">
        <f>1 / [1]!ldfsir(prldfs, prldf_ages, prldf_type, prldf_ret, Intro!$Y35, "Rept", $C35, prldf_cutoff, 3)</f>
        <v>0.95022427055253067</v>
      </c>
      <c r="AJ35" s="509">
        <f>1 / [1]!ldfsir(prldfs, prldf_ages, prldf_type, prldf_ret, Intro!$AA35, "Rept", $C35, prldf_cutoff, 3)</f>
        <v>0.95484485022008658</v>
      </c>
      <c r="AK35" s="509">
        <f t="shared" si="18"/>
        <v>9.282796493082493E-2</v>
      </c>
    </row>
    <row r="36" spans="1:39" x14ac:dyDescent="0.2">
      <c r="A36" s="493">
        <f>Intro!C36</f>
        <v>2014</v>
      </c>
      <c r="C36" s="518">
        <f t="shared" si="19"/>
        <v>250000</v>
      </c>
      <c r="E36" s="504">
        <f>'e7'!G67</f>
        <v>2173195.9299999997</v>
      </c>
      <c r="G36" s="502">
        <f ca="1">[1]!ldfsir(ldfs, ldf_ages, ldf_type, ldf_ret, Intro!$AA36, "Rept", $C36, cutoff, 3)</f>
        <v>1.0583444233328505</v>
      </c>
      <c r="I36" s="507">
        <f t="shared" ca="1" si="8"/>
        <v>2299989.7933251476</v>
      </c>
      <c r="K36" s="504">
        <f>Intro!K36</f>
        <v>182546.24444841431</v>
      </c>
      <c r="M36" s="510">
        <f t="shared" ca="1" si="9"/>
        <v>12.599491160581509</v>
      </c>
      <c r="O36" s="504">
        <f ca="1">'e3.2A'!I36</f>
        <v>2503608.9064274114</v>
      </c>
      <c r="P36" s="505">
        <f t="shared" ca="1" si="0"/>
        <v>1.088530442045087</v>
      </c>
      <c r="Q36" s="657">
        <f>E36</f>
        <v>2173195.9299999997</v>
      </c>
      <c r="R36" s="504">
        <f>'e7'!$E67</f>
        <v>0</v>
      </c>
      <c r="S36" s="361">
        <v>0</v>
      </c>
      <c r="T36" s="504">
        <f t="shared" si="10"/>
        <v>0</v>
      </c>
      <c r="U36" s="504" t="str">
        <f t="shared" si="11"/>
        <v/>
      </c>
      <c r="V36" s="504" t="b">
        <f t="shared" si="12"/>
        <v>1</v>
      </c>
      <c r="X36" s="506">
        <v>2173022.2300000004</v>
      </c>
      <c r="Y36" s="506">
        <v>2173022.2300000004</v>
      </c>
      <c r="Z36" s="504">
        <f t="shared" si="13"/>
        <v>173.69999999925494</v>
      </c>
      <c r="AA36" s="507">
        <f t="shared" si="14"/>
        <v>0</v>
      </c>
      <c r="AB36" s="504">
        <f t="shared" si="15"/>
        <v>173.69999999925494</v>
      </c>
      <c r="AC36" s="507">
        <f t="shared" si="16"/>
        <v>173.69999999925494</v>
      </c>
      <c r="AD36" s="493" t="b">
        <f t="shared" si="17"/>
        <v>1</v>
      </c>
      <c r="AF36" s="511">
        <v>0</v>
      </c>
      <c r="AG36" s="504" t="b">
        <f t="shared" si="21"/>
        <v>1</v>
      </c>
      <c r="AI36" s="509">
        <f>1 / [1]!ldfsir(prldfs, prldf_ages, prldf_type, prldf_ret, Intro!$Y36, "Rept", $C36, prldf_cutoff, 3)</f>
        <v>0.93890254779443338</v>
      </c>
      <c r="AJ36" s="509">
        <f>1 / [1]!ldfsir(prldfs, prldf_ages, prldf_type, prldf_ret, Intro!$AA36, "Rept", $C36, prldf_cutoff, 3)</f>
        <v>0.94487198869615896</v>
      </c>
      <c r="AK36" s="509">
        <f t="shared" si="18"/>
        <v>9.7703597879024121E-2</v>
      </c>
    </row>
    <row r="37" spans="1:39" x14ac:dyDescent="0.2">
      <c r="A37" s="493">
        <f>Intro!C37</f>
        <v>2015</v>
      </c>
      <c r="C37" s="518">
        <f t="shared" si="19"/>
        <v>250000</v>
      </c>
      <c r="E37" s="504">
        <f>'e7'!G68</f>
        <v>3055006.9300000016</v>
      </c>
      <c r="G37" s="502">
        <f ca="1">[1]!ldfsir(ldfs, ldf_ages, ldf_type, ldf_ret, Intro!$AA37, "Rept", $C37, cutoff, 3)</f>
        <v>1.076256935322756</v>
      </c>
      <c r="I37" s="507">
        <f t="shared" ca="1" si="8"/>
        <v>3287972.3958715829</v>
      </c>
      <c r="K37" s="504">
        <f>Intro!K37</f>
        <v>196912.10476000005</v>
      </c>
      <c r="M37" s="510">
        <f t="shared" ca="1" si="9"/>
        <v>16.697665183554978</v>
      </c>
      <c r="O37" s="504">
        <f ca="1">'e3.2A'!I37</f>
        <v>3342650.0790152252</v>
      </c>
      <c r="P37" s="505">
        <f t="shared" ca="1" si="0"/>
        <v>1.0166296052887476</v>
      </c>
      <c r="Q37" s="659">
        <f>E37+AF37</f>
        <v>3071802.6300000018</v>
      </c>
      <c r="R37" s="504">
        <f>'e7'!$E68</f>
        <v>278892.74000000069</v>
      </c>
      <c r="S37" s="361">
        <v>2</v>
      </c>
      <c r="T37" s="504">
        <f t="shared" si="10"/>
        <v>16795.700000000186</v>
      </c>
      <c r="U37" s="504">
        <f t="shared" si="11"/>
        <v>8397.8500000000931</v>
      </c>
      <c r="V37" s="504" t="b">
        <f t="shared" si="12"/>
        <v>1</v>
      </c>
      <c r="X37" s="506">
        <v>3348946.9716421831</v>
      </c>
      <c r="Y37" s="506">
        <v>3055555.0899999994</v>
      </c>
      <c r="Z37" s="504">
        <f t="shared" si="13"/>
        <v>-548.15999999782071</v>
      </c>
      <c r="AA37" s="507">
        <f t="shared" si="14"/>
        <v>49957.307698926707</v>
      </c>
      <c r="AB37" s="504">
        <f t="shared" si="15"/>
        <v>-50505.467698924527</v>
      </c>
      <c r="AC37" s="507">
        <f t="shared" si="16"/>
        <v>-277144.34164218139</v>
      </c>
      <c r="AD37" s="493" t="b">
        <f t="shared" si="17"/>
        <v>1</v>
      </c>
      <c r="AF37" s="511">
        <v>16795.700000000012</v>
      </c>
      <c r="AG37" s="654" t="s">
        <v>751</v>
      </c>
      <c r="AI37" s="509">
        <f>1 / [1]!ldfsir(prldfs, prldf_ages, prldf_type, prldf_ret, Intro!$Y37, "Rept", $C37, prldf_cutoff, 3)</f>
        <v>0.91239279566785236</v>
      </c>
      <c r="AJ37" s="509">
        <f>1 / [1]!ldfsir(prldfs, prldf_ages, prldf_type, prldf_ret, Intro!$AA37, "Rept", $C37, prldf_cutoff, 3)</f>
        <v>0.92731011389413343</v>
      </c>
      <c r="AK37" s="509">
        <f t="shared" si="18"/>
        <v>0.17027501722032606</v>
      </c>
    </row>
    <row r="38" spans="1:39" x14ac:dyDescent="0.2">
      <c r="A38" s="493">
        <f>Intro!C38</f>
        <v>2016</v>
      </c>
      <c r="C38" s="518">
        <f t="shared" si="19"/>
        <v>250000</v>
      </c>
      <c r="E38" s="504">
        <f>'e7'!G69</f>
        <v>2481681.0000000019</v>
      </c>
      <c r="G38" s="502">
        <f ca="1">[1]!ldfsir(ldfs, ldf_ages, ldf_type, ldf_ret, Intro!$AA38, "Rept", $C38, cutoff, 3)</f>
        <v>1.114551899305904</v>
      </c>
      <c r="I38" s="507">
        <f t="shared" ca="1" si="8"/>
        <v>2765962.2720213775</v>
      </c>
      <c r="K38" s="504">
        <f>Intro!K38</f>
        <v>221894.58274919298</v>
      </c>
      <c r="M38" s="510">
        <f t="shared" ca="1" si="9"/>
        <v>12.465208648864309</v>
      </c>
      <c r="O38" s="504">
        <f ca="1">'e3.2A'!I38</f>
        <v>3044927.3125490942</v>
      </c>
      <c r="P38" s="505">
        <f t="shared" ca="1" si="0"/>
        <v>1.1008564156313845</v>
      </c>
      <c r="Q38" s="658">
        <f t="shared" ref="Q38:Q40" ca="1" si="26">I38</f>
        <v>2765962.2720213775</v>
      </c>
      <c r="R38" s="504">
        <f>'e7'!$E69</f>
        <v>134136.6400000006</v>
      </c>
      <c r="S38" s="361">
        <v>6</v>
      </c>
      <c r="T38" s="504">
        <f t="shared" ca="1" si="10"/>
        <v>284281.2720213756</v>
      </c>
      <c r="U38" s="504">
        <f t="shared" ca="1" si="11"/>
        <v>47380.212003562599</v>
      </c>
      <c r="V38" s="504" t="b">
        <f t="shared" ca="1" si="12"/>
        <v>1</v>
      </c>
      <c r="X38" s="506">
        <v>2641351.2712754249</v>
      </c>
      <c r="Y38" s="506">
        <v>2287911.0000000014</v>
      </c>
      <c r="Z38" s="504">
        <f t="shared" si="13"/>
        <v>193770.00000000047</v>
      </c>
      <c r="AA38" s="507">
        <f t="shared" si="14"/>
        <v>67789.987345191592</v>
      </c>
      <c r="AB38" s="504">
        <f t="shared" si="15"/>
        <v>125980.01265480887</v>
      </c>
      <c r="AC38" s="507">
        <f t="shared" ca="1" si="16"/>
        <v>124611.0007459526</v>
      </c>
      <c r="AD38" s="493" t="b">
        <f t="shared" ca="1" si="17"/>
        <v>1</v>
      </c>
      <c r="AF38" s="511">
        <v>1027181.39</v>
      </c>
      <c r="AG38" s="504" t="b">
        <f t="shared" ca="1" si="21"/>
        <v>1</v>
      </c>
      <c r="AI38" s="509">
        <f>1 / [1]!ldfsir(prldfs, prldf_ages, prldf_type, prldf_ret, Intro!$Y38, "Rept", $C38, prldf_cutoff, 3)</f>
        <v>0.86618959957387331</v>
      </c>
      <c r="AJ38" s="509">
        <f>1 / [1]!ldfsir(prldfs, prldf_ages, prldf_type, prldf_ret, Intro!$AA38, "Rept", $C38, prldf_cutoff, 3)</f>
        <v>0.89185448863365291</v>
      </c>
      <c r="AK38" s="509">
        <f t="shared" si="18"/>
        <v>0.19180040548453875</v>
      </c>
    </row>
    <row r="39" spans="1:39" x14ac:dyDescent="0.2">
      <c r="A39" s="493">
        <f>Intro!C39</f>
        <v>2017</v>
      </c>
      <c r="C39" s="518">
        <f t="shared" si="19"/>
        <v>250000</v>
      </c>
      <c r="E39" s="504">
        <f>'e7'!G70</f>
        <v>2585441.4500000016</v>
      </c>
      <c r="G39" s="502">
        <f ca="1">[1]!ldfsir(ldfs, ldf_ages, ldf_type, ldf_ret, Intro!$AA39, "Rept", $C39, cutoff, 3)</f>
        <v>1.2066840632692555</v>
      </c>
      <c r="I39" s="507">
        <f t="shared" ca="1" si="8"/>
        <v>3119810.9942307575</v>
      </c>
      <c r="K39" s="504">
        <f>Intro!K39</f>
        <v>307509.66981400014</v>
      </c>
      <c r="M39" s="510">
        <f t="shared" ca="1" si="9"/>
        <v>10.145407772437862</v>
      </c>
      <c r="O39" s="504">
        <f ca="1">'e3.2A'!I39</f>
        <v>3431503.0807305798</v>
      </c>
      <c r="P39" s="505">
        <f t="shared" ca="1" si="0"/>
        <v>1.0999073620409097</v>
      </c>
      <c r="Q39" s="658">
        <f t="shared" ca="1" si="26"/>
        <v>3119810.9942307575</v>
      </c>
      <c r="R39" s="504">
        <f>'e7'!$E70</f>
        <v>327371.00999999978</v>
      </c>
      <c r="S39" s="361">
        <v>8</v>
      </c>
      <c r="T39" s="504">
        <f t="shared" ca="1" si="10"/>
        <v>534369.54423075588</v>
      </c>
      <c r="U39" s="504">
        <f t="shared" ca="1" si="11"/>
        <v>66796.193028844486</v>
      </c>
      <c r="V39" s="504" t="b">
        <f t="shared" ca="1" si="12"/>
        <v>1</v>
      </c>
      <c r="X39" s="506">
        <v>2919549.2567618745</v>
      </c>
      <c r="Y39" s="506">
        <v>2264112.3000000003</v>
      </c>
      <c r="Z39" s="504">
        <f t="shared" si="13"/>
        <v>321329.1500000013</v>
      </c>
      <c r="AA39" s="507">
        <f t="shared" si="14"/>
        <v>149992.54830975638</v>
      </c>
      <c r="AB39" s="504">
        <f t="shared" si="15"/>
        <v>171336.60169024492</v>
      </c>
      <c r="AC39" s="507">
        <f t="shared" ca="1" si="16"/>
        <v>200261.73746888293</v>
      </c>
      <c r="AD39" s="493" t="b">
        <f t="shared" ca="1" si="17"/>
        <v>1</v>
      </c>
      <c r="AF39" s="511">
        <v>1443208.29</v>
      </c>
      <c r="AG39" s="504" t="b">
        <f t="shared" ca="1" si="21"/>
        <v>1</v>
      </c>
      <c r="AI39" s="509">
        <f>1 / [1]!ldfsir(prldfs, prldf_ages, prldf_type, prldf_ret, Intro!$Y39, "Rept", $C39, prldf_cutoff, 3)</f>
        <v>0.77550063413253345</v>
      </c>
      <c r="AJ39" s="509">
        <f>1 / [1]!ldfsir(prldfs, prldf_ages, prldf_type, prldf_ret, Intro!$AA39, "Rept", $C39, prldf_cutoff, 3)</f>
        <v>0.82687587569160748</v>
      </c>
      <c r="AK39" s="509">
        <f t="shared" si="18"/>
        <v>0.22884359321265726</v>
      </c>
    </row>
    <row r="40" spans="1:39" x14ac:dyDescent="0.2">
      <c r="A40" s="493">
        <f>Intro!C40</f>
        <v>2018</v>
      </c>
      <c r="C40" s="518">
        <f t="shared" si="19"/>
        <v>250000</v>
      </c>
      <c r="E40" s="504">
        <f>'e7'!G71</f>
        <v>5793621.7700000023</v>
      </c>
      <c r="G40" s="502">
        <f ca="1">[1]!ldfsir(ldfs, ldf_ages, ldf_type, ldf_ret, Intro!$AA40, "Rept", $C40, cutoff, 3)</f>
        <v>1.5056111249551818</v>
      </c>
      <c r="I40" s="507">
        <f t="shared" ca="1" si="8"/>
        <v>8722941.3906945344</v>
      </c>
      <c r="K40" s="504">
        <f>Intro!K40</f>
        <v>536896.27333</v>
      </c>
      <c r="M40" s="510">
        <f t="shared" ca="1" si="9"/>
        <v>16.246976974885857</v>
      </c>
      <c r="O40" s="504">
        <f ca="1">'e3.2A'!I40</f>
        <v>9610249.783806596</v>
      </c>
      <c r="P40" s="505">
        <f t="shared" ca="1" si="0"/>
        <v>1.1017212375241481</v>
      </c>
      <c r="Q40" s="658">
        <f t="shared" ca="1" si="26"/>
        <v>8722941.3906945344</v>
      </c>
      <c r="R40" s="504">
        <f>'e7'!$E71</f>
        <v>1594326.6200000048</v>
      </c>
      <c r="S40" s="361">
        <v>60</v>
      </c>
      <c r="T40" s="504">
        <f t="shared" ca="1" si="10"/>
        <v>2929319.6206945321</v>
      </c>
      <c r="U40" s="504">
        <f t="shared" ca="1" si="11"/>
        <v>48821.993678242201</v>
      </c>
      <c r="V40" s="504" t="b">
        <f t="shared" ca="1" si="12"/>
        <v>1</v>
      </c>
      <c r="X40" s="506">
        <v>8872202.3761023078</v>
      </c>
      <c r="Y40" s="506">
        <v>4706747.6700000055</v>
      </c>
      <c r="Z40" s="504">
        <f t="shared" si="13"/>
        <v>1086874.0999999968</v>
      </c>
      <c r="AA40" s="507">
        <f t="shared" si="14"/>
        <v>1230405.2332570071</v>
      </c>
      <c r="AB40" s="504">
        <f t="shared" si="15"/>
        <v>-143531.13325701025</v>
      </c>
      <c r="AC40" s="507">
        <f t="shared" ca="1" si="16"/>
        <v>-149260.98540777341</v>
      </c>
      <c r="AD40" s="493" t="b">
        <f t="shared" ca="1" si="17"/>
        <v>1</v>
      </c>
      <c r="AF40" s="511">
        <v>11817681.34</v>
      </c>
      <c r="AG40" s="504" t="b">
        <f t="shared" ca="1" si="21"/>
        <v>1</v>
      </c>
      <c r="AI40" s="509">
        <f>1 / [1]!ldfsir(prldfs, prldf_ages, prldf_type, prldf_ret, Intro!$Y40, "Rept", $C40, prldf_cutoff, 3)</f>
        <v>0.53050499419150432</v>
      </c>
      <c r="AJ40" s="509">
        <f>1 / [1]!ldfsir(prldfs, prldf_ages, prldf_type, prldf_ret, Intro!$AA40, "Rept", $C40, prldf_cutoff, 3)</f>
        <v>0.66918591929879911</v>
      </c>
      <c r="AK40" s="509">
        <f t="shared" si="18"/>
        <v>0.29538317424373617</v>
      </c>
    </row>
    <row r="41" spans="1:39" x14ac:dyDescent="0.2">
      <c r="A41" s="493">
        <f>Intro!C41</f>
        <v>2019</v>
      </c>
      <c r="C41" s="518">
        <f t="shared" si="19"/>
        <v>250000</v>
      </c>
      <c r="E41" s="512">
        <f>'e7'!G72</f>
        <v>1261811.2200000007</v>
      </c>
      <c r="G41" s="502">
        <f ca="1">[1]!ldfsir(ldfs, ldf_ages, ldf_type, ldf_ret, Intro!$AA41, "Rept", $C41, cutoff, 3)</f>
        <v>4.0355186273536834</v>
      </c>
      <c r="I41" s="512">
        <f t="shared" ca="1" si="8"/>
        <v>5092062.6825138796</v>
      </c>
      <c r="K41" s="512">
        <f>Intro!K41</f>
        <v>543133.22666000458</v>
      </c>
      <c r="M41" s="513">
        <f t="shared" ca="1" si="9"/>
        <v>9.3753473964896177</v>
      </c>
      <c r="O41" s="512">
        <f ca="1">'e3.2A'!I41</f>
        <v>7826148.334131144</v>
      </c>
      <c r="P41" s="514">
        <f t="shared" ca="1" si="0"/>
        <v>1.5369308710605827</v>
      </c>
      <c r="Q41" s="660">
        <f ca="1">O41</f>
        <v>7826148.334131144</v>
      </c>
      <c r="R41" s="512">
        <f>'e7'!$E72</f>
        <v>642501.92000000062</v>
      </c>
      <c r="S41" s="305">
        <v>101</v>
      </c>
      <c r="T41" s="512">
        <f t="shared" ca="1" si="10"/>
        <v>6564337.1141311433</v>
      </c>
      <c r="U41" s="512">
        <f t="shared" ca="1" si="11"/>
        <v>64993.436773575675</v>
      </c>
      <c r="V41" s="504" t="b">
        <f t="shared" ca="1" si="12"/>
        <v>1</v>
      </c>
      <c r="X41" s="653">
        <v>8235520.752304635</v>
      </c>
      <c r="Y41" s="653">
        <v>178621.64</v>
      </c>
      <c r="Z41" s="512">
        <f t="shared" si="13"/>
        <v>1083189.5800000005</v>
      </c>
      <c r="AA41" s="512">
        <f t="shared" si="14"/>
        <v>1877511.9067720906</v>
      </c>
      <c r="AB41" s="512">
        <f t="shared" si="15"/>
        <v>-794322.32677209005</v>
      </c>
      <c r="AC41" s="531">
        <f t="shared" ca="1" si="16"/>
        <v>-409372.41817349102</v>
      </c>
      <c r="AD41" s="493" t="b">
        <f t="shared" ca="1" si="17"/>
        <v>1</v>
      </c>
      <c r="AF41" s="511">
        <v>27359965.800000004</v>
      </c>
      <c r="AG41" s="656" t="b">
        <f t="shared" ca="1" si="21"/>
        <v>1</v>
      </c>
      <c r="AI41" s="509">
        <f>1 / [1]!ldfsir(prldfs, prldf_ages, prldf_type, prldf_ret, Intro!$Y41, "Rept", $C41, prldf_cutoff, 3)</f>
        <v>2.1689173687045156E-2</v>
      </c>
      <c r="AJ41" s="509">
        <f>1 / [1]!ldfsir(prldfs, prldf_ages, prldf_type, prldf_ret, Intro!$AA41, "Rept", $C41, prldf_cutoff, 3)</f>
        <v>0.24966648844843239</v>
      </c>
      <c r="AK41" s="509">
        <f t="shared" si="18"/>
        <v>0.23303157711193404</v>
      </c>
    </row>
    <row r="42" spans="1:39" x14ac:dyDescent="0.2">
      <c r="P42" s="515"/>
      <c r="Q42" s="666"/>
      <c r="W42" s="490"/>
      <c r="X42" s="515"/>
      <c r="Y42" s="515"/>
    </row>
    <row r="43" spans="1:39" x14ac:dyDescent="0.2">
      <c r="A43" s="493" t="s">
        <v>78</v>
      </c>
      <c r="E43" s="501">
        <f>SUM(E18:E41)</f>
        <v>46537880.780000001</v>
      </c>
      <c r="I43" s="501">
        <f ca="1">SUM(I18:I41)</f>
        <v>54942398.994241133</v>
      </c>
      <c r="K43" s="501">
        <f>SUM(K18:K41)</f>
        <v>3896630.2405416127</v>
      </c>
      <c r="M43" s="510">
        <f t="shared" ref="M43" ca="1" si="27">I43/K43</f>
        <v>14.099977571031838</v>
      </c>
      <c r="O43" s="507">
        <f ca="1">SUM(O18:O41)</f>
        <v>59535933.950651981</v>
      </c>
      <c r="P43" s="505">
        <f ca="1">O43/I43</f>
        <v>1.083606377597242</v>
      </c>
      <c r="Q43" s="684">
        <f ca="1">SUM(Q18:Q41)</f>
        <v>57100876.402140543</v>
      </c>
      <c r="R43" s="507">
        <f>SUM(R18:R41)</f>
        <v>3478680.730000007</v>
      </c>
      <c r="S43" s="507">
        <f>SUM(S18:S41)</f>
        <v>192</v>
      </c>
      <c r="T43" s="507">
        <f ca="1">SUM(T18:T41)</f>
        <v>10562995.622140542</v>
      </c>
      <c r="U43" s="504">
        <f ca="1">IFERROR(T43/S43, "")</f>
        <v>55015.602198648652</v>
      </c>
      <c r="W43" s="504"/>
      <c r="X43" s="507">
        <f t="shared" ref="X43:AC43" si="28">SUM(X18:X41)</f>
        <v>57604747.772201926</v>
      </c>
      <c r="Y43" s="507">
        <f t="shared" si="28"/>
        <v>43833152.090000004</v>
      </c>
      <c r="Z43" s="507">
        <f t="shared" si="28"/>
        <v>2704728.6900000004</v>
      </c>
      <c r="AA43" s="507">
        <f t="shared" si="28"/>
        <v>3388961.1946854382</v>
      </c>
      <c r="AB43" s="507">
        <f t="shared" si="28"/>
        <v>-684232.50468543777</v>
      </c>
      <c r="AC43" s="507">
        <f t="shared" ca="1" si="28"/>
        <v>-503871.3700613901</v>
      </c>
    </row>
    <row r="44" spans="1:39" x14ac:dyDescent="0.2">
      <c r="AM44" s="507"/>
    </row>
    <row r="46" spans="1:39" x14ac:dyDescent="0.2">
      <c r="A46" s="392" t="s">
        <v>414</v>
      </c>
      <c r="O46" s="492" t="s">
        <v>211</v>
      </c>
    </row>
    <row r="48" spans="1:39" x14ac:dyDescent="0.2">
      <c r="E48" s="493" t="s">
        <v>71</v>
      </c>
      <c r="O48" s="494"/>
      <c r="P48" s="494"/>
      <c r="Q48" s="494"/>
      <c r="U48" s="495"/>
      <c r="V48" s="495"/>
    </row>
    <row r="49" spans="1:41" x14ac:dyDescent="0.2">
      <c r="A49" s="496" t="str">
        <f>A13</f>
        <v>Policy</v>
      </c>
      <c r="E49" s="493" t="s">
        <v>8</v>
      </c>
      <c r="G49" s="496" t="s">
        <v>331</v>
      </c>
      <c r="I49" s="496" t="s">
        <v>330</v>
      </c>
      <c r="M49" s="496" t="s">
        <v>332</v>
      </c>
      <c r="O49" s="496"/>
      <c r="P49" s="496"/>
      <c r="Q49" s="663" t="s">
        <v>105</v>
      </c>
      <c r="U49" s="495"/>
      <c r="V49" s="495"/>
      <c r="X49" s="494"/>
      <c r="Y49" s="494"/>
      <c r="Z49" s="497" t="str">
        <f>Z13</f>
        <v>10/18-4/19</v>
      </c>
      <c r="AA49" s="497"/>
      <c r="AB49" s="497"/>
      <c r="AC49" s="497"/>
      <c r="AD49" s="497"/>
    </row>
    <row r="50" spans="1:41" x14ac:dyDescent="0.2">
      <c r="A50" s="496" t="str">
        <f>A14</f>
        <v>Period</v>
      </c>
      <c r="E50" s="493" t="s">
        <v>334</v>
      </c>
      <c r="G50" s="496" t="s">
        <v>245</v>
      </c>
      <c r="I50" s="496" t="s">
        <v>245</v>
      </c>
      <c r="K50" s="496" t="s">
        <v>5</v>
      </c>
      <c r="M50" s="496" t="s">
        <v>8</v>
      </c>
      <c r="O50" s="493" t="s">
        <v>75</v>
      </c>
      <c r="P50" s="496" t="s">
        <v>669</v>
      </c>
      <c r="Q50" s="664" t="s">
        <v>410</v>
      </c>
      <c r="R50" s="496"/>
      <c r="S50" s="496" t="s">
        <v>55</v>
      </c>
      <c r="T50" s="496" t="s">
        <v>332</v>
      </c>
      <c r="U50" s="496" t="s">
        <v>411</v>
      </c>
      <c r="X50" s="496" t="s">
        <v>18</v>
      </c>
      <c r="Y50" s="496" t="s">
        <v>18</v>
      </c>
      <c r="Z50" s="496" t="s">
        <v>242</v>
      </c>
      <c r="AA50" s="496" t="s">
        <v>244</v>
      </c>
      <c r="AF50" s="496" t="s">
        <v>675</v>
      </c>
      <c r="AG50" s="496"/>
      <c r="AI50" s="497" t="s">
        <v>676</v>
      </c>
      <c r="AJ50" s="497"/>
      <c r="AK50" s="497"/>
      <c r="AM50" s="497" t="s">
        <v>677</v>
      </c>
      <c r="AN50" s="497"/>
      <c r="AO50" s="497"/>
    </row>
    <row r="51" spans="1:41" x14ac:dyDescent="0.2">
      <c r="A51" s="498" t="str">
        <f>A15</f>
        <v>Ending 9/30</v>
      </c>
      <c r="C51" s="498" t="s">
        <v>90</v>
      </c>
      <c r="E51" s="498" t="str">
        <f>ctxt</f>
        <v>4/30/19</v>
      </c>
      <c r="G51" s="498" t="s">
        <v>338</v>
      </c>
      <c r="I51" s="498" t="s">
        <v>8</v>
      </c>
      <c r="K51" s="498" t="s">
        <v>6</v>
      </c>
      <c r="M51" s="498" t="s">
        <v>349</v>
      </c>
      <c r="O51" s="498" t="s">
        <v>409</v>
      </c>
      <c r="P51" s="498" t="s">
        <v>93</v>
      </c>
      <c r="Q51" s="665" t="s">
        <v>245</v>
      </c>
      <c r="R51" s="498" t="s">
        <v>74</v>
      </c>
      <c r="S51" s="498" t="s">
        <v>672</v>
      </c>
      <c r="T51" s="498" t="s">
        <v>191</v>
      </c>
      <c r="U51" s="498" t="s">
        <v>412</v>
      </c>
      <c r="V51" s="498" t="s">
        <v>475</v>
      </c>
      <c r="X51" s="498" t="s">
        <v>673</v>
      </c>
      <c r="Y51" s="498" t="s">
        <v>93</v>
      </c>
      <c r="Z51" s="498" t="s">
        <v>71</v>
      </c>
      <c r="AA51" s="498" t="s">
        <v>71</v>
      </c>
      <c r="AB51" s="498" t="s">
        <v>504</v>
      </c>
      <c r="AC51" s="498" t="s">
        <v>674</v>
      </c>
      <c r="AD51" s="498" t="s">
        <v>475</v>
      </c>
      <c r="AF51" s="498" t="s">
        <v>191</v>
      </c>
      <c r="AG51" s="498" t="s">
        <v>475</v>
      </c>
      <c r="AI51" s="499" t="str">
        <f>ptxt</f>
        <v>10/31/18</v>
      </c>
      <c r="AJ51" s="499" t="str">
        <f>ctxt</f>
        <v>4/30/19</v>
      </c>
      <c r="AK51" s="499" t="str">
        <f>Z49</f>
        <v>10/18-4/19</v>
      </c>
      <c r="AM51" s="499" t="s">
        <v>74</v>
      </c>
      <c r="AN51" s="499" t="s">
        <v>191</v>
      </c>
      <c r="AO51" s="499" t="s">
        <v>475</v>
      </c>
    </row>
    <row r="52" spans="1:41" x14ac:dyDescent="0.2">
      <c r="E52" s="500">
        <v>1</v>
      </c>
      <c r="G52" s="500">
        <f>E52+1</f>
        <v>2</v>
      </c>
      <c r="I52" s="500">
        <f>G52+1</f>
        <v>3</v>
      </c>
      <c r="K52" s="500">
        <f>I52+1</f>
        <v>4</v>
      </c>
      <c r="M52" s="500">
        <f>K52+1</f>
        <v>5</v>
      </c>
      <c r="Q52" s="666"/>
    </row>
    <row r="53" spans="1:41" x14ac:dyDescent="0.2">
      <c r="E53" s="500"/>
      <c r="G53" s="500"/>
      <c r="I53" s="500"/>
      <c r="K53" s="500"/>
      <c r="M53" s="500"/>
      <c r="Q53" s="666"/>
    </row>
    <row r="54" spans="1:41" x14ac:dyDescent="0.2">
      <c r="A54" s="493">
        <f t="shared" ref="A54:A75" si="29">A18</f>
        <v>1996</v>
      </c>
      <c r="C54" s="517">
        <v>350000</v>
      </c>
      <c r="E54" s="501">
        <f>'e7'!M49</f>
        <v>783326</v>
      </c>
      <c r="G54" s="502">
        <f ca="1">[1]!ldfsir(ldfs, ldf_ages, ldf_type, ldf_ret, Intro!$AA18, "Rept", $C54, cutoff, 3)</f>
        <v>1.0068994529464135</v>
      </c>
      <c r="I54" s="501">
        <f ca="1">E54*G54</f>
        <v>788730.52087870229</v>
      </c>
      <c r="K54" s="501">
        <f>K18</f>
        <v>51718.748</v>
      </c>
      <c r="M54" s="503">
        <f ca="1">I54/K54</f>
        <v>15.250379241173864</v>
      </c>
      <c r="O54" s="504">
        <f ca="1">'e3.2A'!I54</f>
        <v>794543.33512670943</v>
      </c>
      <c r="P54" s="505">
        <f t="shared" ref="P54" ca="1" si="30">O54/I54</f>
        <v>1.0073698355701148</v>
      </c>
      <c r="Q54" s="657">
        <f>E54</f>
        <v>783326</v>
      </c>
      <c r="R54" s="504">
        <f>'e7'!$K49</f>
        <v>0</v>
      </c>
      <c r="S54" s="364">
        <v>0</v>
      </c>
      <c r="T54" s="504">
        <f t="shared" ref="T54:T74" si="31">Q54-E54</f>
        <v>0</v>
      </c>
      <c r="U54" s="504" t="str">
        <f t="shared" ref="U54:U74" si="32">IFERROR(T54/S54, "")</f>
        <v/>
      </c>
      <c r="V54" s="504" t="b">
        <f t="shared" ref="V54:V74" si="33">IF(OR(S54=0,R54=0),T54=0,T54&gt;0)</f>
        <v>1</v>
      </c>
      <c r="X54" s="511">
        <v>783326</v>
      </c>
      <c r="Y54" s="361">
        <v>783326</v>
      </c>
      <c r="Z54" s="504">
        <f t="shared" ref="Z54" si="34">E54-Y54</f>
        <v>0</v>
      </c>
      <c r="AA54" s="507">
        <f t="shared" ref="AA54" si="35">AK54*(X54-Y54)</f>
        <v>0</v>
      </c>
      <c r="AB54" s="504">
        <f>Z54-AA54</f>
        <v>0</v>
      </c>
      <c r="AC54" s="507">
        <f t="shared" ref="AC54" si="36">Q54-X54</f>
        <v>0</v>
      </c>
      <c r="AD54" s="493" t="b">
        <f t="shared" ref="AD54" si="37">IF(AB54&lt;=0,AC54&lt;=0,AC54&gt;=0)</f>
        <v>1</v>
      </c>
      <c r="AF54" s="507"/>
      <c r="AG54" s="507"/>
      <c r="AI54" s="509">
        <f>1 / [1]!ldfsir(prldfs, prldf_ages, prldf_type, prldf_ret, Intro!Y18, "Rept", $C54, prldf_cutoff, 3)</f>
        <v>0.99314782332414209</v>
      </c>
      <c r="AJ54" s="509">
        <f>1 / [1]!ldfsir(prldfs, prldf_ages, prldf_type, prldf_ret, Intro!AA18, "Rept", $C54, prldf_cutoff, 3)</f>
        <v>0.99314782332414209</v>
      </c>
      <c r="AK54" s="509">
        <f>(AJ54-AI54)/(1-AI54)</f>
        <v>0</v>
      </c>
      <c r="AM54" s="504">
        <f t="shared" ref="AM54:AM71" si="38">R54-R18</f>
        <v>0</v>
      </c>
      <c r="AN54" s="504">
        <f t="shared" ref="AN54:AN71" si="39">T54-T18</f>
        <v>0</v>
      </c>
      <c r="AO54" s="488" t="b">
        <f>IF(AM54=0,AN54=0,AN54&gt;0)</f>
        <v>1</v>
      </c>
    </row>
    <row r="55" spans="1:41" x14ac:dyDescent="0.2">
      <c r="A55" s="493">
        <f t="shared" si="29"/>
        <v>1997</v>
      </c>
      <c r="C55" s="518">
        <f>C54</f>
        <v>350000</v>
      </c>
      <c r="E55" s="504">
        <f>'e7'!M50</f>
        <v>1450545</v>
      </c>
      <c r="G55" s="502">
        <f ca="1">[1]!ldfsir(ldfs, ldf_ages, ldf_type, ldf_ret, Intro!$AA19, "Rept", $C55, cutoff, 3)</f>
        <v>1.0079539723891331</v>
      </c>
      <c r="I55" s="507">
        <f t="shared" ref="I55:I77" ca="1" si="40">E55*G55</f>
        <v>1462082.5948791951</v>
      </c>
      <c r="K55" s="504">
        <f t="shared" ref="K55:K77" si="41">K19</f>
        <v>71279.833180000031</v>
      </c>
      <c r="M55" s="510">
        <f t="shared" ref="M55:M77" ca="1" si="42">I55/K55</f>
        <v>20.511868920723455</v>
      </c>
      <c r="O55" s="504">
        <f ca="1">'e3.2A'!I55</f>
        <v>1474647.9463528963</v>
      </c>
      <c r="P55" s="505">
        <f t="shared" ref="P55:P77" ca="1" si="43">O55/I55</f>
        <v>1.008594146129439</v>
      </c>
      <c r="Q55" s="657">
        <f>E55</f>
        <v>1450545</v>
      </c>
      <c r="R55" s="504">
        <f>'e7'!$K50</f>
        <v>0</v>
      </c>
      <c r="S55" s="364">
        <v>0</v>
      </c>
      <c r="T55" s="504">
        <f t="shared" si="31"/>
        <v>0</v>
      </c>
      <c r="U55" s="504" t="str">
        <f t="shared" si="32"/>
        <v/>
      </c>
      <c r="V55" s="504" t="b">
        <f t="shared" si="33"/>
        <v>1</v>
      </c>
      <c r="X55" s="511">
        <v>1450545</v>
      </c>
      <c r="Y55" s="361">
        <v>1450545</v>
      </c>
      <c r="Z55" s="504">
        <f t="shared" ref="Z55:Z77" si="44">E55-Y55</f>
        <v>0</v>
      </c>
      <c r="AA55" s="507">
        <f t="shared" ref="AA55:AA77" si="45">AK55*(X55-Y55)</f>
        <v>0</v>
      </c>
      <c r="AB55" s="504">
        <f t="shared" ref="AB55:AB77" si="46">Z55-AA55</f>
        <v>0</v>
      </c>
      <c r="AC55" s="507">
        <f t="shared" ref="AC55:AC77" si="47">Q55-X55</f>
        <v>0</v>
      </c>
      <c r="AD55" s="493" t="b">
        <f t="shared" ref="AD55:AD77" si="48">IF(AB55&lt;=0,AC55&lt;=0,AC55&gt;=0)</f>
        <v>1</v>
      </c>
      <c r="AF55" s="507"/>
      <c r="AG55" s="507"/>
      <c r="AI55" s="509">
        <f>1 / [1]!ldfsir(prldfs, prldf_ages, prldf_type, prldf_ret, Intro!Y19, "Rept", $C55, prldf_cutoff, 3)</f>
        <v>0.99210879404514873</v>
      </c>
      <c r="AJ55" s="509">
        <f>1 / [1]!ldfsir(prldfs, prldf_ages, prldf_type, prldf_ret, Intro!AA19, "Rept", $C55, prldf_cutoff, 3)</f>
        <v>0.99210879404514873</v>
      </c>
      <c r="AK55" s="509">
        <f t="shared" ref="AK55:AK77" si="49">(AJ55-AI55)/(1-AI55)</f>
        <v>0</v>
      </c>
      <c r="AM55" s="504">
        <f t="shared" si="38"/>
        <v>0</v>
      </c>
      <c r="AN55" s="504">
        <f t="shared" si="39"/>
        <v>0</v>
      </c>
      <c r="AO55" s="488" t="b">
        <f t="shared" ref="AO55:AO77" si="50">IF(AM55=0,AN55=0,AN55&gt;0)</f>
        <v>1</v>
      </c>
    </row>
    <row r="56" spans="1:41" x14ac:dyDescent="0.2">
      <c r="A56" s="493">
        <f t="shared" si="29"/>
        <v>1998</v>
      </c>
      <c r="C56" s="518">
        <f t="shared" ref="C56:C77" si="51">C55</f>
        <v>350000</v>
      </c>
      <c r="E56" s="504">
        <f>'e7'!M51</f>
        <v>2693680.7199999997</v>
      </c>
      <c r="G56" s="502">
        <f ca="1">[1]!ldfsir(ldfs, ldf_ages, ldf_type, ldf_ret, Intro!$AA20, "Rept", $C56, cutoff, 3)</f>
        <v>1.009170398239184</v>
      </c>
      <c r="I56" s="507">
        <f t="shared" ca="1" si="40"/>
        <v>2718382.8449316113</v>
      </c>
      <c r="K56" s="504">
        <f t="shared" si="41"/>
        <v>90725.935539999991</v>
      </c>
      <c r="M56" s="510">
        <f t="shared" ca="1" si="42"/>
        <v>29.962577169932942</v>
      </c>
      <c r="O56" s="504">
        <f ca="1">'e3.2A'!I56</f>
        <v>2736733.2891054526</v>
      </c>
      <c r="P56" s="505">
        <f t="shared" ca="1" si="43"/>
        <v>1.0067505002866155</v>
      </c>
      <c r="Q56" s="661">
        <f ca="1">E56 + T20</f>
        <v>2708056.4441664326</v>
      </c>
      <c r="R56" s="504">
        <f>'e7'!$K51</f>
        <v>8725.5499999998137</v>
      </c>
      <c r="S56" s="364">
        <v>1</v>
      </c>
      <c r="T56" s="504">
        <f t="shared" ca="1" si="31"/>
        <v>14375.724166432861</v>
      </c>
      <c r="U56" s="504">
        <f t="shared" ca="1" si="32"/>
        <v>14375.724166432861</v>
      </c>
      <c r="V56" s="504" t="b">
        <f t="shared" ca="1" si="33"/>
        <v>1</v>
      </c>
      <c r="X56" s="511">
        <v>2708056.4441664326</v>
      </c>
      <c r="Y56" s="361">
        <v>2693680.7199999997</v>
      </c>
      <c r="Z56" s="504">
        <f t="shared" si="44"/>
        <v>0</v>
      </c>
      <c r="AA56" s="507">
        <f t="shared" si="45"/>
        <v>0</v>
      </c>
      <c r="AB56" s="504">
        <f t="shared" si="46"/>
        <v>0</v>
      </c>
      <c r="AC56" s="507">
        <f t="shared" ca="1" si="47"/>
        <v>0</v>
      </c>
      <c r="AD56" s="493" t="b">
        <f t="shared" ca="1" si="48"/>
        <v>1</v>
      </c>
      <c r="AF56" s="507"/>
      <c r="AG56" s="507"/>
      <c r="AI56" s="509">
        <f>1 / [1]!ldfsir(prldfs, prldf_ages, prldf_type, prldf_ret, Intro!Y20, "Rept", $C56, prldf_cutoff, 3)</f>
        <v>0.99091293377690759</v>
      </c>
      <c r="AJ56" s="509">
        <f>1 / [1]!ldfsir(prldfs, prldf_ages, prldf_type, prldf_ret, Intro!AA20, "Rept", $C56, prldf_cutoff, 3)</f>
        <v>0.99091293377690759</v>
      </c>
      <c r="AK56" s="509">
        <f t="shared" si="49"/>
        <v>0</v>
      </c>
      <c r="AM56" s="504">
        <f t="shared" si="38"/>
        <v>0</v>
      </c>
      <c r="AN56" s="504">
        <f t="shared" ca="1" si="39"/>
        <v>0</v>
      </c>
      <c r="AO56" s="488" t="b">
        <f t="shared" ca="1" si="50"/>
        <v>1</v>
      </c>
    </row>
    <row r="57" spans="1:41" x14ac:dyDescent="0.2">
      <c r="A57" s="493">
        <f t="shared" si="29"/>
        <v>1999</v>
      </c>
      <c r="C57" s="518">
        <f t="shared" si="51"/>
        <v>350000</v>
      </c>
      <c r="E57" s="504">
        <f>'e7'!M52</f>
        <v>3040381.8</v>
      </c>
      <c r="G57" s="502">
        <f ca="1">[1]!ldfsir(ldfs, ldf_ages, ldf_type, ldf_ret, Intro!$AA21, "Rept", $C57, cutoff, 3)</f>
        <v>1.0105738295654292</v>
      </c>
      <c r="I57" s="507">
        <f t="shared" ca="1" si="40"/>
        <v>3072530.2789670327</v>
      </c>
      <c r="K57" s="504">
        <f t="shared" si="41"/>
        <v>115828.16377000001</v>
      </c>
      <c r="M57" s="510">
        <f t="shared" ca="1" si="42"/>
        <v>26.526625122609698</v>
      </c>
      <c r="O57" s="504">
        <f ca="1">'e3.2A'!I57</f>
        <v>3014863.3832962778</v>
      </c>
      <c r="P57" s="505">
        <f t="shared" ca="1" si="43"/>
        <v>0.98123146383112547</v>
      </c>
      <c r="Q57" s="661">
        <f ca="1">E57 + T21</f>
        <v>3057616.0194703522</v>
      </c>
      <c r="R57" s="504">
        <f>'e7'!$K52</f>
        <v>91530.509999999776</v>
      </c>
      <c r="S57" s="364">
        <v>2</v>
      </c>
      <c r="T57" s="504">
        <f t="shared" ca="1" si="31"/>
        <v>17234.2194703524</v>
      </c>
      <c r="U57" s="504">
        <f t="shared" ca="1" si="32"/>
        <v>8617.1097351762</v>
      </c>
      <c r="V57" s="504" t="b">
        <f t="shared" ca="1" si="33"/>
        <v>1</v>
      </c>
      <c r="X57" s="511">
        <v>3057616.0194703522</v>
      </c>
      <c r="Y57" s="361">
        <v>3040381.8</v>
      </c>
      <c r="Z57" s="504">
        <f t="shared" si="44"/>
        <v>0</v>
      </c>
      <c r="AA57" s="507">
        <f t="shared" si="45"/>
        <v>0</v>
      </c>
      <c r="AB57" s="504">
        <f t="shared" si="46"/>
        <v>0</v>
      </c>
      <c r="AC57" s="507">
        <f t="shared" ca="1" si="47"/>
        <v>0</v>
      </c>
      <c r="AD57" s="493" t="b">
        <f t="shared" ca="1" si="48"/>
        <v>1</v>
      </c>
      <c r="AF57" s="507"/>
      <c r="AG57" s="507"/>
      <c r="AI57" s="509">
        <f>1 / [1]!ldfsir(prldfs, prldf_ages, prldf_type, prldf_ret, Intro!Y21, "Rept", $C57, prldf_cutoff, 3)</f>
        <v>0.98953680645977526</v>
      </c>
      <c r="AJ57" s="509">
        <f>1 / [1]!ldfsir(prldfs, prldf_ages, prldf_type, prldf_ret, Intro!AA21, "Rept", $C57, prldf_cutoff, 3)</f>
        <v>0.98953680645977526</v>
      </c>
      <c r="AK57" s="509">
        <f t="shared" si="49"/>
        <v>0</v>
      </c>
      <c r="AM57" s="504">
        <f t="shared" si="38"/>
        <v>0</v>
      </c>
      <c r="AN57" s="504">
        <f t="shared" ca="1" si="39"/>
        <v>0</v>
      </c>
      <c r="AO57" s="488" t="b">
        <f t="shared" ca="1" si="50"/>
        <v>1</v>
      </c>
    </row>
    <row r="58" spans="1:41" x14ac:dyDescent="0.2">
      <c r="A58" s="493">
        <f t="shared" si="29"/>
        <v>2000</v>
      </c>
      <c r="C58" s="518">
        <f t="shared" si="51"/>
        <v>350000</v>
      </c>
      <c r="E58" s="504">
        <f>'e7'!M53</f>
        <v>2542406.4300000002</v>
      </c>
      <c r="G58" s="502">
        <f ca="1">[1]!ldfsir(ldfs, ldf_ages, ldf_type, ldf_ret, Intro!$AA22, "Rept", $C58, cutoff, 3)</f>
        <v>1.0121933353614605</v>
      </c>
      <c r="I58" s="507">
        <f t="shared" ca="1" si="40"/>
        <v>2573406.8442261238</v>
      </c>
      <c r="K58" s="504">
        <f t="shared" si="41"/>
        <v>86853.122530000022</v>
      </c>
      <c r="M58" s="510">
        <f t="shared" ca="1" si="42"/>
        <v>29.629410771469278</v>
      </c>
      <c r="O58" s="504">
        <f ca="1">'e3.2A'!I58</f>
        <v>2493467.4862157563</v>
      </c>
      <c r="P58" s="505">
        <f t="shared" ca="1" si="43"/>
        <v>0.96893637001482102</v>
      </c>
      <c r="Q58" s="658">
        <f ca="1">I58</f>
        <v>2573406.8442261238</v>
      </c>
      <c r="R58" s="504">
        <f>'e7'!$K53</f>
        <v>112107.00000000047</v>
      </c>
      <c r="S58" s="364">
        <v>4</v>
      </c>
      <c r="T58" s="504">
        <f t="shared" ca="1" si="31"/>
        <v>31000.414226123597</v>
      </c>
      <c r="U58" s="504">
        <f t="shared" ca="1" si="32"/>
        <v>7750.1035565308994</v>
      </c>
      <c r="V58" s="504" t="b">
        <f t="shared" ca="1" si="33"/>
        <v>1</v>
      </c>
      <c r="X58" s="511">
        <v>2573406.8442261238</v>
      </c>
      <c r="Y58" s="361">
        <v>2542406.4300000002</v>
      </c>
      <c r="Z58" s="504">
        <f t="shared" si="44"/>
        <v>0</v>
      </c>
      <c r="AA58" s="507">
        <f t="shared" si="45"/>
        <v>0</v>
      </c>
      <c r="AB58" s="504">
        <f t="shared" si="46"/>
        <v>0</v>
      </c>
      <c r="AC58" s="507">
        <f t="shared" ca="1" si="47"/>
        <v>0</v>
      </c>
      <c r="AD58" s="493" t="b">
        <f t="shared" ca="1" si="48"/>
        <v>1</v>
      </c>
      <c r="AF58" s="507"/>
      <c r="AG58" s="507"/>
      <c r="AI58" s="509">
        <f>1 / [1]!ldfsir(prldfs, prldf_ages, prldf_type, prldf_ret, Intro!Y22, "Rept", $C58, prldf_cutoff, 3)</f>
        <v>0.98795355103073645</v>
      </c>
      <c r="AJ58" s="509">
        <f>1 / [1]!ldfsir(prldfs, prldf_ages, prldf_type, prldf_ret, Intro!AA22, "Rept", $C58, prldf_cutoff, 3)</f>
        <v>0.98795355103073645</v>
      </c>
      <c r="AK58" s="509">
        <f t="shared" si="49"/>
        <v>0</v>
      </c>
      <c r="AM58" s="504">
        <f t="shared" si="38"/>
        <v>55909.720000000205</v>
      </c>
      <c r="AN58" s="504">
        <f t="shared" ca="1" si="39"/>
        <v>12777.764722577296</v>
      </c>
      <c r="AO58" s="488" t="b">
        <f t="shared" ca="1" si="50"/>
        <v>1</v>
      </c>
    </row>
    <row r="59" spans="1:41" x14ac:dyDescent="0.2">
      <c r="A59" s="493">
        <f t="shared" si="29"/>
        <v>2001</v>
      </c>
      <c r="C59" s="518">
        <f t="shared" si="51"/>
        <v>350000</v>
      </c>
      <c r="E59" s="504">
        <f>'e7'!M54</f>
        <v>1449446.97</v>
      </c>
      <c r="G59" s="502">
        <f ca="1">[1]!ldfsir(ldfs, ldf_ages, ldf_type, ldf_ret, Intro!$AA23, "Rept", $C59, cutoff, 3)</f>
        <v>1.0140626083333828</v>
      </c>
      <c r="I59" s="507">
        <f t="shared" ca="1" si="40"/>
        <v>1469829.9750391184</v>
      </c>
      <c r="K59" s="504">
        <f t="shared" si="41"/>
        <v>91838.194909999977</v>
      </c>
      <c r="M59" s="510">
        <f t="shared" ca="1" si="42"/>
        <v>16.004560809144053</v>
      </c>
      <c r="O59" s="504">
        <f ca="1">'e3.2A'!I59</f>
        <v>1493099.1640623917</v>
      </c>
      <c r="P59" s="505">
        <f t="shared" ca="1" si="43"/>
        <v>1.0158312113771213</v>
      </c>
      <c r="Q59" s="661">
        <f ca="1">E59 + T23</f>
        <v>1461665.6383934908</v>
      </c>
      <c r="R59" s="504">
        <f>'e7'!$K54</f>
        <v>100</v>
      </c>
      <c r="S59" s="364">
        <v>1</v>
      </c>
      <c r="T59" s="504">
        <f t="shared" ca="1" si="31"/>
        <v>12218.668393490836</v>
      </c>
      <c r="U59" s="504">
        <f t="shared" ca="1" si="32"/>
        <v>12218.668393490836</v>
      </c>
      <c r="V59" s="504" t="b">
        <f t="shared" ca="1" si="33"/>
        <v>1</v>
      </c>
      <c r="X59" s="511">
        <v>1461665.6383934908</v>
      </c>
      <c r="Y59" s="361">
        <v>1449446.97</v>
      </c>
      <c r="Z59" s="504">
        <f t="shared" si="44"/>
        <v>0</v>
      </c>
      <c r="AA59" s="507">
        <f t="shared" si="45"/>
        <v>0</v>
      </c>
      <c r="AB59" s="504">
        <f t="shared" si="46"/>
        <v>0</v>
      </c>
      <c r="AC59" s="507">
        <f t="shared" ca="1" si="47"/>
        <v>0</v>
      </c>
      <c r="AD59" s="493" t="b">
        <f t="shared" ca="1" si="48"/>
        <v>1</v>
      </c>
      <c r="AF59" s="507"/>
      <c r="AG59" s="507"/>
      <c r="AI59" s="509">
        <f>1 / [1]!ldfsir(prldfs, prldf_ages, prldf_type, prldf_ret, Intro!Y23, "Rept", $C59, prldf_cutoff, 3)</f>
        <v>0.98613240620665943</v>
      </c>
      <c r="AJ59" s="509">
        <f>1 / [1]!ldfsir(prldfs, prldf_ages, prldf_type, prldf_ret, Intro!AA23, "Rept", $C59, prldf_cutoff, 3)</f>
        <v>0.98613240620665943</v>
      </c>
      <c r="AK59" s="509">
        <f t="shared" si="49"/>
        <v>0</v>
      </c>
      <c r="AM59" s="504">
        <f t="shared" si="38"/>
        <v>0</v>
      </c>
      <c r="AN59" s="504">
        <f t="shared" ca="1" si="39"/>
        <v>0</v>
      </c>
      <c r="AO59" s="488" t="b">
        <f t="shared" ca="1" si="50"/>
        <v>1</v>
      </c>
    </row>
    <row r="60" spans="1:41" x14ac:dyDescent="0.2">
      <c r="A60" s="493">
        <f t="shared" si="29"/>
        <v>2002</v>
      </c>
      <c r="C60" s="518">
        <f t="shared" si="51"/>
        <v>350000</v>
      </c>
      <c r="E60" s="504">
        <f>'e7'!M55</f>
        <v>3458852.65</v>
      </c>
      <c r="G60" s="502">
        <f ca="1">[1]!ldfsir(ldfs, ldf_ages, ldf_type, ldf_ret, Intro!$AA24, "Rept", $C60, cutoff, 3)</f>
        <v>1.016095328322759</v>
      </c>
      <c r="I60" s="507">
        <f t="shared" ca="1" si="40"/>
        <v>3514524.0190217947</v>
      </c>
      <c r="K60" s="504">
        <f t="shared" si="41"/>
        <v>86098.134999999995</v>
      </c>
      <c r="M60" s="510">
        <f t="shared" ca="1" si="42"/>
        <v>40.819978493399361</v>
      </c>
      <c r="O60" s="504">
        <f ca="1">'e3.2A'!I60</f>
        <v>3172989.1574666128</v>
      </c>
      <c r="P60" s="505">
        <f t="shared" ca="1" si="43"/>
        <v>0.90282187297435457</v>
      </c>
      <c r="Q60" s="658">
        <f ca="1">I60</f>
        <v>3514524.0190217947</v>
      </c>
      <c r="R60" s="504">
        <f>'e7'!$K55</f>
        <v>393375.66000000015</v>
      </c>
      <c r="S60" s="364">
        <v>3</v>
      </c>
      <c r="T60" s="504">
        <f t="shared" ca="1" si="31"/>
        <v>55671.369021794759</v>
      </c>
      <c r="U60" s="504">
        <f t="shared" ca="1" si="32"/>
        <v>18557.12300726492</v>
      </c>
      <c r="V60" s="504" t="b">
        <f t="shared" ca="1" si="33"/>
        <v>1</v>
      </c>
      <c r="X60" s="511">
        <v>3514524.0190217947</v>
      </c>
      <c r="Y60" s="361">
        <v>3458852.65</v>
      </c>
      <c r="Z60" s="504">
        <f t="shared" si="44"/>
        <v>0</v>
      </c>
      <c r="AA60" s="507">
        <f t="shared" si="45"/>
        <v>0</v>
      </c>
      <c r="AB60" s="504">
        <f t="shared" si="46"/>
        <v>0</v>
      </c>
      <c r="AC60" s="507">
        <f t="shared" ca="1" si="47"/>
        <v>0</v>
      </c>
      <c r="AD60" s="493" t="b">
        <f t="shared" ca="1" si="48"/>
        <v>1</v>
      </c>
      <c r="AF60" s="507"/>
      <c r="AG60" s="507"/>
      <c r="AI60" s="509">
        <f>1 / [1]!ldfsir(prldfs, prldf_ages, prldf_type, prldf_ret, Intro!Y24, "Rept", $C60, prldf_cutoff, 3)</f>
        <v>0.98415962767063692</v>
      </c>
      <c r="AJ60" s="509">
        <f>1 / [1]!ldfsir(prldfs, prldf_ages, prldf_type, prldf_ret, Intro!AA24, "Rept", $C60, prldf_cutoff, 3)</f>
        <v>0.98415962767063692</v>
      </c>
      <c r="AK60" s="509">
        <f t="shared" si="49"/>
        <v>0</v>
      </c>
      <c r="AM60" s="504">
        <f t="shared" si="38"/>
        <v>200000</v>
      </c>
      <c r="AN60" s="504">
        <f t="shared" ca="1" si="39"/>
        <v>24101.345874832943</v>
      </c>
      <c r="AO60" s="488" t="b">
        <f t="shared" ca="1" si="50"/>
        <v>1</v>
      </c>
    </row>
    <row r="61" spans="1:41" x14ac:dyDescent="0.2">
      <c r="A61" s="493">
        <f t="shared" si="29"/>
        <v>2003</v>
      </c>
      <c r="C61" s="518">
        <f t="shared" si="51"/>
        <v>350000</v>
      </c>
      <c r="E61" s="504">
        <f>'e7'!M56</f>
        <v>1343025.0200000005</v>
      </c>
      <c r="G61" s="502">
        <f ca="1">[1]!ldfsir(ldfs, ldf_ages, ldf_type, ldf_ret, Intro!$AA25, "Rept", $C61, cutoff, 3)</f>
        <v>1.0135698370677138</v>
      </c>
      <c r="I61" s="507">
        <f t="shared" ca="1" si="40"/>
        <v>1361249.6506992634</v>
      </c>
      <c r="K61" s="504">
        <f t="shared" si="41"/>
        <v>95877.160999999993</v>
      </c>
      <c r="M61" s="510">
        <f t="shared" ca="1" si="42"/>
        <v>14.197851047125431</v>
      </c>
      <c r="O61" s="504">
        <f ca="1">'e3.2A'!I61</f>
        <v>1382077.7692894344</v>
      </c>
      <c r="P61" s="505">
        <f t="shared" ca="1" si="43"/>
        <v>1.015300733836348</v>
      </c>
      <c r="Q61" s="657">
        <f>E61</f>
        <v>1343025.0200000005</v>
      </c>
      <c r="R61" s="504">
        <f>'e7'!$K56</f>
        <v>0</v>
      </c>
      <c r="S61" s="361">
        <v>0</v>
      </c>
      <c r="T61" s="504">
        <f t="shared" si="31"/>
        <v>0</v>
      </c>
      <c r="U61" s="504" t="str">
        <f t="shared" si="32"/>
        <v/>
      </c>
      <c r="V61" s="504" t="b">
        <f t="shared" si="33"/>
        <v>1</v>
      </c>
      <c r="X61" s="511">
        <v>1343025.0200000005</v>
      </c>
      <c r="Y61" s="361">
        <v>1343025.0200000005</v>
      </c>
      <c r="Z61" s="504">
        <f t="shared" si="44"/>
        <v>0</v>
      </c>
      <c r="AA61" s="507">
        <f t="shared" si="45"/>
        <v>0</v>
      </c>
      <c r="AB61" s="504">
        <f t="shared" si="46"/>
        <v>0</v>
      </c>
      <c r="AC61" s="507">
        <f t="shared" si="47"/>
        <v>0</v>
      </c>
      <c r="AD61" s="493" t="b">
        <f t="shared" si="48"/>
        <v>1</v>
      </c>
      <c r="AF61" s="361">
        <v>0</v>
      </c>
      <c r="AG61" s="504" t="b">
        <f t="shared" ref="AG61" si="52">AF61&gt;=T61</f>
        <v>1</v>
      </c>
      <c r="AI61" s="509">
        <f>1 / [1]!ldfsir(prldfs, prldf_ages, prldf_type, prldf_ret, Intro!Y25, "Rept", $C61, prldf_cutoff, 3)</f>
        <v>0.98563593108358782</v>
      </c>
      <c r="AJ61" s="509">
        <f>1 / [1]!ldfsir(prldfs, prldf_ages, prldf_type, prldf_ret, Intro!AA25, "Rept", $C61, prldf_cutoff, 3)</f>
        <v>0.98661183810779962</v>
      </c>
      <c r="AK61" s="509">
        <f t="shared" si="49"/>
        <v>6.7940848090525391E-2</v>
      </c>
      <c r="AM61" s="504">
        <f t="shared" si="38"/>
        <v>0</v>
      </c>
      <c r="AN61" s="504">
        <f t="shared" si="39"/>
        <v>0</v>
      </c>
      <c r="AO61" s="488" t="b">
        <f t="shared" si="50"/>
        <v>1</v>
      </c>
    </row>
    <row r="62" spans="1:41" x14ac:dyDescent="0.2">
      <c r="A62" s="493">
        <f t="shared" si="29"/>
        <v>2004</v>
      </c>
      <c r="C62" s="518">
        <f t="shared" si="51"/>
        <v>350000</v>
      </c>
      <c r="E62" s="504">
        <f>'e7'!M57</f>
        <v>2385205.2599999993</v>
      </c>
      <c r="G62" s="502">
        <f ca="1">[1]!ldfsir(ldfs, ldf_ages, ldf_type, ldf_ret, Intro!$AA26, "Rept", $C62, cutoff, 3)</f>
        <v>1.0155760385555581</v>
      </c>
      <c r="I62" s="507">
        <f t="shared" ca="1" si="40"/>
        <v>2422357.3090926795</v>
      </c>
      <c r="K62" s="504">
        <f t="shared" si="41"/>
        <v>102137.68700000001</v>
      </c>
      <c r="M62" s="510">
        <f t="shared" ca="1" si="42"/>
        <v>23.716586700193037</v>
      </c>
      <c r="O62" s="504">
        <f ca="1">'e3.2A'!I62</f>
        <v>2438945.1626365809</v>
      </c>
      <c r="P62" s="505">
        <f t="shared" ca="1" si="43"/>
        <v>1.0068478145159001</v>
      </c>
      <c r="Q62" s="658">
        <f ca="1">I62</f>
        <v>2422357.3090926795</v>
      </c>
      <c r="R62" s="504">
        <f>'e7'!$K57</f>
        <v>25955.969999999739</v>
      </c>
      <c r="S62" s="361">
        <v>1</v>
      </c>
      <c r="T62" s="504">
        <f t="shared" ca="1" si="31"/>
        <v>37152.049092680216</v>
      </c>
      <c r="U62" s="504">
        <f t="shared" ca="1" si="32"/>
        <v>37152.049092680216</v>
      </c>
      <c r="V62" s="504" t="b">
        <f t="shared" ca="1" si="33"/>
        <v>1</v>
      </c>
      <c r="X62" s="511">
        <v>2426486.5821024156</v>
      </c>
      <c r="Y62" s="361">
        <v>2386789.33</v>
      </c>
      <c r="Z62" s="504">
        <f t="shared" si="44"/>
        <v>-1584.0700000007637</v>
      </c>
      <c r="AA62" s="507">
        <f t="shared" si="45"/>
        <v>2481.8717443602654</v>
      </c>
      <c r="AB62" s="504">
        <f t="shared" si="46"/>
        <v>-4065.9417443610291</v>
      </c>
      <c r="AC62" s="507">
        <f t="shared" ca="1" si="47"/>
        <v>-4129.2730097360909</v>
      </c>
      <c r="AD62" s="493" t="b">
        <f t="shared" ca="1" si="48"/>
        <v>1</v>
      </c>
      <c r="AF62" s="361">
        <v>136208.54</v>
      </c>
      <c r="AG62" s="504" t="b">
        <f t="shared" ref="AG62:AG77" ca="1" si="53">AF62&gt;=T62</f>
        <v>1</v>
      </c>
      <c r="AI62" s="509">
        <f>1 / [1]!ldfsir(prldfs, prldf_ages, prldf_type, prldf_ret, Intro!Y26, "Rept", $C62, prldf_cutoff, 3)</f>
        <v>0.98364002818098417</v>
      </c>
      <c r="AJ62" s="509">
        <f>1 / [1]!ldfsir(prldfs, prldf_ages, prldf_type, prldf_ret, Intro!AA26, "Rept", $C62, prldf_cutoff, 3)</f>
        <v>0.98466285343073678</v>
      </c>
      <c r="AK62" s="509">
        <f t="shared" si="49"/>
        <v>6.2519988485783523E-2</v>
      </c>
      <c r="AM62" s="504">
        <f t="shared" si="38"/>
        <v>12089.939999999944</v>
      </c>
      <c r="AN62" s="504">
        <f t="shared" ca="1" si="39"/>
        <v>16804.49405785976</v>
      </c>
      <c r="AO62" s="488" t="b">
        <f t="shared" ca="1" si="50"/>
        <v>1</v>
      </c>
    </row>
    <row r="63" spans="1:41" x14ac:dyDescent="0.2">
      <c r="A63" s="493">
        <f t="shared" si="29"/>
        <v>2005</v>
      </c>
      <c r="C63" s="518">
        <f t="shared" si="51"/>
        <v>350000</v>
      </c>
      <c r="E63" s="504">
        <f>'e7'!M58</f>
        <v>699839.89000000025</v>
      </c>
      <c r="G63" s="502">
        <f ca="1">[1]!ldfsir(ldfs, ldf_ages, ldf_type, ldf_ret, Intro!$AA27, "Rept", $C63, cutoff, 3)</f>
        <v>1.0178251829014258</v>
      </c>
      <c r="I63" s="507">
        <f t="shared" ca="1" si="40"/>
        <v>712314.66404096398</v>
      </c>
      <c r="K63" s="504">
        <f t="shared" si="41"/>
        <v>111292.39200000001</v>
      </c>
      <c r="M63" s="510">
        <f t="shared" ca="1" si="42"/>
        <v>6.4003895615880371</v>
      </c>
      <c r="O63" s="504">
        <f ca="1">'e3.2A'!I63</f>
        <v>727382.56424414425</v>
      </c>
      <c r="P63" s="505">
        <f t="shared" ca="1" si="43"/>
        <v>1.0211534325542311</v>
      </c>
      <c r="Q63" s="657">
        <f>E63</f>
        <v>699839.89000000025</v>
      </c>
      <c r="R63" s="504">
        <f>'e7'!$K58</f>
        <v>0</v>
      </c>
      <c r="S63" s="361">
        <v>0</v>
      </c>
      <c r="T63" s="504">
        <f t="shared" si="31"/>
        <v>0</v>
      </c>
      <c r="U63" s="504" t="str">
        <f t="shared" si="32"/>
        <v/>
      </c>
      <c r="V63" s="504" t="b">
        <f t="shared" si="33"/>
        <v>1</v>
      </c>
      <c r="X63" s="511">
        <v>699839.89000000025</v>
      </c>
      <c r="Y63" s="361">
        <v>699839.89000000025</v>
      </c>
      <c r="Z63" s="504">
        <f t="shared" si="44"/>
        <v>0</v>
      </c>
      <c r="AA63" s="507">
        <f t="shared" si="45"/>
        <v>0</v>
      </c>
      <c r="AB63" s="504">
        <f t="shared" si="46"/>
        <v>0</v>
      </c>
      <c r="AC63" s="507">
        <f t="shared" si="47"/>
        <v>0</v>
      </c>
      <c r="AD63" s="493" t="b">
        <f t="shared" si="48"/>
        <v>1</v>
      </c>
      <c r="AF63" s="361">
        <v>0</v>
      </c>
      <c r="AG63" s="504" t="b">
        <f t="shared" si="53"/>
        <v>1</v>
      </c>
      <c r="AI63" s="509">
        <f>1 / [1]!ldfsir(prldfs, prldf_ages, prldf_type, prldf_ret, Intro!Y27, "Rept", $C63, prldf_cutoff, 3)</f>
        <v>0.98124003942996518</v>
      </c>
      <c r="AJ63" s="509">
        <f>1 / [1]!ldfsir(prldfs, prldf_ages, prldf_type, prldf_ret, Intro!AA27, "Rept", $C63, prldf_cutoff, 3)</f>
        <v>0.98248698971014525</v>
      </c>
      <c r="AK63" s="509">
        <f t="shared" si="49"/>
        <v>6.6468704746203852E-2</v>
      </c>
      <c r="AM63" s="504">
        <f t="shared" si="38"/>
        <v>0</v>
      </c>
      <c r="AN63" s="504">
        <f t="shared" si="39"/>
        <v>0</v>
      </c>
      <c r="AO63" s="488" t="b">
        <f t="shared" si="50"/>
        <v>1</v>
      </c>
    </row>
    <row r="64" spans="1:41" x14ac:dyDescent="0.2">
      <c r="A64" s="493">
        <f t="shared" si="29"/>
        <v>2006</v>
      </c>
      <c r="C64" s="518">
        <f t="shared" si="51"/>
        <v>350000</v>
      </c>
      <c r="E64" s="504">
        <f>'e7'!M59</f>
        <v>2005481.3700000008</v>
      </c>
      <c r="G64" s="502">
        <f ca="1">[1]!ldfsir(ldfs, ldf_ages, ldf_type, ldf_ret, Intro!$AA28, "Rept", $C64, cutoff, 3)</f>
        <v>1.0205016212813123</v>
      </c>
      <c r="I64" s="507">
        <f t="shared" ca="1" si="40"/>
        <v>2046596.9895344682</v>
      </c>
      <c r="K64" s="504">
        <f t="shared" si="41"/>
        <v>107756.82399999999</v>
      </c>
      <c r="M64" s="510">
        <f t="shared" ca="1" si="42"/>
        <v>18.992736734097399</v>
      </c>
      <c r="O64" s="504">
        <f ca="1">'e3.2A'!I64</f>
        <v>2097646.3215761879</v>
      </c>
      <c r="P64" s="505">
        <f t="shared" ca="1" si="43"/>
        <v>1.024943519560894</v>
      </c>
      <c r="Q64" s="657">
        <f>E64</f>
        <v>2005481.3700000008</v>
      </c>
      <c r="R64" s="504">
        <f>'e7'!$K59</f>
        <v>0</v>
      </c>
      <c r="S64" s="361">
        <v>0</v>
      </c>
      <c r="T64" s="504">
        <f t="shared" si="31"/>
        <v>0</v>
      </c>
      <c r="U64" s="504" t="str">
        <f t="shared" si="32"/>
        <v/>
      </c>
      <c r="V64" s="504" t="b">
        <f t="shared" si="33"/>
        <v>1</v>
      </c>
      <c r="X64" s="511">
        <v>2005481.3700000008</v>
      </c>
      <c r="Y64" s="361">
        <v>2005481.3700000008</v>
      </c>
      <c r="Z64" s="504">
        <f t="shared" si="44"/>
        <v>0</v>
      </c>
      <c r="AA64" s="507">
        <f t="shared" si="45"/>
        <v>0</v>
      </c>
      <c r="AB64" s="504">
        <f t="shared" si="46"/>
        <v>0</v>
      </c>
      <c r="AC64" s="507">
        <f t="shared" si="47"/>
        <v>0</v>
      </c>
      <c r="AD64" s="493" t="b">
        <f t="shared" si="48"/>
        <v>1</v>
      </c>
      <c r="AF64" s="361">
        <v>0</v>
      </c>
      <c r="AG64" s="504" t="b">
        <f t="shared" si="53"/>
        <v>1</v>
      </c>
      <c r="AI64" s="509">
        <f>1 / [1]!ldfsir(prldfs, prldf_ages, prldf_type, prldf_ret, Intro!Y28, "Rept", $C64, prldf_cutoff, 3)</f>
        <v>0.97848831654643331</v>
      </c>
      <c r="AJ64" s="509">
        <f>1 / [1]!ldfsir(prldfs, prldf_ages, prldf_type, prldf_ret, Intro!AA28, "Rept", $C64, prldf_cutoff, 3)</f>
        <v>0.97991025114142272</v>
      </c>
      <c r="AK64" s="509">
        <f t="shared" si="49"/>
        <v>6.610057265200435E-2</v>
      </c>
      <c r="AM64" s="504">
        <f t="shared" si="38"/>
        <v>0</v>
      </c>
      <c r="AN64" s="504">
        <f t="shared" si="39"/>
        <v>0</v>
      </c>
      <c r="AO64" s="488" t="b">
        <f t="shared" si="50"/>
        <v>1</v>
      </c>
    </row>
    <row r="65" spans="1:42" x14ac:dyDescent="0.2">
      <c r="A65" s="493">
        <f t="shared" si="29"/>
        <v>2007</v>
      </c>
      <c r="C65" s="518">
        <f t="shared" si="51"/>
        <v>350000</v>
      </c>
      <c r="E65" s="504">
        <f>'e7'!M60</f>
        <v>1099670.4199999997</v>
      </c>
      <c r="G65" s="502">
        <f ca="1">[1]!ldfsir(ldfs, ldf_ages, ldf_type, ldf_ret, Intro!$AA29, "Rept", $C65, cutoff, 3)</f>
        <v>1.0235775552606274</v>
      </c>
      <c r="I65" s="507">
        <f t="shared" ca="1" si="40"/>
        <v>1125597.960096027</v>
      </c>
      <c r="K65" s="504">
        <f t="shared" si="41"/>
        <v>104584.102</v>
      </c>
      <c r="M65" s="510">
        <f t="shared" ca="1" si="42"/>
        <v>10.76261055524507</v>
      </c>
      <c r="O65" s="504">
        <f ca="1">'e3.2A'!I65</f>
        <v>1158420.6088740246</v>
      </c>
      <c r="P65" s="505">
        <f t="shared" ca="1" si="43"/>
        <v>1.0291601885767432</v>
      </c>
      <c r="Q65" s="657">
        <f>E65</f>
        <v>1099670.4199999997</v>
      </c>
      <c r="R65" s="504">
        <f>'e7'!$K60</f>
        <v>0</v>
      </c>
      <c r="S65" s="361">
        <v>0</v>
      </c>
      <c r="T65" s="504">
        <f t="shared" si="31"/>
        <v>0</v>
      </c>
      <c r="U65" s="504" t="str">
        <f t="shared" si="32"/>
        <v/>
      </c>
      <c r="V65" s="504" t="b">
        <f t="shared" si="33"/>
        <v>1</v>
      </c>
      <c r="X65" s="511">
        <v>1099670.4199999997</v>
      </c>
      <c r="Y65" s="361">
        <v>1099670.4199999997</v>
      </c>
      <c r="Z65" s="504">
        <f t="shared" si="44"/>
        <v>0</v>
      </c>
      <c r="AA65" s="507">
        <f t="shared" si="45"/>
        <v>0</v>
      </c>
      <c r="AB65" s="504">
        <f t="shared" si="46"/>
        <v>0</v>
      </c>
      <c r="AC65" s="507">
        <f t="shared" si="47"/>
        <v>0</v>
      </c>
      <c r="AD65" s="493" t="b">
        <f t="shared" si="48"/>
        <v>1</v>
      </c>
      <c r="AF65" s="361">
        <v>0</v>
      </c>
      <c r="AG65" s="504" t="b">
        <f t="shared" si="53"/>
        <v>1</v>
      </c>
      <c r="AI65" s="509">
        <f>1 / [1]!ldfsir(prldfs, prldf_ages, prldf_type, prldf_ret, Intro!Y29, "Rept", $C65, prldf_cutoff, 3)</f>
        <v>0.97533603907945809</v>
      </c>
      <c r="AJ65" s="509">
        <f>1 / [1]!ldfsir(prldfs, prldf_ages, prldf_type, prldf_ret, Intro!AA29, "Rept", $C65, prldf_cutoff, 3)</f>
        <v>0.97696554097004962</v>
      </c>
      <c r="AK65" s="509">
        <f t="shared" si="49"/>
        <v>6.6068134629355388E-2</v>
      </c>
      <c r="AM65" s="504">
        <f t="shared" si="38"/>
        <v>0</v>
      </c>
      <c r="AN65" s="504">
        <f t="shared" si="39"/>
        <v>0</v>
      </c>
      <c r="AO65" s="488" t="b">
        <f t="shared" si="50"/>
        <v>1</v>
      </c>
    </row>
    <row r="66" spans="1:42" x14ac:dyDescent="0.2">
      <c r="A66" s="493">
        <f t="shared" si="29"/>
        <v>2008</v>
      </c>
      <c r="C66" s="518">
        <f t="shared" si="51"/>
        <v>350000</v>
      </c>
      <c r="E66" s="504">
        <f>'e7'!M61</f>
        <v>766269.99000000011</v>
      </c>
      <c r="G66" s="502">
        <f ca="1">[1]!ldfsir(ldfs, ldf_ages, ldf_type, ldf_ret, Intro!$AA30, "Rept", $C66, cutoff, 3)</f>
        <v>1.0271481384251386</v>
      </c>
      <c r="I66" s="507">
        <f t="shared" ca="1" si="40"/>
        <v>787072.79375954974</v>
      </c>
      <c r="K66" s="504">
        <f t="shared" si="41"/>
        <v>106050.29700000001</v>
      </c>
      <c r="M66" s="510">
        <f t="shared" ca="1" si="42"/>
        <v>7.4216934419292544</v>
      </c>
      <c r="O66" s="504">
        <f ca="1">'e3.2A'!I66</f>
        <v>813644.71764933551</v>
      </c>
      <c r="P66" s="505">
        <f t="shared" ca="1" si="43"/>
        <v>1.0337604400767835</v>
      </c>
      <c r="Q66" s="657">
        <f>E66</f>
        <v>766269.99000000011</v>
      </c>
      <c r="R66" s="504">
        <f>'e7'!$K61</f>
        <v>0</v>
      </c>
      <c r="S66" s="361">
        <v>0</v>
      </c>
      <c r="T66" s="504">
        <f t="shared" si="31"/>
        <v>0</v>
      </c>
      <c r="U66" s="504" t="str">
        <f t="shared" si="32"/>
        <v/>
      </c>
      <c r="V66" s="504" t="b">
        <f t="shared" si="33"/>
        <v>1</v>
      </c>
      <c r="X66" s="511">
        <v>766269.99000000011</v>
      </c>
      <c r="Y66" s="361">
        <v>766269.99000000011</v>
      </c>
      <c r="Z66" s="504">
        <f t="shared" si="44"/>
        <v>0</v>
      </c>
      <c r="AA66" s="507">
        <f t="shared" si="45"/>
        <v>0</v>
      </c>
      <c r="AB66" s="504">
        <f t="shared" si="46"/>
        <v>0</v>
      </c>
      <c r="AC66" s="507">
        <f t="shared" si="47"/>
        <v>0</v>
      </c>
      <c r="AD66" s="493" t="b">
        <f t="shared" si="48"/>
        <v>1</v>
      </c>
      <c r="AF66" s="361">
        <v>0</v>
      </c>
      <c r="AG66" s="504" t="b">
        <f t="shared" si="53"/>
        <v>1</v>
      </c>
      <c r="AI66" s="509">
        <f>1 / [1]!ldfsir(prldfs, prldf_ages, prldf_type, prldf_ret, Intro!Y30, "Rept", $C66, prldf_cutoff, 3)</f>
        <v>0.97167305508167834</v>
      </c>
      <c r="AJ66" s="509">
        <f>1 / [1]!ldfsir(prldfs, prldf_ages, prldf_type, prldf_ret, Intro!AA30, "Rept", $C66, prldf_cutoff, 3)</f>
        <v>0.97356940307873907</v>
      </c>
      <c r="AK66" s="509">
        <f t="shared" si="49"/>
        <v>6.6945023634870982E-2</v>
      </c>
      <c r="AM66" s="504">
        <f t="shared" si="38"/>
        <v>0</v>
      </c>
      <c r="AN66" s="504">
        <f t="shared" si="39"/>
        <v>0</v>
      </c>
      <c r="AO66" s="488" t="b">
        <f t="shared" si="50"/>
        <v>1</v>
      </c>
    </row>
    <row r="67" spans="1:42" x14ac:dyDescent="0.2">
      <c r="A67" s="493">
        <f t="shared" si="29"/>
        <v>2009</v>
      </c>
      <c r="C67" s="518">
        <f t="shared" si="51"/>
        <v>350000</v>
      </c>
      <c r="E67" s="504">
        <f>'e7'!M62</f>
        <v>1732294.4700000004</v>
      </c>
      <c r="G67" s="502">
        <f ca="1">[1]!ldfsir(ldfs, ldf_ages, ldf_type, ldf_ret, Intro!$AA31, "Rept", $C67, cutoff, 3)</f>
        <v>1.0313233503618813</v>
      </c>
      <c r="I67" s="507">
        <f t="shared" ca="1" si="40"/>
        <v>1786555.7366137598</v>
      </c>
      <c r="K67" s="504">
        <f t="shared" si="41"/>
        <v>110722.705</v>
      </c>
      <c r="M67" s="510">
        <f t="shared" ca="1" si="42"/>
        <v>16.135405440227998</v>
      </c>
      <c r="O67" s="504">
        <f ca="1">'e3.2A'!I67</f>
        <v>1729991.1435005919</v>
      </c>
      <c r="P67" s="505">
        <f t="shared" ca="1" si="43"/>
        <v>0.96833874703490608</v>
      </c>
      <c r="Q67" s="658">
        <f ca="1">I67</f>
        <v>1786555.7366137598</v>
      </c>
      <c r="R67" s="504">
        <f>'e7'!$K62</f>
        <v>117912.80000000005</v>
      </c>
      <c r="S67" s="361">
        <v>1</v>
      </c>
      <c r="T67" s="504">
        <f t="shared" ca="1" si="31"/>
        <v>54261.266613759333</v>
      </c>
      <c r="U67" s="504">
        <f t="shared" ca="1" si="32"/>
        <v>54261.266613759333</v>
      </c>
      <c r="V67" s="504" t="b">
        <f t="shared" ca="1" si="33"/>
        <v>1</v>
      </c>
      <c r="X67" s="511">
        <v>1772724.9110424973</v>
      </c>
      <c r="Y67" s="361">
        <v>1714995.4700000004</v>
      </c>
      <c r="Z67" s="504">
        <f t="shared" si="44"/>
        <v>17299</v>
      </c>
      <c r="AA67" s="507">
        <f t="shared" si="45"/>
        <v>3888.2442303281568</v>
      </c>
      <c r="AB67" s="504">
        <f t="shared" si="46"/>
        <v>13410.755769671843</v>
      </c>
      <c r="AC67" s="507">
        <f t="shared" ca="1" si="47"/>
        <v>13830.82557126251</v>
      </c>
      <c r="AD67" s="493" t="b">
        <f t="shared" ca="1" si="48"/>
        <v>1</v>
      </c>
      <c r="AF67" s="361">
        <v>57927</v>
      </c>
      <c r="AG67" s="504" t="b">
        <f t="shared" ca="1" si="53"/>
        <v>1</v>
      </c>
      <c r="AI67" s="509">
        <f>1 / [1]!ldfsir(prldfs, prldf_ages, prldf_type, prldf_ret, Intro!Y31, "Rept", $C67, prldf_cutoff, 3)</f>
        <v>0.96743463089907866</v>
      </c>
      <c r="AJ67" s="509">
        <f>1 / [1]!ldfsir(prldfs, prldf_ages, prldf_type, prldf_ret, Intro!AA31, "Rept", $C67, prldf_cutoff, 3)</f>
        <v>0.96962800236134439</v>
      </c>
      <c r="AK67" s="509">
        <f t="shared" si="49"/>
        <v>6.7352881997694611E-2</v>
      </c>
      <c r="AM67" s="504">
        <f t="shared" si="38"/>
        <v>42073</v>
      </c>
      <c r="AN67" s="504">
        <f t="shared" ca="1" si="39"/>
        <v>54261.266613759333</v>
      </c>
      <c r="AO67" s="488" t="b">
        <f t="shared" ca="1" si="50"/>
        <v>1</v>
      </c>
    </row>
    <row r="68" spans="1:42" x14ac:dyDescent="0.2">
      <c r="A68" s="493">
        <f t="shared" si="29"/>
        <v>2010</v>
      </c>
      <c r="C68" s="518">
        <f t="shared" si="51"/>
        <v>350000</v>
      </c>
      <c r="E68" s="504">
        <f>'e7'!M63</f>
        <v>1200315.5200000003</v>
      </c>
      <c r="G68" s="502">
        <f ca="1">[1]!ldfsir(ldfs, ldf_ages, ldf_type, ldf_ret, Intro!$AA32, "Rept", $C68, cutoff, 3)</f>
        <v>1.0362245484100314</v>
      </c>
      <c r="I68" s="507">
        <f t="shared" ca="1" si="40"/>
        <v>1243796.4076615523</v>
      </c>
      <c r="K68" s="504">
        <f t="shared" si="41"/>
        <v>128222.10400000001</v>
      </c>
      <c r="M68" s="510">
        <f t="shared" ca="1" si="42"/>
        <v>9.7003275477491169</v>
      </c>
      <c r="O68" s="504">
        <f ca="1">'e3.2A'!I68</f>
        <v>1281730.8290853081</v>
      </c>
      <c r="P68" s="505">
        <f t="shared" ca="1" si="43"/>
        <v>1.0304988993295743</v>
      </c>
      <c r="Q68" s="661">
        <f ca="1">E68 + T32</f>
        <v>1232465.5338992665</v>
      </c>
      <c r="R68" s="504">
        <f>'e7'!$K63</f>
        <v>17136.330000000075</v>
      </c>
      <c r="S68" s="361">
        <v>1</v>
      </c>
      <c r="T68" s="504">
        <f t="shared" ca="1" si="31"/>
        <v>32150.013899266254</v>
      </c>
      <c r="U68" s="504">
        <f t="shared" ca="1" si="32"/>
        <v>32150.013899266254</v>
      </c>
      <c r="V68" s="504" t="b">
        <f t="shared" ca="1" si="33"/>
        <v>1</v>
      </c>
      <c r="X68" s="511">
        <v>1222085.4335254533</v>
      </c>
      <c r="Y68" s="361">
        <v>1187635.5200000003</v>
      </c>
      <c r="Z68" s="504">
        <f t="shared" si="44"/>
        <v>12680</v>
      </c>
      <c r="AA68" s="507">
        <f t="shared" si="45"/>
        <v>2363.1658080234233</v>
      </c>
      <c r="AB68" s="504">
        <f t="shared" si="46"/>
        <v>10316.834191976577</v>
      </c>
      <c r="AC68" s="507">
        <f t="shared" ca="1" si="47"/>
        <v>10380.100373813184</v>
      </c>
      <c r="AD68" s="493" t="b">
        <f t="shared" ca="1" si="48"/>
        <v>1</v>
      </c>
      <c r="AF68" s="361">
        <v>156099.52000000002</v>
      </c>
      <c r="AG68" s="504" t="b">
        <f t="shared" ca="1" si="53"/>
        <v>1</v>
      </c>
      <c r="AI68" s="509">
        <f>1 / [1]!ldfsir(prldfs, prldf_ages, prldf_type, prldf_ret, Intro!Y32, "Rept", $C68, prldf_cutoff, 3)</f>
        <v>0.96246715027941765</v>
      </c>
      <c r="AJ68" s="509">
        <f>1 / [1]!ldfsir(prldfs, prldf_ages, prldf_type, prldf_ret, Intro!AA32, "Rept", $C68, prldf_cutoff, 3)</f>
        <v>0.9650417967171171</v>
      </c>
      <c r="AK68" s="509">
        <f t="shared" si="49"/>
        <v>6.8597147748351101E-2</v>
      </c>
      <c r="AM68" s="504">
        <f t="shared" si="38"/>
        <v>0</v>
      </c>
      <c r="AN68" s="504">
        <f t="shared" ca="1" si="39"/>
        <v>0</v>
      </c>
      <c r="AO68" s="488" t="b">
        <f t="shared" ca="1" si="50"/>
        <v>1</v>
      </c>
    </row>
    <row r="69" spans="1:42" x14ac:dyDescent="0.2">
      <c r="A69" s="493">
        <f t="shared" si="29"/>
        <v>2011</v>
      </c>
      <c r="C69" s="518">
        <f t="shared" si="51"/>
        <v>350000</v>
      </c>
      <c r="E69" s="504">
        <f>'e7'!M64</f>
        <v>1212882.8100000003</v>
      </c>
      <c r="G69" s="502">
        <f ca="1">[1]!ldfsir(ldfs, ldf_ages, ldf_type, ldf_ret, Intro!$AA33, "Rept", $C69, cutoff, 3)</f>
        <v>1.0422815166016639</v>
      </c>
      <c r="I69" s="507">
        <f t="shared" ca="1" si="40"/>
        <v>1264165.334666888</v>
      </c>
      <c r="K69" s="504">
        <f t="shared" si="41"/>
        <v>143214.37400000001</v>
      </c>
      <c r="M69" s="510">
        <f t="shared" ca="1" si="42"/>
        <v>8.8270841770874746</v>
      </c>
      <c r="O69" s="504">
        <f ca="1">'e3.2A'!I69</f>
        <v>1331008.2180937943</v>
      </c>
      <c r="P69" s="505">
        <f t="shared" ca="1" si="43"/>
        <v>1.0528751118179647</v>
      </c>
      <c r="Q69" s="657">
        <f>E69</f>
        <v>1212882.8100000003</v>
      </c>
      <c r="R69" s="504">
        <f>'e7'!$K64</f>
        <v>0</v>
      </c>
      <c r="S69" s="361">
        <v>0</v>
      </c>
      <c r="T69" s="504">
        <f t="shared" si="31"/>
        <v>0</v>
      </c>
      <c r="U69" s="504" t="str">
        <f t="shared" si="32"/>
        <v/>
      </c>
      <c r="V69" s="504" t="b">
        <f t="shared" si="33"/>
        <v>1</v>
      </c>
      <c r="X69" s="511">
        <v>1212815.81</v>
      </c>
      <c r="Y69" s="361">
        <v>1212815.81</v>
      </c>
      <c r="Z69" s="504">
        <f t="shared" si="44"/>
        <v>67.000000000232831</v>
      </c>
      <c r="AA69" s="507">
        <f t="shared" si="45"/>
        <v>0</v>
      </c>
      <c r="AB69" s="504">
        <f t="shared" si="46"/>
        <v>67.000000000232831</v>
      </c>
      <c r="AC69" s="507">
        <f t="shared" si="47"/>
        <v>67.000000000232831</v>
      </c>
      <c r="AD69" s="493" t="b">
        <f t="shared" si="48"/>
        <v>1</v>
      </c>
      <c r="AF69" s="361">
        <v>0</v>
      </c>
      <c r="AG69" s="504" t="b">
        <f t="shared" si="53"/>
        <v>1</v>
      </c>
      <c r="AI69" s="509">
        <f>1 / [1]!ldfsir(prldfs, prldf_ages, prldf_type, prldf_ret, Intro!Y33, "Rept", $C69, prldf_cutoff, 3)</f>
        <v>0.95610151151332723</v>
      </c>
      <c r="AJ69" s="509">
        <f>1 / [1]!ldfsir(prldfs, prldf_ages, prldf_type, prldf_ret, Intro!AA33, "Rept", $C69, prldf_cutoff, 3)</f>
        <v>0.95943368856859146</v>
      </c>
      <c r="AK69" s="509">
        <f t="shared" si="49"/>
        <v>7.5906418879908621E-2</v>
      </c>
      <c r="AM69" s="504">
        <f t="shared" si="38"/>
        <v>0</v>
      </c>
      <c r="AN69" s="504">
        <f t="shared" si="39"/>
        <v>0</v>
      </c>
      <c r="AO69" s="488" t="b">
        <f t="shared" si="50"/>
        <v>1</v>
      </c>
    </row>
    <row r="70" spans="1:42" x14ac:dyDescent="0.2">
      <c r="A70" s="493">
        <f t="shared" si="29"/>
        <v>2012</v>
      </c>
      <c r="C70" s="518">
        <f t="shared" si="51"/>
        <v>350000</v>
      </c>
      <c r="E70" s="504">
        <f>'e7'!M65</f>
        <v>1928733.7599999993</v>
      </c>
      <c r="G70" s="502">
        <f ca="1">[1]!ldfsir(ldfs, ldf_ages, ldf_type, ldf_ret, Intro!$AA34, "Rept", $C70, cutoff, 3)</f>
        <v>1.0499656909112034</v>
      </c>
      <c r="I70" s="507">
        <f t="shared" ca="1" si="40"/>
        <v>2025104.2749021624</v>
      </c>
      <c r="K70" s="504">
        <f t="shared" si="41"/>
        <v>145569.85699999999</v>
      </c>
      <c r="M70" s="510">
        <f t="shared" ca="1" si="42"/>
        <v>13.911563263417664</v>
      </c>
      <c r="O70" s="504">
        <f ca="1">'e3.2A'!I70</f>
        <v>2148145.3190831309</v>
      </c>
      <c r="P70" s="505">
        <f t="shared" ca="1" si="43"/>
        <v>1.0607578808192053</v>
      </c>
      <c r="Q70" s="657">
        <f t="shared" ref="Q70" si="54">E70</f>
        <v>1928733.7599999993</v>
      </c>
      <c r="R70" s="504">
        <f>'e7'!$K65</f>
        <v>2930.5</v>
      </c>
      <c r="S70" s="361">
        <v>0</v>
      </c>
      <c r="T70" s="504">
        <f t="shared" si="31"/>
        <v>0</v>
      </c>
      <c r="U70" s="504" t="str">
        <f t="shared" si="32"/>
        <v/>
      </c>
      <c r="V70" s="504" t="b">
        <f t="shared" si="33"/>
        <v>1</v>
      </c>
      <c r="X70" s="511">
        <v>1928669.29</v>
      </c>
      <c r="Y70" s="361">
        <v>1926182.29</v>
      </c>
      <c r="Z70" s="504">
        <f t="shared" si="44"/>
        <v>2551.4699999992736</v>
      </c>
      <c r="AA70" s="507">
        <f t="shared" si="45"/>
        <v>193.3090074120351</v>
      </c>
      <c r="AB70" s="504">
        <f t="shared" si="46"/>
        <v>2358.1609925872385</v>
      </c>
      <c r="AC70" s="507">
        <f t="shared" si="47"/>
        <v>64.469999999273568</v>
      </c>
      <c r="AD70" s="493" t="b">
        <f t="shared" si="48"/>
        <v>1</v>
      </c>
      <c r="AF70" s="361">
        <v>0</v>
      </c>
      <c r="AG70" s="504" t="b">
        <f t="shared" si="53"/>
        <v>1</v>
      </c>
      <c r="AI70" s="509">
        <f>1 / [1]!ldfsir(prldfs, prldf_ages, prldf_type, prldf_ret, Intro!Y34, "Rept", $C70, prldf_cutoff, 3)</f>
        <v>0.94840143007650457</v>
      </c>
      <c r="AJ70" s="509">
        <f>1 / [1]!ldfsir(prldfs, prldf_ages, prldf_type, prldf_ret, Intro!AA34, "Rept", $C70, prldf_cutoff, 3)</f>
        <v>0.95241207275273754</v>
      </c>
      <c r="AK70" s="509">
        <f t="shared" si="49"/>
        <v>7.7727787459603986E-2</v>
      </c>
      <c r="AM70" s="504">
        <f t="shared" si="38"/>
        <v>2930.5</v>
      </c>
      <c r="AN70" s="504">
        <f t="shared" si="39"/>
        <v>0</v>
      </c>
      <c r="AO70" s="668" t="b">
        <f t="shared" si="50"/>
        <v>0</v>
      </c>
      <c r="AP70" s="667" t="s">
        <v>752</v>
      </c>
    </row>
    <row r="71" spans="1:42" x14ac:dyDescent="0.2">
      <c r="A71" s="493">
        <f t="shared" si="29"/>
        <v>2013</v>
      </c>
      <c r="C71" s="518">
        <f t="shared" si="51"/>
        <v>350000</v>
      </c>
      <c r="E71" s="504">
        <f>'e7'!M66</f>
        <v>1956047.24</v>
      </c>
      <c r="G71" s="502">
        <f ca="1">[1]!ldfsir(ldfs, ldf_ages, ldf_type, ldf_ret, Intro!$AA35, "Rept", $C71, cutoff, 3)</f>
        <v>1.0595290073165606</v>
      </c>
      <c r="I71" s="507">
        <f t="shared" ca="1" si="40"/>
        <v>2072488.7904614983</v>
      </c>
      <c r="K71" s="504">
        <f t="shared" si="41"/>
        <v>157968.50285000002</v>
      </c>
      <c r="M71" s="510">
        <f t="shared" ca="1" si="42"/>
        <v>13.119633047541402</v>
      </c>
      <c r="O71" s="504">
        <f ca="1">'e3.2A'!I71</f>
        <v>2180015.3621562435</v>
      </c>
      <c r="P71" s="505">
        <f t="shared" ca="1" si="43"/>
        <v>1.0518828242592335</v>
      </c>
      <c r="Q71" s="661">
        <f ca="1">E71 + T35</f>
        <v>2043820.757447863</v>
      </c>
      <c r="R71" s="504">
        <f>'e7'!$K66</f>
        <v>44680.64000000013</v>
      </c>
      <c r="S71" s="361">
        <v>2</v>
      </c>
      <c r="T71" s="504">
        <f t="shared" ca="1" si="31"/>
        <v>87773.517447863007</v>
      </c>
      <c r="U71" s="504">
        <f t="shared" ca="1" si="32"/>
        <v>43886.758723931503</v>
      </c>
      <c r="V71" s="504" t="b">
        <f t="shared" ca="1" si="33"/>
        <v>1</v>
      </c>
      <c r="X71" s="511">
        <v>2044103.4893013441</v>
      </c>
      <c r="Y71" s="361">
        <v>1947334.3199999994</v>
      </c>
      <c r="Z71" s="504">
        <f t="shared" si="44"/>
        <v>8712.920000000624</v>
      </c>
      <c r="AA71" s="507">
        <f t="shared" si="45"/>
        <v>7957.2307236427796</v>
      </c>
      <c r="AB71" s="504">
        <f t="shared" si="46"/>
        <v>755.68927635784439</v>
      </c>
      <c r="AC71" s="507">
        <f t="shared" ca="1" si="47"/>
        <v>-282.7318534811493</v>
      </c>
      <c r="AD71" s="493" t="b">
        <f t="shared" ca="1" si="48"/>
        <v>0</v>
      </c>
      <c r="AF71" s="361">
        <v>534108</v>
      </c>
      <c r="AG71" s="504" t="b">
        <f t="shared" ca="1" si="53"/>
        <v>1</v>
      </c>
      <c r="AI71" s="509">
        <f>1 / [1]!ldfsir(prldfs, prldf_ages, prldf_type, prldf_ret, Intro!Y35, "Rept", $C71, prldf_cutoff, 3)</f>
        <v>0.9387816736280542</v>
      </c>
      <c r="AJ71" s="509">
        <f>1 / [1]!ldfsir(prldfs, prldf_ages, prldf_type, prldf_ret, Intro!AA35, "Rept", $C71, prldf_cutoff, 3)</f>
        <v>0.94381559456561948</v>
      </c>
      <c r="AK71" s="509">
        <f t="shared" si="49"/>
        <v>8.2228986577982333E-2</v>
      </c>
      <c r="AM71" s="504">
        <f t="shared" si="38"/>
        <v>0</v>
      </c>
      <c r="AN71" s="504">
        <f t="shared" ca="1" si="39"/>
        <v>0</v>
      </c>
      <c r="AO71" s="488" t="b">
        <f t="shared" ca="1" si="50"/>
        <v>1</v>
      </c>
    </row>
    <row r="72" spans="1:42" x14ac:dyDescent="0.2">
      <c r="A72" s="493">
        <f t="shared" si="29"/>
        <v>2014</v>
      </c>
      <c r="C72" s="518">
        <f t="shared" si="51"/>
        <v>350000</v>
      </c>
      <c r="E72" s="504">
        <f>'e7'!M67</f>
        <v>2275241.92</v>
      </c>
      <c r="G72" s="502">
        <f ca="1">[1]!ldfsir(ldfs, ldf_ages, ldf_type, ldf_ret, Intro!$AA36, "Rept", $C72, cutoff, 3)</f>
        <v>1.0719341354975076</v>
      </c>
      <c r="I72" s="507">
        <f t="shared" ca="1" si="40"/>
        <v>2438909.4805628895</v>
      </c>
      <c r="K72" s="504">
        <f t="shared" si="41"/>
        <v>182546.24444841431</v>
      </c>
      <c r="M72" s="510">
        <f t="shared" ca="1" si="42"/>
        <v>13.360502090483161</v>
      </c>
      <c r="O72" s="504">
        <f ca="1">'e3.2A'!I72</f>
        <v>2675644.1045509083</v>
      </c>
      <c r="P72" s="505">
        <f t="shared" ca="1" si="43"/>
        <v>1.0970657688916694</v>
      </c>
      <c r="Q72" s="657">
        <f>E72</f>
        <v>2275241.92</v>
      </c>
      <c r="R72" s="504">
        <f>'e7'!$K67</f>
        <v>0</v>
      </c>
      <c r="S72" s="361">
        <v>0</v>
      </c>
      <c r="T72" s="504">
        <f t="shared" si="31"/>
        <v>0</v>
      </c>
      <c r="U72" s="504" t="str">
        <f t="shared" si="32"/>
        <v/>
      </c>
      <c r="V72" s="504" t="b">
        <f t="shared" si="33"/>
        <v>1</v>
      </c>
      <c r="X72" s="511">
        <v>2275068.2200000002</v>
      </c>
      <c r="Y72" s="361">
        <v>2275068.2200000002</v>
      </c>
      <c r="Z72" s="504">
        <f t="shared" si="44"/>
        <v>173.6999999997206</v>
      </c>
      <c r="AA72" s="507">
        <f t="shared" si="45"/>
        <v>0</v>
      </c>
      <c r="AB72" s="504">
        <f t="shared" si="46"/>
        <v>173.6999999997206</v>
      </c>
      <c r="AC72" s="507">
        <f t="shared" si="47"/>
        <v>173.6999999997206</v>
      </c>
      <c r="AD72" s="493" t="b">
        <f t="shared" si="48"/>
        <v>1</v>
      </c>
      <c r="AF72" s="361">
        <v>0</v>
      </c>
      <c r="AG72" s="504" t="b">
        <f t="shared" si="53"/>
        <v>1</v>
      </c>
      <c r="AI72" s="509">
        <f>1 / [1]!ldfsir(prldfs, prldf_ages, prldf_type, prldf_ret, Intro!Y36, "Rept", $C72, prldf_cutoff, 3)</f>
        <v>0.92636869909126063</v>
      </c>
      <c r="AJ72" s="509">
        <f>1 / [1]!ldfsir(prldfs, prldf_ages, prldf_type, prldf_ret, Intro!AA36, "Rept", $C72, prldf_cutoff, 3)</f>
        <v>0.93289313856571865</v>
      </c>
      <c r="AK72" s="509">
        <f t="shared" si="49"/>
        <v>8.8609591219155404E-2</v>
      </c>
      <c r="AM72" s="504">
        <f t="shared" ref="AM72:AM76" si="55">R72-R36</f>
        <v>0</v>
      </c>
      <c r="AN72" s="504">
        <f t="shared" ref="AN72:AN76" si="56">T72-T36</f>
        <v>0</v>
      </c>
      <c r="AO72" s="488" t="b">
        <f t="shared" ref="AO72:AO74" si="57">IF(AM72=0,AN72=0,AN72&gt;0)</f>
        <v>1</v>
      </c>
    </row>
    <row r="73" spans="1:42" x14ac:dyDescent="0.2">
      <c r="A73" s="493">
        <f t="shared" si="29"/>
        <v>2015</v>
      </c>
      <c r="C73" s="518">
        <f t="shared" si="51"/>
        <v>350000</v>
      </c>
      <c r="E73" s="504">
        <f>'e7'!M68</f>
        <v>3238342.4400000018</v>
      </c>
      <c r="G73" s="502">
        <f ca="1">[1]!ldfsir(ldfs, ldf_ages, ldf_type, ldf_ret, Intro!$AA37, "Rept", $C73, cutoff, 3)</f>
        <v>1.092224287399681</v>
      </c>
      <c r="I73" s="507">
        <f t="shared" ca="1" si="40"/>
        <v>3536996.2638851465</v>
      </c>
      <c r="K73" s="504">
        <f t="shared" si="41"/>
        <v>196912.10476000005</v>
      </c>
      <c r="M73" s="510">
        <f t="shared" ca="1" si="42"/>
        <v>17.962309976809703</v>
      </c>
      <c r="O73" s="504">
        <f ca="1">'e3.2A'!I73</f>
        <v>3459127.2085334067</v>
      </c>
      <c r="P73" s="505">
        <f t="shared" ca="1" si="43"/>
        <v>0.97798441119465418</v>
      </c>
      <c r="Q73" s="659">
        <f>E73+AF73</f>
        <v>3506190.600000002</v>
      </c>
      <c r="R73" s="504">
        <f>'e7'!$K68</f>
        <v>427840.28000000073</v>
      </c>
      <c r="S73" s="361">
        <v>3</v>
      </c>
      <c r="T73" s="504">
        <f t="shared" si="31"/>
        <v>267848.16000000015</v>
      </c>
      <c r="U73" s="504">
        <f t="shared" si="32"/>
        <v>89282.720000000045</v>
      </c>
      <c r="V73" s="504" t="b">
        <f t="shared" si="33"/>
        <v>1</v>
      </c>
      <c r="X73" s="511">
        <v>3573062.9809350865</v>
      </c>
      <c r="Y73" s="361">
        <v>3208618.3299999996</v>
      </c>
      <c r="Z73" s="504">
        <f t="shared" si="44"/>
        <v>29724.110000002198</v>
      </c>
      <c r="AA73" s="507">
        <f t="shared" si="45"/>
        <v>56593.101868703547</v>
      </c>
      <c r="AB73" s="504">
        <f t="shared" si="46"/>
        <v>-26868.991868701349</v>
      </c>
      <c r="AC73" s="507">
        <f t="shared" si="47"/>
        <v>-66872.38093508454</v>
      </c>
      <c r="AD73" s="493" t="b">
        <f t="shared" si="48"/>
        <v>1</v>
      </c>
      <c r="AF73" s="361">
        <v>267848.16000000003</v>
      </c>
      <c r="AG73" s="504" t="b">
        <f t="shared" si="53"/>
        <v>1</v>
      </c>
      <c r="AI73" s="509">
        <f>1 / [1]!ldfsir(prldfs, prldf_ages, prldf_type, prldf_ret, Intro!Y37, "Rept", $C73, prldf_cutoff, 3)</f>
        <v>0.89800217547810757</v>
      </c>
      <c r="AJ73" s="509">
        <f>1 / [1]!ldfsir(prldfs, prldf_ages, prldf_type, prldf_ret, Intro!AA37, "Rept", $C73, prldf_cutoff, 3)</f>
        <v>0.91384099560825061</v>
      </c>
      <c r="AK73" s="509">
        <f t="shared" si="49"/>
        <v>0.15528586226604718</v>
      </c>
      <c r="AM73" s="504">
        <f t="shared" si="55"/>
        <v>148947.54000000004</v>
      </c>
      <c r="AN73" s="504">
        <f t="shared" si="56"/>
        <v>251052.45999999996</v>
      </c>
      <c r="AO73" s="488" t="b">
        <f t="shared" si="57"/>
        <v>1</v>
      </c>
    </row>
    <row r="74" spans="1:42" x14ac:dyDescent="0.2">
      <c r="A74" s="493">
        <f t="shared" si="29"/>
        <v>2016</v>
      </c>
      <c r="C74" s="518">
        <f t="shared" si="51"/>
        <v>350000</v>
      </c>
      <c r="E74" s="504">
        <f>'e7'!M69</f>
        <v>2628716.9900000021</v>
      </c>
      <c r="G74" s="502">
        <f ca="1">[1]!ldfsir(ldfs, ldf_ages, ldf_type, ldf_ret, Intro!$AA38, "Rept", $C74, cutoff, 3)</f>
        <v>1.1335100462057903</v>
      </c>
      <c r="I74" s="507">
        <f t="shared" ca="1" si="40"/>
        <v>2979677.1167968484</v>
      </c>
      <c r="K74" s="504">
        <f t="shared" si="41"/>
        <v>221894.58274919298</v>
      </c>
      <c r="M74" s="510">
        <f t="shared" ca="1" si="42"/>
        <v>13.428345477747746</v>
      </c>
      <c r="O74" s="504">
        <f ca="1">'e3.2A'!I74</f>
        <v>3255230.2023726017</v>
      </c>
      <c r="P74" s="505">
        <f t="shared" ca="1" si="43"/>
        <v>1.092477498324373</v>
      </c>
      <c r="Q74" s="658">
        <f ca="1">I74</f>
        <v>2979677.1167968484</v>
      </c>
      <c r="R74" s="504">
        <f>'e7'!$K69</f>
        <v>178804.94000000041</v>
      </c>
      <c r="S74" s="361">
        <v>8</v>
      </c>
      <c r="T74" s="504">
        <f t="shared" ca="1" si="31"/>
        <v>350960.12679684628</v>
      </c>
      <c r="U74" s="504">
        <f t="shared" ca="1" si="32"/>
        <v>43870.015849605785</v>
      </c>
      <c r="V74" s="504" t="b">
        <f t="shared" ca="1" si="33"/>
        <v>1</v>
      </c>
      <c r="X74" s="511">
        <v>2867847.461696167</v>
      </c>
      <c r="Y74" s="361">
        <v>2444111.0400000019</v>
      </c>
      <c r="Z74" s="504">
        <f t="shared" si="44"/>
        <v>184605.95000000019</v>
      </c>
      <c r="AA74" s="507">
        <f t="shared" si="45"/>
        <v>71859.093099948877</v>
      </c>
      <c r="AB74" s="504">
        <f t="shared" si="46"/>
        <v>112746.85690005131</v>
      </c>
      <c r="AC74" s="507">
        <f t="shared" ca="1" si="47"/>
        <v>111829.65510068135</v>
      </c>
      <c r="AD74" s="493" t="b">
        <f t="shared" ca="1" si="48"/>
        <v>1</v>
      </c>
      <c r="AF74" s="361">
        <v>1755793.4300000002</v>
      </c>
      <c r="AG74" s="504" t="b">
        <f t="shared" ca="1" si="53"/>
        <v>1</v>
      </c>
      <c r="AI74" s="509">
        <f>1 / [1]!ldfsir(prldfs, prldf_ages, prldf_type, prldf_ret, Intro!Y38, "Rept", $C74, prldf_cutoff, 3)</f>
        <v>0.85224582989307629</v>
      </c>
      <c r="AJ74" s="509">
        <f>1 / [1]!ldfsir(prldfs, prldf_ages, prldf_type, prldf_ret, Intro!AA38, "Rept", $C74, prldf_cutoff, 3)</f>
        <v>0.87730263436392786</v>
      </c>
      <c r="AK74" s="509">
        <f t="shared" si="49"/>
        <v>0.16958441479329464</v>
      </c>
      <c r="AM74" s="504">
        <f t="shared" si="55"/>
        <v>44668.299999999814</v>
      </c>
      <c r="AN74" s="504">
        <f t="shared" ca="1" si="56"/>
        <v>66678.854775470681</v>
      </c>
      <c r="AO74" s="488" t="b">
        <f t="shared" ca="1" si="57"/>
        <v>1</v>
      </c>
    </row>
    <row r="75" spans="1:42" x14ac:dyDescent="0.2">
      <c r="A75" s="493">
        <f t="shared" si="29"/>
        <v>2017</v>
      </c>
      <c r="C75" s="518">
        <f t="shared" si="51"/>
        <v>350000</v>
      </c>
      <c r="E75" s="504">
        <f>'e7'!M70</f>
        <v>2585441.4500000016</v>
      </c>
      <c r="G75" s="502">
        <f ca="1">[1]!ldfsir(ldfs, ldf_ages, ldf_type, ldf_ret, Intro!$AA39, "Rept", $C75, cutoff, 3)</f>
        <v>1.2307869762358423</v>
      </c>
      <c r="I75" s="507">
        <f t="shared" ca="1" si="40"/>
        <v>3182127.6644803137</v>
      </c>
      <c r="K75" s="504">
        <f t="shared" si="41"/>
        <v>307509.66981400014</v>
      </c>
      <c r="M75" s="510">
        <f t="shared" ca="1" si="42"/>
        <v>10.348057238021331</v>
      </c>
      <c r="O75" s="504">
        <f ca="1">'e3.2A'!I75</f>
        <v>3545234.9364256645</v>
      </c>
      <c r="P75" s="505">
        <f t="shared" ca="1" si="43"/>
        <v>1.1141083294672438</v>
      </c>
      <c r="Q75" s="658">
        <f t="shared" ref="Q75:Q76" ca="1" si="58">I75</f>
        <v>3182127.6644803137</v>
      </c>
      <c r="R75" s="504">
        <f>'e7'!$K70</f>
        <v>327371.00999999978</v>
      </c>
      <c r="S75" s="361">
        <v>8</v>
      </c>
      <c r="T75" s="504">
        <f t="shared" ref="T75:T77" ca="1" si="59">Q75-E75</f>
        <v>596686.21448031208</v>
      </c>
      <c r="U75" s="504">
        <f t="shared" ref="U75:U77" ca="1" si="60">IFERROR(T75/S75, "")</f>
        <v>74585.776810039009</v>
      </c>
      <c r="V75" s="504" t="b">
        <f t="shared" ref="V75:V77" ca="1" si="61">IF(OR(S75=0,R75=0),T75=0,T75&gt;0)</f>
        <v>1</v>
      </c>
      <c r="X75" s="511">
        <v>2990976.7734468733</v>
      </c>
      <c r="Y75" s="361">
        <v>2264112.3000000003</v>
      </c>
      <c r="Z75" s="504">
        <f t="shared" si="44"/>
        <v>321329.1500000013</v>
      </c>
      <c r="AA75" s="507">
        <f t="shared" si="45"/>
        <v>161531.4424423711</v>
      </c>
      <c r="AB75" s="504">
        <f t="shared" si="46"/>
        <v>159797.7075576302</v>
      </c>
      <c r="AC75" s="507">
        <f t="shared" ca="1" si="47"/>
        <v>191150.89103344036</v>
      </c>
      <c r="AD75" s="493" t="b">
        <f t="shared" ca="1" si="48"/>
        <v>1</v>
      </c>
      <c r="AF75" s="361">
        <v>2343208.29</v>
      </c>
      <c r="AG75" s="504" t="b">
        <f t="shared" ca="1" si="53"/>
        <v>1</v>
      </c>
      <c r="AI75" s="509">
        <f>1 / [1]!ldfsir(prldfs, prldf_ages, prldf_type, prldf_ret, Intro!Y39, "Rept", $C75, prldf_cutoff, 3)</f>
        <v>0.75698090339591062</v>
      </c>
      <c r="AJ75" s="509">
        <f>1 / [1]!ldfsir(prldfs, prldf_ages, prldf_type, prldf_ret, Intro!AA39, "Rept", $C75, prldf_cutoff, 3)</f>
        <v>0.81098715442280123</v>
      </c>
      <c r="AK75" s="509">
        <f t="shared" si="49"/>
        <v>0.22223048221956818</v>
      </c>
      <c r="AM75" s="504">
        <f t="shared" si="55"/>
        <v>0</v>
      </c>
      <c r="AN75" s="504">
        <f t="shared" ca="1" si="56"/>
        <v>62316.670249556191</v>
      </c>
      <c r="AO75" s="668" t="b">
        <f t="shared" ca="1" si="50"/>
        <v>0</v>
      </c>
    </row>
    <row r="76" spans="1:42" x14ac:dyDescent="0.2">
      <c r="A76" s="493">
        <f t="shared" ref="A76:A77" si="62">A40</f>
        <v>2018</v>
      </c>
      <c r="C76" s="518">
        <f t="shared" si="51"/>
        <v>350000</v>
      </c>
      <c r="E76" s="504">
        <f>'e7'!M71</f>
        <v>5817996.7700000023</v>
      </c>
      <c r="G76" s="502">
        <f ca="1">[1]!ldfsir(ldfs, ldf_ages, ldf_type, ldf_ret, Intro!$AA40, "Rept", $C76, cutoff, 3)</f>
        <v>1.5704051867591144</v>
      </c>
      <c r="I76" s="507">
        <f t="shared" ca="1" si="40"/>
        <v>9136612.3041557781</v>
      </c>
      <c r="K76" s="504">
        <f t="shared" si="41"/>
        <v>536896.27333</v>
      </c>
      <c r="M76" s="510">
        <f t="shared" ca="1" si="42"/>
        <v>17.017462698125332</v>
      </c>
      <c r="O76" s="504">
        <f ca="1">'e3.2A'!I76</f>
        <v>10074990.347252671</v>
      </c>
      <c r="P76" s="505">
        <f t="shared" ca="1" si="43"/>
        <v>1.1027052491512717</v>
      </c>
      <c r="Q76" s="658">
        <f t="shared" ca="1" si="58"/>
        <v>9136612.3041557781</v>
      </c>
      <c r="R76" s="504">
        <f>'e7'!$K71</f>
        <v>1618701.6200000048</v>
      </c>
      <c r="S76" s="361">
        <v>61</v>
      </c>
      <c r="T76" s="504">
        <f t="shared" ca="1" si="59"/>
        <v>3318615.5341557758</v>
      </c>
      <c r="U76" s="504">
        <f t="shared" ca="1" si="60"/>
        <v>54403.533346815995</v>
      </c>
      <c r="V76" s="504" t="b">
        <f t="shared" ca="1" si="61"/>
        <v>1</v>
      </c>
      <c r="X76" s="511">
        <v>9591989.7181009315</v>
      </c>
      <c r="Y76" s="361">
        <v>4706747.6700000055</v>
      </c>
      <c r="Z76" s="504">
        <f t="shared" si="44"/>
        <v>1111249.0999999968</v>
      </c>
      <c r="AA76" s="507">
        <f t="shared" si="45"/>
        <v>1448152.8544897058</v>
      </c>
      <c r="AB76" s="504">
        <f t="shared" si="46"/>
        <v>-336903.75448970892</v>
      </c>
      <c r="AC76" s="507">
        <f t="shared" ca="1" si="47"/>
        <v>-455377.41394515336</v>
      </c>
      <c r="AD76" s="493" t="b">
        <f t="shared" ca="1" si="48"/>
        <v>1</v>
      </c>
      <c r="AF76" s="361">
        <v>17893306.339999996</v>
      </c>
      <c r="AG76" s="504" t="b">
        <f t="shared" ca="1" si="53"/>
        <v>1</v>
      </c>
      <c r="AI76" s="509">
        <f>1 / [1]!ldfsir(prldfs, prldf_ages, prldf_type, prldf_ret, Intro!Y40, "Rept", $C76, prldf_cutoff, 3)</f>
        <v>0.49069565422051664</v>
      </c>
      <c r="AJ76" s="509">
        <f>1 / [1]!ldfsir(prldfs, prldf_ages, prldf_type, prldf_ret, Intro!AA40, "Rept", $C76, prldf_cutoff, 3)</f>
        <v>0.6416708842874248</v>
      </c>
      <c r="AK76" s="509">
        <f t="shared" si="49"/>
        <v>0.29643420740076865</v>
      </c>
      <c r="AM76" s="504">
        <f t="shared" si="55"/>
        <v>24375</v>
      </c>
      <c r="AN76" s="504">
        <f t="shared" ca="1" si="56"/>
        <v>389295.91346124373</v>
      </c>
      <c r="AO76" s="488" t="b">
        <f t="shared" ca="1" si="50"/>
        <v>1</v>
      </c>
    </row>
    <row r="77" spans="1:42" x14ac:dyDescent="0.2">
      <c r="A77" s="493">
        <f t="shared" si="62"/>
        <v>2019</v>
      </c>
      <c r="C77" s="518">
        <f t="shared" si="51"/>
        <v>350000</v>
      </c>
      <c r="E77" s="512">
        <f>'e7'!M72</f>
        <v>1261811.2200000007</v>
      </c>
      <c r="G77" s="502">
        <f ca="1">[1]!ldfsir(ldfs, ldf_ages, ldf_type, ldf_ret, Intro!$AA41, "Rept", $C77, cutoff, 3)</f>
        <v>4.4489351751072741</v>
      </c>
      <c r="I77" s="512">
        <f t="shared" ca="1" si="40"/>
        <v>5613716.3210030263</v>
      </c>
      <c r="K77" s="512">
        <f t="shared" si="41"/>
        <v>543133.22666000458</v>
      </c>
      <c r="M77" s="513">
        <f t="shared" ca="1" si="42"/>
        <v>10.335799846981468</v>
      </c>
      <c r="O77" s="512">
        <f ca="1">'e3.2A'!I77</f>
        <v>8256507.0849764422</v>
      </c>
      <c r="P77" s="514">
        <f t="shared" ca="1" si="43"/>
        <v>1.4707738355224222</v>
      </c>
      <c r="Q77" s="662">
        <f ca="1">O77</f>
        <v>8256507.0849764422</v>
      </c>
      <c r="R77" s="512">
        <f>'e7'!$K72</f>
        <v>642501.92000000062</v>
      </c>
      <c r="S77" s="305">
        <v>101</v>
      </c>
      <c r="T77" s="512">
        <f t="shared" ca="1" si="59"/>
        <v>6994695.8649764415</v>
      </c>
      <c r="U77" s="512">
        <f t="shared" ca="1" si="60"/>
        <v>69254.41450471725</v>
      </c>
      <c r="V77" s="504" t="b">
        <f t="shared" ca="1" si="61"/>
        <v>1</v>
      </c>
      <c r="X77" s="655">
        <v>9077857.0987872146</v>
      </c>
      <c r="Y77" s="305">
        <v>178621.64</v>
      </c>
      <c r="Z77" s="512">
        <f t="shared" si="44"/>
        <v>1083189.5800000005</v>
      </c>
      <c r="AA77" s="512">
        <f t="shared" si="45"/>
        <v>1877511.9067720904</v>
      </c>
      <c r="AB77" s="512">
        <f t="shared" si="46"/>
        <v>-794322.32677208981</v>
      </c>
      <c r="AC77" s="531">
        <f t="shared" ca="1" si="47"/>
        <v>-821350.01381077245</v>
      </c>
      <c r="AD77" s="493" t="b">
        <f t="shared" ca="1" si="48"/>
        <v>1</v>
      </c>
      <c r="AF77" s="361">
        <v>38759965.800000012</v>
      </c>
      <c r="AG77" s="504" t="b">
        <f t="shared" ca="1" si="53"/>
        <v>1</v>
      </c>
      <c r="AI77" s="509">
        <f>1 / [1]!ldfsir(prldfs, prldf_ages, prldf_type, prldf_ret, Intro!Y41, "Rept", $C77, prldf_cutoff, 3)</f>
        <v>1.9676630514911229E-2</v>
      </c>
      <c r="AJ77" s="509">
        <f>1 / [1]!ldfsir(prldfs, prldf_ages, prldf_type, prldf_ret, Intro!AA41, "Rept", $C77, prldf_cutoff, 3)</f>
        <v>0.22649988035687257</v>
      </c>
      <c r="AK77" s="509">
        <f t="shared" si="49"/>
        <v>0.21097451747028584</v>
      </c>
      <c r="AM77" s="512">
        <f t="shared" ref="AM77" si="63">R77-R41</f>
        <v>0</v>
      </c>
      <c r="AN77" s="512">
        <f t="shared" ref="AN77" ca="1" si="64">T77-T41</f>
        <v>430358.75084529817</v>
      </c>
      <c r="AO77" s="668" t="b">
        <f t="shared" ca="1" si="50"/>
        <v>0</v>
      </c>
    </row>
    <row r="78" spans="1:42" x14ac:dyDescent="0.2">
      <c r="P78" s="515"/>
      <c r="Q78" s="666"/>
    </row>
    <row r="79" spans="1:42" x14ac:dyDescent="0.2">
      <c r="A79" s="493" t="s">
        <v>78</v>
      </c>
      <c r="E79" s="501">
        <f>SUM(E54:E77)</f>
        <v>49555956.109999999</v>
      </c>
      <c r="I79" s="501">
        <f ca="1">SUM(I54:I77)</f>
        <v>59334826.140356399</v>
      </c>
      <c r="K79" s="501">
        <f>SUM(K54:K77)</f>
        <v>3896630.2405416127</v>
      </c>
      <c r="M79" s="510">
        <f t="shared" ref="M79" ca="1" si="65">I79/K79</f>
        <v>15.227214920990077</v>
      </c>
      <c r="O79" s="507">
        <f ca="1">SUM(O54:O77)</f>
        <v>63736085.661926575</v>
      </c>
      <c r="P79" s="505">
        <f ca="1">O79/I79</f>
        <v>1.074176665002085</v>
      </c>
      <c r="Q79" s="684">
        <f ca="1">SUM(Q54:Q77)</f>
        <v>61426599.252741151</v>
      </c>
      <c r="R79" s="507">
        <f>SUM(R54:R77)</f>
        <v>4009674.730000007</v>
      </c>
      <c r="S79" s="507">
        <f>SUM(S54:S77)</f>
        <v>197</v>
      </c>
      <c r="T79" s="507">
        <f ca="1">SUM(T54:T77)</f>
        <v>11870643.14274114</v>
      </c>
      <c r="U79" s="504">
        <f ca="1">IFERROR(T79/S79, "")</f>
        <v>60257.071790564165</v>
      </c>
      <c r="W79" s="504"/>
      <c r="X79" s="507">
        <f t="shared" ref="X79:AC79" si="66">SUM(X54:X77)</f>
        <v>62447114.424216181</v>
      </c>
      <c r="Y79" s="507">
        <f t="shared" si="66"/>
        <v>46785958.200000003</v>
      </c>
      <c r="Z79" s="507">
        <f t="shared" si="66"/>
        <v>2769997.91</v>
      </c>
      <c r="AA79" s="507">
        <f t="shared" si="66"/>
        <v>3632532.2201865865</v>
      </c>
      <c r="AB79" s="507">
        <f t="shared" si="66"/>
        <v>-862534.31018658611</v>
      </c>
      <c r="AC79" s="507">
        <f t="shared" ca="1" si="66"/>
        <v>-1020515.1714750309</v>
      </c>
      <c r="AF79" s="507"/>
      <c r="AG79" s="507"/>
      <c r="AM79" s="507">
        <f>SUM(AM54:AM77)</f>
        <v>530994</v>
      </c>
      <c r="AN79" s="507">
        <f ca="1">SUM(AN54:AN77)</f>
        <v>1307647.5206005981</v>
      </c>
    </row>
    <row r="82" spans="1:41" x14ac:dyDescent="0.2">
      <c r="A82" s="392" t="s">
        <v>415</v>
      </c>
      <c r="O82" s="492" t="s">
        <v>212</v>
      </c>
    </row>
    <row r="84" spans="1:41" x14ac:dyDescent="0.2">
      <c r="E84" s="493" t="s">
        <v>71</v>
      </c>
      <c r="O84" s="494"/>
      <c r="P84" s="494"/>
      <c r="Q84" s="494"/>
      <c r="U84" s="495"/>
      <c r="V84" s="495"/>
    </row>
    <row r="85" spans="1:41" x14ac:dyDescent="0.2">
      <c r="A85" s="496" t="str">
        <f>A49</f>
        <v>Policy</v>
      </c>
      <c r="E85" s="493" t="s">
        <v>8</v>
      </c>
      <c r="G85" s="496" t="s">
        <v>331</v>
      </c>
      <c r="I85" s="496" t="s">
        <v>330</v>
      </c>
      <c r="M85" s="496" t="s">
        <v>332</v>
      </c>
      <c r="O85" s="496"/>
      <c r="P85" s="496"/>
      <c r="Q85" s="663" t="s">
        <v>105</v>
      </c>
      <c r="U85" s="495"/>
      <c r="V85" s="495"/>
      <c r="X85" s="494"/>
      <c r="Y85" s="494"/>
      <c r="Z85" s="497" t="str">
        <f>Z49</f>
        <v>10/18-4/19</v>
      </c>
      <c r="AA85" s="497"/>
      <c r="AB85" s="497"/>
      <c r="AC85" s="497"/>
      <c r="AD85" s="497"/>
    </row>
    <row r="86" spans="1:41" x14ac:dyDescent="0.2">
      <c r="A86" s="496" t="str">
        <f>A50</f>
        <v>Period</v>
      </c>
      <c r="E86" s="493" t="s">
        <v>334</v>
      </c>
      <c r="G86" s="496" t="s">
        <v>245</v>
      </c>
      <c r="I86" s="496" t="s">
        <v>245</v>
      </c>
      <c r="K86" s="496" t="s">
        <v>5</v>
      </c>
      <c r="M86" s="496" t="s">
        <v>8</v>
      </c>
      <c r="O86" s="493" t="s">
        <v>75</v>
      </c>
      <c r="P86" s="496" t="s">
        <v>669</v>
      </c>
      <c r="Q86" s="664" t="s">
        <v>410</v>
      </c>
      <c r="R86" s="496"/>
      <c r="S86" s="496" t="s">
        <v>55</v>
      </c>
      <c r="T86" s="496" t="s">
        <v>332</v>
      </c>
      <c r="U86" s="496" t="s">
        <v>411</v>
      </c>
      <c r="X86" s="496" t="s">
        <v>18</v>
      </c>
      <c r="Y86" s="496" t="s">
        <v>18</v>
      </c>
      <c r="Z86" s="496" t="s">
        <v>242</v>
      </c>
      <c r="AA86" s="496" t="s">
        <v>244</v>
      </c>
      <c r="AF86" s="496" t="s">
        <v>678</v>
      </c>
      <c r="AG86" s="496"/>
      <c r="AI86" s="497" t="s">
        <v>676</v>
      </c>
      <c r="AJ86" s="497"/>
      <c r="AK86" s="497"/>
      <c r="AM86" s="497" t="s">
        <v>679</v>
      </c>
      <c r="AN86" s="497"/>
      <c r="AO86" s="497"/>
    </row>
    <row r="87" spans="1:41" x14ac:dyDescent="0.2">
      <c r="A87" s="498" t="str">
        <f>A51</f>
        <v>Ending 9/30</v>
      </c>
      <c r="C87" s="498" t="s">
        <v>90</v>
      </c>
      <c r="E87" s="498" t="str">
        <f>ctxt</f>
        <v>4/30/19</v>
      </c>
      <c r="G87" s="498" t="s">
        <v>338</v>
      </c>
      <c r="I87" s="498" t="s">
        <v>8</v>
      </c>
      <c r="K87" s="498" t="s">
        <v>6</v>
      </c>
      <c r="M87" s="498" t="s">
        <v>349</v>
      </c>
      <c r="O87" s="498" t="s">
        <v>409</v>
      </c>
      <c r="P87" s="498" t="s">
        <v>93</v>
      </c>
      <c r="Q87" s="665" t="s">
        <v>245</v>
      </c>
      <c r="R87" s="498" t="s">
        <v>74</v>
      </c>
      <c r="S87" s="498" t="s">
        <v>672</v>
      </c>
      <c r="T87" s="498" t="s">
        <v>191</v>
      </c>
      <c r="U87" s="498" t="s">
        <v>412</v>
      </c>
      <c r="V87" s="498" t="s">
        <v>475</v>
      </c>
      <c r="X87" s="498" t="s">
        <v>673</v>
      </c>
      <c r="Y87" s="498" t="s">
        <v>93</v>
      </c>
      <c r="Z87" s="498" t="s">
        <v>71</v>
      </c>
      <c r="AA87" s="498" t="s">
        <v>71</v>
      </c>
      <c r="AB87" s="498" t="s">
        <v>504</v>
      </c>
      <c r="AC87" s="498" t="s">
        <v>674</v>
      </c>
      <c r="AD87" s="498" t="s">
        <v>475</v>
      </c>
      <c r="AF87" s="498" t="s">
        <v>191</v>
      </c>
      <c r="AG87" s="498" t="s">
        <v>475</v>
      </c>
      <c r="AI87" s="499" t="str">
        <f>ptxt</f>
        <v>10/31/18</v>
      </c>
      <c r="AJ87" s="499" t="str">
        <f>ctxt</f>
        <v>4/30/19</v>
      </c>
      <c r="AK87" s="499" t="str">
        <f>Z85</f>
        <v>10/18-4/19</v>
      </c>
      <c r="AM87" s="499" t="s">
        <v>74</v>
      </c>
      <c r="AN87" s="499" t="s">
        <v>191</v>
      </c>
      <c r="AO87" s="499" t="s">
        <v>475</v>
      </c>
    </row>
    <row r="88" spans="1:41" x14ac:dyDescent="0.2">
      <c r="E88" s="500">
        <v>1</v>
      </c>
      <c r="G88" s="500">
        <f>E88+1</f>
        <v>2</v>
      </c>
      <c r="I88" s="500">
        <f>G88+1</f>
        <v>3</v>
      </c>
      <c r="K88" s="500">
        <f>I88+1</f>
        <v>4</v>
      </c>
      <c r="M88" s="500">
        <f>K88+1</f>
        <v>5</v>
      </c>
      <c r="Q88" s="666"/>
    </row>
    <row r="89" spans="1:41" x14ac:dyDescent="0.2">
      <c r="E89" s="500"/>
      <c r="G89" s="500"/>
      <c r="I89" s="500"/>
      <c r="K89" s="500"/>
      <c r="M89" s="500"/>
      <c r="Q89" s="666"/>
    </row>
    <row r="90" spans="1:41" x14ac:dyDescent="0.2">
      <c r="A90" s="493">
        <f t="shared" ref="A90:A111" si="67">A54</f>
        <v>1996</v>
      </c>
      <c r="C90" s="517">
        <v>500000</v>
      </c>
      <c r="E90" s="501">
        <f>'e7'!S49</f>
        <v>824780.2</v>
      </c>
      <c r="G90" s="502">
        <f ca="1">[1]!ldfsir(ldfs, ldf_ages, ldf_type, ldf_ret, Intro!$AA18, "Rept", $C90, cutoff, 3)</f>
        <v>1.0114920097144735</v>
      </c>
      <c r="I90" s="501">
        <f ca="1">E90*G90</f>
        <v>834258.58207070536</v>
      </c>
      <c r="K90" s="501">
        <f t="shared" ref="K90:K111" si="68">K54</f>
        <v>51718.748</v>
      </c>
      <c r="M90" s="503">
        <f ca="1">I90/K90</f>
        <v>16.130680156269548</v>
      </c>
      <c r="O90" s="504">
        <f ca="1">'e3.2A'!I90</f>
        <v>843489.79357370245</v>
      </c>
      <c r="P90" s="505">
        <f t="shared" ref="P90:P111" ca="1" si="69">O90/I90</f>
        <v>1.0110651681641494</v>
      </c>
      <c r="Q90" s="657">
        <f>E90</f>
        <v>824780.2</v>
      </c>
      <c r="R90" s="504">
        <f>'e7'!$Q49</f>
        <v>0</v>
      </c>
      <c r="S90" s="385">
        <v>0</v>
      </c>
      <c r="T90" s="504">
        <f t="shared" ref="T90:T111" si="70">Q90-E90</f>
        <v>0</v>
      </c>
      <c r="U90" s="504" t="str">
        <f t="shared" ref="U90:U111" si="71">IFERROR(T90/S90, "")</f>
        <v/>
      </c>
      <c r="V90" s="504" t="b">
        <f t="shared" ref="V90:V111" si="72">IF(OR(S90=0,R90=0),T90=0,T90&gt;0)</f>
        <v>1</v>
      </c>
      <c r="X90" s="511">
        <v>824780.2</v>
      </c>
      <c r="Y90" s="511">
        <v>824780.2</v>
      </c>
      <c r="Z90" s="504">
        <f t="shared" ref="Z90:Z111" si="73">E90-Y90</f>
        <v>0</v>
      </c>
      <c r="AA90" s="507">
        <f t="shared" ref="AA90:AA111" si="74">AK90*(X90-Y90)</f>
        <v>0</v>
      </c>
      <c r="AB90" s="504">
        <f>Z90-AA90</f>
        <v>0</v>
      </c>
      <c r="AC90" s="507">
        <f t="shared" ref="AC90:AC111" si="75">Q90-X90</f>
        <v>0</v>
      </c>
      <c r="AD90" s="493" t="b">
        <f t="shared" ref="AD90:AD111" si="76">IF(AB90&lt;=0,AC90&lt;=0,AC90&gt;=0)</f>
        <v>1</v>
      </c>
      <c r="AF90" s="304"/>
      <c r="AG90" s="507"/>
      <c r="AI90" s="509">
        <f>1 / [1]!ldfsir(prldfs, prldf_ages, prldf_type, prldf_ret, Intro!Y18, "Rept", $C90, prldf_cutoff, 3)</f>
        <v>0.98863855610909124</v>
      </c>
      <c r="AJ90" s="509">
        <f>1 / [1]!ldfsir(prldfs, prldf_ages, prldf_type, prldf_ret, Intro!AA18, "Rept", $C90, prldf_cutoff, 3)</f>
        <v>0.98863855610909124</v>
      </c>
      <c r="AK90" s="509">
        <f>(AJ90-AI90)/(1-AI90)</f>
        <v>0</v>
      </c>
      <c r="AM90" s="504">
        <f t="shared" ref="AM90:AM111" si="77">R90-R54</f>
        <v>0</v>
      </c>
      <c r="AN90" s="504">
        <f t="shared" ref="AN90:AN111" si="78">T90-T54</f>
        <v>0</v>
      </c>
      <c r="AO90" s="488" t="b">
        <f>IF(AM90=0,AN90=0,AN90&gt;0)</f>
        <v>1</v>
      </c>
    </row>
    <row r="91" spans="1:41" x14ac:dyDescent="0.2">
      <c r="A91" s="493">
        <f t="shared" si="67"/>
        <v>1997</v>
      </c>
      <c r="C91" s="518">
        <f>C90</f>
        <v>500000</v>
      </c>
      <c r="E91" s="504">
        <f>'e7'!S50</f>
        <v>1506771</v>
      </c>
      <c r="G91" s="502">
        <f ca="1">[1]!ldfsir(ldfs, ldf_ages, ldf_type, ldf_ret, Intro!$AA19, "Rept", $C91, cutoff, 3)</f>
        <v>1.013045122461667</v>
      </c>
      <c r="I91" s="507">
        <f t="shared" ref="I91:I111" ca="1" si="79">E91*G91</f>
        <v>1526427.0122166884</v>
      </c>
      <c r="K91" s="504">
        <f t="shared" si="68"/>
        <v>71279.833180000031</v>
      </c>
      <c r="M91" s="510">
        <f t="shared" ref="M91:M111" ca="1" si="80">I91/K91</f>
        <v>21.414570490955906</v>
      </c>
      <c r="O91" s="504">
        <f ca="1">'e3.2A'!I91</f>
        <v>1545751.030014362</v>
      </c>
      <c r="P91" s="505">
        <f t="shared" ca="1" si="69"/>
        <v>1.0126596408757278</v>
      </c>
      <c r="Q91" s="657">
        <f>E91</f>
        <v>1506771</v>
      </c>
      <c r="R91" s="504">
        <f>'e7'!$Q50</f>
        <v>0</v>
      </c>
      <c r="S91" s="385">
        <v>0</v>
      </c>
      <c r="T91" s="504">
        <f t="shared" si="70"/>
        <v>0</v>
      </c>
      <c r="U91" s="504" t="str">
        <f t="shared" si="71"/>
        <v/>
      </c>
      <c r="V91" s="504" t="b">
        <f t="shared" si="72"/>
        <v>1</v>
      </c>
      <c r="X91" s="511">
        <v>1506771</v>
      </c>
      <c r="Y91" s="511">
        <v>1506771</v>
      </c>
      <c r="Z91" s="504">
        <f t="shared" si="73"/>
        <v>0</v>
      </c>
      <c r="AA91" s="507">
        <f t="shared" si="74"/>
        <v>0</v>
      </c>
      <c r="AB91" s="504">
        <f t="shared" ref="AB91:AB111" si="81">Z91-AA91</f>
        <v>0</v>
      </c>
      <c r="AC91" s="507">
        <f t="shared" si="75"/>
        <v>0</v>
      </c>
      <c r="AD91" s="493" t="b">
        <f t="shared" si="76"/>
        <v>1</v>
      </c>
      <c r="AF91" s="507"/>
      <c r="AG91" s="507"/>
      <c r="AI91" s="509">
        <f>1 / [1]!ldfsir(prldfs, prldf_ages, prldf_type, prldf_ret, Intro!Y19, "Rept", $C91, prldf_cutoff, 3)</f>
        <v>0.98712286138847616</v>
      </c>
      <c r="AJ91" s="509">
        <f>1 / [1]!ldfsir(prldfs, prldf_ages, prldf_type, prldf_ret, Intro!AA19, "Rept", $C91, prldf_cutoff, 3)</f>
        <v>0.98712286138847616</v>
      </c>
      <c r="AK91" s="509">
        <f t="shared" ref="AK91:AK113" si="82">(AJ91-AI91)/(1-AI91)</f>
        <v>0</v>
      </c>
      <c r="AM91" s="504">
        <f t="shared" si="77"/>
        <v>0</v>
      </c>
      <c r="AN91" s="504">
        <f t="shared" si="78"/>
        <v>0</v>
      </c>
      <c r="AO91" s="488" t="b">
        <f t="shared" ref="AO91:AO110" si="83">IF(AM91=0,AN91=0,AN91&gt;0)</f>
        <v>1</v>
      </c>
    </row>
    <row r="92" spans="1:41" x14ac:dyDescent="0.2">
      <c r="A92" s="493">
        <f t="shared" si="67"/>
        <v>1998</v>
      </c>
      <c r="C92" s="518">
        <f t="shared" ref="C92:C113" si="84">C91</f>
        <v>500000</v>
      </c>
      <c r="E92" s="504">
        <f>'e7'!S51</f>
        <v>2743585.7199999997</v>
      </c>
      <c r="G92" s="502">
        <f ca="1">[1]!ldfsir(ldfs, ldf_ages, ldf_type, ldf_ret, Intro!$AA20, "Rept", $C92, cutoff, 3)</f>
        <v>1.0148096660786645</v>
      </c>
      <c r="I92" s="507">
        <f t="shared" ca="1" si="79"/>
        <v>2784217.3083713921</v>
      </c>
      <c r="K92" s="504">
        <f t="shared" si="68"/>
        <v>90725.935539999991</v>
      </c>
      <c r="M92" s="510">
        <f t="shared" ca="1" si="80"/>
        <v>30.688218223375205</v>
      </c>
      <c r="O92" s="504">
        <f ca="1">'e3.2A'!I92</f>
        <v>2815563.8371781213</v>
      </c>
      <c r="P92" s="505">
        <f t="shared" ca="1" si="69"/>
        <v>1.0112586502183141</v>
      </c>
      <c r="Q92" s="661">
        <f ca="1">E92 + T56</f>
        <v>2757961.4441664326</v>
      </c>
      <c r="R92" s="504">
        <f>'e7'!$Q51</f>
        <v>8725.5499999998137</v>
      </c>
      <c r="S92" s="385">
        <v>1</v>
      </c>
      <c r="T92" s="504">
        <f t="shared" ca="1" si="70"/>
        <v>14375.724166432861</v>
      </c>
      <c r="U92" s="504">
        <f t="shared" ca="1" si="71"/>
        <v>14375.724166432861</v>
      </c>
      <c r="V92" s="504" t="b">
        <f t="shared" ca="1" si="72"/>
        <v>1</v>
      </c>
      <c r="X92" s="511">
        <v>2757961.4441664326</v>
      </c>
      <c r="Y92" s="511">
        <v>2743585.7199999997</v>
      </c>
      <c r="Z92" s="504">
        <f t="shared" si="73"/>
        <v>0</v>
      </c>
      <c r="AA92" s="507">
        <f t="shared" si="74"/>
        <v>0</v>
      </c>
      <c r="AB92" s="504">
        <f t="shared" si="81"/>
        <v>0</v>
      </c>
      <c r="AC92" s="507">
        <f t="shared" ca="1" si="75"/>
        <v>0</v>
      </c>
      <c r="AD92" s="493" t="b">
        <f t="shared" ca="1" si="76"/>
        <v>1</v>
      </c>
      <c r="AF92" s="507"/>
      <c r="AG92" s="507"/>
      <c r="AI92" s="509">
        <f>1 / [1]!ldfsir(prldfs, prldf_ages, prldf_type, prldf_ret, Intro!Y20, "Rept", $C92, prldf_cutoff, 3)</f>
        <v>0.98540645938475269</v>
      </c>
      <c r="AJ92" s="509">
        <f>1 / [1]!ldfsir(prldfs, prldf_ages, prldf_type, prldf_ret, Intro!AA20, "Rept", $C92, prldf_cutoff, 3)</f>
        <v>0.98540645938475269</v>
      </c>
      <c r="AK92" s="509">
        <f t="shared" si="82"/>
        <v>0</v>
      </c>
      <c r="AM92" s="504">
        <f t="shared" si="77"/>
        <v>0</v>
      </c>
      <c r="AN92" s="504">
        <f t="shared" ca="1" si="78"/>
        <v>0</v>
      </c>
      <c r="AO92" s="488" t="b">
        <f t="shared" ca="1" si="83"/>
        <v>1</v>
      </c>
    </row>
    <row r="93" spans="1:41" x14ac:dyDescent="0.2">
      <c r="A93" s="493">
        <f t="shared" si="67"/>
        <v>1999</v>
      </c>
      <c r="C93" s="518">
        <f t="shared" si="84"/>
        <v>500000</v>
      </c>
      <c r="E93" s="504">
        <f>'e7'!S52</f>
        <v>3410514.8</v>
      </c>
      <c r="G93" s="502">
        <f ca="1">[1]!ldfsir(ldfs, ldf_ages, ldf_type, ldf_ret, Intro!$AA21, "Rept", $C93, cutoff, 3)</f>
        <v>1.016814864223001</v>
      </c>
      <c r="I93" s="507">
        <f t="shared" ca="1" si="79"/>
        <v>3467862.1432925356</v>
      </c>
      <c r="K93" s="504">
        <f t="shared" si="68"/>
        <v>115828.16377000001</v>
      </c>
      <c r="M93" s="510">
        <f t="shared" ca="1" si="80"/>
        <v>29.939714404682004</v>
      </c>
      <c r="O93" s="504">
        <f ca="1">'e3.2A'!I93</f>
        <v>3430730.8660348346</v>
      </c>
      <c r="P93" s="505">
        <f t="shared" ca="1" si="69"/>
        <v>0.98929274702296932</v>
      </c>
      <c r="Q93" s="661">
        <f ca="1">E93 + T57</f>
        <v>3427749.0194703522</v>
      </c>
      <c r="R93" s="504">
        <f>'e7'!$Q52</f>
        <v>91530.509999999776</v>
      </c>
      <c r="S93" s="385">
        <v>2</v>
      </c>
      <c r="T93" s="504">
        <f t="shared" ca="1" si="70"/>
        <v>17234.2194703524</v>
      </c>
      <c r="U93" s="504">
        <f t="shared" ca="1" si="71"/>
        <v>8617.1097351762</v>
      </c>
      <c r="V93" s="504" t="b">
        <f t="shared" ca="1" si="72"/>
        <v>1</v>
      </c>
      <c r="X93" s="511">
        <v>3427749.0194703522</v>
      </c>
      <c r="Y93" s="511">
        <v>3410514.8</v>
      </c>
      <c r="Z93" s="504">
        <f t="shared" si="73"/>
        <v>0</v>
      </c>
      <c r="AA93" s="507">
        <f t="shared" si="74"/>
        <v>0</v>
      </c>
      <c r="AB93" s="504">
        <f t="shared" si="81"/>
        <v>0</v>
      </c>
      <c r="AC93" s="507">
        <f t="shared" ca="1" si="75"/>
        <v>0</v>
      </c>
      <c r="AD93" s="493" t="b">
        <f t="shared" ca="1" si="76"/>
        <v>1</v>
      </c>
      <c r="AF93" s="507"/>
      <c r="AG93" s="507"/>
      <c r="AI93" s="509">
        <f>1 / [1]!ldfsir(prldfs, prldf_ages, prldf_type, prldf_ret, Intro!Y21, "Rept", $C93, prldf_cutoff, 3)</f>
        <v>0.98346319982659758</v>
      </c>
      <c r="AJ93" s="509">
        <f>1 / [1]!ldfsir(prldfs, prldf_ages, prldf_type, prldf_ret, Intro!AA21, "Rept", $C93, prldf_cutoff, 3)</f>
        <v>0.98346319982659758</v>
      </c>
      <c r="AK93" s="509">
        <f t="shared" si="82"/>
        <v>0</v>
      </c>
      <c r="AM93" s="504">
        <f t="shared" si="77"/>
        <v>0</v>
      </c>
      <c r="AN93" s="504">
        <f t="shared" ca="1" si="78"/>
        <v>0</v>
      </c>
      <c r="AO93" s="488" t="b">
        <f t="shared" ca="1" si="83"/>
        <v>1</v>
      </c>
    </row>
    <row r="94" spans="1:41" x14ac:dyDescent="0.2">
      <c r="A94" s="493">
        <f t="shared" si="67"/>
        <v>2000</v>
      </c>
      <c r="C94" s="518">
        <f t="shared" si="84"/>
        <v>500000</v>
      </c>
      <c r="E94" s="504">
        <f>'e7'!S53</f>
        <v>2692406.43</v>
      </c>
      <c r="G94" s="502">
        <f ca="1">[1]!ldfsir(ldfs, ldf_ages, ldf_type, ldf_ret, Intro!$AA22, "Rept", $C94, cutoff, 3)</f>
        <v>1.0190941065099401</v>
      </c>
      <c r="I94" s="507">
        <f t="shared" ca="1" si="79"/>
        <v>2743815.525142468</v>
      </c>
      <c r="K94" s="504">
        <f t="shared" si="68"/>
        <v>86853.122530000022</v>
      </c>
      <c r="M94" s="510">
        <f t="shared" ca="1" si="80"/>
        <v>31.591443637443479</v>
      </c>
      <c r="O94" s="504">
        <f ca="1">'e3.2A'!I94</f>
        <v>2679449.4414341934</v>
      </c>
      <c r="P94" s="505">
        <f t="shared" ca="1" si="69"/>
        <v>0.97654139532396855</v>
      </c>
      <c r="Q94" s="661">
        <f ca="1">E94 + T58</f>
        <v>2723406.8442261238</v>
      </c>
      <c r="R94" s="504">
        <f>'e7'!$Q53</f>
        <v>112107.00000000047</v>
      </c>
      <c r="S94" s="385">
        <v>4</v>
      </c>
      <c r="T94" s="504">
        <f t="shared" ca="1" si="70"/>
        <v>31000.414226123597</v>
      </c>
      <c r="U94" s="504">
        <f t="shared" ca="1" si="71"/>
        <v>7750.1035565308994</v>
      </c>
      <c r="V94" s="504" t="b">
        <f t="shared" ca="1" si="72"/>
        <v>1</v>
      </c>
      <c r="X94" s="511">
        <v>2723406.8442261238</v>
      </c>
      <c r="Y94" s="511">
        <v>2692406.43</v>
      </c>
      <c r="Z94" s="504">
        <f t="shared" si="73"/>
        <v>0</v>
      </c>
      <c r="AA94" s="507">
        <f t="shared" si="74"/>
        <v>0</v>
      </c>
      <c r="AB94" s="504">
        <f t="shared" si="81"/>
        <v>0</v>
      </c>
      <c r="AC94" s="507">
        <f t="shared" ca="1" si="75"/>
        <v>0</v>
      </c>
      <c r="AD94" s="493" t="b">
        <f t="shared" ca="1" si="76"/>
        <v>1</v>
      </c>
      <c r="AF94" s="507"/>
      <c r="AG94" s="507"/>
      <c r="AI94" s="509">
        <f>1 / [1]!ldfsir(prldfs, prldf_ages, prldf_type, prldf_ret, Intro!Y22, "Rept", $C94, prldf_cutoff, 3)</f>
        <v>0.98126364740217065</v>
      </c>
      <c r="AJ94" s="509">
        <f>1 / [1]!ldfsir(prldfs, prldf_ages, prldf_type, prldf_ret, Intro!AA22, "Rept", $C94, prldf_cutoff, 3)</f>
        <v>0.98126364740217065</v>
      </c>
      <c r="AK94" s="509">
        <f t="shared" si="82"/>
        <v>0</v>
      </c>
      <c r="AM94" s="504">
        <f t="shared" si="77"/>
        <v>0</v>
      </c>
      <c r="AN94" s="504">
        <f t="shared" ca="1" si="78"/>
        <v>0</v>
      </c>
      <c r="AO94" s="488" t="b">
        <f t="shared" ca="1" si="83"/>
        <v>1</v>
      </c>
    </row>
    <row r="95" spans="1:41" x14ac:dyDescent="0.2">
      <c r="A95" s="493">
        <f t="shared" si="67"/>
        <v>2001</v>
      </c>
      <c r="C95" s="518">
        <f t="shared" si="84"/>
        <v>500000</v>
      </c>
      <c r="E95" s="504">
        <f>'e7'!S54</f>
        <v>1599446.97</v>
      </c>
      <c r="G95" s="502">
        <f ca="1">[1]!ldfsir(ldfs, ldf_ages, ldf_type, ldf_ret, Intro!$AA23, "Rept", $C95, cutoff, 3)</f>
        <v>1.0216855786271153</v>
      </c>
      <c r="I95" s="507">
        <f t="shared" ca="1" si="79"/>
        <v>1634131.9030278362</v>
      </c>
      <c r="K95" s="504">
        <f t="shared" si="68"/>
        <v>91838.194909999977</v>
      </c>
      <c r="M95" s="510">
        <f t="shared" ca="1" si="80"/>
        <v>17.793597801320686</v>
      </c>
      <c r="O95" s="504">
        <f ca="1">'e3.2A'!I95</f>
        <v>1669508.4866617927</v>
      </c>
      <c r="P95" s="505">
        <f t="shared" ca="1" si="69"/>
        <v>1.0216485484240336</v>
      </c>
      <c r="Q95" s="661">
        <f ca="1">E95 + T59</f>
        <v>1611665.6383934908</v>
      </c>
      <c r="R95" s="504">
        <f>'e7'!$Q54</f>
        <v>100</v>
      </c>
      <c r="S95" s="385">
        <v>1</v>
      </c>
      <c r="T95" s="504">
        <f t="shared" ca="1" si="70"/>
        <v>12218.668393490836</v>
      </c>
      <c r="U95" s="504">
        <f t="shared" ca="1" si="71"/>
        <v>12218.668393490836</v>
      </c>
      <c r="V95" s="504" t="b">
        <f t="shared" ca="1" si="72"/>
        <v>1</v>
      </c>
      <c r="X95" s="511">
        <v>1611665.6383934908</v>
      </c>
      <c r="Y95" s="511">
        <v>1599446.97</v>
      </c>
      <c r="Z95" s="504">
        <f t="shared" si="73"/>
        <v>0</v>
      </c>
      <c r="AA95" s="507">
        <f t="shared" si="74"/>
        <v>0</v>
      </c>
      <c r="AB95" s="504">
        <f t="shared" si="81"/>
        <v>0</v>
      </c>
      <c r="AC95" s="507">
        <f t="shared" ca="1" si="75"/>
        <v>0</v>
      </c>
      <c r="AD95" s="493" t="b">
        <f t="shared" ca="1" si="76"/>
        <v>1</v>
      </c>
      <c r="AF95" s="507"/>
      <c r="AG95" s="507"/>
      <c r="AI95" s="509">
        <f>1 / [1]!ldfsir(prldfs, prldf_ages, prldf_type, prldf_ret, Intro!Y23, "Rept", $C95, prldf_cutoff, 3)</f>
        <v>0.97877470419397017</v>
      </c>
      <c r="AJ95" s="509">
        <f>1 / [1]!ldfsir(prldfs, prldf_ages, prldf_type, prldf_ret, Intro!AA23, "Rept", $C95, prldf_cutoff, 3)</f>
        <v>0.97877470419397017</v>
      </c>
      <c r="AK95" s="509">
        <f t="shared" si="82"/>
        <v>0</v>
      </c>
      <c r="AM95" s="504">
        <f t="shared" si="77"/>
        <v>0</v>
      </c>
      <c r="AN95" s="504">
        <f t="shared" ca="1" si="78"/>
        <v>0</v>
      </c>
      <c r="AO95" s="488" t="b">
        <f t="shared" ca="1" si="83"/>
        <v>1</v>
      </c>
    </row>
    <row r="96" spans="1:41" x14ac:dyDescent="0.2">
      <c r="A96" s="493">
        <f t="shared" si="67"/>
        <v>2002</v>
      </c>
      <c r="C96" s="518">
        <f t="shared" si="84"/>
        <v>500000</v>
      </c>
      <c r="E96" s="504">
        <f>'e7'!S55</f>
        <v>3950994.9199999995</v>
      </c>
      <c r="G96" s="502">
        <f ca="1">[1]!ldfsir(ldfs, ldf_ages, ldf_type, ldf_ret, Intro!$AA24, "Rept", $C96, cutoff, 3)</f>
        <v>1.0243158584114995</v>
      </c>
      <c r="I96" s="507">
        <f t="shared" ca="1" si="79"/>
        <v>4047066.7530592731</v>
      </c>
      <c r="K96" s="504">
        <f t="shared" si="68"/>
        <v>86098.134999999995</v>
      </c>
      <c r="M96" s="510">
        <f t="shared" ca="1" si="80"/>
        <v>47.005277792129569</v>
      </c>
      <c r="O96" s="504">
        <f ca="1">'e3.2A'!I96</f>
        <v>3565772.4880340477</v>
      </c>
      <c r="P96" s="505">
        <f t="shared" ca="1" si="69"/>
        <v>0.88107577799120718</v>
      </c>
      <c r="Q96" s="658">
        <f ca="1">I96</f>
        <v>4047066.7530592731</v>
      </c>
      <c r="R96" s="504">
        <f>'e7'!$Q55</f>
        <v>555348.9299999997</v>
      </c>
      <c r="S96" s="385">
        <v>3</v>
      </c>
      <c r="T96" s="504">
        <f t="shared" ca="1" si="70"/>
        <v>96071.83305927366</v>
      </c>
      <c r="U96" s="504">
        <f t="shared" ca="1" si="71"/>
        <v>32023.944353091221</v>
      </c>
      <c r="V96" s="504" t="b">
        <f t="shared" ca="1" si="72"/>
        <v>1</v>
      </c>
      <c r="X96" s="511">
        <v>4047066.7530592731</v>
      </c>
      <c r="Y96" s="511">
        <v>3950994.9199999995</v>
      </c>
      <c r="Z96" s="504">
        <f t="shared" si="73"/>
        <v>0</v>
      </c>
      <c r="AA96" s="507">
        <f t="shared" si="74"/>
        <v>0</v>
      </c>
      <c r="AB96" s="504">
        <f t="shared" si="81"/>
        <v>0</v>
      </c>
      <c r="AC96" s="507">
        <f t="shared" ca="1" si="75"/>
        <v>0</v>
      </c>
      <c r="AD96" s="493" t="b">
        <f t="shared" ca="1" si="76"/>
        <v>1</v>
      </c>
      <c r="AF96" s="507"/>
      <c r="AG96" s="507"/>
      <c r="AI96" s="509">
        <f>1 / [1]!ldfsir(prldfs, prldf_ages, prldf_type, prldf_ret, Intro!Y24, "Rept", $C96, prldf_cutoff, 3)</f>
        <v>0.9762613668315081</v>
      </c>
      <c r="AJ96" s="509">
        <f>1 / [1]!ldfsir(prldfs, prldf_ages, prldf_type, prldf_ret, Intro!AA24, "Rept", $C96, prldf_cutoff, 3)</f>
        <v>0.9762613668315081</v>
      </c>
      <c r="AK96" s="509">
        <f t="shared" si="82"/>
        <v>0</v>
      </c>
      <c r="AM96" s="504">
        <f t="shared" si="77"/>
        <v>161973.26999999955</v>
      </c>
      <c r="AN96" s="504">
        <f t="shared" ca="1" si="78"/>
        <v>40400.464037478901</v>
      </c>
      <c r="AO96" s="488" t="b">
        <f t="shared" ca="1" si="83"/>
        <v>1</v>
      </c>
    </row>
    <row r="97" spans="1:41" x14ac:dyDescent="0.2">
      <c r="A97" s="493">
        <f t="shared" si="67"/>
        <v>2003</v>
      </c>
      <c r="C97" s="518">
        <f t="shared" si="84"/>
        <v>500000</v>
      </c>
      <c r="E97" s="504">
        <f>'e7'!S56</f>
        <v>1493025.0200000005</v>
      </c>
      <c r="G97" s="502">
        <f ca="1">[1]!ldfsir(ldfs, ldf_ages, ldf_type, ldf_ret, Intro!$AA25, "Rept", $C97, cutoff, 3)</f>
        <v>1.0210061504032959</v>
      </c>
      <c r="I97" s="507">
        <f t="shared" ca="1" si="79"/>
        <v>1524387.7281260043</v>
      </c>
      <c r="K97" s="504">
        <f t="shared" si="68"/>
        <v>95877.160999999993</v>
      </c>
      <c r="M97" s="510">
        <f t="shared" ca="1" si="80"/>
        <v>15.899383254850489</v>
      </c>
      <c r="O97" s="504">
        <f ca="1">'e3.2A'!I97</f>
        <v>1556386.5716544713</v>
      </c>
      <c r="P97" s="505">
        <f t="shared" ca="1" si="69"/>
        <v>1.020991275997613</v>
      </c>
      <c r="Q97" s="657">
        <f>E97</f>
        <v>1493025.0200000005</v>
      </c>
      <c r="R97" s="504">
        <f>'e7'!$Q56</f>
        <v>0</v>
      </c>
      <c r="S97" s="361">
        <v>0</v>
      </c>
      <c r="T97" s="504">
        <f t="shared" si="70"/>
        <v>0</v>
      </c>
      <c r="U97" s="504" t="str">
        <f t="shared" si="71"/>
        <v/>
      </c>
      <c r="V97" s="504" t="b">
        <f t="shared" si="72"/>
        <v>1</v>
      </c>
      <c r="X97" s="511">
        <v>1493025.0200000005</v>
      </c>
      <c r="Y97" s="511">
        <v>1493025.0200000005</v>
      </c>
      <c r="Z97" s="504">
        <f t="shared" si="73"/>
        <v>0</v>
      </c>
      <c r="AA97" s="507">
        <f t="shared" si="74"/>
        <v>0</v>
      </c>
      <c r="AB97" s="504">
        <f t="shared" si="81"/>
        <v>0</v>
      </c>
      <c r="AC97" s="507">
        <f t="shared" si="75"/>
        <v>0</v>
      </c>
      <c r="AD97" s="493" t="b">
        <f t="shared" si="76"/>
        <v>1</v>
      </c>
      <c r="AF97" s="304">
        <v>0</v>
      </c>
      <c r="AG97" s="504" t="b">
        <f t="shared" ref="AG97:AG111" si="85">AF97&gt;=T97</f>
        <v>1</v>
      </c>
      <c r="AI97" s="509">
        <f>1 / [1]!ldfsir(prldfs, prldf_ages, prldf_type, prldf_ret, Intro!Y25, "Rept", $C97, prldf_cutoff, 3)</f>
        <v>0.97810299078428531</v>
      </c>
      <c r="AJ97" s="509">
        <f>1 / [1]!ldfsir(prldfs, prldf_ages, prldf_type, prldf_ret, Intro!AA25, "Rept", $C97, prldf_cutoff, 3)</f>
        <v>0.97942602951510283</v>
      </c>
      <c r="AK97" s="509">
        <f t="shared" si="82"/>
        <v>6.0420978855323271E-2</v>
      </c>
      <c r="AM97" s="504">
        <f t="shared" si="77"/>
        <v>0</v>
      </c>
      <c r="AN97" s="504">
        <f t="shared" si="78"/>
        <v>0</v>
      </c>
      <c r="AO97" s="488" t="b">
        <f t="shared" si="83"/>
        <v>1</v>
      </c>
    </row>
    <row r="98" spans="1:41" x14ac:dyDescent="0.2">
      <c r="A98" s="493">
        <f t="shared" si="67"/>
        <v>2004</v>
      </c>
      <c r="C98" s="518">
        <f t="shared" si="84"/>
        <v>500000</v>
      </c>
      <c r="E98" s="504">
        <f>'e7'!S57</f>
        <v>2738711.5400000005</v>
      </c>
      <c r="G98" s="502">
        <f ca="1">[1]!ldfsir(ldfs, ldf_ages, ldf_type, ldf_ret, Intro!$AA26, "Rept", $C98, cutoff, 3)</f>
        <v>1.0236677573915456</v>
      </c>
      <c r="I98" s="507">
        <f t="shared" ca="1" si="79"/>
        <v>2803530.7002941468</v>
      </c>
      <c r="K98" s="504">
        <f t="shared" si="68"/>
        <v>102137.68700000001</v>
      </c>
      <c r="M98" s="510">
        <f t="shared" ca="1" si="80"/>
        <v>27.44854306612746</v>
      </c>
      <c r="O98" s="504">
        <f ca="1">'e3.2A'!I98</f>
        <v>2724546.5339595829</v>
      </c>
      <c r="P98" s="505">
        <f t="shared" ca="1" si="69"/>
        <v>0.97182689444910419</v>
      </c>
      <c r="Q98" s="659">
        <f>X98</f>
        <v>2879567.7077702624</v>
      </c>
      <c r="R98" s="504">
        <f>'e7'!$Q57</f>
        <v>140101.39000000013</v>
      </c>
      <c r="S98" s="361">
        <v>2</v>
      </c>
      <c r="T98" s="504">
        <f t="shared" si="70"/>
        <v>140856.16777026188</v>
      </c>
      <c r="U98" s="504">
        <f t="shared" si="71"/>
        <v>70428.083885130938</v>
      </c>
      <c r="V98" s="504" t="b">
        <f t="shared" si="72"/>
        <v>1</v>
      </c>
      <c r="X98" s="511">
        <v>2879567.7077702624</v>
      </c>
      <c r="Y98" s="511">
        <v>2740295.6100000003</v>
      </c>
      <c r="Z98" s="504">
        <f t="shared" si="73"/>
        <v>-1584.0699999998324</v>
      </c>
      <c r="AA98" s="507">
        <f t="shared" si="74"/>
        <v>7156.9679084729505</v>
      </c>
      <c r="AB98" s="504">
        <f t="shared" si="81"/>
        <v>-8741.0379084727829</v>
      </c>
      <c r="AC98" s="507">
        <f t="shared" si="75"/>
        <v>0</v>
      </c>
      <c r="AD98" s="493" t="b">
        <f t="shared" si="76"/>
        <v>1</v>
      </c>
      <c r="AF98" s="304">
        <v>322063.12000000005</v>
      </c>
      <c r="AG98" s="504" t="b">
        <f t="shared" si="85"/>
        <v>1</v>
      </c>
      <c r="AI98" s="509">
        <f>1 / [1]!ldfsir(prldfs, prldf_ages, prldf_type, prldf_ret, Intro!Y26, "Rept", $C98, prldf_cutoff, 3)</f>
        <v>0.97562696312501063</v>
      </c>
      <c r="AJ98" s="509">
        <f>1 / [1]!ldfsir(prldfs, prldf_ages, prldf_type, prldf_ret, Intro!AA26, "Rept", $C98, prldf_cutoff, 3)</f>
        <v>0.97687945408004795</v>
      </c>
      <c r="AK98" s="509">
        <f t="shared" si="82"/>
        <v>5.1388383050557714E-2</v>
      </c>
      <c r="AM98" s="504">
        <f t="shared" si="77"/>
        <v>114145.42000000039</v>
      </c>
      <c r="AN98" s="504">
        <f t="shared" ca="1" si="78"/>
        <v>103704.11867758166</v>
      </c>
      <c r="AO98" s="488" t="b">
        <f t="shared" ca="1" si="83"/>
        <v>1</v>
      </c>
    </row>
    <row r="99" spans="1:41" x14ac:dyDescent="0.2">
      <c r="A99" s="493">
        <f t="shared" si="67"/>
        <v>2005</v>
      </c>
      <c r="C99" s="518">
        <f t="shared" si="84"/>
        <v>500000</v>
      </c>
      <c r="E99" s="504">
        <f>'e7'!S58</f>
        <v>699839.89000000025</v>
      </c>
      <c r="G99" s="502">
        <f ca="1">[1]!ldfsir(ldfs, ldf_ages, ldf_type, ldf_ret, Intro!$AA27, "Rept", $C99, cutoff, 3)</f>
        <v>1.0265500955525835</v>
      </c>
      <c r="I99" s="507">
        <f t="shared" ca="1" si="79"/>
        <v>718420.70595100976</v>
      </c>
      <c r="K99" s="504">
        <f t="shared" si="68"/>
        <v>111292.39200000001</v>
      </c>
      <c r="M99" s="510">
        <f t="shared" ca="1" si="80"/>
        <v>6.4552544252172215</v>
      </c>
      <c r="O99" s="504">
        <f ca="1">'e3.2A'!I99</f>
        <v>738609.3661015809</v>
      </c>
      <c r="P99" s="505">
        <f t="shared" ca="1" si="69"/>
        <v>1.0281014452720241</v>
      </c>
      <c r="Q99" s="657">
        <f t="shared" ref="Q99:Q102" si="86">E99</f>
        <v>699839.89000000025</v>
      </c>
      <c r="R99" s="504">
        <f>'e7'!$Q58</f>
        <v>0</v>
      </c>
      <c r="S99" s="361">
        <v>0</v>
      </c>
      <c r="T99" s="504">
        <f t="shared" si="70"/>
        <v>0</v>
      </c>
      <c r="U99" s="504" t="str">
        <f t="shared" si="71"/>
        <v/>
      </c>
      <c r="V99" s="504" t="b">
        <f t="shared" si="72"/>
        <v>1</v>
      </c>
      <c r="X99" s="511">
        <v>699839.89000000025</v>
      </c>
      <c r="Y99" s="511">
        <v>699839.89000000025</v>
      </c>
      <c r="Z99" s="504">
        <f t="shared" si="73"/>
        <v>0</v>
      </c>
      <c r="AA99" s="507">
        <f t="shared" si="74"/>
        <v>0</v>
      </c>
      <c r="AB99" s="504">
        <f t="shared" si="81"/>
        <v>0</v>
      </c>
      <c r="AC99" s="507">
        <f t="shared" si="75"/>
        <v>0</v>
      </c>
      <c r="AD99" s="493" t="b">
        <f t="shared" si="76"/>
        <v>1</v>
      </c>
      <c r="AF99" s="304">
        <v>0</v>
      </c>
      <c r="AG99" s="504" t="b">
        <f t="shared" si="85"/>
        <v>1</v>
      </c>
      <c r="AI99" s="509">
        <f>1 / [1]!ldfsir(prldfs, prldf_ages, prldf_type, prldf_ret, Intro!Y27, "Rept", $C99, prldf_cutoff, 3)</f>
        <v>0.97251996224752513</v>
      </c>
      <c r="AJ99" s="509">
        <f>1 / [1]!ldfsir(prldfs, prldf_ages, prldf_type, prldf_ret, Intro!AA27, "Rept", $C99, prldf_cutoff, 3)</f>
        <v>0.97413658070111853</v>
      </c>
      <c r="AK99" s="509">
        <f t="shared" si="82"/>
        <v>5.8828829427201398E-2</v>
      </c>
      <c r="AM99" s="504">
        <f t="shared" si="77"/>
        <v>0</v>
      </c>
      <c r="AN99" s="504">
        <f t="shared" si="78"/>
        <v>0</v>
      </c>
      <c r="AO99" s="488" t="b">
        <f t="shared" si="83"/>
        <v>1</v>
      </c>
    </row>
    <row r="100" spans="1:41" x14ac:dyDescent="0.2">
      <c r="A100" s="493">
        <f t="shared" si="67"/>
        <v>2006</v>
      </c>
      <c r="C100" s="518">
        <f t="shared" si="84"/>
        <v>500000</v>
      </c>
      <c r="E100" s="504">
        <f>'e7'!S59</f>
        <v>2229103.2700000005</v>
      </c>
      <c r="G100" s="502">
        <f ca="1">[1]!ldfsir(ldfs, ldf_ages, ldf_type, ldf_ret, Intro!$AA28, "Rept", $C100, cutoff, 3)</f>
        <v>1.030083386044951</v>
      </c>
      <c r="I100" s="507">
        <f t="shared" ca="1" si="79"/>
        <v>2296162.244205473</v>
      </c>
      <c r="K100" s="504">
        <f t="shared" si="68"/>
        <v>107756.82399999999</v>
      </c>
      <c r="M100" s="510">
        <f t="shared" ca="1" si="80"/>
        <v>21.308740912830476</v>
      </c>
      <c r="O100" s="504">
        <f ca="1">'e3.2A'!I100</f>
        <v>2370332.6062930729</v>
      </c>
      <c r="P100" s="505">
        <f t="shared" ca="1" si="69"/>
        <v>1.0323018820968657</v>
      </c>
      <c r="Q100" s="657">
        <f t="shared" si="86"/>
        <v>2229103.2700000005</v>
      </c>
      <c r="R100" s="504">
        <f>'e7'!$Q59</f>
        <v>0</v>
      </c>
      <c r="S100" s="361">
        <v>0</v>
      </c>
      <c r="T100" s="504">
        <f t="shared" si="70"/>
        <v>0</v>
      </c>
      <c r="U100" s="504" t="str">
        <f t="shared" si="71"/>
        <v/>
      </c>
      <c r="V100" s="504" t="b">
        <f t="shared" si="72"/>
        <v>1</v>
      </c>
      <c r="X100" s="511">
        <v>2229103.2700000005</v>
      </c>
      <c r="Y100" s="511">
        <v>2229103.2700000005</v>
      </c>
      <c r="Z100" s="504">
        <f t="shared" si="73"/>
        <v>0</v>
      </c>
      <c r="AA100" s="507">
        <f t="shared" si="74"/>
        <v>0</v>
      </c>
      <c r="AB100" s="504">
        <f t="shared" si="81"/>
        <v>0</v>
      </c>
      <c r="AC100" s="507">
        <f t="shared" si="75"/>
        <v>0</v>
      </c>
      <c r="AD100" s="493" t="b">
        <f t="shared" si="76"/>
        <v>1</v>
      </c>
      <c r="AF100" s="304">
        <v>0</v>
      </c>
      <c r="AG100" s="504" t="b">
        <f t="shared" si="85"/>
        <v>1</v>
      </c>
      <c r="AI100" s="509">
        <f>1 / [1]!ldfsir(prldfs, prldf_ages, prldf_type, prldf_ret, Intro!Y28, "Rept", $C100, prldf_cutoff, 3)</f>
        <v>0.96896207626637942</v>
      </c>
      <c r="AJ100" s="509">
        <f>1 / [1]!ldfsir(prldfs, prldf_ages, prldf_type, prldf_ret, Intro!AA28, "Rept", $C100, prldf_cutoff, 3)</f>
        <v>0.97079519342559495</v>
      </c>
      <c r="AK100" s="509">
        <f t="shared" si="82"/>
        <v>5.9060560073155757E-2</v>
      </c>
      <c r="AM100" s="504">
        <f t="shared" si="77"/>
        <v>0</v>
      </c>
      <c r="AN100" s="504">
        <f t="shared" si="78"/>
        <v>0</v>
      </c>
      <c r="AO100" s="488" t="b">
        <f t="shared" si="83"/>
        <v>1</v>
      </c>
    </row>
    <row r="101" spans="1:41" x14ac:dyDescent="0.2">
      <c r="A101" s="493">
        <f t="shared" si="67"/>
        <v>2007</v>
      </c>
      <c r="C101" s="518">
        <f t="shared" si="84"/>
        <v>500000</v>
      </c>
      <c r="E101" s="504">
        <f>'e7'!S60</f>
        <v>1099670.4199999997</v>
      </c>
      <c r="G101" s="502">
        <f ca="1">[1]!ldfsir(ldfs, ldf_ages, ldf_type, ldf_ret, Intro!$AA29, "Rept", $C101, cutoff, 3)</f>
        <v>1.0341285859936471</v>
      </c>
      <c r="I101" s="507">
        <f t="shared" ca="1" si="79"/>
        <v>1137200.6164936398</v>
      </c>
      <c r="K101" s="504">
        <f t="shared" si="68"/>
        <v>104584.102</v>
      </c>
      <c r="M101" s="510">
        <f t="shared" ca="1" si="80"/>
        <v>10.873551474330581</v>
      </c>
      <c r="O101" s="504">
        <f ca="1">'e3.2A'!I101</f>
        <v>1179149.6855607883</v>
      </c>
      <c r="P101" s="505">
        <f t="shared" ca="1" si="69"/>
        <v>1.0368880111905769</v>
      </c>
      <c r="Q101" s="657">
        <f t="shared" si="86"/>
        <v>1099670.4199999997</v>
      </c>
      <c r="R101" s="504">
        <f>'e7'!$Q60</f>
        <v>0</v>
      </c>
      <c r="S101" s="361">
        <v>0</v>
      </c>
      <c r="T101" s="504">
        <f t="shared" si="70"/>
        <v>0</v>
      </c>
      <c r="U101" s="504" t="str">
        <f t="shared" si="71"/>
        <v/>
      </c>
      <c r="V101" s="504" t="b">
        <f t="shared" si="72"/>
        <v>1</v>
      </c>
      <c r="X101" s="511">
        <v>1099670.4199999997</v>
      </c>
      <c r="Y101" s="511">
        <v>1099670.4199999997</v>
      </c>
      <c r="Z101" s="504">
        <f t="shared" si="73"/>
        <v>0</v>
      </c>
      <c r="AA101" s="507">
        <f t="shared" si="74"/>
        <v>0</v>
      </c>
      <c r="AB101" s="504">
        <f t="shared" si="81"/>
        <v>0</v>
      </c>
      <c r="AC101" s="507">
        <f t="shared" si="75"/>
        <v>0</v>
      </c>
      <c r="AD101" s="493" t="b">
        <f t="shared" si="76"/>
        <v>1</v>
      </c>
      <c r="AF101" s="304">
        <v>0</v>
      </c>
      <c r="AG101" s="504" t="b">
        <f t="shared" si="85"/>
        <v>1</v>
      </c>
      <c r="AI101" s="509">
        <f>1 / [1]!ldfsir(prldfs, prldf_ages, prldf_type, prldf_ret, Intro!Y29, "Rept", $C101, prldf_cutoff, 3)</f>
        <v>0.96490748637274126</v>
      </c>
      <c r="AJ101" s="509">
        <f>1 / [1]!ldfsir(prldfs, prldf_ages, prldf_type, prldf_ret, Intro!AA29, "Rept", $C101, prldf_cutoff, 3)</f>
        <v>0.96699773465709349</v>
      </c>
      <c r="AK101" s="509">
        <f t="shared" si="82"/>
        <v>5.9563937384314002E-2</v>
      </c>
      <c r="AM101" s="504">
        <f t="shared" si="77"/>
        <v>0</v>
      </c>
      <c r="AN101" s="504">
        <f t="shared" si="78"/>
        <v>0</v>
      </c>
      <c r="AO101" s="488" t="b">
        <f t="shared" si="83"/>
        <v>1</v>
      </c>
    </row>
    <row r="102" spans="1:41" x14ac:dyDescent="0.2">
      <c r="A102" s="493">
        <f t="shared" si="67"/>
        <v>2008</v>
      </c>
      <c r="C102" s="518">
        <f t="shared" si="84"/>
        <v>500000</v>
      </c>
      <c r="E102" s="504">
        <f>'e7'!S61</f>
        <v>766269.99000000011</v>
      </c>
      <c r="G102" s="502">
        <f ca="1">[1]!ldfsir(ldfs, ldf_ages, ldf_type, ldf_ret, Intro!$AA30, "Rept", $C102, cutoff, 3)</f>
        <v>1.0388176043763666</v>
      </c>
      <c r="I102" s="507">
        <f t="shared" ca="1" si="79"/>
        <v>796014.75531730254</v>
      </c>
      <c r="K102" s="504">
        <f t="shared" si="68"/>
        <v>106050.29700000001</v>
      </c>
      <c r="M102" s="510">
        <f t="shared" ca="1" si="80"/>
        <v>7.5060115608851383</v>
      </c>
      <c r="O102" s="504">
        <f ca="1">'e3.2A'!I102</f>
        <v>829254.9578850473</v>
      </c>
      <c r="P102" s="505">
        <f t="shared" ca="1" si="69"/>
        <v>1.0417582743858746</v>
      </c>
      <c r="Q102" s="657">
        <f t="shared" si="86"/>
        <v>766269.99000000011</v>
      </c>
      <c r="R102" s="504">
        <f>'e7'!$Q61</f>
        <v>0</v>
      </c>
      <c r="S102" s="361">
        <v>0</v>
      </c>
      <c r="T102" s="504">
        <f t="shared" si="70"/>
        <v>0</v>
      </c>
      <c r="U102" s="504" t="str">
        <f t="shared" si="71"/>
        <v/>
      </c>
      <c r="V102" s="504" t="b">
        <f t="shared" si="72"/>
        <v>1</v>
      </c>
      <c r="X102" s="511">
        <v>766269.99000000011</v>
      </c>
      <c r="Y102" s="511">
        <v>766269.99000000011</v>
      </c>
      <c r="Z102" s="504">
        <f t="shared" si="73"/>
        <v>0</v>
      </c>
      <c r="AA102" s="507">
        <f t="shared" si="74"/>
        <v>0</v>
      </c>
      <c r="AB102" s="504">
        <f t="shared" si="81"/>
        <v>0</v>
      </c>
      <c r="AC102" s="507">
        <f t="shared" si="75"/>
        <v>0</v>
      </c>
      <c r="AD102" s="493" t="b">
        <f t="shared" si="76"/>
        <v>1</v>
      </c>
      <c r="AF102" s="304">
        <v>0</v>
      </c>
      <c r="AG102" s="504" t="b">
        <f t="shared" si="85"/>
        <v>1</v>
      </c>
      <c r="AI102" s="509">
        <f>1 / [1]!ldfsir(prldfs, prldf_ages, prldf_type, prldf_ret, Intro!Y30, "Rept", $C102, prldf_cutoff, 3)</f>
        <v>0.9602023322467611</v>
      </c>
      <c r="AJ102" s="509">
        <f>1 / [1]!ldfsir(prldfs, prldf_ages, prldf_type, prldf_ret, Intro!AA30, "Rept", $C102, prldf_cutoff, 3)</f>
        <v>0.96263289704291233</v>
      </c>
      <c r="AK102" s="509">
        <f t="shared" si="82"/>
        <v>6.107304606947514E-2</v>
      </c>
      <c r="AM102" s="504">
        <f t="shared" si="77"/>
        <v>0</v>
      </c>
      <c r="AN102" s="504">
        <f t="shared" si="78"/>
        <v>0</v>
      </c>
      <c r="AO102" s="488" t="b">
        <f t="shared" si="83"/>
        <v>1</v>
      </c>
    </row>
    <row r="103" spans="1:41" x14ac:dyDescent="0.2">
      <c r="A103" s="493">
        <f t="shared" si="67"/>
        <v>2009</v>
      </c>
      <c r="C103" s="518">
        <f t="shared" si="84"/>
        <v>500000</v>
      </c>
      <c r="E103" s="504">
        <f>'e7'!S62</f>
        <v>1882294.4700000004</v>
      </c>
      <c r="G103" s="502">
        <f ca="1">[1]!ldfsir(ldfs, ldf_ages, ldf_type, ldf_ret, Intro!$AA31, "Rept", $C103, cutoff, 3)</f>
        <v>1.0442914580812708</v>
      </c>
      <c r="I103" s="507">
        <f t="shared" ca="1" si="79"/>
        <v>1965664.0366146131</v>
      </c>
      <c r="K103" s="504">
        <f t="shared" si="68"/>
        <v>110722.705</v>
      </c>
      <c r="M103" s="510">
        <f t="shared" ca="1" si="80"/>
        <v>17.753034814445808</v>
      </c>
      <c r="O103" s="504">
        <f ca="1">'e3.2A'!I103</f>
        <v>1929731.588425579</v>
      </c>
      <c r="P103" s="505">
        <f t="shared" ca="1" si="69"/>
        <v>0.98171994424290365</v>
      </c>
      <c r="Q103" s="661">
        <f ca="1">E103 + T67</f>
        <v>1936555.7366137598</v>
      </c>
      <c r="R103" s="504">
        <f>'e7'!$Q62</f>
        <v>117912.80000000005</v>
      </c>
      <c r="S103" s="361">
        <v>1</v>
      </c>
      <c r="T103" s="504">
        <f t="shared" ca="1" si="70"/>
        <v>54261.266613759333</v>
      </c>
      <c r="U103" s="504">
        <f t="shared" ca="1" si="71"/>
        <v>54261.266613759333</v>
      </c>
      <c r="V103" s="504" t="b">
        <f t="shared" ca="1" si="72"/>
        <v>1</v>
      </c>
      <c r="X103" s="511">
        <v>1922724.9110424973</v>
      </c>
      <c r="Y103" s="511">
        <v>1864995.4700000004</v>
      </c>
      <c r="Z103" s="504">
        <f t="shared" si="73"/>
        <v>17299</v>
      </c>
      <c r="AA103" s="507">
        <f t="shared" si="74"/>
        <v>3562.4969299353775</v>
      </c>
      <c r="AB103" s="504">
        <f t="shared" si="81"/>
        <v>13736.503070064622</v>
      </c>
      <c r="AC103" s="507">
        <f t="shared" ca="1" si="75"/>
        <v>13830.82557126251</v>
      </c>
      <c r="AD103" s="493" t="b">
        <f t="shared" ca="1" si="76"/>
        <v>1</v>
      </c>
      <c r="AF103" s="304">
        <v>207927</v>
      </c>
      <c r="AG103" s="504" t="b">
        <f t="shared" ca="1" si="85"/>
        <v>1</v>
      </c>
      <c r="AI103" s="509">
        <f>1 / [1]!ldfsir(prldfs, prldf_ages, prldf_type, prldf_ret, Intro!Y31, "Rept", $C103, prldf_cutoff, 3)</f>
        <v>0.95479762339079466</v>
      </c>
      <c r="AJ103" s="509">
        <f>1 / [1]!ldfsir(prldfs, prldf_ages, prldf_type, prldf_ret, Intro!AA31, "Rept", $C103, prldf_cutoff, 3)</f>
        <v>0.95758707232686757</v>
      </c>
      <c r="AK103" s="509">
        <f t="shared" si="82"/>
        <v>6.171022732253529E-2</v>
      </c>
      <c r="AM103" s="504">
        <f t="shared" si="77"/>
        <v>0</v>
      </c>
      <c r="AN103" s="504">
        <f t="shared" ca="1" si="78"/>
        <v>0</v>
      </c>
      <c r="AO103" s="488" t="b">
        <f t="shared" ca="1" si="83"/>
        <v>1</v>
      </c>
    </row>
    <row r="104" spans="1:41" x14ac:dyDescent="0.2">
      <c r="A104" s="493">
        <f t="shared" si="67"/>
        <v>2010</v>
      </c>
      <c r="C104" s="518">
        <f t="shared" si="84"/>
        <v>500000</v>
      </c>
      <c r="E104" s="504">
        <f>'e7'!S63</f>
        <v>1200315.5200000003</v>
      </c>
      <c r="G104" s="502">
        <f ca="1">[1]!ldfsir(ldfs, ldf_ages, ldf_type, ldf_ret, Intro!$AA32, "Rept", $C104, cutoff, 3)</f>
        <v>1.0507101496301834</v>
      </c>
      <c r="I104" s="507">
        <f t="shared" ca="1" si="79"/>
        <v>1261183.6996226315</v>
      </c>
      <c r="K104" s="504">
        <f t="shared" si="68"/>
        <v>128222.10400000001</v>
      </c>
      <c r="M104" s="510">
        <f t="shared" ca="1" si="80"/>
        <v>9.8359304696999157</v>
      </c>
      <c r="O104" s="504">
        <f ca="1">'e3.2A'!I104</f>
        <v>1310324.0072019941</v>
      </c>
      <c r="P104" s="505">
        <f t="shared" ca="1" si="69"/>
        <v>1.0389636399471911</v>
      </c>
      <c r="Q104" s="661">
        <f ca="1">E104 + T68</f>
        <v>1232465.5338992665</v>
      </c>
      <c r="R104" s="504">
        <f>'e7'!$Q63</f>
        <v>17136.330000000075</v>
      </c>
      <c r="S104" s="361">
        <v>1</v>
      </c>
      <c r="T104" s="504">
        <f t="shared" ca="1" si="70"/>
        <v>32150.013899266254</v>
      </c>
      <c r="U104" s="504">
        <f t="shared" ca="1" si="71"/>
        <v>32150.013899266254</v>
      </c>
      <c r="V104" s="504" t="b">
        <f t="shared" ca="1" si="72"/>
        <v>1</v>
      </c>
      <c r="X104" s="511">
        <v>1222085.4335254533</v>
      </c>
      <c r="Y104" s="511">
        <v>1187635.5200000003</v>
      </c>
      <c r="Z104" s="504">
        <f t="shared" si="73"/>
        <v>12680</v>
      </c>
      <c r="AA104" s="507">
        <f t="shared" si="74"/>
        <v>2193.2542826417825</v>
      </c>
      <c r="AB104" s="504">
        <f t="shared" si="81"/>
        <v>10486.745717358217</v>
      </c>
      <c r="AC104" s="507">
        <f t="shared" ca="1" si="75"/>
        <v>10380.100373813184</v>
      </c>
      <c r="AD104" s="530" t="b">
        <f t="shared" ca="1" si="76"/>
        <v>1</v>
      </c>
      <c r="AF104" s="304">
        <v>306099.52</v>
      </c>
      <c r="AG104" s="504" t="b">
        <f t="shared" ca="1" si="85"/>
        <v>1</v>
      </c>
      <c r="AI104" s="509">
        <f>1 / [1]!ldfsir(prldfs, prldf_ages, prldf_type, prldf_ret, Intro!Y32, "Rept", $C104, prldf_cutoff, 3)</f>
        <v>0.94845569190181755</v>
      </c>
      <c r="AJ104" s="509">
        <f>1 / [1]!ldfsir(prldfs, prldf_ages, prldf_type, prldf_ret, Intro!AA32, "Rept", $C104, prldf_cutoff, 3)</f>
        <v>0.95173726108191492</v>
      </c>
      <c r="AK104" s="509">
        <f t="shared" si="82"/>
        <v>6.3665015618146983E-2</v>
      </c>
      <c r="AM104" s="504">
        <f t="shared" si="77"/>
        <v>0</v>
      </c>
      <c r="AN104" s="504">
        <f t="shared" ca="1" si="78"/>
        <v>0</v>
      </c>
      <c r="AO104" s="488" t="b">
        <f t="shared" ca="1" si="83"/>
        <v>1</v>
      </c>
    </row>
    <row r="105" spans="1:41" x14ac:dyDescent="0.2">
      <c r="A105" s="493">
        <f t="shared" si="67"/>
        <v>2011</v>
      </c>
      <c r="C105" s="518">
        <f t="shared" si="84"/>
        <v>500000</v>
      </c>
      <c r="E105" s="504">
        <f>'e7'!S64</f>
        <v>1212882.8100000003</v>
      </c>
      <c r="G105" s="502">
        <f ca="1">[1]!ldfsir(ldfs, ldf_ages, ldf_type, ldf_ret, Intro!$AA33, "Rept", $C105, cutoff, 3)</f>
        <v>1.0582766733856392</v>
      </c>
      <c r="I105" s="507">
        <f t="shared" ca="1" si="79"/>
        <v>1283565.5853734266</v>
      </c>
      <c r="K105" s="504">
        <f t="shared" si="68"/>
        <v>143214.37400000001</v>
      </c>
      <c r="M105" s="510">
        <f t="shared" ca="1" si="80"/>
        <v>8.962547190782864</v>
      </c>
      <c r="O105" s="504">
        <f ca="1">'e3.2A'!I105</f>
        <v>1363143.4531717226</v>
      </c>
      <c r="P105" s="505">
        <f t="shared" ca="1" si="69"/>
        <v>1.0619975081173156</v>
      </c>
      <c r="Q105" s="657">
        <f>E105</f>
        <v>1212882.8100000003</v>
      </c>
      <c r="R105" s="504">
        <f>'e7'!$Q64</f>
        <v>0</v>
      </c>
      <c r="S105" s="361">
        <v>0</v>
      </c>
      <c r="T105" s="504">
        <f t="shared" si="70"/>
        <v>0</v>
      </c>
      <c r="U105" s="504" t="str">
        <f t="shared" si="71"/>
        <v/>
      </c>
      <c r="V105" s="504" t="b">
        <f t="shared" si="72"/>
        <v>1</v>
      </c>
      <c r="X105" s="511">
        <v>1212815.81</v>
      </c>
      <c r="Y105" s="511">
        <v>1212815.81</v>
      </c>
      <c r="Z105" s="504">
        <f t="shared" si="73"/>
        <v>67.000000000232831</v>
      </c>
      <c r="AA105" s="507">
        <f t="shared" si="74"/>
        <v>0</v>
      </c>
      <c r="AB105" s="504">
        <f t="shared" si="81"/>
        <v>67.000000000232831</v>
      </c>
      <c r="AC105" s="507">
        <f t="shared" si="75"/>
        <v>67.000000000232831</v>
      </c>
      <c r="AD105" s="530" t="b">
        <f t="shared" si="76"/>
        <v>1</v>
      </c>
      <c r="AF105" s="304">
        <v>0</v>
      </c>
      <c r="AG105" s="504" t="b">
        <f t="shared" si="85"/>
        <v>1</v>
      </c>
      <c r="AI105" s="509">
        <f>1 / [1]!ldfsir(prldfs, prldf_ages, prldf_type, prldf_ret, Intro!Y33, "Rept", $C105, prldf_cutoff, 3)</f>
        <v>0.94117065553555057</v>
      </c>
      <c r="AJ105" s="509">
        <f>1 / [1]!ldfsir(prldfs, prldf_ages, prldf_type, prldf_ret, Intro!AA33, "Rept", $C105, prldf_cutoff, 3)</f>
        <v>0.94493247857462404</v>
      </c>
      <c r="AK105" s="509">
        <f t="shared" si="82"/>
        <v>6.3944670356589364E-2</v>
      </c>
      <c r="AM105" s="504">
        <f t="shared" si="77"/>
        <v>0</v>
      </c>
      <c r="AN105" s="504">
        <f t="shared" si="78"/>
        <v>0</v>
      </c>
      <c r="AO105" s="488" t="b">
        <f t="shared" si="83"/>
        <v>1</v>
      </c>
    </row>
    <row r="106" spans="1:41" x14ac:dyDescent="0.2">
      <c r="A106" s="493">
        <f t="shared" si="67"/>
        <v>2012</v>
      </c>
      <c r="C106" s="518">
        <f t="shared" si="84"/>
        <v>500000</v>
      </c>
      <c r="E106" s="504">
        <f>'e7'!S65</f>
        <v>1930458.7599999993</v>
      </c>
      <c r="G106" s="502">
        <f ca="1">[1]!ldfsir(ldfs, ldf_ages, ldf_type, ldf_ret, Intro!$AA34, "Rept", $C106, cutoff, 3)</f>
        <v>1.0672602881575739</v>
      </c>
      <c r="I106" s="507">
        <f t="shared" ca="1" si="79"/>
        <v>2060301.9724739122</v>
      </c>
      <c r="K106" s="504">
        <f t="shared" si="68"/>
        <v>145569.85699999999</v>
      </c>
      <c r="M106" s="510">
        <f t="shared" ca="1" si="80"/>
        <v>14.15335574915013</v>
      </c>
      <c r="O106" s="504">
        <f ca="1">'e3.2A'!I106</f>
        <v>2204570.199286331</v>
      </c>
      <c r="P106" s="505">
        <f t="shared" ca="1" si="69"/>
        <v>1.0700228552609636</v>
      </c>
      <c r="Q106" s="661">
        <f>E106 + T70</f>
        <v>1930458.7599999993</v>
      </c>
      <c r="R106" s="504">
        <f>'e7'!$Q65</f>
        <v>4655.5</v>
      </c>
      <c r="S106" s="361">
        <v>1</v>
      </c>
      <c r="T106" s="504">
        <f t="shared" si="70"/>
        <v>0</v>
      </c>
      <c r="U106" s="504">
        <f t="shared" si="71"/>
        <v>0</v>
      </c>
      <c r="V106" s="504" t="b">
        <f t="shared" si="72"/>
        <v>0</v>
      </c>
      <c r="X106" s="511">
        <v>1928669.29</v>
      </c>
      <c r="Y106" s="511">
        <v>1926182.29</v>
      </c>
      <c r="Z106" s="504">
        <f t="shared" si="73"/>
        <v>4276.4699999992736</v>
      </c>
      <c r="AA106" s="507">
        <f t="shared" si="74"/>
        <v>166.39761469201869</v>
      </c>
      <c r="AB106" s="504">
        <f t="shared" si="81"/>
        <v>4110.072385307255</v>
      </c>
      <c r="AC106" s="507">
        <f t="shared" si="75"/>
        <v>1789.4699999992736</v>
      </c>
      <c r="AD106" s="530" t="b">
        <f t="shared" si="76"/>
        <v>1</v>
      </c>
      <c r="AF106" s="304">
        <v>148275</v>
      </c>
      <c r="AG106" s="504" t="b">
        <f t="shared" si="85"/>
        <v>1</v>
      </c>
      <c r="AI106" s="509">
        <f>1 / [1]!ldfsir(prldfs, prldf_ages, prldf_type, prldf_ret, Intro!Y34, "Rept", $C106, prldf_cutoff, 3)</f>
        <v>0.93245963169659574</v>
      </c>
      <c r="AJ106" s="509">
        <f>1 / [1]!ldfsir(prldfs, prldf_ages, prldf_type, prldf_ret, Intro!AA34, "Rept", $C106, prldf_cutoff, 3)</f>
        <v>0.93697855255751528</v>
      </c>
      <c r="AK106" s="509">
        <f t="shared" si="82"/>
        <v>6.6906962079621504E-2</v>
      </c>
      <c r="AM106" s="504">
        <f t="shared" si="77"/>
        <v>1725</v>
      </c>
      <c r="AN106" s="504">
        <f t="shared" si="78"/>
        <v>0</v>
      </c>
      <c r="AO106" s="488" t="b">
        <f t="shared" si="83"/>
        <v>0</v>
      </c>
    </row>
    <row r="107" spans="1:41" x14ac:dyDescent="0.2">
      <c r="A107" s="493">
        <f t="shared" si="67"/>
        <v>2013</v>
      </c>
      <c r="C107" s="518">
        <f t="shared" si="84"/>
        <v>500000</v>
      </c>
      <c r="E107" s="504">
        <f>'e7'!S66</f>
        <v>2106047.2399999998</v>
      </c>
      <c r="G107" s="502">
        <f ca="1">[1]!ldfsir(ldfs, ldf_ages, ldf_type, ldf_ret, Intro!$AA35, "Rept", $C107, cutoff, 3)</f>
        <v>1.0784425114522491</v>
      </c>
      <c r="I107" s="507">
        <f t="shared" ca="1" si="79"/>
        <v>2271250.8747426774</v>
      </c>
      <c r="K107" s="504">
        <f t="shared" si="68"/>
        <v>157968.50285000002</v>
      </c>
      <c r="M107" s="510">
        <f t="shared" ca="1" si="80"/>
        <v>14.377871751429828</v>
      </c>
      <c r="O107" s="504">
        <f ca="1">'e3.2A'!I107</f>
        <v>2417448.5593850561</v>
      </c>
      <c r="P107" s="505">
        <f t="shared" ca="1" si="69"/>
        <v>1.0643687961854686</v>
      </c>
      <c r="Q107" s="661">
        <f t="shared" ref="Q107" ca="1" si="87">E107 + T71</f>
        <v>2193820.757447863</v>
      </c>
      <c r="R107" s="504">
        <f>'e7'!$Q66</f>
        <v>44680.639999999898</v>
      </c>
      <c r="S107" s="361">
        <v>2</v>
      </c>
      <c r="T107" s="504">
        <f t="shared" ca="1" si="70"/>
        <v>87773.51744786324</v>
      </c>
      <c r="U107" s="504">
        <f t="shared" ca="1" si="71"/>
        <v>43886.75872393162</v>
      </c>
      <c r="V107" s="504" t="b">
        <f t="shared" ca="1" si="72"/>
        <v>1</v>
      </c>
      <c r="X107" s="511">
        <v>2194103.4893013444</v>
      </c>
      <c r="Y107" s="511">
        <v>2097334.3199999994</v>
      </c>
      <c r="Z107" s="504">
        <f t="shared" si="73"/>
        <v>8712.9200000003912</v>
      </c>
      <c r="AA107" s="507">
        <f t="shared" si="74"/>
        <v>6984.240940873563</v>
      </c>
      <c r="AB107" s="504">
        <f t="shared" si="81"/>
        <v>1728.6790591268282</v>
      </c>
      <c r="AC107" s="507">
        <f t="shared" ca="1" si="75"/>
        <v>-282.73185348138213</v>
      </c>
      <c r="AD107" s="530" t="b">
        <f t="shared" ca="1" si="76"/>
        <v>0</v>
      </c>
      <c r="AF107" s="304">
        <v>834108</v>
      </c>
      <c r="AG107" s="504" t="b">
        <f t="shared" ca="1" si="85"/>
        <v>1</v>
      </c>
      <c r="AI107" s="509">
        <f>1 / [1]!ldfsir(prldfs, prldf_ages, prldf_type, prldf_ret, Intro!Y35, "Rept", $C107, prldf_cutoff, 3)</f>
        <v>0.92160505438677187</v>
      </c>
      <c r="AJ107" s="509">
        <f>1 / [1]!ldfsir(prldfs, prldf_ages, prldf_type, prldf_ret, Intro!AA35, "Rept", $C107, prldf_cutoff, 3)</f>
        <v>0.9272631497560152</v>
      </c>
      <c r="AK107" s="509">
        <f t="shared" si="82"/>
        <v>7.217423680805006E-2</v>
      </c>
      <c r="AM107" s="504">
        <f t="shared" si="77"/>
        <v>-2.3283064365386963E-10</v>
      </c>
      <c r="AN107" s="504">
        <f t="shared" ca="1" si="78"/>
        <v>2.3283064365386963E-10</v>
      </c>
      <c r="AO107" s="488" t="b">
        <f t="shared" ca="1" si="83"/>
        <v>1</v>
      </c>
    </row>
    <row r="108" spans="1:41" x14ac:dyDescent="0.2">
      <c r="A108" s="493">
        <f t="shared" si="67"/>
        <v>2014</v>
      </c>
      <c r="C108" s="518">
        <f t="shared" si="84"/>
        <v>500000</v>
      </c>
      <c r="E108" s="504">
        <f>'e7'!S67</f>
        <v>2342502.8100000005</v>
      </c>
      <c r="G108" s="502">
        <f ca="1">[1]!ldfsir(ldfs, ldf_ages, ldf_type, ldf_ret, Intro!$AA36, "Rept", $C108, cutoff, 3)</f>
        <v>1.0928221522207482</v>
      </c>
      <c r="I108" s="507">
        <f t="shared" ca="1" si="79"/>
        <v>2559938.962407351</v>
      </c>
      <c r="K108" s="504">
        <f t="shared" si="68"/>
        <v>182546.24444841431</v>
      </c>
      <c r="M108" s="510">
        <f t="shared" ca="1" si="80"/>
        <v>14.023509331252024</v>
      </c>
      <c r="O108" s="504">
        <f ca="1">'e3.2A'!I108</f>
        <v>2836352.6808522204</v>
      </c>
      <c r="P108" s="505">
        <f t="shared" ca="1" si="69"/>
        <v>1.1079766832350297</v>
      </c>
      <c r="Q108" s="657">
        <f>E108</f>
        <v>2342502.8100000005</v>
      </c>
      <c r="R108" s="504">
        <f>'e7'!$Q67</f>
        <v>0</v>
      </c>
      <c r="S108" s="361">
        <v>0</v>
      </c>
      <c r="T108" s="504">
        <f t="shared" si="70"/>
        <v>0</v>
      </c>
      <c r="U108" s="504" t="str">
        <f t="shared" si="71"/>
        <v/>
      </c>
      <c r="V108" s="504" t="b">
        <f t="shared" si="72"/>
        <v>1</v>
      </c>
      <c r="X108" s="511">
        <v>2342329.11</v>
      </c>
      <c r="Y108" s="511">
        <v>2342329.11</v>
      </c>
      <c r="Z108" s="504">
        <f t="shared" si="73"/>
        <v>173.70000000065193</v>
      </c>
      <c r="AA108" s="507">
        <f t="shared" si="74"/>
        <v>0</v>
      </c>
      <c r="AB108" s="504">
        <f t="shared" si="81"/>
        <v>173.70000000065193</v>
      </c>
      <c r="AC108" s="507">
        <f t="shared" si="75"/>
        <v>173.70000000065193</v>
      </c>
      <c r="AD108" s="530" t="b">
        <f t="shared" si="76"/>
        <v>1</v>
      </c>
      <c r="AF108" s="304">
        <v>0</v>
      </c>
      <c r="AG108" s="504" t="b">
        <f t="shared" si="85"/>
        <v>1</v>
      </c>
      <c r="AI108" s="509">
        <f>1 / [1]!ldfsir(prldfs, prldf_ages, prldf_type, prldf_ret, Intro!Y36, "Rept", $C108, prldf_cutoff, 3)</f>
        <v>0.90789985610047552</v>
      </c>
      <c r="AJ108" s="509">
        <f>1 / [1]!ldfsir(prldfs, prldf_ages, prldf_type, prldf_ret, Intro!AA36, "Rept", $C108, prldf_cutoff, 3)</f>
        <v>0.91506197780478549</v>
      </c>
      <c r="AK108" s="509">
        <f t="shared" si="82"/>
        <v>7.7764500695280056E-2</v>
      </c>
      <c r="AM108" s="504">
        <f t="shared" si="77"/>
        <v>0</v>
      </c>
      <c r="AN108" s="504">
        <f t="shared" si="78"/>
        <v>0</v>
      </c>
      <c r="AO108" s="488" t="b">
        <f t="shared" si="83"/>
        <v>1</v>
      </c>
    </row>
    <row r="109" spans="1:41" x14ac:dyDescent="0.2">
      <c r="A109" s="493">
        <f t="shared" si="67"/>
        <v>2015</v>
      </c>
      <c r="C109" s="518">
        <f t="shared" si="84"/>
        <v>500000</v>
      </c>
      <c r="E109" s="504">
        <f>'e7'!S68</f>
        <v>3251678.2500000009</v>
      </c>
      <c r="G109" s="502">
        <f ca="1">[1]!ldfsir(ldfs, ldf_ages, ldf_type, ldf_ret, Intro!$AA37, "Rept", $C109, cutoff, 3)</f>
        <v>1.1155798265124286</v>
      </c>
      <c r="I109" s="507">
        <f t="shared" ca="1" si="79"/>
        <v>3627506.6580092385</v>
      </c>
      <c r="K109" s="504">
        <f t="shared" si="68"/>
        <v>196912.10476000005</v>
      </c>
      <c r="M109" s="510">
        <f t="shared" ca="1" si="80"/>
        <v>18.421958682684885</v>
      </c>
      <c r="O109" s="504">
        <f ca="1">'e3.2A'!I109</f>
        <v>3568260.6026782035</v>
      </c>
      <c r="P109" s="505">
        <f t="shared" ca="1" si="69"/>
        <v>0.98366755435163034</v>
      </c>
      <c r="Q109" s="658">
        <f ca="1">I109</f>
        <v>3627506.6580092385</v>
      </c>
      <c r="R109" s="504">
        <f>'e7'!$Q68</f>
        <v>441176.08999999985</v>
      </c>
      <c r="S109" s="361">
        <v>4</v>
      </c>
      <c r="T109" s="504">
        <f t="shared" ca="1" si="70"/>
        <v>375828.40800923761</v>
      </c>
      <c r="U109" s="504">
        <f t="shared" ca="1" si="71"/>
        <v>93957.102002309402</v>
      </c>
      <c r="V109" s="504" t="b">
        <f t="shared" ca="1" si="72"/>
        <v>1</v>
      </c>
      <c r="X109" s="511">
        <v>3727217.9588296209</v>
      </c>
      <c r="Y109" s="511">
        <v>3276954.1399999997</v>
      </c>
      <c r="Z109" s="504">
        <f t="shared" si="73"/>
        <v>-25275.889999998733</v>
      </c>
      <c r="AA109" s="507">
        <f t="shared" si="74"/>
        <v>58877.733691967325</v>
      </c>
      <c r="AB109" s="504">
        <f t="shared" si="81"/>
        <v>-84153.623691966059</v>
      </c>
      <c r="AC109" s="507">
        <f t="shared" ca="1" si="75"/>
        <v>-99711.300820382312</v>
      </c>
      <c r="AD109" s="530" t="b">
        <f t="shared" ca="1" si="76"/>
        <v>1</v>
      </c>
      <c r="AF109" s="304">
        <v>854512.35</v>
      </c>
      <c r="AG109" s="504" t="b">
        <f t="shared" ca="1" si="85"/>
        <v>1</v>
      </c>
      <c r="AI109" s="509">
        <f>1 / [1]!ldfsir(prldfs, prldf_ages, prldf_type, prldf_ret, Intro!Y37, "Rept", $C109, prldf_cutoff, 3)</f>
        <v>0.87919573692679676</v>
      </c>
      <c r="AJ109" s="509">
        <f>1 / [1]!ldfsir(prldfs, prldf_ages, prldf_type, prldf_ret, Intro!AA37, "Rept", $C109, prldf_cutoff, 3)</f>
        <v>0.89499243417990171</v>
      </c>
      <c r="AK109" s="509">
        <f t="shared" si="82"/>
        <v>0.13076274670483023</v>
      </c>
      <c r="AM109" s="504">
        <f t="shared" si="77"/>
        <v>13335.809999999125</v>
      </c>
      <c r="AN109" s="504">
        <f t="shared" ca="1" si="78"/>
        <v>107980.24800923746</v>
      </c>
      <c r="AO109" s="488" t="b">
        <f t="shared" ca="1" si="83"/>
        <v>1</v>
      </c>
    </row>
    <row r="110" spans="1:41" x14ac:dyDescent="0.2">
      <c r="A110" s="493">
        <f t="shared" si="67"/>
        <v>2016</v>
      </c>
      <c r="C110" s="518">
        <f t="shared" si="84"/>
        <v>500000</v>
      </c>
      <c r="E110" s="504">
        <f>'e7'!S69</f>
        <v>2628716.9900000021</v>
      </c>
      <c r="G110" s="502">
        <f ca="1">[1]!ldfsir(ldfs, ldf_ages, ldf_type, ldf_ret, Intro!$AA38, "Rept", $C110, cutoff, 3)</f>
        <v>1.1594351103897929</v>
      </c>
      <c r="I110" s="507">
        <f t="shared" ca="1" si="79"/>
        <v>3047826.7734841765</v>
      </c>
      <c r="K110" s="504">
        <f t="shared" si="68"/>
        <v>221894.58274919298</v>
      </c>
      <c r="M110" s="510">
        <f t="shared" ca="1" si="80"/>
        <v>13.735471752950044</v>
      </c>
      <c r="O110" s="504">
        <f ca="1">'e3.2A'!I110</f>
        <v>3366637.6192039745</v>
      </c>
      <c r="P110" s="505">
        <f t="shared" ca="1" si="69"/>
        <v>1.1046026790280288</v>
      </c>
      <c r="Q110" s="661">
        <f ca="1">I110</f>
        <v>3047826.7734841765</v>
      </c>
      <c r="R110" s="504">
        <f>'e7'!$Q69</f>
        <v>178804.94000000041</v>
      </c>
      <c r="S110" s="361">
        <v>8</v>
      </c>
      <c r="T110" s="504">
        <f t="shared" ca="1" si="70"/>
        <v>419109.7834841744</v>
      </c>
      <c r="U110" s="504">
        <f t="shared" ca="1" si="71"/>
        <v>52388.722935521801</v>
      </c>
      <c r="V110" s="504" t="b">
        <f t="shared" ca="1" si="72"/>
        <v>1</v>
      </c>
      <c r="X110" s="511">
        <v>2929576.4346174067</v>
      </c>
      <c r="Y110" s="511">
        <v>2444111.0400000019</v>
      </c>
      <c r="Z110" s="504">
        <f t="shared" si="73"/>
        <v>184605.95000000019</v>
      </c>
      <c r="AA110" s="507">
        <f t="shared" si="74"/>
        <v>71293.250306429356</v>
      </c>
      <c r="AB110" s="504">
        <f t="shared" si="81"/>
        <v>113312.69969357083</v>
      </c>
      <c r="AC110" s="507">
        <f t="shared" ca="1" si="75"/>
        <v>118250.3388667698</v>
      </c>
      <c r="AD110" s="530" t="b">
        <f t="shared" ca="1" si="76"/>
        <v>1</v>
      </c>
      <c r="AF110" s="304">
        <v>2955793.43</v>
      </c>
      <c r="AG110" s="504" t="b">
        <f t="shared" ca="1" si="85"/>
        <v>1</v>
      </c>
      <c r="AI110" s="509">
        <f>1 / [1]!ldfsir(prldfs, prldf_ages, prldf_type, prldf_ret, Intro!Y38, "Rept", $C110, prldf_cutoff, 3)</f>
        <v>0.83428819645021313</v>
      </c>
      <c r="AJ110" s="509">
        <f>1 / [1]!ldfsir(prldfs, prldf_ages, prldf_type, prldf_ret, Intro!AA38, "Rept", $C110, prldf_cutoff, 3)</f>
        <v>0.85862388179502647</v>
      </c>
      <c r="AK110" s="509">
        <f t="shared" si="82"/>
        <v>0.14685547331878424</v>
      </c>
      <c r="AM110" s="504">
        <f t="shared" si="77"/>
        <v>0</v>
      </c>
      <c r="AN110" s="504">
        <f t="shared" ca="1" si="78"/>
        <v>68149.656687328126</v>
      </c>
      <c r="AO110" s="668" t="b">
        <f t="shared" ca="1" si="83"/>
        <v>0</v>
      </c>
    </row>
    <row r="111" spans="1:41" x14ac:dyDescent="0.2">
      <c r="A111" s="493">
        <f t="shared" si="67"/>
        <v>2017</v>
      </c>
      <c r="C111" s="518">
        <f t="shared" si="84"/>
        <v>500000</v>
      </c>
      <c r="E111" s="504">
        <f>'e7'!S70</f>
        <v>2585441.4500000016</v>
      </c>
      <c r="G111" s="502">
        <f ca="1">[1]!ldfsir(ldfs, ldf_ages, ldf_type, ldf_ret, Intro!$AA39, "Rept", $C111, cutoff, 3)</f>
        <v>1.2628662455340094</v>
      </c>
      <c r="I111" s="507">
        <f t="shared" ca="1" si="79"/>
        <v>3265066.7370095071</v>
      </c>
      <c r="K111" s="504">
        <f t="shared" si="68"/>
        <v>307509.66981400014</v>
      </c>
      <c r="M111" s="510">
        <f t="shared" ca="1" si="80"/>
        <v>10.617769317577594</v>
      </c>
      <c r="O111" s="504">
        <f ca="1">'e3.2A'!I111</f>
        <v>3681612.0299371313</v>
      </c>
      <c r="P111" s="505">
        <f t="shared" ca="1" si="69"/>
        <v>1.1275763488096848</v>
      </c>
      <c r="Q111" s="658">
        <f ca="1">I111</f>
        <v>3265066.7370095071</v>
      </c>
      <c r="R111" s="504">
        <f>'e7'!$Q70</f>
        <v>327371.00999999978</v>
      </c>
      <c r="S111" s="361">
        <v>8</v>
      </c>
      <c r="T111" s="504">
        <f t="shared" ca="1" si="70"/>
        <v>679625.28700950556</v>
      </c>
      <c r="U111" s="504">
        <f t="shared" ca="1" si="71"/>
        <v>84953.160876188194</v>
      </c>
      <c r="V111" s="504" t="b">
        <f t="shared" ca="1" si="72"/>
        <v>1</v>
      </c>
      <c r="X111" s="511">
        <v>3067637.8047763514</v>
      </c>
      <c r="Y111" s="511">
        <v>2264112.3000000003</v>
      </c>
      <c r="Z111" s="504">
        <f t="shared" si="73"/>
        <v>321329.1500000013</v>
      </c>
      <c r="AA111" s="507">
        <f t="shared" si="74"/>
        <v>166503.16948917162</v>
      </c>
      <c r="AB111" s="504">
        <f t="shared" si="81"/>
        <v>154825.98051082969</v>
      </c>
      <c r="AC111" s="507">
        <f t="shared" ca="1" si="75"/>
        <v>197428.93223315571</v>
      </c>
      <c r="AD111" s="530" t="b">
        <f t="shared" ca="1" si="76"/>
        <v>1</v>
      </c>
      <c r="AF111" s="304">
        <v>3693208.29</v>
      </c>
      <c r="AG111" s="504" t="b">
        <f t="shared" ca="1" si="85"/>
        <v>1</v>
      </c>
      <c r="AI111" s="509">
        <f>1 / [1]!ldfsir(prldfs, prldf_ages, prldf_type, prldf_ret, Intro!Y39, "Rept", $C111, prldf_cutoff, 3)</f>
        <v>0.73806376244116834</v>
      </c>
      <c r="AJ111" s="509">
        <f>1 / [1]!ldfsir(prldfs, prldf_ages, prldf_type, prldf_ret, Intro!AA39, "Rept", $C111, prldf_cutoff, 3)</f>
        <v>0.79234108593415831</v>
      </c>
      <c r="AK111" s="509">
        <f t="shared" si="82"/>
        <v>0.20721578655492109</v>
      </c>
      <c r="AM111" s="504">
        <f t="shared" si="77"/>
        <v>0</v>
      </c>
      <c r="AN111" s="504">
        <f t="shared" ca="1" si="78"/>
        <v>82939.07252919348</v>
      </c>
      <c r="AO111" s="668" t="b">
        <f t="shared" ref="AO111:AO113" ca="1" si="88">IF(AM111=0,AN111=0,AN111&gt;0)</f>
        <v>0</v>
      </c>
    </row>
    <row r="112" spans="1:41" x14ac:dyDescent="0.2">
      <c r="A112" s="493">
        <f t="shared" ref="A112:A113" si="89">A76</f>
        <v>2018</v>
      </c>
      <c r="C112" s="518">
        <f t="shared" si="84"/>
        <v>500000</v>
      </c>
      <c r="E112" s="504">
        <f>'e7'!S71</f>
        <v>5817996.7700000023</v>
      </c>
      <c r="G112" s="502">
        <f ca="1">[1]!ldfsir(ldfs, ldf_ages, ldf_type, ldf_ret, Intro!$AA40, "Rept", $C112, cutoff, 3)</f>
        <v>1.619653822268273</v>
      </c>
      <c r="I112" s="507">
        <f t="shared" ref="I112:I113" ca="1" si="90">E112*G112</f>
        <v>9423140.706474971</v>
      </c>
      <c r="K112" s="504">
        <f t="shared" ref="K112:K113" si="91">K76</f>
        <v>536896.27333</v>
      </c>
      <c r="M112" s="510">
        <f t="shared" ref="M112:M113" ca="1" si="92">I112/K112</f>
        <v>17.55113822643931</v>
      </c>
      <c r="O112" s="504">
        <f ca="1">'e3.2A'!I112</f>
        <v>10451512.251885835</v>
      </c>
      <c r="P112" s="505">
        <f t="shared" ref="P112:P113" ca="1" si="93">O112/I112</f>
        <v>1.1091325681579003</v>
      </c>
      <c r="Q112" s="658">
        <f ca="1">I112</f>
        <v>9423140.706474971</v>
      </c>
      <c r="R112" s="504">
        <f>'e7'!$Q71</f>
        <v>1618701.6200000048</v>
      </c>
      <c r="S112" s="361">
        <v>61</v>
      </c>
      <c r="T112" s="504">
        <f t="shared" ref="T112:T113" ca="1" si="94">Q112-E112</f>
        <v>3605143.9364749687</v>
      </c>
      <c r="U112" s="504">
        <f t="shared" ref="U112:U113" ca="1" si="95">IFERROR(T112/S112, "")</f>
        <v>59100.720270081452</v>
      </c>
      <c r="V112" s="504" t="b">
        <f t="shared" ref="V112:V113" ca="1" si="96">IF(OR(S112=0,R112=0),T112=0,T112&gt;0)</f>
        <v>1</v>
      </c>
      <c r="X112" s="511">
        <v>9840393.191347817</v>
      </c>
      <c r="Y112" s="511">
        <v>4706747.6700000055</v>
      </c>
      <c r="Z112" s="504">
        <f t="shared" ref="Z112:Z113" si="97">E112-Y112</f>
        <v>1111249.0999999968</v>
      </c>
      <c r="AA112" s="507">
        <f t="shared" ref="AA112:AA113" si="98">AK112*(X112-Y112)</f>
        <v>1448152.8544897039</v>
      </c>
      <c r="AB112" s="504">
        <f t="shared" ref="AB112:AB113" si="99">Z112-AA112</f>
        <v>-336903.75448970706</v>
      </c>
      <c r="AC112" s="507">
        <f t="shared" ref="AC112:AC113" ca="1" si="100">Q112-X112</f>
        <v>-417252.48487284593</v>
      </c>
      <c r="AD112" s="530" t="b">
        <f t="shared" ref="AD112:AD113" ca="1" si="101">IF(AB112&lt;=0,AC112&lt;=0,AC112&gt;=0)</f>
        <v>1</v>
      </c>
      <c r="AF112" s="304">
        <v>27043306.34</v>
      </c>
      <c r="AG112" s="504" t="b">
        <f t="shared" ref="AG112:AG113" ca="1" si="102">AF112&gt;=T112</f>
        <v>1</v>
      </c>
      <c r="AI112" s="509">
        <f>1 / [1]!ldfsir(prldfs, prldf_ages, prldf_type, prldf_ret, Intro!Y40, "Rept", $C112, prldf_cutoff, 3)</f>
        <v>0.47830890275181503</v>
      </c>
      <c r="AJ112" s="509">
        <f>1 / [1]!ldfsir(prldfs, prldf_ages, prldf_type, prldf_ret, Intro!AA40, "Rept", $C112, prldf_cutoff, 3)</f>
        <v>0.62547302783606418</v>
      </c>
      <c r="AK112" s="509">
        <f t="shared" si="82"/>
        <v>0.28209054335124778</v>
      </c>
      <c r="AM112" s="504">
        <f t="shared" ref="AM112:AM113" si="103">R112-R76</f>
        <v>0</v>
      </c>
      <c r="AN112" s="504">
        <f t="shared" ref="AN112:AN113" ca="1" si="104">T112-T76</f>
        <v>286528.40231919289</v>
      </c>
      <c r="AO112" s="668" t="b">
        <f t="shared" ca="1" si="88"/>
        <v>0</v>
      </c>
    </row>
    <row r="113" spans="1:41" x14ac:dyDescent="0.2">
      <c r="A113" s="493">
        <f t="shared" si="89"/>
        <v>2019</v>
      </c>
      <c r="C113" s="518">
        <f t="shared" si="84"/>
        <v>500000</v>
      </c>
      <c r="E113" s="512">
        <f>'e7'!S72</f>
        <v>1261811.2200000007</v>
      </c>
      <c r="G113" s="502">
        <f ca="1">[1]!ldfsir(ldfs, ldf_ages, ldf_type, ldf_ret, Intro!$AA41, "Rept", $C113, cutoff, 3)</f>
        <v>4.5884558470269194</v>
      </c>
      <c r="I113" s="512">
        <f t="shared" ca="1" si="90"/>
        <v>5789765.0702531738</v>
      </c>
      <c r="K113" s="512">
        <f t="shared" si="91"/>
        <v>543133.22666000458</v>
      </c>
      <c r="M113" s="513">
        <f t="shared" ca="1" si="92"/>
        <v>10.659935327207487</v>
      </c>
      <c r="O113" s="512">
        <f ca="1">'e3.2A'!I113</f>
        <v>8591986.0959810279</v>
      </c>
      <c r="P113" s="514">
        <f t="shared" ca="1" si="93"/>
        <v>1.4839956356994843</v>
      </c>
      <c r="Q113" s="662">
        <f ca="1">O113</f>
        <v>8591986.0959810279</v>
      </c>
      <c r="R113" s="512">
        <f>'e7'!$Q72</f>
        <v>642501.92000000062</v>
      </c>
      <c r="S113" s="305">
        <v>101</v>
      </c>
      <c r="T113" s="512">
        <f t="shared" ca="1" si="94"/>
        <v>7330174.8759810273</v>
      </c>
      <c r="U113" s="512">
        <f t="shared" ca="1" si="95"/>
        <v>72575.988871099282</v>
      </c>
      <c r="V113" s="504" t="b">
        <f t="shared" ca="1" si="96"/>
        <v>1</v>
      </c>
      <c r="X113" s="655">
        <v>9312946.0948400646</v>
      </c>
      <c r="Y113" s="655">
        <v>178621.64</v>
      </c>
      <c r="Z113" s="512">
        <f t="shared" si="97"/>
        <v>1083189.5800000005</v>
      </c>
      <c r="AA113" s="512">
        <f t="shared" si="98"/>
        <v>1877511.9067720901</v>
      </c>
      <c r="AB113" s="512">
        <f t="shared" si="99"/>
        <v>-794322.32677208958</v>
      </c>
      <c r="AC113" s="531">
        <f t="shared" ca="1" si="100"/>
        <v>-720959.99885903671</v>
      </c>
      <c r="AD113" s="493" t="b">
        <f t="shared" ca="1" si="101"/>
        <v>1</v>
      </c>
      <c r="AF113" s="304">
        <v>55859965.800000004</v>
      </c>
      <c r="AG113" s="504" t="b">
        <f t="shared" ca="1" si="102"/>
        <v>1</v>
      </c>
      <c r="AI113" s="509">
        <f>1 / [1]!ldfsir(prldfs, prldf_ages, prldf_type, prldf_ret, Intro!Y41, "Rept", $C113, prldf_cutoff, 3)</f>
        <v>1.9179928476013321E-2</v>
      </c>
      <c r="AJ113" s="509">
        <f>1 / [1]!ldfsir(prldfs, prldf_ages, prldf_type, prldf_ret, Intro!AA41, "Rept", $C113, prldf_cutoff, 3)</f>
        <v>0.22078228799276661</v>
      </c>
      <c r="AK113" s="509">
        <f t="shared" si="82"/>
        <v>0.20554469200809269</v>
      </c>
      <c r="AM113" s="512">
        <f t="shared" si="103"/>
        <v>0</v>
      </c>
      <c r="AN113" s="512">
        <f t="shared" ca="1" si="104"/>
        <v>335479.01100458577</v>
      </c>
      <c r="AO113" s="668" t="b">
        <f t="shared" ca="1" si="88"/>
        <v>0</v>
      </c>
    </row>
    <row r="114" spans="1:41" x14ac:dyDescent="0.2">
      <c r="P114" s="515"/>
      <c r="Q114" s="666"/>
    </row>
    <row r="115" spans="1:41" x14ac:dyDescent="0.2">
      <c r="A115" s="493" t="s">
        <v>78</v>
      </c>
      <c r="E115" s="501">
        <f>SUM(E90:E113)</f>
        <v>51975266.460000001</v>
      </c>
      <c r="I115" s="501">
        <f ca="1">SUM(I90:I113)</f>
        <v>62868707.054034151</v>
      </c>
      <c r="K115" s="501">
        <f>SUM(K90:K113)</f>
        <v>3896630.2405416127</v>
      </c>
      <c r="M115" s="510">
        <f t="shared" ref="M115" ca="1" si="105">I115/K115</f>
        <v>16.134121836845292</v>
      </c>
      <c r="O115" s="507">
        <f ca="1">SUM(O90:O113)</f>
        <v>67670124.752394676</v>
      </c>
      <c r="P115" s="505">
        <f ca="1">O115/I115</f>
        <v>1.0763721400256223</v>
      </c>
      <c r="Q115" s="684">
        <f ca="1">SUM(Q90:Q113)</f>
        <v>64871090.576005742</v>
      </c>
      <c r="R115" s="507">
        <f>SUM(R90:R113)</f>
        <v>4300854.2300000051</v>
      </c>
      <c r="S115" s="507">
        <f>SUM(S90:S113)</f>
        <v>200</v>
      </c>
      <c r="T115" s="507">
        <f ca="1">SUM(T90:T113)</f>
        <v>12895824.116005737</v>
      </c>
      <c r="U115" s="504">
        <f ca="1">IFERROR(T115/S115, "")</f>
        <v>64479.120580028684</v>
      </c>
      <c r="V115" s="504"/>
      <c r="X115" s="507">
        <f t="shared" ref="X115:AC115" si="106">SUM(X90:X113)</f>
        <v>65767376.725366481</v>
      </c>
      <c r="Y115" s="507">
        <f t="shared" si="106"/>
        <v>49258543.549999997</v>
      </c>
      <c r="Z115" s="507">
        <f t="shared" si="106"/>
        <v>2716722.9100000011</v>
      </c>
      <c r="AA115" s="507">
        <f t="shared" si="106"/>
        <v>3642402.272425978</v>
      </c>
      <c r="AB115" s="507">
        <f t="shared" si="106"/>
        <v>-925679.36242597713</v>
      </c>
      <c r="AC115" s="507">
        <f t="shared" ca="1" si="106"/>
        <v>-896286.14936074498</v>
      </c>
      <c r="AF115" s="507"/>
      <c r="AG115" s="507"/>
      <c r="AM115" s="507">
        <f>SUM(AM90:AM113)</f>
        <v>291179.49999999884</v>
      </c>
      <c r="AN115" s="507">
        <f ca="1">SUM(AN90:AN113)</f>
        <v>1025180.9732645985</v>
      </c>
    </row>
    <row r="118" spans="1:41" x14ac:dyDescent="0.2">
      <c r="A118" s="360" t="s">
        <v>83</v>
      </c>
    </row>
    <row r="119" spans="1:41" x14ac:dyDescent="0.2">
      <c r="A119" s="327" t="s">
        <v>340</v>
      </c>
    </row>
    <row r="120" spans="1:41" x14ac:dyDescent="0.2">
      <c r="A120" s="163" t="s">
        <v>474</v>
      </c>
    </row>
    <row r="121" spans="1:41" x14ac:dyDescent="0.2">
      <c r="A121" s="327" t="s">
        <v>358</v>
      </c>
    </row>
    <row r="122" spans="1:41" x14ac:dyDescent="0.2">
      <c r="A122" s="327" t="s">
        <v>472</v>
      </c>
    </row>
  </sheetData>
  <printOptions horizontalCentered="1"/>
  <pageMargins left="0.7" right="0.7" top="0.75" bottom="0.75" header="0.3" footer="0.3"/>
  <pageSetup scale="46" orientation="portrait" blackAndWhite="1" r:id="rId1"/>
  <headerFooter>
    <oddHeader xml:space="preserve">&amp;L&amp;"Arial"&amp;10  
  &amp;R&amp;"Arial"&amp;10  Exhibit 3
Sheet 1A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7">
    <tabColor theme="5" tint="0.79998168889431442"/>
    <pageSetUpPr fitToPage="1"/>
  </sheetPr>
  <dimension ref="A1:AV86"/>
  <sheetViews>
    <sheetView zoomScale="85" zoomScaleNormal="85" workbookViewId="0"/>
  </sheetViews>
  <sheetFormatPr defaultColWidth="9" defaultRowHeight="12.75" x14ac:dyDescent="0.2"/>
  <cols>
    <col min="1" max="1" width="9.5" style="488" customWidth="1"/>
    <col min="2" max="2" width="2.625" style="488" customWidth="1"/>
    <col min="3" max="3" width="9" style="488"/>
    <col min="4" max="4" width="2.625" style="488" customWidth="1"/>
    <col min="5" max="5" width="10.75" style="488" customWidth="1"/>
    <col min="6" max="6" width="2.625" style="488" customWidth="1"/>
    <col min="7" max="7" width="9" style="488"/>
    <col min="8" max="8" width="2.625" style="488" customWidth="1"/>
    <col min="9" max="9" width="10.75" style="488" customWidth="1"/>
    <col min="10" max="10" width="2.625" style="488" customWidth="1"/>
    <col min="11" max="11" width="10.625" style="488" customWidth="1"/>
    <col min="12" max="12" width="2.625" style="488" customWidth="1"/>
    <col min="13" max="13" width="10.75" style="488" customWidth="1"/>
    <col min="14" max="14" width="2.625" style="488" customWidth="1"/>
    <col min="15" max="22" width="9.625" style="488" customWidth="1"/>
    <col min="23" max="23" width="2.625" style="488" customWidth="1"/>
    <col min="24" max="30" width="9.625" style="488" customWidth="1"/>
    <col min="31" max="31" width="2.625" style="519" customWidth="1"/>
    <col min="32" max="32" width="9.625" style="488" customWidth="1"/>
    <col min="33" max="33" width="9" style="488"/>
    <col min="34" max="34" width="2.625" style="488" customWidth="1"/>
    <col min="35" max="37" width="9" style="488"/>
    <col min="38" max="38" width="2.625" style="488" customWidth="1"/>
    <col min="39" max="39" width="9" style="488"/>
    <col min="40" max="41" width="9.625" style="488" customWidth="1"/>
    <col min="42" max="42" width="2.625" style="520" customWidth="1"/>
    <col min="43" max="45" width="9.625" style="488" bestFit="1" customWidth="1"/>
    <col min="46" max="46" width="2.625" style="488" customWidth="1"/>
    <col min="47" max="16384" width="9" style="488"/>
  </cols>
  <sheetData>
    <row r="1" spans="1:42" x14ac:dyDescent="0.2">
      <c r="A1" s="1" t="str">
        <f>[1]!getlabels()</f>
        <v>Exhibit 3, Sheet 1B</v>
      </c>
    </row>
    <row r="2" spans="1:42" ht="22.5" x14ac:dyDescent="0.45">
      <c r="A2" s="78" t="str">
        <f>client</f>
        <v>CLIENT XYZ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42" ht="15" x14ac:dyDescent="0.2">
      <c r="A3" s="80" t="str">
        <f>tit</f>
        <v>Analysis of Unpaid Loss &amp; ALAE as of June 30, 2019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</row>
    <row r="4" spans="1:42" ht="15" x14ac:dyDescent="0.2">
      <c r="A4" s="80" t="str">
        <f>cov</f>
        <v>Workers Compensation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</row>
    <row r="5" spans="1:42" ht="15" x14ac:dyDescent="0.2">
      <c r="A5" s="80" t="str">
        <f>"Data Evaluated as of "&amp;ctxt_l</f>
        <v>Data Evaluated as of April 30, 2019</v>
      </c>
      <c r="B5" s="491"/>
      <c r="C5" s="491"/>
      <c r="D5" s="491"/>
      <c r="E5" s="491"/>
      <c r="F5" s="491"/>
      <c r="G5" s="491"/>
      <c r="H5" s="491"/>
      <c r="I5" s="491"/>
      <c r="J5" s="491"/>
      <c r="K5" s="491"/>
      <c r="L5" s="491"/>
      <c r="M5" s="491"/>
    </row>
    <row r="7" spans="1:42" s="619" customFormat="1" x14ac:dyDescent="0.2">
      <c r="A7" s="224" t="str">
        <f>VLOOKUP($A$1, index_lkups, 3, FALSE)</f>
        <v>Reported Development Method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O7" s="626" t="s">
        <v>668</v>
      </c>
      <c r="X7" s="604"/>
      <c r="AP7" s="627"/>
    </row>
    <row r="8" spans="1:42" x14ac:dyDescent="0.2">
      <c r="X8" s="490"/>
      <c r="AE8" s="488"/>
    </row>
    <row r="9" spans="1:42" x14ac:dyDescent="0.2">
      <c r="X9" s="490"/>
      <c r="AE9" s="488"/>
    </row>
    <row r="10" spans="1:42" x14ac:dyDescent="0.2">
      <c r="A10" s="392" t="s">
        <v>406</v>
      </c>
      <c r="O10" s="492" t="s">
        <v>72</v>
      </c>
      <c r="X10" s="490"/>
      <c r="AE10" s="488"/>
    </row>
    <row r="11" spans="1:42" x14ac:dyDescent="0.2">
      <c r="X11" s="490"/>
      <c r="AE11" s="488"/>
    </row>
    <row r="12" spans="1:42" x14ac:dyDescent="0.2">
      <c r="E12" s="493" t="s">
        <v>71</v>
      </c>
      <c r="O12" s="494"/>
      <c r="P12" s="494"/>
      <c r="Q12" s="494"/>
      <c r="U12" s="495"/>
      <c r="V12" s="495"/>
      <c r="X12" s="490"/>
      <c r="AE12" s="488"/>
    </row>
    <row r="13" spans="1:42" x14ac:dyDescent="0.2">
      <c r="A13" s="496" t="str">
        <f>Intro!M9</f>
        <v>Policy</v>
      </c>
      <c r="E13" s="493" t="s">
        <v>8</v>
      </c>
      <c r="G13" s="496" t="s">
        <v>331</v>
      </c>
      <c r="I13" s="496" t="s">
        <v>330</v>
      </c>
      <c r="M13" s="496" t="s">
        <v>332</v>
      </c>
      <c r="O13" s="496"/>
      <c r="P13" s="496"/>
      <c r="Q13" s="663" t="s">
        <v>105</v>
      </c>
      <c r="U13" s="495"/>
      <c r="V13" s="495"/>
      <c r="X13" s="494"/>
      <c r="Y13" s="494"/>
      <c r="Z13" s="497" t="str">
        <f>pr_to_curr</f>
        <v>10/18-4/19</v>
      </c>
      <c r="AA13" s="497"/>
      <c r="AB13" s="497"/>
      <c r="AC13" s="497"/>
      <c r="AD13" s="497"/>
    </row>
    <row r="14" spans="1:42" x14ac:dyDescent="0.2">
      <c r="A14" s="496" t="str">
        <f>Intro!M10</f>
        <v>Period</v>
      </c>
      <c r="E14" s="493" t="s">
        <v>334</v>
      </c>
      <c r="G14" s="496" t="s">
        <v>245</v>
      </c>
      <c r="I14" s="496" t="s">
        <v>245</v>
      </c>
      <c r="K14" s="496" t="s">
        <v>5</v>
      </c>
      <c r="M14" s="496" t="s">
        <v>8</v>
      </c>
      <c r="O14" s="493" t="s">
        <v>75</v>
      </c>
      <c r="P14" s="496" t="s">
        <v>669</v>
      </c>
      <c r="Q14" s="664" t="s">
        <v>410</v>
      </c>
      <c r="R14" s="496"/>
      <c r="S14" s="496" t="s">
        <v>55</v>
      </c>
      <c r="T14" s="496" t="s">
        <v>332</v>
      </c>
      <c r="U14" s="496" t="s">
        <v>411</v>
      </c>
      <c r="X14" s="496" t="s">
        <v>18</v>
      </c>
      <c r="Y14" s="496" t="s">
        <v>18</v>
      </c>
      <c r="Z14" s="496" t="s">
        <v>242</v>
      </c>
      <c r="AA14" s="496" t="s">
        <v>244</v>
      </c>
      <c r="AH14" s="496"/>
      <c r="AI14" s="497" t="s">
        <v>680</v>
      </c>
      <c r="AJ14" s="497"/>
      <c r="AK14" s="497"/>
      <c r="AM14" s="497" t="s">
        <v>681</v>
      </c>
      <c r="AN14" s="497"/>
      <c r="AO14" s="497"/>
    </row>
    <row r="15" spans="1:42" x14ac:dyDescent="0.2">
      <c r="A15" s="498" t="str">
        <f>Intro!M11</f>
        <v>Ending 9/30</v>
      </c>
      <c r="C15" s="498" t="s">
        <v>90</v>
      </c>
      <c r="E15" s="498" t="str">
        <f>ctxt</f>
        <v>4/30/19</v>
      </c>
      <c r="G15" s="498" t="s">
        <v>338</v>
      </c>
      <c r="I15" s="498" t="s">
        <v>8</v>
      </c>
      <c r="K15" s="498" t="s">
        <v>6</v>
      </c>
      <c r="M15" s="498" t="s">
        <v>349</v>
      </c>
      <c r="O15" s="498" t="s">
        <v>409</v>
      </c>
      <c r="P15" s="498" t="s">
        <v>93</v>
      </c>
      <c r="Q15" s="665" t="s">
        <v>245</v>
      </c>
      <c r="R15" s="498" t="s">
        <v>74</v>
      </c>
      <c r="S15" s="498" t="s">
        <v>672</v>
      </c>
      <c r="T15" s="498" t="s">
        <v>191</v>
      </c>
      <c r="U15" s="498" t="s">
        <v>412</v>
      </c>
      <c r="V15" s="498" t="s">
        <v>475</v>
      </c>
      <c r="X15" s="498" t="s">
        <v>673</v>
      </c>
      <c r="Y15" s="498" t="s">
        <v>93</v>
      </c>
      <c r="Z15" s="498" t="s">
        <v>71</v>
      </c>
      <c r="AA15" s="498" t="s">
        <v>71</v>
      </c>
      <c r="AB15" s="498" t="s">
        <v>504</v>
      </c>
      <c r="AC15" s="498" t="s">
        <v>674</v>
      </c>
      <c r="AD15" s="498" t="s">
        <v>475</v>
      </c>
      <c r="AH15" s="496"/>
      <c r="AI15" s="499" t="str">
        <f>ptxt</f>
        <v>10/31/18</v>
      </c>
      <c r="AJ15" s="499" t="str">
        <f>ctxt</f>
        <v>4/30/19</v>
      </c>
      <c r="AK15" s="499" t="str">
        <f>pr_to_curr</f>
        <v>10/18-4/19</v>
      </c>
      <c r="AM15" s="499" t="s">
        <v>74</v>
      </c>
      <c r="AN15" s="499" t="s">
        <v>191</v>
      </c>
      <c r="AO15" s="499" t="s">
        <v>475</v>
      </c>
    </row>
    <row r="16" spans="1:42" x14ac:dyDescent="0.2">
      <c r="E16" s="500">
        <v>1</v>
      </c>
      <c r="G16" s="500">
        <f>E16+1</f>
        <v>2</v>
      </c>
      <c r="I16" s="500">
        <f>G16+1</f>
        <v>3</v>
      </c>
      <c r="K16" s="500">
        <f>I16+1</f>
        <v>4</v>
      </c>
      <c r="M16" s="500">
        <f>K16+1</f>
        <v>5</v>
      </c>
      <c r="Q16" s="666"/>
      <c r="AH16" s="519"/>
    </row>
    <row r="17" spans="1:43" x14ac:dyDescent="0.2">
      <c r="E17" s="500"/>
      <c r="G17" s="500"/>
      <c r="I17" s="500"/>
      <c r="K17" s="500"/>
      <c r="M17" s="500"/>
      <c r="Q17" s="666"/>
      <c r="AH17" s="519"/>
    </row>
    <row r="18" spans="1:43" x14ac:dyDescent="0.2">
      <c r="A18" s="493">
        <f>Intro!C18</f>
        <v>1996</v>
      </c>
      <c r="C18" s="521">
        <v>10000000</v>
      </c>
      <c r="E18" s="501">
        <f>'e7'!I16</f>
        <v>824780.2</v>
      </c>
      <c r="G18" s="502">
        <f ca="1">[1]!ldfsir(ldfs, ldf_ages, ldf_type, ldf_ret, Intro!$AA18, "Rept", $C18, cutoff, 3)</f>
        <v>1.0236499903455838</v>
      </c>
      <c r="I18" s="501">
        <f ca="1">E18*G18</f>
        <v>844286.24376722868</v>
      </c>
      <c r="K18" s="501">
        <f>Intro!K18</f>
        <v>51718.748</v>
      </c>
      <c r="M18" s="503">
        <f ca="1">I18/K18</f>
        <v>16.324568486600423</v>
      </c>
      <c r="O18" s="504">
        <f ca="1">'e3.2B'!I18</f>
        <v>852065.66290475847</v>
      </c>
      <c r="P18" s="505">
        <f t="shared" ref="P18" ca="1" si="0">O18/I18</f>
        <v>1.0092141962455976</v>
      </c>
      <c r="Q18" s="657">
        <f>E18</f>
        <v>824780.2</v>
      </c>
      <c r="R18" s="504">
        <f>'e7'!$G16</f>
        <v>0</v>
      </c>
      <c r="S18" s="385">
        <v>0</v>
      </c>
      <c r="T18" s="504">
        <f t="shared" ref="T18:T25" si="1">Q18-E18</f>
        <v>0</v>
      </c>
      <c r="U18" s="504" t="str">
        <f t="shared" ref="U18:U25" si="2">IFERROR(T18/S18, "")</f>
        <v/>
      </c>
      <c r="V18" s="504" t="b">
        <f t="shared" ref="V18:V25" si="3">IF(OR(S18=0,R18=0),T18=0,T18&gt;0)</f>
        <v>1</v>
      </c>
      <c r="X18" s="506">
        <v>824780.2</v>
      </c>
      <c r="Y18" s="506">
        <v>824780.2</v>
      </c>
      <c r="Z18" s="504">
        <f t="shared" ref="Z18:Z25" si="4">E18-Y18</f>
        <v>0</v>
      </c>
      <c r="AA18" s="507">
        <f t="shared" ref="AA18:AA25" si="5">AK18*(X18-Y18)</f>
        <v>0</v>
      </c>
      <c r="AB18" s="504">
        <f>Z18-AA18</f>
        <v>0</v>
      </c>
      <c r="AC18" s="507">
        <f t="shared" ref="AC18:AC25" si="6">Q18-X18</f>
        <v>0</v>
      </c>
      <c r="AD18" s="493" t="b">
        <f t="shared" ref="AD18:AD25" si="7">IF(AB18&lt;=0,AC18&lt;=0,AC18&gt;=0)</f>
        <v>1</v>
      </c>
      <c r="AH18" s="508"/>
      <c r="AI18" s="509">
        <f>1 / [1]!ldfsir(prldfs, prldf_ages, prldf_type, prldf_ret, Intro!Y18, "Rept", $C18, prldf_cutoff, 3)</f>
        <v>0.97689640935023159</v>
      </c>
      <c r="AJ18" s="509">
        <f>1 / [1]!ldfsir(prldfs, prldf_ages, prldf_type, prldf_ret, Intro!AA18, "Rept", $C18, prldf_cutoff, 3)</f>
        <v>0.97689640935023159</v>
      </c>
      <c r="AK18" s="509">
        <f>(AJ18-AI18)/(1-AI18)</f>
        <v>0</v>
      </c>
      <c r="AM18" s="507">
        <f t="shared" ref="AM18:AM25" si="8">R18-R54</f>
        <v>0</v>
      </c>
      <c r="AN18" s="507">
        <f t="shared" ref="AN18:AN25" si="9">T18-T54</f>
        <v>0</v>
      </c>
      <c r="AO18" s="488" t="b">
        <f>IF(AM18=0,AN18=0,AN18&gt;0)</f>
        <v>1</v>
      </c>
      <c r="AQ18" s="488" t="b">
        <f t="shared" ref="AQ18:AQ25" si="10">Q18&gt;=Q54</f>
        <v>1</v>
      </c>
    </row>
    <row r="19" spans="1:43" x14ac:dyDescent="0.2">
      <c r="A19" s="493">
        <f>Intro!C19</f>
        <v>1997</v>
      </c>
      <c r="C19" s="522">
        <f>C18</f>
        <v>10000000</v>
      </c>
      <c r="E19" s="504">
        <f>'e7'!I17</f>
        <v>1506771</v>
      </c>
      <c r="G19" s="502">
        <f ca="1">[1]!ldfsir(ldfs, ldf_ages, ldf_type, ldf_ret, Intro!$AA19, "Rept", $C19, cutoff, 3)</f>
        <v>1.0260935638845097</v>
      </c>
      <c r="I19" s="507">
        <f t="shared" ref="I19:I41" ca="1" si="11">E19*G19</f>
        <v>1546088.0253478265</v>
      </c>
      <c r="K19" s="504">
        <f>Intro!K19</f>
        <v>71279.833180000031</v>
      </c>
      <c r="M19" s="510">
        <f t="shared" ref="M19:M41" ca="1" si="12">I19/K19</f>
        <v>21.690399042370849</v>
      </c>
      <c r="O19" s="504">
        <f ca="1">'e3.2B'!I19</f>
        <v>1562900.9314271151</v>
      </c>
      <c r="P19" s="505">
        <f t="shared" ref="P19:P41" ca="1" si="13">O19/I19</f>
        <v>1.0108744817912332</v>
      </c>
      <c r="Q19" s="657">
        <f>E19</f>
        <v>1506771</v>
      </c>
      <c r="R19" s="504">
        <f>'e7'!$G17</f>
        <v>0</v>
      </c>
      <c r="S19" s="385">
        <v>0</v>
      </c>
      <c r="T19" s="504">
        <f t="shared" si="1"/>
        <v>0</v>
      </c>
      <c r="U19" s="504" t="str">
        <f t="shared" si="2"/>
        <v/>
      </c>
      <c r="V19" s="504" t="b">
        <f t="shared" si="3"/>
        <v>1</v>
      </c>
      <c r="X19" s="506">
        <v>1506771</v>
      </c>
      <c r="Y19" s="506">
        <v>1506771</v>
      </c>
      <c r="Z19" s="504">
        <f t="shared" si="4"/>
        <v>0</v>
      </c>
      <c r="AA19" s="507">
        <f t="shared" si="5"/>
        <v>0</v>
      </c>
      <c r="AB19" s="504">
        <f t="shared" ref="AB19:AB25" si="14">Z19-AA19</f>
        <v>0</v>
      </c>
      <c r="AC19" s="507">
        <f t="shared" si="6"/>
        <v>0</v>
      </c>
      <c r="AD19" s="493" t="b">
        <f t="shared" si="7"/>
        <v>1</v>
      </c>
      <c r="AH19" s="508"/>
      <c r="AI19" s="509">
        <f>1 / [1]!ldfsir(prldfs, prldf_ages, prldf_type, prldf_ret, Intro!Y19, "Rept", $C19, prldf_cutoff, 3)</f>
        <v>0.97456999556090518</v>
      </c>
      <c r="AJ19" s="509">
        <f>1 / [1]!ldfsir(prldfs, prldf_ages, prldf_type, prldf_ret, Intro!AA19, "Rept", $C19, prldf_cutoff, 3)</f>
        <v>0.97456999556090518</v>
      </c>
      <c r="AK19" s="509">
        <f t="shared" ref="AK19:AK25" si="15">(AJ19-AI19)/(1-AI19)</f>
        <v>0</v>
      </c>
      <c r="AM19" s="507">
        <f t="shared" si="8"/>
        <v>0</v>
      </c>
      <c r="AN19" s="507">
        <f t="shared" si="9"/>
        <v>0</v>
      </c>
      <c r="AO19" s="488" t="b">
        <f t="shared" ref="AO19:AO25" si="16">IF(AM19=0,AN19=0,AN19&gt;0)</f>
        <v>1</v>
      </c>
      <c r="AQ19" s="488" t="b">
        <f t="shared" si="10"/>
        <v>1</v>
      </c>
    </row>
    <row r="20" spans="1:43" x14ac:dyDescent="0.2">
      <c r="A20" s="493">
        <f>Intro!C20</f>
        <v>1998</v>
      </c>
      <c r="C20" s="522">
        <f t="shared" ref="C20:C41" si="17">C19</f>
        <v>10000000</v>
      </c>
      <c r="E20" s="504">
        <f>'e7'!I18</f>
        <v>2743585.7199999997</v>
      </c>
      <c r="G20" s="502">
        <f ca="1">[1]!ldfsir(ldfs, ldf_ages, ldf_type, ldf_ret, Intro!$AA20, "Rept", $C20, cutoff, 3)</f>
        <v>1.0287931444723857</v>
      </c>
      <c r="I20" s="507">
        <f t="shared" ca="1" si="11"/>
        <v>2822582.1800083341</v>
      </c>
      <c r="K20" s="504">
        <f>Intro!K20</f>
        <v>90725.935539999991</v>
      </c>
      <c r="M20" s="510">
        <f t="shared" ca="1" si="12"/>
        <v>31.111083762414232</v>
      </c>
      <c r="O20" s="504">
        <f ca="1">'e3.2B'!I20</f>
        <v>2849608.4331313577</v>
      </c>
      <c r="P20" s="505">
        <f t="shared" ca="1" si="13"/>
        <v>1.0095750101855117</v>
      </c>
      <c r="Q20" s="661">
        <f ca="1">E20+T56</f>
        <v>2757961.4441664326</v>
      </c>
      <c r="R20" s="504">
        <f>'e7'!$G18</f>
        <v>8725.5499999998137</v>
      </c>
      <c r="S20" s="385">
        <v>1</v>
      </c>
      <c r="T20" s="504">
        <f t="shared" ca="1" si="1"/>
        <v>14375.724166432861</v>
      </c>
      <c r="U20" s="504">
        <f t="shared" ca="1" si="2"/>
        <v>14375.724166432861</v>
      </c>
      <c r="V20" s="504" t="b">
        <f t="shared" ca="1" si="3"/>
        <v>1</v>
      </c>
      <c r="X20" s="506">
        <v>2757961.4441664326</v>
      </c>
      <c r="Y20" s="506">
        <v>2743585.7199999997</v>
      </c>
      <c r="Z20" s="504">
        <f t="shared" si="4"/>
        <v>0</v>
      </c>
      <c r="AA20" s="507">
        <f t="shared" si="5"/>
        <v>0</v>
      </c>
      <c r="AB20" s="504">
        <f t="shared" si="14"/>
        <v>0</v>
      </c>
      <c r="AC20" s="507">
        <f t="shared" ca="1" si="6"/>
        <v>0</v>
      </c>
      <c r="AD20" s="493" t="b">
        <f t="shared" ca="1" si="7"/>
        <v>1</v>
      </c>
      <c r="AH20" s="508"/>
      <c r="AI20" s="509">
        <f>1 / [1]!ldfsir(prldfs, prldf_ages, prldf_type, prldf_ret, Intro!Y20, "Rept", $C20, prldf_cutoff, 3)</f>
        <v>0.97201269795868228</v>
      </c>
      <c r="AJ20" s="509">
        <f>1 / [1]!ldfsir(prldfs, prldf_ages, prldf_type, prldf_ret, Intro!AA20, "Rept", $C20, prldf_cutoff, 3)</f>
        <v>0.97201269795868228</v>
      </c>
      <c r="AK20" s="509">
        <f t="shared" si="15"/>
        <v>0</v>
      </c>
      <c r="AM20" s="507">
        <f t="shared" si="8"/>
        <v>0</v>
      </c>
      <c r="AN20" s="507">
        <f t="shared" ca="1" si="9"/>
        <v>0</v>
      </c>
      <c r="AO20" s="488" t="b">
        <f t="shared" ca="1" si="16"/>
        <v>1</v>
      </c>
      <c r="AQ20" s="488" t="b">
        <f t="shared" ca="1" si="10"/>
        <v>1</v>
      </c>
    </row>
    <row r="21" spans="1:43" x14ac:dyDescent="0.2">
      <c r="A21" s="493">
        <f>Intro!C21</f>
        <v>1999</v>
      </c>
      <c r="C21" s="522">
        <f t="shared" si="17"/>
        <v>10000000</v>
      </c>
      <c r="E21" s="504">
        <f>'e7'!I19</f>
        <v>4058593.2799999998</v>
      </c>
      <c r="G21" s="502">
        <f ca="1">[1]!ldfsir(ldfs, ldf_ages, ldf_type, ldf_ret, Intro!$AA21, "Rept", $C21, cutoff, 3)</f>
        <v>1.0317763157731286</v>
      </c>
      <c r="I21" s="507">
        <f t="shared" ca="1" si="11"/>
        <v>4187560.4216599772</v>
      </c>
      <c r="K21" s="504">
        <f>Intro!K21</f>
        <v>115828.16377000001</v>
      </c>
      <c r="M21" s="510">
        <f t="shared" ca="1" si="12"/>
        <v>36.153214256035483</v>
      </c>
      <c r="O21" s="504">
        <f ca="1">'e3.2B'!I21</f>
        <v>3963689.731419275</v>
      </c>
      <c r="P21" s="505">
        <f t="shared" ca="1" si="13"/>
        <v>0.94653911401905022</v>
      </c>
      <c r="Q21" s="658">
        <f t="shared" ref="Q21:Q26" ca="1" si="18">I21</f>
        <v>4187560.4216599772</v>
      </c>
      <c r="R21" s="504">
        <f>'e7'!$G19</f>
        <v>273815.13999999966</v>
      </c>
      <c r="S21" s="385">
        <v>2</v>
      </c>
      <c r="T21" s="504">
        <f t="shared" ca="1" si="1"/>
        <v>128967.14165997738</v>
      </c>
      <c r="U21" s="504">
        <f t="shared" ca="1" si="2"/>
        <v>64483.57082998869</v>
      </c>
      <c r="V21" s="504" t="b">
        <f t="shared" ca="1" si="3"/>
        <v>1</v>
      </c>
      <c r="X21" s="506">
        <v>4187560.4216599772</v>
      </c>
      <c r="Y21" s="506">
        <v>4058593.2799999998</v>
      </c>
      <c r="Z21" s="504">
        <f t="shared" si="4"/>
        <v>0</v>
      </c>
      <c r="AA21" s="507">
        <f t="shared" si="5"/>
        <v>0</v>
      </c>
      <c r="AB21" s="504">
        <f t="shared" si="14"/>
        <v>0</v>
      </c>
      <c r="AC21" s="507">
        <f t="shared" ca="1" si="6"/>
        <v>0</v>
      </c>
      <c r="AD21" s="493" t="b">
        <f t="shared" ca="1" si="7"/>
        <v>1</v>
      </c>
      <c r="AH21" s="508"/>
      <c r="AI21" s="509">
        <f>1 / [1]!ldfsir(prldfs, prldf_ages, prldf_type, prldf_ret, Intro!Y21, "Rept", $C21, prldf_cutoff, 3)</f>
        <v>0.96920232099985937</v>
      </c>
      <c r="AJ21" s="509">
        <f>1 / [1]!ldfsir(prldfs, prldf_ages, prldf_type, prldf_ret, Intro!AA21, "Rept", $C21, prldf_cutoff, 3)</f>
        <v>0.96920232099985937</v>
      </c>
      <c r="AK21" s="509">
        <f t="shared" si="15"/>
        <v>0</v>
      </c>
      <c r="AM21" s="507">
        <f t="shared" si="8"/>
        <v>182284.62999999989</v>
      </c>
      <c r="AN21" s="507">
        <f t="shared" ca="1" si="9"/>
        <v>111732.92218962498</v>
      </c>
      <c r="AO21" s="488" t="b">
        <f t="shared" ca="1" si="16"/>
        <v>1</v>
      </c>
      <c r="AQ21" s="488" t="b">
        <f t="shared" ca="1" si="10"/>
        <v>1</v>
      </c>
    </row>
    <row r="22" spans="1:43" x14ac:dyDescent="0.2">
      <c r="A22" s="493">
        <f>Intro!C22</f>
        <v>2000</v>
      </c>
      <c r="C22" s="522">
        <f t="shared" si="17"/>
        <v>10000000</v>
      </c>
      <c r="E22" s="504">
        <f>'e7'!I20</f>
        <v>3418685.16</v>
      </c>
      <c r="G22" s="502">
        <f ca="1">[1]!ldfsir(ldfs, ldf_ages, ldf_type, ldf_ret, Intro!$AA22, "Rept", $C22, cutoff, 3)</f>
        <v>1.0350737977074662</v>
      </c>
      <c r="I22" s="507">
        <f t="shared" ca="1" si="11"/>
        <v>3538591.4317273567</v>
      </c>
      <c r="K22" s="504">
        <f>Intro!K22</f>
        <v>86853.122530000022</v>
      </c>
      <c r="M22" s="510">
        <f t="shared" ca="1" si="12"/>
        <v>40.742247701055177</v>
      </c>
      <c r="O22" s="504">
        <f ca="1">'e3.2B'!I22</f>
        <v>2978043.7587004374</v>
      </c>
      <c r="P22" s="505">
        <f t="shared" ca="1" si="13"/>
        <v>0.84159016833619327</v>
      </c>
      <c r="Q22" s="658">
        <f t="shared" ca="1" si="18"/>
        <v>3538591.4317273567</v>
      </c>
      <c r="R22" s="504">
        <f>'e7'!$G20</f>
        <v>591272</v>
      </c>
      <c r="S22" s="385">
        <v>4</v>
      </c>
      <c r="T22" s="504">
        <f t="shared" ca="1" si="1"/>
        <v>119906.27172735659</v>
      </c>
      <c r="U22" s="504">
        <f t="shared" ca="1" si="2"/>
        <v>29976.567931839149</v>
      </c>
      <c r="V22" s="504" t="b">
        <f t="shared" ca="1" si="3"/>
        <v>1</v>
      </c>
      <c r="X22" s="506">
        <v>3538591.4317273567</v>
      </c>
      <c r="Y22" s="506">
        <v>3418685.16</v>
      </c>
      <c r="Z22" s="504">
        <f t="shared" si="4"/>
        <v>0</v>
      </c>
      <c r="AA22" s="507">
        <f t="shared" si="5"/>
        <v>0</v>
      </c>
      <c r="AB22" s="504">
        <f t="shared" si="14"/>
        <v>0</v>
      </c>
      <c r="AC22" s="507">
        <f t="shared" ca="1" si="6"/>
        <v>0</v>
      </c>
      <c r="AD22" s="493" t="b">
        <f t="shared" ca="1" si="7"/>
        <v>1</v>
      </c>
      <c r="AH22" s="508"/>
      <c r="AI22" s="509">
        <f>1 / [1]!ldfsir(prldfs, prldf_ages, prldf_type, prldf_ret, Intro!Y22, "Rept", $C22, prldf_cutoff, 3)</f>
        <v>0.9661146888413662</v>
      </c>
      <c r="AJ22" s="509">
        <f>1 / [1]!ldfsir(prldfs, prldf_ages, prldf_type, prldf_ret, Intro!AA22, "Rept", $C22, prldf_cutoff, 3)</f>
        <v>0.9661146888413662</v>
      </c>
      <c r="AK22" s="509">
        <f t="shared" si="15"/>
        <v>0</v>
      </c>
      <c r="AM22" s="507">
        <f t="shared" si="8"/>
        <v>535074.71999999974</v>
      </c>
      <c r="AN22" s="507">
        <f t="shared" ca="1" si="9"/>
        <v>101683.62222381029</v>
      </c>
      <c r="AO22" s="488" t="b">
        <f t="shared" ca="1" si="16"/>
        <v>1</v>
      </c>
      <c r="AQ22" s="488" t="b">
        <f t="shared" ca="1" si="10"/>
        <v>1</v>
      </c>
    </row>
    <row r="23" spans="1:43" x14ac:dyDescent="0.2">
      <c r="A23" s="493">
        <f>Intro!C23</f>
        <v>2001</v>
      </c>
      <c r="C23" s="522">
        <f t="shared" si="17"/>
        <v>10000000</v>
      </c>
      <c r="E23" s="504">
        <f>'e7'!I21</f>
        <v>1639098.97</v>
      </c>
      <c r="G23" s="502">
        <f ca="1">[1]!ldfsir(ldfs, ldf_ages, ldf_type, ldf_ret, Intro!$AA23, "Rept", $C23, cutoff, 3)</f>
        <v>1.0387198380831566</v>
      </c>
      <c r="I23" s="507">
        <f t="shared" ca="1" si="11"/>
        <v>1702564.6167206687</v>
      </c>
      <c r="K23" s="504">
        <f>Intro!K23</f>
        <v>91838.194909999977</v>
      </c>
      <c r="M23" s="510">
        <f t="shared" ca="1" si="12"/>
        <v>18.538742169193938</v>
      </c>
      <c r="O23" s="504">
        <f ca="1">'e3.2B'!I23</f>
        <v>1737441.9550545434</v>
      </c>
      <c r="P23" s="505">
        <f t="shared" ca="1" si="13"/>
        <v>1.020485177473647</v>
      </c>
      <c r="Q23" s="661">
        <f ca="1">E23+T59</f>
        <v>1651317.6383934908</v>
      </c>
      <c r="R23" s="504">
        <f>'e7'!$G21</f>
        <v>100</v>
      </c>
      <c r="S23" s="385">
        <v>1</v>
      </c>
      <c r="T23" s="504">
        <f t="shared" ca="1" si="1"/>
        <v>12218.668393490836</v>
      </c>
      <c r="U23" s="504">
        <f t="shared" ca="1" si="2"/>
        <v>12218.668393490836</v>
      </c>
      <c r="V23" s="504" t="b">
        <f t="shared" ca="1" si="3"/>
        <v>1</v>
      </c>
      <c r="X23" s="506">
        <v>1651317.6383934908</v>
      </c>
      <c r="Y23" s="506">
        <v>1639098.97</v>
      </c>
      <c r="Z23" s="504">
        <f t="shared" si="4"/>
        <v>0</v>
      </c>
      <c r="AA23" s="507">
        <f t="shared" si="5"/>
        <v>0</v>
      </c>
      <c r="AB23" s="504">
        <f t="shared" si="14"/>
        <v>0</v>
      </c>
      <c r="AC23" s="507">
        <f t="shared" ca="1" si="6"/>
        <v>0</v>
      </c>
      <c r="AD23" s="493" t="b">
        <f t="shared" ca="1" si="7"/>
        <v>1</v>
      </c>
      <c r="AH23" s="508"/>
      <c r="AI23" s="509">
        <f>1 / [1]!ldfsir(prldfs, prldf_ages, prldf_type, prldf_ret, Intro!Y23, "Rept", $C23, prldf_cutoff, 3)</f>
        <v>0.96272350188804534</v>
      </c>
      <c r="AJ23" s="509">
        <f>1 / [1]!ldfsir(prldfs, prldf_ages, prldf_type, prldf_ret, Intro!AA23, "Rept", $C23, prldf_cutoff, 3)</f>
        <v>0.96272350188804534</v>
      </c>
      <c r="AK23" s="509">
        <f t="shared" si="15"/>
        <v>0</v>
      </c>
      <c r="AM23" s="507">
        <f t="shared" si="8"/>
        <v>0</v>
      </c>
      <c r="AN23" s="507">
        <f t="shared" ca="1" si="9"/>
        <v>0</v>
      </c>
      <c r="AO23" s="488" t="b">
        <f t="shared" ca="1" si="16"/>
        <v>1</v>
      </c>
      <c r="AQ23" s="488" t="b">
        <f t="shared" ca="1" si="10"/>
        <v>1</v>
      </c>
    </row>
    <row r="24" spans="1:43" x14ac:dyDescent="0.2">
      <c r="A24" s="493">
        <f>Intro!C24</f>
        <v>2002</v>
      </c>
      <c r="C24" s="522">
        <f t="shared" si="17"/>
        <v>10000000</v>
      </c>
      <c r="E24" s="504">
        <f>'e7'!I22</f>
        <v>4306720.8899999997</v>
      </c>
      <c r="G24" s="502">
        <f ca="1">[1]!ldfsir(ldfs, ldf_ages, ldf_type, ldf_ret, Intro!$AA24, "Rept", $C24, cutoff, 3)</f>
        <v>1.0424886352138731</v>
      </c>
      <c r="I24" s="507">
        <f t="shared" ca="1" si="11"/>
        <v>4489707.5828631772</v>
      </c>
      <c r="K24" s="504">
        <f>Intro!K24</f>
        <v>86098.134999999995</v>
      </c>
      <c r="M24" s="510">
        <f t="shared" ca="1" si="12"/>
        <v>52.146397629439676</v>
      </c>
      <c r="O24" s="504">
        <f ca="1">'e3.2B'!I24</f>
        <v>3873462.3588660508</v>
      </c>
      <c r="P24" s="505">
        <f t="shared" ca="1" si="13"/>
        <v>0.86274268142778821</v>
      </c>
      <c r="Q24" s="658">
        <f t="shared" ca="1" si="18"/>
        <v>4489707.5828631772</v>
      </c>
      <c r="R24" s="504">
        <f>'e7'!$G22</f>
        <v>679010.4299999997</v>
      </c>
      <c r="S24" s="385">
        <v>3</v>
      </c>
      <c r="T24" s="504">
        <f t="shared" ca="1" si="1"/>
        <v>182986.69286317751</v>
      </c>
      <c r="U24" s="504">
        <f t="shared" ca="1" si="2"/>
        <v>60995.564287725836</v>
      </c>
      <c r="V24" s="504" t="b">
        <f t="shared" ca="1" si="3"/>
        <v>1</v>
      </c>
      <c r="X24" s="506">
        <v>4489707.5828631772</v>
      </c>
      <c r="Y24" s="506">
        <v>4306720.8899999997</v>
      </c>
      <c r="Z24" s="504">
        <f t="shared" si="4"/>
        <v>0</v>
      </c>
      <c r="AA24" s="507">
        <f t="shared" si="5"/>
        <v>0</v>
      </c>
      <c r="AB24" s="504">
        <f t="shared" si="14"/>
        <v>0</v>
      </c>
      <c r="AC24" s="507">
        <f t="shared" ca="1" si="6"/>
        <v>0</v>
      </c>
      <c r="AD24" s="493" t="b">
        <f t="shared" ca="1" si="7"/>
        <v>1</v>
      </c>
      <c r="AH24" s="508"/>
      <c r="AI24" s="509">
        <f>1 / [1]!ldfsir(prldfs, prldf_ages, prldf_type, prldf_ret, Intro!Y24, "Rept", $C24, prldf_cutoff, 3)</f>
        <v>0.95924307107179507</v>
      </c>
      <c r="AJ24" s="509">
        <f>1 / [1]!ldfsir(prldfs, prldf_ages, prldf_type, prldf_ret, Intro!AA24, "Rept", $C24, prldf_cutoff, 3)</f>
        <v>0.95924307107179507</v>
      </c>
      <c r="AK24" s="509">
        <f t="shared" si="15"/>
        <v>0</v>
      </c>
      <c r="AM24" s="507">
        <f t="shared" si="8"/>
        <v>485634.76999999955</v>
      </c>
      <c r="AN24" s="507">
        <f t="shared" ca="1" si="9"/>
        <v>151416.66971621569</v>
      </c>
      <c r="AO24" s="488" t="b">
        <f t="shared" ca="1" si="16"/>
        <v>1</v>
      </c>
      <c r="AQ24" s="488" t="b">
        <f t="shared" ca="1" si="10"/>
        <v>1</v>
      </c>
    </row>
    <row r="25" spans="1:43" x14ac:dyDescent="0.2">
      <c r="A25" s="493">
        <f>Intro!C25</f>
        <v>2003</v>
      </c>
      <c r="C25" s="522">
        <f t="shared" si="17"/>
        <v>10000000</v>
      </c>
      <c r="E25" s="504">
        <f>'e7'!I23</f>
        <v>1499605.6200000003</v>
      </c>
      <c r="G25" s="502">
        <f ca="1">[1]!ldfsir(ldfs, ldf_ages, ldf_type, ldf_ret, Intro!$AA25, "Rept", $C25, cutoff, 3)</f>
        <v>1.037773632806116</v>
      </c>
      <c r="I25" s="507">
        <f t="shared" ca="1" si="11"/>
        <v>1556251.1720438683</v>
      </c>
      <c r="K25" s="504">
        <f>Intro!K25</f>
        <v>95877.160999999993</v>
      </c>
      <c r="M25" s="510">
        <f t="shared" ca="1" si="12"/>
        <v>16.231719377296418</v>
      </c>
      <c r="O25" s="504">
        <f ca="1">'e3.2B'!I25</f>
        <v>1587012.7623486989</v>
      </c>
      <c r="P25" s="505">
        <f t="shared" ca="1" si="13"/>
        <v>1.0197664688434775</v>
      </c>
      <c r="Q25" s="657">
        <f>E25</f>
        <v>1499605.6200000003</v>
      </c>
      <c r="R25" s="504">
        <f>'e7'!$G23</f>
        <v>0</v>
      </c>
      <c r="S25" s="361">
        <v>0</v>
      </c>
      <c r="T25" s="504">
        <f t="shared" si="1"/>
        <v>0</v>
      </c>
      <c r="U25" s="504" t="str">
        <f t="shared" si="2"/>
        <v/>
      </c>
      <c r="V25" s="504" t="b">
        <f t="shared" si="3"/>
        <v>1</v>
      </c>
      <c r="X25" s="506">
        <v>1499605.6200000003</v>
      </c>
      <c r="Y25" s="506">
        <v>1499605.6200000003</v>
      </c>
      <c r="Z25" s="504">
        <f t="shared" si="4"/>
        <v>0</v>
      </c>
      <c r="AA25" s="507">
        <f t="shared" si="5"/>
        <v>0</v>
      </c>
      <c r="AB25" s="504">
        <f t="shared" si="14"/>
        <v>0</v>
      </c>
      <c r="AC25" s="507">
        <f t="shared" si="6"/>
        <v>0</v>
      </c>
      <c r="AD25" s="493" t="b">
        <f t="shared" si="7"/>
        <v>1</v>
      </c>
      <c r="AH25" s="511"/>
      <c r="AI25" s="509">
        <f>1 / [1]!ldfsir(prldfs, prldf_ages, prldf_type, prldf_ret, Intro!Y25, "Rept", $C25, prldf_cutoff, 3)</f>
        <v>0.96182497869144323</v>
      </c>
      <c r="AJ25" s="509">
        <f>1 / [1]!ldfsir(prldfs, prldf_ages, prldf_type, prldf_ret, Intro!AA25, "Rept", $C25, prldf_cutoff, 3)</f>
        <v>0.96360127911134441</v>
      </c>
      <c r="AK25" s="509">
        <f t="shared" si="15"/>
        <v>4.6530436893378435E-2</v>
      </c>
      <c r="AM25" s="507">
        <f t="shared" si="8"/>
        <v>0</v>
      </c>
      <c r="AN25" s="507">
        <f t="shared" si="9"/>
        <v>0</v>
      </c>
      <c r="AO25" s="488" t="b">
        <f t="shared" si="16"/>
        <v>1</v>
      </c>
      <c r="AQ25" s="488" t="b">
        <f t="shared" si="10"/>
        <v>1</v>
      </c>
    </row>
    <row r="26" spans="1:43" x14ac:dyDescent="0.2">
      <c r="A26" s="493">
        <f>Intro!C26</f>
        <v>2004</v>
      </c>
      <c r="C26" s="522">
        <f t="shared" si="17"/>
        <v>10000000</v>
      </c>
      <c r="E26" s="504">
        <f>'e7'!I24</f>
        <v>2738711.5400000005</v>
      </c>
      <c r="G26" s="502">
        <f ca="1">[1]!ldfsir(ldfs, ldf_ages, ldf_type, ldf_ret, Intro!$AA26, "Rept", $C26, cutoff, 3)</f>
        <v>1.0415448538279652</v>
      </c>
      <c r="I26" s="507">
        <f t="shared" ca="1" si="11"/>
        <v>2852490.9106062623</v>
      </c>
      <c r="K26" s="504">
        <f>Intro!K26</f>
        <v>102137.68700000001</v>
      </c>
      <c r="M26" s="510">
        <f t="shared" ca="1" si="12"/>
        <v>27.927898059863665</v>
      </c>
      <c r="O26" s="504">
        <f ca="1">'e3.2B'!I26</f>
        <v>2769424.0394080128</v>
      </c>
      <c r="P26" s="505">
        <f t="shared" ca="1" si="13"/>
        <v>0.97087918110820737</v>
      </c>
      <c r="Q26" s="658">
        <f t="shared" ca="1" si="18"/>
        <v>2852490.9106062623</v>
      </c>
      <c r="R26" s="504">
        <f>'e7'!$G24</f>
        <v>140101.39000000013</v>
      </c>
      <c r="S26" s="361">
        <v>2</v>
      </c>
      <c r="T26" s="504">
        <f t="shared" ref="T26:T41" ca="1" si="19">Q26-E26</f>
        <v>113779.37060626177</v>
      </c>
      <c r="U26" s="504">
        <f t="shared" ref="U26:U41" ca="1" si="20">IFERROR(T26/S26, "")</f>
        <v>56889.685303130886</v>
      </c>
      <c r="V26" s="504" t="b">
        <f t="shared" ref="V26:V41" ca="1" si="21">IF(OR(S26=0,R26=0),T26=0,T26&gt;0)</f>
        <v>1</v>
      </c>
      <c r="X26" s="506">
        <v>2859373.2391247391</v>
      </c>
      <c r="Y26" s="506">
        <v>2740295.6100000003</v>
      </c>
      <c r="Z26" s="504">
        <f t="shared" ref="Z26:Z41" si="22">E26-Y26</f>
        <v>-1584.0699999998324</v>
      </c>
      <c r="AA26" s="507">
        <f t="shared" ref="AA26:AA41" si="23">AK26*(X26-Y26)</f>
        <v>5023.7380969646547</v>
      </c>
      <c r="AB26" s="504">
        <f t="shared" ref="AB26:AB41" si="24">Z26-AA26</f>
        <v>-6607.808096964487</v>
      </c>
      <c r="AC26" s="507">
        <f t="shared" ref="AC26:AC41" ca="1" si="25">Q26-X26</f>
        <v>-6882.3285184768029</v>
      </c>
      <c r="AD26" s="493" t="b">
        <f t="shared" ref="AD26:AD41" ca="1" si="26">IF(AB26&lt;=0,AC26&lt;=0,AC26&gt;=0)</f>
        <v>1</v>
      </c>
      <c r="AH26" s="511"/>
      <c r="AI26" s="509">
        <f>1 / [1]!ldfsir(prldfs, prldf_ages, prldf_type, prldf_ret, Intro!Y26, "Rept", $C26, prldf_cutoff, 3)</f>
        <v>0.95835533903185421</v>
      </c>
      <c r="AJ26" s="509">
        <f>1 / [1]!ldfsir(prldfs, prldf_ages, prldf_type, prldf_ret, Intro!AA26, "Rept", $C26, prldf_cutoff, 3)</f>
        <v>0.96011227584172043</v>
      </c>
      <c r="AK26" s="509">
        <f t="shared" ref="AK26:AK41" si="27">(AJ26-AI26)/(1-AI26)</f>
        <v>4.2188764874568345E-2</v>
      </c>
      <c r="AM26" s="507">
        <f t="shared" ref="AM26:AM41" si="28">R26-R62</f>
        <v>114145.42000000039</v>
      </c>
      <c r="AN26" s="507">
        <f t="shared" ref="AN26:AN41" ca="1" si="29">T26-T62</f>
        <v>76627.321513581555</v>
      </c>
      <c r="AO26" s="488" t="b">
        <f t="shared" ref="AO26:AO41" ca="1" si="30">IF(AM26=0,AN26=0,AN26&gt;0)</f>
        <v>1</v>
      </c>
      <c r="AQ26" s="488" t="b">
        <f t="shared" ref="AQ26:AQ41" ca="1" si="31">Q26&gt;=Q62</f>
        <v>1</v>
      </c>
    </row>
    <row r="27" spans="1:43" x14ac:dyDescent="0.2">
      <c r="A27" s="493">
        <f>Intro!C27</f>
        <v>2005</v>
      </c>
      <c r="C27" s="522">
        <f t="shared" si="17"/>
        <v>10000000</v>
      </c>
      <c r="E27" s="504">
        <f>'e7'!I25</f>
        <v>699839.89000000025</v>
      </c>
      <c r="G27" s="502">
        <f ca="1">[1]!ldfsir(ldfs, ldf_ages, ldf_type, ldf_ret, Intro!$AA27, "Rept", $C27, cutoff, 3)</f>
        <v>1.0454943611663761</v>
      </c>
      <c r="I27" s="507">
        <f t="shared" ca="1" si="11"/>
        <v>731678.65871429711</v>
      </c>
      <c r="K27" s="504">
        <f>Intro!K27</f>
        <v>111292.39200000001</v>
      </c>
      <c r="M27" s="510">
        <f t="shared" ca="1" si="12"/>
        <v>6.5743816406991868</v>
      </c>
      <c r="O27" s="504">
        <f ca="1">'e3.2B'!I27</f>
        <v>751712.7065060694</v>
      </c>
      <c r="P27" s="505">
        <f t="shared" ca="1" si="13"/>
        <v>1.027380937728833</v>
      </c>
      <c r="Q27" s="657">
        <f>E27</f>
        <v>699839.89000000025</v>
      </c>
      <c r="R27" s="504">
        <f>'e7'!$G25</f>
        <v>0</v>
      </c>
      <c r="S27" s="361">
        <v>0</v>
      </c>
      <c r="T27" s="504">
        <f t="shared" si="19"/>
        <v>0</v>
      </c>
      <c r="U27" s="504" t="str">
        <f t="shared" si="20"/>
        <v/>
      </c>
      <c r="V27" s="504" t="b">
        <f t="shared" si="21"/>
        <v>1</v>
      </c>
      <c r="X27" s="506">
        <v>699839.89000000025</v>
      </c>
      <c r="Y27" s="506">
        <v>699839.89000000025</v>
      </c>
      <c r="Z27" s="504">
        <f t="shared" si="22"/>
        <v>0</v>
      </c>
      <c r="AA27" s="507">
        <f t="shared" si="23"/>
        <v>0</v>
      </c>
      <c r="AB27" s="504">
        <f t="shared" si="24"/>
        <v>0</v>
      </c>
      <c r="AC27" s="507">
        <f t="shared" si="25"/>
        <v>0</v>
      </c>
      <c r="AD27" s="493" t="b">
        <f t="shared" si="26"/>
        <v>1</v>
      </c>
      <c r="AH27" s="511"/>
      <c r="AI27" s="509">
        <f>1 / [1]!ldfsir(prldfs, prldf_ages, prldf_type, prldf_ret, Intro!Y27, "Rept", $C27, prldf_cutoff, 3)</f>
        <v>0.95452549498308481</v>
      </c>
      <c r="AJ27" s="509">
        <f>1 / [1]!ldfsir(prldfs, prldf_ages, prldf_type, prldf_ret, Intro!AA27, "Rept", $C27, prldf_cutoff, 3)</f>
        <v>0.9564853117757407</v>
      </c>
      <c r="AK27" s="509">
        <f t="shared" si="27"/>
        <v>4.3097045078927053E-2</v>
      </c>
      <c r="AM27" s="507">
        <f t="shared" si="28"/>
        <v>0</v>
      </c>
      <c r="AN27" s="507">
        <f t="shared" si="29"/>
        <v>0</v>
      </c>
      <c r="AO27" s="488" t="b">
        <f t="shared" si="30"/>
        <v>1</v>
      </c>
      <c r="AQ27" s="488" t="b">
        <f t="shared" si="31"/>
        <v>1</v>
      </c>
    </row>
    <row r="28" spans="1:43" x14ac:dyDescent="0.2">
      <c r="A28" s="493">
        <f>Intro!C28</f>
        <v>2006</v>
      </c>
      <c r="C28" s="522">
        <f t="shared" si="17"/>
        <v>10000000</v>
      </c>
      <c r="E28" s="504">
        <f>'e7'!I26</f>
        <v>2316148.9500000007</v>
      </c>
      <c r="G28" s="502">
        <f ca="1">[1]!ldfsir(ldfs, ldf_ages, ldf_type, ldf_ret, Intro!$AA28, "Rept", $C28, cutoff, 3)</f>
        <v>1.049927368605116</v>
      </c>
      <c r="I28" s="507">
        <f t="shared" ca="1" si="11"/>
        <v>2431788.1723710033</v>
      </c>
      <c r="K28" s="504">
        <f>Intro!K28</f>
        <v>107756.82399999999</v>
      </c>
      <c r="M28" s="510">
        <f t="shared" ca="1" si="12"/>
        <v>22.567370511690317</v>
      </c>
      <c r="O28" s="504">
        <f ca="1">'e3.2B'!I28</f>
        <v>2509616.6124992007</v>
      </c>
      <c r="P28" s="505">
        <f t="shared" ca="1" si="13"/>
        <v>1.0320046133180729</v>
      </c>
      <c r="Q28" s="657">
        <f t="shared" ref="Q28:Q30" si="32">E28</f>
        <v>2316148.9500000007</v>
      </c>
      <c r="R28" s="504">
        <f>'e7'!$G26</f>
        <v>0</v>
      </c>
      <c r="S28" s="361">
        <v>0</v>
      </c>
      <c r="T28" s="504">
        <f t="shared" si="19"/>
        <v>0</v>
      </c>
      <c r="U28" s="504" t="str">
        <f t="shared" si="20"/>
        <v/>
      </c>
      <c r="V28" s="504" t="b">
        <f t="shared" si="21"/>
        <v>1</v>
      </c>
      <c r="X28" s="506">
        <v>2316148.9500000007</v>
      </c>
      <c r="Y28" s="506">
        <v>2316148.9500000007</v>
      </c>
      <c r="Z28" s="504">
        <f t="shared" si="22"/>
        <v>0</v>
      </c>
      <c r="AA28" s="507">
        <f t="shared" si="23"/>
        <v>0</v>
      </c>
      <c r="AB28" s="504">
        <f t="shared" si="24"/>
        <v>0</v>
      </c>
      <c r="AC28" s="507">
        <f t="shared" si="25"/>
        <v>0</v>
      </c>
      <c r="AD28" s="493" t="b">
        <f t="shared" si="26"/>
        <v>1</v>
      </c>
      <c r="AH28" s="511"/>
      <c r="AI28" s="509">
        <f>1 / [1]!ldfsir(prldfs, prldf_ages, prldf_type, prldf_ret, Intro!Y28, "Rept", $C28, prldf_cutoff, 3)</f>
        <v>0.95026880591814356</v>
      </c>
      <c r="AJ28" s="509">
        <f>1 / [1]!ldfsir(prldfs, prldf_ages, prldf_type, prldf_ret, Intro!AA28, "Rept", $C28, prldf_cutoff, 3)</f>
        <v>0.95244683575450828</v>
      </c>
      <c r="AK28" s="509">
        <f t="shared" si="27"/>
        <v>4.3796049473087989E-2</v>
      </c>
      <c r="AM28" s="507">
        <f t="shared" si="28"/>
        <v>0</v>
      </c>
      <c r="AN28" s="507">
        <f t="shared" si="29"/>
        <v>0</v>
      </c>
      <c r="AO28" s="488" t="b">
        <f t="shared" si="30"/>
        <v>1</v>
      </c>
      <c r="AQ28" s="488" t="b">
        <f t="shared" si="31"/>
        <v>1</v>
      </c>
    </row>
    <row r="29" spans="1:43" x14ac:dyDescent="0.2">
      <c r="A29" s="493">
        <f>Intro!C29</f>
        <v>2007</v>
      </c>
      <c r="C29" s="522">
        <f t="shared" si="17"/>
        <v>10000000</v>
      </c>
      <c r="E29" s="504">
        <f>'e7'!I27</f>
        <v>1099670.4199999997</v>
      </c>
      <c r="G29" s="502">
        <f ca="1">[1]!ldfsir(ldfs, ldf_ages, ldf_type, ldf_ret, Intro!$AA29, "Rept", $C29, cutoff, 3)</f>
        <v>1.0549135393272007</v>
      </c>
      <c r="I29" s="507">
        <f t="shared" ca="1" si="11"/>
        <v>1160057.214855629</v>
      </c>
      <c r="K29" s="504">
        <f>Intro!K29</f>
        <v>104584.102</v>
      </c>
      <c r="M29" s="510">
        <f t="shared" ca="1" si="12"/>
        <v>11.092099015734046</v>
      </c>
      <c r="O29" s="504">
        <f ca="1">'e3.2B'!I29</f>
        <v>1203028.9815622587</v>
      </c>
      <c r="P29" s="505">
        <f t="shared" ca="1" si="13"/>
        <v>1.0370427994036291</v>
      </c>
      <c r="Q29" s="657">
        <f t="shared" si="32"/>
        <v>1099670.4199999997</v>
      </c>
      <c r="R29" s="504">
        <f>'e7'!$G27</f>
        <v>0</v>
      </c>
      <c r="S29" s="361">
        <v>0</v>
      </c>
      <c r="T29" s="504">
        <f t="shared" si="19"/>
        <v>0</v>
      </c>
      <c r="U29" s="504" t="str">
        <f t="shared" si="20"/>
        <v/>
      </c>
      <c r="V29" s="504" t="b">
        <f t="shared" si="21"/>
        <v>1</v>
      </c>
      <c r="X29" s="506">
        <v>1099670.4199999997</v>
      </c>
      <c r="Y29" s="506">
        <v>1099670.4199999997</v>
      </c>
      <c r="Z29" s="504">
        <f t="shared" si="22"/>
        <v>0</v>
      </c>
      <c r="AA29" s="507">
        <f t="shared" si="23"/>
        <v>0</v>
      </c>
      <c r="AB29" s="504">
        <f t="shared" si="24"/>
        <v>0</v>
      </c>
      <c r="AC29" s="507">
        <f t="shared" si="25"/>
        <v>0</v>
      </c>
      <c r="AD29" s="493" t="b">
        <f t="shared" si="26"/>
        <v>1</v>
      </c>
      <c r="AH29" s="511"/>
      <c r="AI29" s="509">
        <f>1 / [1]!ldfsir(prldfs, prldf_ages, prldf_type, prldf_ret, Intro!Y29, "Rept", $C29, prldf_cutoff, 3)</f>
        <v>0.94550551945632411</v>
      </c>
      <c r="AJ29" s="509">
        <f>1 / [1]!ldfsir(prldfs, prldf_ages, prldf_type, prldf_ret, Intro!AA29, "Rept", $C29, prldf_cutoff, 3)</f>
        <v>0.94794498574525543</v>
      </c>
      <c r="AK29" s="509">
        <f t="shared" si="27"/>
        <v>4.4765382926737991E-2</v>
      </c>
      <c r="AM29" s="507">
        <f t="shared" si="28"/>
        <v>0</v>
      </c>
      <c r="AN29" s="507">
        <f t="shared" si="29"/>
        <v>0</v>
      </c>
      <c r="AO29" s="488" t="b">
        <f t="shared" si="30"/>
        <v>1</v>
      </c>
      <c r="AQ29" s="488" t="b">
        <f t="shared" si="31"/>
        <v>1</v>
      </c>
    </row>
    <row r="30" spans="1:43" x14ac:dyDescent="0.2">
      <c r="A30" s="493">
        <f>Intro!C30</f>
        <v>2008</v>
      </c>
      <c r="C30" s="522">
        <f t="shared" si="17"/>
        <v>10000000</v>
      </c>
      <c r="E30" s="504">
        <f>'e7'!I28</f>
        <v>766269.99000000011</v>
      </c>
      <c r="G30" s="502">
        <f ca="1">[1]!ldfsir(ldfs, ldf_ages, ldf_type, ldf_ret, Intro!$AA30, "Rept", $C30, cutoff, 3)</f>
        <v>1.060583675083421</v>
      </c>
      <c r="I30" s="507">
        <f t="shared" ca="1" si="11"/>
        <v>812693.44210033643</v>
      </c>
      <c r="K30" s="504">
        <f>Intro!K30</f>
        <v>106050.29700000001</v>
      </c>
      <c r="M30" s="510">
        <f t="shared" ca="1" si="12"/>
        <v>7.6632830372963161</v>
      </c>
      <c r="O30" s="504">
        <f ca="1">'e3.2B'!I30</f>
        <v>847128.70464591531</v>
      </c>
      <c r="P30" s="505">
        <f t="shared" ca="1" si="13"/>
        <v>1.0423717736131646</v>
      </c>
      <c r="Q30" s="657">
        <f t="shared" si="32"/>
        <v>766269.99000000011</v>
      </c>
      <c r="R30" s="504">
        <f>'e7'!$G28</f>
        <v>0</v>
      </c>
      <c r="S30" s="361">
        <v>0</v>
      </c>
      <c r="T30" s="504">
        <f t="shared" si="19"/>
        <v>0</v>
      </c>
      <c r="U30" s="504" t="str">
        <f t="shared" si="20"/>
        <v/>
      </c>
      <c r="V30" s="504" t="b">
        <f t="shared" si="21"/>
        <v>1</v>
      </c>
      <c r="X30" s="506">
        <v>766269.99000000011</v>
      </c>
      <c r="Y30" s="506">
        <v>766269.99000000011</v>
      </c>
      <c r="Z30" s="504">
        <f t="shared" si="22"/>
        <v>0</v>
      </c>
      <c r="AA30" s="507">
        <f t="shared" si="23"/>
        <v>0</v>
      </c>
      <c r="AB30" s="504">
        <f t="shared" si="24"/>
        <v>0</v>
      </c>
      <c r="AC30" s="507">
        <f t="shared" si="25"/>
        <v>0</v>
      </c>
      <c r="AD30" s="493" t="b">
        <f t="shared" si="26"/>
        <v>1</v>
      </c>
      <c r="AH30" s="511"/>
      <c r="AI30" s="509">
        <f>1 / [1]!ldfsir(prldfs, prldf_ages, prldf_type, prldf_ret, Intro!Y30, "Rept", $C30, prldf_cutoff, 3)</f>
        <v>0.9401094707686809</v>
      </c>
      <c r="AJ30" s="509">
        <f>1 / [1]!ldfsir(prldfs, prldf_ages, prldf_type, prldf_ret, Intro!AA30, "Rept", $C30, prldf_cutoff, 3)</f>
        <v>0.94287704354995328</v>
      </c>
      <c r="AK30" s="509">
        <f t="shared" si="27"/>
        <v>4.6210524715568954E-2</v>
      </c>
      <c r="AM30" s="507">
        <f t="shared" si="28"/>
        <v>0</v>
      </c>
      <c r="AN30" s="507">
        <f t="shared" si="29"/>
        <v>0</v>
      </c>
      <c r="AO30" s="488" t="b">
        <f t="shared" si="30"/>
        <v>1</v>
      </c>
      <c r="AQ30" s="488" t="b">
        <f t="shared" si="31"/>
        <v>1</v>
      </c>
    </row>
    <row r="31" spans="1:43" x14ac:dyDescent="0.2">
      <c r="A31" s="493">
        <f>Intro!C31</f>
        <v>2009</v>
      </c>
      <c r="C31" s="522">
        <f t="shared" si="17"/>
        <v>10000000</v>
      </c>
      <c r="E31" s="504">
        <f>'e7'!I29</f>
        <v>1966037.7500000005</v>
      </c>
      <c r="G31" s="502">
        <f ca="1">[1]!ldfsir(ldfs, ldf_ages, ldf_type, ldf_ret, Intro!$AA31, "Rept", $C31, cutoff, 3)</f>
        <v>1.0670981066004215</v>
      </c>
      <c r="I31" s="507">
        <f t="shared" ca="1" si="11"/>
        <v>2097955.1605299534</v>
      </c>
      <c r="K31" s="504">
        <f>Intro!K31</f>
        <v>110722.705</v>
      </c>
      <c r="M31" s="510">
        <f t="shared" ca="1" si="12"/>
        <v>18.947831526785347</v>
      </c>
      <c r="O31" s="504">
        <f ca="1">'e3.2B'!I31</f>
        <v>2067819.6569119447</v>
      </c>
      <c r="P31" s="505">
        <f t="shared" ca="1" si="13"/>
        <v>0.98563577325914042</v>
      </c>
      <c r="Q31" s="661">
        <f ca="1">E31+T67</f>
        <v>2020299.0166137598</v>
      </c>
      <c r="R31" s="504">
        <f>'e7'!$G29</f>
        <v>117912.80000000005</v>
      </c>
      <c r="S31" s="361">
        <v>1</v>
      </c>
      <c r="T31" s="504">
        <f t="shared" ca="1" si="19"/>
        <v>54261.266613759333</v>
      </c>
      <c r="U31" s="504">
        <f t="shared" ca="1" si="20"/>
        <v>54261.266613759333</v>
      </c>
      <c r="V31" s="504" t="b">
        <f t="shared" ca="1" si="21"/>
        <v>1</v>
      </c>
      <c r="X31" s="506">
        <v>2006468.1910424973</v>
      </c>
      <c r="Y31" s="506">
        <v>1948738.7500000005</v>
      </c>
      <c r="Z31" s="504">
        <f t="shared" si="22"/>
        <v>17299</v>
      </c>
      <c r="AA31" s="507">
        <f t="shared" si="23"/>
        <v>2755.3104007129841</v>
      </c>
      <c r="AB31" s="504">
        <f t="shared" si="24"/>
        <v>14543.689599287016</v>
      </c>
      <c r="AC31" s="507">
        <f t="shared" ca="1" si="25"/>
        <v>13830.82557126251</v>
      </c>
      <c r="AD31" s="493" t="b">
        <f t="shared" ca="1" si="26"/>
        <v>1</v>
      </c>
      <c r="AH31" s="511"/>
      <c r="AI31" s="509">
        <f>1 / [1]!ldfsir(prldfs, prldf_ages, prldf_type, prldf_ret, Intro!Y31, "Rept", $C31, prldf_cutoff, 3)</f>
        <v>0.93396945250098073</v>
      </c>
      <c r="AJ31" s="509">
        <f>1 / [1]!ldfsir(prldfs, prldf_ages, prldf_type, prldf_ret, Intro!AA31, "Rept", $C31, prldf_cutoff, 3)</f>
        <v>0.937120958058689</v>
      </c>
      <c r="AK31" s="509">
        <f t="shared" si="27"/>
        <v>4.772799374039835E-2</v>
      </c>
      <c r="AM31" s="507">
        <f t="shared" si="28"/>
        <v>0</v>
      </c>
      <c r="AN31" s="507">
        <f t="shared" ca="1" si="29"/>
        <v>0</v>
      </c>
      <c r="AO31" s="488" t="b">
        <f t="shared" ca="1" si="30"/>
        <v>1</v>
      </c>
      <c r="AQ31" s="488" t="b">
        <f t="shared" ca="1" si="31"/>
        <v>1</v>
      </c>
    </row>
    <row r="32" spans="1:43" x14ac:dyDescent="0.2">
      <c r="A32" s="493">
        <f>Intro!C32</f>
        <v>2010</v>
      </c>
      <c r="C32" s="522">
        <f t="shared" si="17"/>
        <v>10000000</v>
      </c>
      <c r="E32" s="504">
        <f>'e7'!I30</f>
        <v>1200315.5200000003</v>
      </c>
      <c r="G32" s="502">
        <f ca="1">[1]!ldfsir(ldfs, ldf_ages, ldf_type, ldf_ret, Intro!$AA32, "Rept", $C32, cutoff, 3)</f>
        <v>1.0746305812501342</v>
      </c>
      <c r="I32" s="507">
        <f t="shared" ca="1" si="11"/>
        <v>1289895.7649411573</v>
      </c>
      <c r="K32" s="504">
        <f>Intro!K32</f>
        <v>128222.10400000001</v>
      </c>
      <c r="M32" s="510">
        <f t="shared" ca="1" si="12"/>
        <v>10.059854929078041</v>
      </c>
      <c r="O32" s="504">
        <f ca="1">'e3.2B'!I32</f>
        <v>1342681.2074755202</v>
      </c>
      <c r="P32" s="505">
        <f t="shared" ca="1" si="13"/>
        <v>1.04092225431624</v>
      </c>
      <c r="Q32" s="661">
        <f ca="1">E32+T68</f>
        <v>1232465.5338992665</v>
      </c>
      <c r="R32" s="504">
        <f>'e7'!$G30</f>
        <v>17136.330000000075</v>
      </c>
      <c r="S32" s="361">
        <v>1</v>
      </c>
      <c r="T32" s="504">
        <f t="shared" ca="1" si="19"/>
        <v>32150.013899266254</v>
      </c>
      <c r="U32" s="504">
        <f t="shared" ca="1" si="20"/>
        <v>32150.013899266254</v>
      </c>
      <c r="V32" s="504" t="b">
        <f t="shared" ca="1" si="21"/>
        <v>1</v>
      </c>
      <c r="X32" s="506">
        <v>1222085.4335254533</v>
      </c>
      <c r="Y32" s="506">
        <v>1187635.5200000003</v>
      </c>
      <c r="Z32" s="504">
        <f t="shared" si="22"/>
        <v>12680</v>
      </c>
      <c r="AA32" s="507">
        <f t="shared" si="23"/>
        <v>1702.6355982502655</v>
      </c>
      <c r="AB32" s="504">
        <f t="shared" si="24"/>
        <v>10977.364401749735</v>
      </c>
      <c r="AC32" s="507">
        <f t="shared" ca="1" si="25"/>
        <v>10380.100373813184</v>
      </c>
      <c r="AD32" s="493" t="b">
        <f t="shared" ca="1" si="26"/>
        <v>1</v>
      </c>
      <c r="AH32" s="511"/>
      <c r="AI32" s="509">
        <f>1 / [1]!ldfsir(prldfs, prldf_ages, prldf_type, prldf_ret, Intro!Y32, "Rept", $C32, prldf_cutoff, 3)</f>
        <v>0.92694153231449183</v>
      </c>
      <c r="AJ32" s="509">
        <f>1 / [1]!ldfsir(prldfs, prldf_ages, prldf_type, prldf_ret, Intro!AA32, "Rept", $C32, prldf_cutoff, 3)</f>
        <v>0.93055233812226423</v>
      </c>
      <c r="AK32" s="509">
        <f t="shared" si="27"/>
        <v>4.942350862484126E-2</v>
      </c>
      <c r="AM32" s="507">
        <f t="shared" si="28"/>
        <v>0</v>
      </c>
      <c r="AN32" s="507">
        <f t="shared" ca="1" si="29"/>
        <v>0</v>
      </c>
      <c r="AO32" s="488" t="b">
        <f t="shared" ca="1" si="30"/>
        <v>1</v>
      </c>
      <c r="AQ32" s="488" t="b">
        <f t="shared" ca="1" si="31"/>
        <v>1</v>
      </c>
    </row>
    <row r="33" spans="1:43" x14ac:dyDescent="0.2">
      <c r="A33" s="493">
        <f>Intro!C33</f>
        <v>2011</v>
      </c>
      <c r="C33" s="522">
        <f t="shared" si="17"/>
        <v>10000000</v>
      </c>
      <c r="E33" s="504">
        <f>'e7'!I31</f>
        <v>1212882.8100000003</v>
      </c>
      <c r="G33" s="502">
        <f ca="1">[1]!ldfsir(ldfs, ldf_ages, ldf_type, ldf_ret, Intro!$AA33, "Rept", $C33, cutoff, 3)</f>
        <v>1.0833899611244107</v>
      </c>
      <c r="I33" s="507">
        <f t="shared" ca="1" si="11"/>
        <v>1314025.0603743664</v>
      </c>
      <c r="K33" s="504">
        <f>Intro!K33</f>
        <v>143214.37400000001</v>
      </c>
      <c r="M33" s="510">
        <f t="shared" ca="1" si="12"/>
        <v>9.1752316731445287</v>
      </c>
      <c r="O33" s="504">
        <f ca="1">'e3.2B'!I33</f>
        <v>1399463.7193158586</v>
      </c>
      <c r="P33" s="505">
        <f t="shared" ca="1" si="13"/>
        <v>1.0650205703969988</v>
      </c>
      <c r="Q33" s="657">
        <f t="shared" ref="Q33" si="33">E33</f>
        <v>1212882.8100000003</v>
      </c>
      <c r="R33" s="504">
        <f>'e7'!$G31</f>
        <v>0</v>
      </c>
      <c r="S33" s="361">
        <v>0</v>
      </c>
      <c r="T33" s="504">
        <f t="shared" si="19"/>
        <v>0</v>
      </c>
      <c r="U33" s="504" t="str">
        <f t="shared" si="20"/>
        <v/>
      </c>
      <c r="V33" s="504" t="b">
        <f t="shared" si="21"/>
        <v>1</v>
      </c>
      <c r="X33" s="506">
        <v>1212815.81</v>
      </c>
      <c r="Y33" s="506">
        <v>1212815.81</v>
      </c>
      <c r="Z33" s="504">
        <f t="shared" si="22"/>
        <v>67.000000000232831</v>
      </c>
      <c r="AA33" s="507">
        <f t="shared" si="23"/>
        <v>0</v>
      </c>
      <c r="AB33" s="504">
        <f t="shared" si="24"/>
        <v>67.000000000232831</v>
      </c>
      <c r="AC33" s="507">
        <f t="shared" si="25"/>
        <v>67.000000000232831</v>
      </c>
      <c r="AD33" s="493" t="b">
        <f t="shared" si="26"/>
        <v>1</v>
      </c>
      <c r="AH33" s="511"/>
      <c r="AI33" s="509">
        <f>1 / [1]!ldfsir(prldfs, prldf_ages, prldf_type, prldf_ret, Intro!Y33, "Rept", $C33, prldf_cutoff, 3)</f>
        <v>0.91888985361199749</v>
      </c>
      <c r="AJ33" s="509">
        <f>1 / [1]!ldfsir(prldfs, prldf_ages, prldf_type, prldf_ret, Intro!AA33, "Rept", $C33, prldf_cutoff, 3)</f>
        <v>0.92302867470004701</v>
      </c>
      <c r="AK33" s="509">
        <f t="shared" si="27"/>
        <v>5.1027168268823697E-2</v>
      </c>
      <c r="AM33" s="507">
        <f t="shared" si="28"/>
        <v>0</v>
      </c>
      <c r="AN33" s="507">
        <f t="shared" si="29"/>
        <v>0</v>
      </c>
      <c r="AO33" s="488" t="b">
        <f t="shared" si="30"/>
        <v>1</v>
      </c>
      <c r="AQ33" s="488" t="b">
        <f t="shared" si="31"/>
        <v>1</v>
      </c>
    </row>
    <row r="34" spans="1:43" x14ac:dyDescent="0.2">
      <c r="A34" s="493">
        <f>Intro!C34</f>
        <v>2012</v>
      </c>
      <c r="C34" s="522">
        <f t="shared" si="17"/>
        <v>10000000</v>
      </c>
      <c r="E34" s="504">
        <f>'e7'!I32</f>
        <v>1930458.7599999993</v>
      </c>
      <c r="G34" s="502">
        <f ca="1">[1]!ldfsir(ldfs, ldf_ages, ldf_type, ldf_ret, Intro!$AA34, "Rept", $C34, cutoff, 3)</f>
        <v>1.0936183372277593</v>
      </c>
      <c r="I34" s="507">
        <f t="shared" ca="1" si="11"/>
        <v>2111185.0991979614</v>
      </c>
      <c r="K34" s="504">
        <f>Intro!K34</f>
        <v>145569.85699999999</v>
      </c>
      <c r="M34" s="510">
        <f t="shared" ca="1" si="12"/>
        <v>14.502900138165016</v>
      </c>
      <c r="O34" s="504">
        <f ca="1">'e3.2B'!I34</f>
        <v>2267734.0769164888</v>
      </c>
      <c r="P34" s="505">
        <f t="shared" ca="1" si="13"/>
        <v>1.0741521801086984</v>
      </c>
      <c r="Q34" s="661">
        <f>E34+T70</f>
        <v>1930458.7599999993</v>
      </c>
      <c r="R34" s="504">
        <f>'e7'!$G32</f>
        <v>4655.5</v>
      </c>
      <c r="S34" s="361">
        <v>1</v>
      </c>
      <c r="T34" s="504">
        <f t="shared" si="19"/>
        <v>0</v>
      </c>
      <c r="U34" s="504">
        <f t="shared" si="20"/>
        <v>0</v>
      </c>
      <c r="V34" s="504" t="b">
        <f t="shared" si="21"/>
        <v>0</v>
      </c>
      <c r="X34" s="506">
        <v>1928669.29</v>
      </c>
      <c r="Y34" s="506">
        <v>1926182.29</v>
      </c>
      <c r="Z34" s="504">
        <f t="shared" si="22"/>
        <v>4276.4699999992736</v>
      </c>
      <c r="AA34" s="507">
        <f t="shared" si="23"/>
        <v>131.02490709326571</v>
      </c>
      <c r="AB34" s="504">
        <f t="shared" si="24"/>
        <v>4145.4450929060076</v>
      </c>
      <c r="AC34" s="507">
        <f t="shared" si="25"/>
        <v>1789.4699999992736</v>
      </c>
      <c r="AD34" s="493" t="b">
        <f t="shared" si="26"/>
        <v>1</v>
      </c>
      <c r="AH34" s="511"/>
      <c r="AI34" s="509">
        <f>1 / [1]!ldfsir(prldfs, prldf_ages, prldf_type, prldf_ret, Intro!Y34, "Rept", $C34, prldf_cutoff, 3)</f>
        <v>0.90963500475607983</v>
      </c>
      <c r="AJ34" s="509">
        <f>1 / [1]!ldfsir(prldfs, prldf_ages, prldf_type, prldf_ret, Intro!AA34, "Rept", $C34, prldf_cutoff, 3)</f>
        <v>0.91439578686557643</v>
      </c>
      <c r="AK34" s="509">
        <f t="shared" si="27"/>
        <v>5.2683919217235912E-2</v>
      </c>
      <c r="AM34" s="507">
        <f t="shared" si="28"/>
        <v>0</v>
      </c>
      <c r="AN34" s="507">
        <f t="shared" si="29"/>
        <v>0</v>
      </c>
      <c r="AO34" s="488" t="b">
        <f t="shared" si="30"/>
        <v>1</v>
      </c>
      <c r="AQ34" s="488" t="b">
        <f t="shared" si="31"/>
        <v>1</v>
      </c>
    </row>
    <row r="35" spans="1:43" x14ac:dyDescent="0.2">
      <c r="A35" s="493">
        <f>Intro!C35</f>
        <v>2013</v>
      </c>
      <c r="C35" s="522">
        <f t="shared" si="17"/>
        <v>10000000</v>
      </c>
      <c r="E35" s="504">
        <f>'e7'!I33</f>
        <v>2170842.4800000004</v>
      </c>
      <c r="G35" s="502">
        <f ca="1">[1]!ldfsir(ldfs, ldf_ages, ldf_type, ldf_ret, Intro!$AA35, "Rept", $C35, cutoff, 3)</f>
        <v>1.1062187312594194</v>
      </c>
      <c r="I35" s="507">
        <f t="shared" ca="1" si="11"/>
        <v>2401426.6139896521</v>
      </c>
      <c r="K35" s="504">
        <f>Intro!K35</f>
        <v>157968.50285000002</v>
      </c>
      <c r="M35" s="510">
        <f t="shared" ca="1" si="12"/>
        <v>15.201933111121157</v>
      </c>
      <c r="O35" s="504">
        <f ca="1">'e3.2B'!I35</f>
        <v>2568559.2917251447</v>
      </c>
      <c r="P35" s="505">
        <f t="shared" ca="1" si="13"/>
        <v>1.0695972455547262</v>
      </c>
      <c r="Q35" s="658">
        <f ca="1">E35+'e3.1A'!T107</f>
        <v>2258615.9974478637</v>
      </c>
      <c r="R35" s="504">
        <f>'e7'!$G33</f>
        <v>44680.640000001062</v>
      </c>
      <c r="S35" s="361">
        <v>2</v>
      </c>
      <c r="T35" s="504">
        <f t="shared" ca="1" si="19"/>
        <v>87773.51744786324</v>
      </c>
      <c r="U35" s="504">
        <f t="shared" ca="1" si="20"/>
        <v>43886.75872393162</v>
      </c>
      <c r="V35" s="504" t="b">
        <f t="shared" ca="1" si="21"/>
        <v>1</v>
      </c>
      <c r="X35" s="506">
        <v>2258156.7193013448</v>
      </c>
      <c r="Y35" s="506">
        <v>2161387.5499999998</v>
      </c>
      <c r="Z35" s="504">
        <f t="shared" si="22"/>
        <v>9454.9300000006333</v>
      </c>
      <c r="AA35" s="507">
        <f t="shared" si="23"/>
        <v>5802.6394332137843</v>
      </c>
      <c r="AB35" s="504">
        <f t="shared" si="24"/>
        <v>3652.290566786849</v>
      </c>
      <c r="AC35" s="507">
        <f t="shared" ca="1" si="25"/>
        <v>459.27814651886001</v>
      </c>
      <c r="AD35" s="493" t="b">
        <f t="shared" ca="1" si="26"/>
        <v>1</v>
      </c>
      <c r="AH35" s="511"/>
      <c r="AI35" s="509">
        <f>1 / [1]!ldfsir(prldfs, prldf_ages, prldf_type, prldf_ret, Intro!Y35, "Rept", $C35, prldf_cutoff, 3)</f>
        <v>0.89785538243068053</v>
      </c>
      <c r="AJ35" s="509">
        <f>1 / [1]!ldfsir(prldfs, prldf_ages, prldf_type, prldf_ret, Intro!AA35, "Rept", $C35, prldf_cutoff, 3)</f>
        <v>0.90398035374207564</v>
      </c>
      <c r="AK35" s="509">
        <f t="shared" si="27"/>
        <v>5.9963720626184318E-2</v>
      </c>
      <c r="AM35" s="507">
        <f t="shared" si="28"/>
        <v>1.1641532182693481E-9</v>
      </c>
      <c r="AN35" s="507">
        <f t="shared" ca="1" si="29"/>
        <v>0</v>
      </c>
      <c r="AO35" s="488" t="b">
        <f t="shared" ca="1" si="30"/>
        <v>0</v>
      </c>
      <c r="AQ35" s="488" t="b">
        <f t="shared" ca="1" si="31"/>
        <v>1</v>
      </c>
    </row>
    <row r="36" spans="1:43" x14ac:dyDescent="0.2">
      <c r="A36" s="493">
        <f>Intro!C36</f>
        <v>2014</v>
      </c>
      <c r="C36" s="522">
        <f t="shared" si="17"/>
        <v>10000000</v>
      </c>
      <c r="E36" s="504">
        <f>'e7'!I34</f>
        <v>2342502.8100000005</v>
      </c>
      <c r="G36" s="502">
        <f ca="1">[1]!ldfsir(ldfs, ldf_ages, ldf_type, ldf_ret, Intro!$AA36, "Rept", $C36, cutoff, 3)</f>
        <v>1.1225843808494822</v>
      </c>
      <c r="I36" s="507">
        <f t="shared" ca="1" si="11"/>
        <v>2629657.0666020229</v>
      </c>
      <c r="K36" s="504">
        <f>Intro!K36</f>
        <v>182546.24444841431</v>
      </c>
      <c r="M36" s="510">
        <f t="shared" ca="1" si="12"/>
        <v>14.405429564151548</v>
      </c>
      <c r="O36" s="504">
        <f ca="1">'e3.2B'!I36</f>
        <v>2924859.9678655076</v>
      </c>
      <c r="P36" s="505">
        <f t="shared" ca="1" si="13"/>
        <v>1.1122590869405411</v>
      </c>
      <c r="Q36" s="657">
        <f>E36</f>
        <v>2342502.8100000005</v>
      </c>
      <c r="R36" s="504">
        <f>'e7'!$G34</f>
        <v>0</v>
      </c>
      <c r="S36" s="361">
        <v>0</v>
      </c>
      <c r="T36" s="504">
        <f t="shared" si="19"/>
        <v>0</v>
      </c>
      <c r="U36" s="504" t="str">
        <f t="shared" si="20"/>
        <v/>
      </c>
      <c r="V36" s="504" t="b">
        <f t="shared" si="21"/>
        <v>1</v>
      </c>
      <c r="X36" s="506">
        <v>2342329.11</v>
      </c>
      <c r="Y36" s="506">
        <v>2342329.11</v>
      </c>
      <c r="Z36" s="504">
        <f t="shared" si="22"/>
        <v>173.70000000065193</v>
      </c>
      <c r="AA36" s="507">
        <f t="shared" si="23"/>
        <v>0</v>
      </c>
      <c r="AB36" s="504">
        <f t="shared" si="24"/>
        <v>173.70000000065193</v>
      </c>
      <c r="AC36" s="507">
        <f t="shared" si="25"/>
        <v>173.70000000065193</v>
      </c>
      <c r="AD36" s="493" t="b">
        <f t="shared" si="26"/>
        <v>1</v>
      </c>
      <c r="AH36" s="511"/>
      <c r="AI36" s="509">
        <f>1 / [1]!ldfsir(prldfs, prldf_ages, prldf_type, prldf_ret, Intro!Y36, "Rept", $C36, prldf_cutoff, 3)</f>
        <v>0.88317320335209293</v>
      </c>
      <c r="AJ36" s="509">
        <f>1 / [1]!ldfsir(prldfs, prldf_ages, prldf_type, prldf_ret, Intro!AA36, "Rept", $C36, prldf_cutoff, 3)</f>
        <v>0.89080163331978646</v>
      </c>
      <c r="AK36" s="509">
        <f t="shared" si="27"/>
        <v>6.5296919769906148E-2</v>
      </c>
      <c r="AM36" s="507">
        <f t="shared" si="28"/>
        <v>0</v>
      </c>
      <c r="AN36" s="507">
        <f t="shared" si="29"/>
        <v>0</v>
      </c>
      <c r="AO36" s="488" t="b">
        <f t="shared" si="30"/>
        <v>1</v>
      </c>
      <c r="AQ36" s="488" t="b">
        <f t="shared" si="31"/>
        <v>1</v>
      </c>
    </row>
    <row r="37" spans="1:43" x14ac:dyDescent="0.2">
      <c r="A37" s="493">
        <f>Intro!C37</f>
        <v>2015</v>
      </c>
      <c r="C37" s="522">
        <f t="shared" si="17"/>
        <v>10000000</v>
      </c>
      <c r="E37" s="504">
        <f>'e7'!I35</f>
        <v>3251678.2500000009</v>
      </c>
      <c r="G37" s="502">
        <f ca="1">[1]!ldfsir(ldfs, ldf_ages, ldf_type, ldf_ret, Intro!$AA37, "Rept", $C37, cutoff, 3)</f>
        <v>1.1479791177350513</v>
      </c>
      <c r="I37" s="507">
        <f t="shared" ca="1" si="11"/>
        <v>3732858.7285932568</v>
      </c>
      <c r="K37" s="504">
        <f>Intro!K37</f>
        <v>196912.10476000005</v>
      </c>
      <c r="M37" s="510">
        <f t="shared" ca="1" si="12"/>
        <v>18.956979476416297</v>
      </c>
      <c r="O37" s="504">
        <f ca="1">'e3.2B'!I37</f>
        <v>3682233.1240182114</v>
      </c>
      <c r="P37" s="505">
        <f t="shared" ca="1" si="13"/>
        <v>0.98643784609707852</v>
      </c>
      <c r="Q37" s="661">
        <f ca="1">E37+T73</f>
        <v>3627506.6580092385</v>
      </c>
      <c r="R37" s="504">
        <f>'e7'!$G35</f>
        <v>441176.08999999985</v>
      </c>
      <c r="S37" s="361">
        <v>4</v>
      </c>
      <c r="T37" s="504">
        <f t="shared" ca="1" si="19"/>
        <v>375828.40800923761</v>
      </c>
      <c r="U37" s="504">
        <f t="shared" ca="1" si="20"/>
        <v>93957.102002309402</v>
      </c>
      <c r="V37" s="504" t="b">
        <f t="shared" ca="1" si="21"/>
        <v>1</v>
      </c>
      <c r="X37" s="506">
        <v>3727217.9588296209</v>
      </c>
      <c r="Y37" s="506">
        <v>3276954.1399999997</v>
      </c>
      <c r="Z37" s="504">
        <f t="shared" si="22"/>
        <v>-25275.889999998733</v>
      </c>
      <c r="AA37" s="507">
        <f t="shared" si="23"/>
        <v>48885.158122995366</v>
      </c>
      <c r="AB37" s="504">
        <f t="shared" si="24"/>
        <v>-74161.048122994107</v>
      </c>
      <c r="AC37" s="507">
        <f t="shared" ca="1" si="25"/>
        <v>-99711.300820382312</v>
      </c>
      <c r="AD37" s="493" t="b">
        <f t="shared" ca="1" si="26"/>
        <v>1</v>
      </c>
      <c r="AH37" s="511"/>
      <c r="AI37" s="509">
        <f>1 / [1]!ldfsir(prldfs, prldf_ages, prldf_type, prldf_ret, Intro!Y37, "Rept", $C37, prldf_cutoff, 3)</f>
        <v>0.85402945293654775</v>
      </c>
      <c r="AJ37" s="509">
        <f>1 / [1]!ldfsir(prldfs, prldf_ages, prldf_type, prldf_ret, Intro!AA37, "Rept", $C37, prldf_cutoff, 3)</f>
        <v>0.86987748019542277</v>
      </c>
      <c r="AK37" s="509">
        <f t="shared" si="27"/>
        <v>0.10857003400820309</v>
      </c>
      <c r="AM37" s="507">
        <f t="shared" si="28"/>
        <v>0</v>
      </c>
      <c r="AN37" s="507">
        <f t="shared" ca="1" si="29"/>
        <v>0</v>
      </c>
      <c r="AO37" s="488" t="b">
        <f t="shared" ca="1" si="30"/>
        <v>1</v>
      </c>
      <c r="AQ37" s="488" t="b">
        <f t="shared" ca="1" si="31"/>
        <v>1</v>
      </c>
    </row>
    <row r="38" spans="1:43" x14ac:dyDescent="0.2">
      <c r="A38" s="493">
        <f>Intro!C38</f>
        <v>2016</v>
      </c>
      <c r="C38" s="522">
        <f t="shared" si="17"/>
        <v>10000000</v>
      </c>
      <c r="E38" s="504">
        <f>'e7'!I36</f>
        <v>2628716.9900000021</v>
      </c>
      <c r="G38" s="502">
        <f ca="1">[1]!ldfsir(ldfs, ldf_ages, ldf_type, ldf_ret, Intro!$AA38, "Rept", $C38, cutoff, 3)</f>
        <v>1.1948011989909957</v>
      </c>
      <c r="I38" s="507">
        <f t="shared" ca="1" si="11"/>
        <v>3140794.2114600036</v>
      </c>
      <c r="K38" s="504">
        <f>Intro!K38</f>
        <v>221894.58274919298</v>
      </c>
      <c r="M38" s="510">
        <f t="shared" ca="1" si="12"/>
        <v>14.154442945594743</v>
      </c>
      <c r="O38" s="504">
        <f ca="1">'e3.2B'!I38</f>
        <v>3479912.0625112727</v>
      </c>
      <c r="P38" s="505">
        <f t="shared" ca="1" si="13"/>
        <v>1.1079720058747911</v>
      </c>
      <c r="Q38" s="661">
        <f ca="1">I38</f>
        <v>3140794.2114600036</v>
      </c>
      <c r="R38" s="504">
        <f>'e7'!$G36</f>
        <v>178804.94000000041</v>
      </c>
      <c r="S38" s="361">
        <v>8</v>
      </c>
      <c r="T38" s="504">
        <f t="shared" ca="1" si="19"/>
        <v>512077.22146000154</v>
      </c>
      <c r="U38" s="504">
        <f t="shared" ca="1" si="20"/>
        <v>64009.652682500193</v>
      </c>
      <c r="V38" s="504" t="b">
        <f t="shared" ca="1" si="21"/>
        <v>1</v>
      </c>
      <c r="X38" s="506">
        <v>3016448.3232677076</v>
      </c>
      <c r="Y38" s="506">
        <v>2444111.0400000019</v>
      </c>
      <c r="Z38" s="504">
        <f t="shared" si="22"/>
        <v>184605.95000000019</v>
      </c>
      <c r="AA38" s="507">
        <f t="shared" si="23"/>
        <v>70719.803368762572</v>
      </c>
      <c r="AB38" s="504">
        <f t="shared" si="24"/>
        <v>113886.14663123761</v>
      </c>
      <c r="AC38" s="507">
        <f t="shared" ca="1" si="25"/>
        <v>124345.88819229603</v>
      </c>
      <c r="AD38" s="493" t="b">
        <f t="shared" ca="1" si="26"/>
        <v>1</v>
      </c>
      <c r="AH38" s="511"/>
      <c r="AI38" s="509">
        <f>1 / [1]!ldfsir(prldfs, prldf_ages, prldf_type, prldf_ret, Intro!Y38, "Rept", $C38, prldf_cutoff, 3)</f>
        <v>0.81026120061367568</v>
      </c>
      <c r="AJ38" s="509">
        <f>1 / [1]!ldfsir(prldfs, prldf_ages, prldf_type, prldf_ret, Intro!AA38, "Rept", $C38, prldf_cutoff, 3)</f>
        <v>0.83370592626113915</v>
      </c>
      <c r="AK38" s="509">
        <f t="shared" si="27"/>
        <v>0.12356316010900868</v>
      </c>
      <c r="AM38" s="507">
        <f t="shared" si="28"/>
        <v>0</v>
      </c>
      <c r="AN38" s="507">
        <f t="shared" ca="1" si="29"/>
        <v>92967.437975827139</v>
      </c>
      <c r="AO38" s="488" t="b">
        <f t="shared" ca="1" si="30"/>
        <v>0</v>
      </c>
      <c r="AQ38" s="488" t="b">
        <f t="shared" ca="1" si="31"/>
        <v>1</v>
      </c>
    </row>
    <row r="39" spans="1:43" x14ac:dyDescent="0.2">
      <c r="A39" s="493">
        <f>Intro!C39</f>
        <v>2017</v>
      </c>
      <c r="C39" s="522">
        <f t="shared" si="17"/>
        <v>10000000</v>
      </c>
      <c r="E39" s="504">
        <f>'e7'!I37</f>
        <v>2585441.4500000016</v>
      </c>
      <c r="G39" s="502">
        <f ca="1">[1]!ldfsir(ldfs, ldf_ages, ldf_type, ldf_ret, Intro!$AA39, "Rept", $C39, cutoff, 3)</f>
        <v>1.3057465534677726</v>
      </c>
      <c r="I39" s="507">
        <f t="shared" ca="1" si="11"/>
        <v>3375931.2625302225</v>
      </c>
      <c r="K39" s="504">
        <f>Intro!K39</f>
        <v>307509.66981400014</v>
      </c>
      <c r="M39" s="510">
        <f t="shared" ca="1" si="12"/>
        <v>10.97829302269481</v>
      </c>
      <c r="O39" s="504">
        <f ca="1">'e3.2B'!I39</f>
        <v>3820181.9789861729</v>
      </c>
      <c r="P39" s="505">
        <f t="shared" ca="1" si="13"/>
        <v>1.1315935313573267</v>
      </c>
      <c r="Q39" s="658">
        <f t="shared" ref="Q39:Q40" ca="1" si="34">I39</f>
        <v>3375931.2625302225</v>
      </c>
      <c r="R39" s="504">
        <f>'e7'!$G37</f>
        <v>327371.00999999978</v>
      </c>
      <c r="S39" s="361">
        <v>8</v>
      </c>
      <c r="T39" s="504">
        <f t="shared" ca="1" si="19"/>
        <v>790489.81253022095</v>
      </c>
      <c r="U39" s="504">
        <f t="shared" ca="1" si="20"/>
        <v>98811.226566277619</v>
      </c>
      <c r="V39" s="504" t="b">
        <f t="shared" ca="1" si="21"/>
        <v>1</v>
      </c>
      <c r="X39" s="506">
        <v>3183623.1228234088</v>
      </c>
      <c r="Y39" s="506">
        <v>2264112.3000000003</v>
      </c>
      <c r="Z39" s="504">
        <f t="shared" si="22"/>
        <v>321329.1500000013</v>
      </c>
      <c r="AA39" s="507">
        <f t="shared" si="23"/>
        <v>177222.01445464045</v>
      </c>
      <c r="AB39" s="504">
        <f t="shared" si="24"/>
        <v>144107.13554536086</v>
      </c>
      <c r="AC39" s="507">
        <f t="shared" ca="1" si="25"/>
        <v>192308.13970681373</v>
      </c>
      <c r="AD39" s="493" t="b">
        <f t="shared" ca="1" si="26"/>
        <v>1</v>
      </c>
      <c r="AH39" s="511"/>
      <c r="AI39" s="509">
        <f>1 / [1]!ldfsir(prldfs, prldf_ages, prldf_type, prldf_ret, Intro!Y39, "Rept", $C39, prldf_cutoff, 3)</f>
        <v>0.71117472535256099</v>
      </c>
      <c r="AJ39" s="509">
        <f>1 / [1]!ldfsir(prldfs, prldf_ages, prldf_type, prldf_ret, Intro!AA39, "Rept", $C39, prldf_cutoff, 3)</f>
        <v>0.7668414948216401</v>
      </c>
      <c r="AK39" s="509">
        <f t="shared" si="27"/>
        <v>0.1927351044226652</v>
      </c>
      <c r="AM39" s="507">
        <f t="shared" si="28"/>
        <v>0</v>
      </c>
      <c r="AN39" s="507">
        <f t="shared" ca="1" si="29"/>
        <v>110864.5255207154</v>
      </c>
      <c r="AO39" s="488" t="b">
        <f t="shared" ca="1" si="30"/>
        <v>0</v>
      </c>
      <c r="AQ39" s="488" t="b">
        <f t="shared" ca="1" si="31"/>
        <v>1</v>
      </c>
    </row>
    <row r="40" spans="1:43" x14ac:dyDescent="0.2">
      <c r="A40" s="493">
        <f>Intro!C40</f>
        <v>2018</v>
      </c>
      <c r="C40" s="522">
        <f t="shared" si="17"/>
        <v>10000000</v>
      </c>
      <c r="E40" s="504">
        <f>'e7'!I38</f>
        <v>5817996.7700000023</v>
      </c>
      <c r="G40" s="502">
        <f ca="1">[1]!ldfsir(ldfs, ldf_ages, ldf_type, ldf_ret, Intro!$AA40, "Rept", $C40, cutoff, 3)</f>
        <v>1.6828141765317581</v>
      </c>
      <c r="I40" s="507">
        <f t="shared" ca="1" si="11"/>
        <v>9790607.4435719829</v>
      </c>
      <c r="K40" s="504">
        <f>Intro!K40</f>
        <v>536896.27333</v>
      </c>
      <c r="M40" s="510">
        <f t="shared" ca="1" si="12"/>
        <v>18.235566030003426</v>
      </c>
      <c r="O40" s="504">
        <f ca="1">'e3.2B'!I40</f>
        <v>10835902.67147637</v>
      </c>
      <c r="P40" s="505">
        <f t="shared" ca="1" si="13"/>
        <v>1.1067651046095894</v>
      </c>
      <c r="Q40" s="658">
        <f t="shared" ca="1" si="34"/>
        <v>9790607.4435719829</v>
      </c>
      <c r="R40" s="504">
        <f>'e7'!$G38</f>
        <v>1618701.6200000048</v>
      </c>
      <c r="S40" s="361">
        <v>61</v>
      </c>
      <c r="T40" s="504">
        <f t="shared" ca="1" si="19"/>
        <v>3972610.6735719806</v>
      </c>
      <c r="U40" s="504">
        <f t="shared" ca="1" si="20"/>
        <v>65124.765140524272</v>
      </c>
      <c r="V40" s="504" t="b">
        <f t="shared" ca="1" si="21"/>
        <v>1</v>
      </c>
      <c r="X40" s="506">
        <v>10219820.23238082</v>
      </c>
      <c r="Y40" s="506">
        <v>4706747.6700000055</v>
      </c>
      <c r="Z40" s="504">
        <f t="shared" si="22"/>
        <v>1111249.0999999968</v>
      </c>
      <c r="AA40" s="507">
        <f t="shared" si="23"/>
        <v>1448152.8544897067</v>
      </c>
      <c r="AB40" s="504">
        <f t="shared" si="24"/>
        <v>-336903.75448970986</v>
      </c>
      <c r="AC40" s="507">
        <f t="shared" ca="1" si="25"/>
        <v>-429212.78880883753</v>
      </c>
      <c r="AD40" s="493" t="b">
        <f t="shared" ca="1" si="26"/>
        <v>1</v>
      </c>
      <c r="AH40" s="511"/>
      <c r="AI40" s="509">
        <f>1 / [1]!ldfsir(prldfs, prldf_ages, prldf_type, prldf_ret, Intro!Y40, "Rept", $C40, prldf_cutoff, 3)</f>
        <v>0.46055092584573931</v>
      </c>
      <c r="AJ40" s="509">
        <f>1 / [1]!ldfsir(prldfs, prldf_ages, prldf_type, prldf_ret, Intro!AA40, "Rept", $C40, prldf_cutoff, 3)</f>
        <v>0.60225134929363233</v>
      </c>
      <c r="AK40" s="509">
        <f t="shared" si="27"/>
        <v>0.26267618249238556</v>
      </c>
      <c r="AM40" s="507">
        <f t="shared" si="28"/>
        <v>0</v>
      </c>
      <c r="AN40" s="507">
        <f t="shared" ca="1" si="29"/>
        <v>367466.73709701188</v>
      </c>
      <c r="AO40" s="488" t="b">
        <f t="shared" ca="1" si="30"/>
        <v>0</v>
      </c>
      <c r="AQ40" s="488" t="b">
        <f t="shared" ca="1" si="31"/>
        <v>1</v>
      </c>
    </row>
    <row r="41" spans="1:43" x14ac:dyDescent="0.2">
      <c r="A41" s="493">
        <f>Intro!C41</f>
        <v>2019</v>
      </c>
      <c r="C41" s="522">
        <f t="shared" si="17"/>
        <v>10000000</v>
      </c>
      <c r="E41" s="512">
        <f>'e7'!I39</f>
        <v>1261811.2200000007</v>
      </c>
      <c r="G41" s="502">
        <f ca="1">[1]!ldfsir(ldfs, ldf_ages, ldf_type, ldf_ret, Intro!$AA41, "Rept", $C41, cutoff, 3)</f>
        <v>4.767388216917368</v>
      </c>
      <c r="I41" s="512">
        <f t="shared" ca="1" si="11"/>
        <v>6015543.9422021322</v>
      </c>
      <c r="K41" s="512">
        <f>Intro!K41</f>
        <v>543133.22666000458</v>
      </c>
      <c r="M41" s="513">
        <f t="shared" ca="1" si="12"/>
        <v>11.075632362237704</v>
      </c>
      <c r="O41" s="512">
        <f ca="1">'e3.2B'!I41</f>
        <v>8935893.3526830617</v>
      </c>
      <c r="P41" s="526">
        <f t="shared" ca="1" si="13"/>
        <v>1.4854672226717816</v>
      </c>
      <c r="Q41" s="662">
        <f ca="1">O41</f>
        <v>8935893.3526830617</v>
      </c>
      <c r="R41" s="512">
        <f>'e7'!$G39</f>
        <v>642501.92000000062</v>
      </c>
      <c r="S41" s="305">
        <v>101</v>
      </c>
      <c r="T41" s="512">
        <f t="shared" ca="1" si="19"/>
        <v>7674082.1326830611</v>
      </c>
      <c r="U41" s="512">
        <f t="shared" ca="1" si="20"/>
        <v>75981.011214683778</v>
      </c>
      <c r="V41" s="504" t="b">
        <f t="shared" ca="1" si="21"/>
        <v>1</v>
      </c>
      <c r="X41" s="653">
        <v>9672035.7685303371</v>
      </c>
      <c r="Y41" s="653">
        <v>178621.64</v>
      </c>
      <c r="Z41" s="512">
        <f t="shared" si="22"/>
        <v>1083189.5800000005</v>
      </c>
      <c r="AA41" s="512">
        <f t="shared" si="23"/>
        <v>1877511.9067720901</v>
      </c>
      <c r="AB41" s="512">
        <f t="shared" si="24"/>
        <v>-794322.32677208958</v>
      </c>
      <c r="AC41" s="531">
        <f t="shared" ca="1" si="25"/>
        <v>-736142.41584727541</v>
      </c>
      <c r="AD41" s="493" t="b">
        <f t="shared" ca="1" si="26"/>
        <v>1</v>
      </c>
      <c r="AH41" s="511"/>
      <c r="AI41" s="509">
        <f>1 / [1]!ldfsir(prldfs, prldf_ages, prldf_type, prldf_ret, Intro!Y41, "Rept", $C41, prldf_cutoff, 3)</f>
        <v>1.8467843200205773E-2</v>
      </c>
      <c r="AJ41" s="509">
        <f>1 / [1]!ldfsir(prldfs, prldf_ages, prldf_type, prldf_ret, Intro!AA41, "Rept", $C41, prldf_cutoff, 3)</f>
        <v>0.21258539525485223</v>
      </c>
      <c r="AK41" s="509">
        <f t="shared" si="27"/>
        <v>0.19776993622659389</v>
      </c>
      <c r="AM41" s="507">
        <f t="shared" si="28"/>
        <v>0</v>
      </c>
      <c r="AN41" s="507">
        <f t="shared" ca="1" si="29"/>
        <v>343907.2567020338</v>
      </c>
      <c r="AO41" s="488" t="b">
        <f t="shared" ca="1" si="30"/>
        <v>0</v>
      </c>
      <c r="AQ41" s="488" t="b">
        <f t="shared" ca="1" si="31"/>
        <v>1</v>
      </c>
    </row>
    <row r="42" spans="1:43" x14ac:dyDescent="0.2">
      <c r="P42" s="515"/>
      <c r="Q42" s="666"/>
      <c r="W42" s="490"/>
      <c r="X42" s="515"/>
      <c r="Y42" s="515"/>
    </row>
    <row r="43" spans="1:43" x14ac:dyDescent="0.2">
      <c r="A43" s="493" t="s">
        <v>78</v>
      </c>
      <c r="E43" s="501">
        <f>SUM(E18:E41)</f>
        <v>53987166.439999998</v>
      </c>
      <c r="I43" s="501">
        <f ca="1">SUM(I18:I41)</f>
        <v>66576220.426778674</v>
      </c>
      <c r="K43" s="501">
        <f>SUM(K18:K41)</f>
        <v>3896630.2405416127</v>
      </c>
      <c r="M43" s="510">
        <f t="shared" ref="M43" ca="1" si="35">I43/K43</f>
        <v>17.085588397405882</v>
      </c>
      <c r="O43" s="507">
        <f ca="1">SUM(O18:O41)</f>
        <v>70810377.748359248</v>
      </c>
      <c r="P43" s="505">
        <f ca="1">O43/I43</f>
        <v>1.0635986436964735</v>
      </c>
      <c r="Q43" s="684">
        <f ca="1">SUM(Q18:Q41)</f>
        <v>68058673.355632097</v>
      </c>
      <c r="R43" s="507">
        <f>SUM(R18:R41)</f>
        <v>5085965.3600000059</v>
      </c>
      <c r="S43" s="507">
        <f>SUM(S18:S41)</f>
        <v>200</v>
      </c>
      <c r="T43" s="507">
        <f ca="1">SUM(T18:T41)</f>
        <v>14071506.915632088</v>
      </c>
      <c r="U43" s="504">
        <f ca="1">IFERROR(T43/S43, "")</f>
        <v>70357.534578160441</v>
      </c>
      <c r="W43" s="504"/>
      <c r="X43" s="507">
        <f t="shared" ref="X43:AC43" si="36">SUM(X18:X41)</f>
        <v>68987267.787636355</v>
      </c>
      <c r="Y43" s="507">
        <f t="shared" si="36"/>
        <v>51269701.519999996</v>
      </c>
      <c r="Z43" s="507">
        <f t="shared" si="36"/>
        <v>2717464.9200000009</v>
      </c>
      <c r="AA43" s="507">
        <f t="shared" si="36"/>
        <v>3637907.08564443</v>
      </c>
      <c r="AB43" s="507">
        <f t="shared" si="36"/>
        <v>-920442.16564442904</v>
      </c>
      <c r="AC43" s="507">
        <f t="shared" ca="1" si="36"/>
        <v>-928594.43200426758</v>
      </c>
    </row>
    <row r="46" spans="1:43" x14ac:dyDescent="0.2">
      <c r="A46" s="392" t="s">
        <v>407</v>
      </c>
      <c r="O46" s="492" t="s">
        <v>682</v>
      </c>
      <c r="X46" s="490"/>
      <c r="AE46" s="488"/>
    </row>
    <row r="47" spans="1:43" x14ac:dyDescent="0.2">
      <c r="X47" s="490"/>
      <c r="AE47" s="488"/>
    </row>
    <row r="48" spans="1:43" x14ac:dyDescent="0.2">
      <c r="E48" s="493" t="s">
        <v>71</v>
      </c>
      <c r="O48" s="494"/>
      <c r="P48" s="494"/>
      <c r="Q48" s="494"/>
      <c r="U48" s="495"/>
      <c r="V48" s="495"/>
      <c r="X48" s="490"/>
      <c r="AE48" s="488"/>
    </row>
    <row r="49" spans="1:48" x14ac:dyDescent="0.2">
      <c r="A49" s="496" t="str">
        <f>A13</f>
        <v>Policy</v>
      </c>
      <c r="E49" s="493" t="s">
        <v>8</v>
      </c>
      <c r="G49" s="496" t="s">
        <v>331</v>
      </c>
      <c r="I49" s="496" t="s">
        <v>330</v>
      </c>
      <c r="M49" s="496" t="s">
        <v>332</v>
      </c>
      <c r="O49" s="496"/>
      <c r="P49" s="496"/>
      <c r="Q49" s="663" t="s">
        <v>105</v>
      </c>
      <c r="U49" s="495"/>
      <c r="V49" s="495"/>
      <c r="X49" s="494"/>
      <c r="Y49" s="494"/>
      <c r="Z49" s="497" t="str">
        <f>pr_to_curr</f>
        <v>10/18-4/19</v>
      </c>
      <c r="AA49" s="497"/>
      <c r="AB49" s="497"/>
      <c r="AC49" s="497"/>
      <c r="AD49" s="497"/>
      <c r="AE49" s="488"/>
    </row>
    <row r="50" spans="1:48" x14ac:dyDescent="0.2">
      <c r="A50" s="496" t="str">
        <f>A14</f>
        <v>Period</v>
      </c>
      <c r="E50" s="493" t="s">
        <v>334</v>
      </c>
      <c r="G50" s="496" t="s">
        <v>245</v>
      </c>
      <c r="I50" s="496" t="s">
        <v>245</v>
      </c>
      <c r="K50" s="496" t="s">
        <v>5</v>
      </c>
      <c r="M50" s="496" t="s">
        <v>8</v>
      </c>
      <c r="O50" s="493" t="s">
        <v>75</v>
      </c>
      <c r="P50" s="496" t="s">
        <v>669</v>
      </c>
      <c r="Q50" s="664" t="s">
        <v>410</v>
      </c>
      <c r="R50" s="496"/>
      <c r="S50" s="496" t="s">
        <v>55</v>
      </c>
      <c r="T50" s="496" t="s">
        <v>332</v>
      </c>
      <c r="U50" s="496" t="s">
        <v>411</v>
      </c>
      <c r="X50" s="496" t="s">
        <v>18</v>
      </c>
      <c r="Y50" s="496" t="s">
        <v>18</v>
      </c>
      <c r="Z50" s="496" t="s">
        <v>242</v>
      </c>
      <c r="AA50" s="496" t="s">
        <v>244</v>
      </c>
      <c r="AE50" s="488"/>
      <c r="AF50" s="496" t="s">
        <v>683</v>
      </c>
      <c r="AG50" s="496"/>
      <c r="AI50" s="497" t="s">
        <v>684</v>
      </c>
      <c r="AJ50" s="497"/>
      <c r="AK50" s="497"/>
      <c r="AM50" s="497" t="s">
        <v>685</v>
      </c>
      <c r="AN50" s="497"/>
      <c r="AO50" s="497"/>
      <c r="AQ50" s="497" t="s">
        <v>686</v>
      </c>
      <c r="AR50" s="497"/>
      <c r="AS50" s="497"/>
    </row>
    <row r="51" spans="1:48" x14ac:dyDescent="0.2">
      <c r="A51" s="498" t="str">
        <f>A15</f>
        <v>Ending 9/30</v>
      </c>
      <c r="C51" s="498" t="s">
        <v>90</v>
      </c>
      <c r="E51" s="498" t="str">
        <f>ctxt</f>
        <v>4/30/19</v>
      </c>
      <c r="G51" s="498" t="s">
        <v>338</v>
      </c>
      <c r="I51" s="498" t="s">
        <v>8</v>
      </c>
      <c r="K51" s="498" t="s">
        <v>6</v>
      </c>
      <c r="M51" s="498" t="s">
        <v>349</v>
      </c>
      <c r="O51" s="498" t="s">
        <v>409</v>
      </c>
      <c r="P51" s="498" t="s">
        <v>93</v>
      </c>
      <c r="Q51" s="665" t="s">
        <v>245</v>
      </c>
      <c r="R51" s="498" t="s">
        <v>74</v>
      </c>
      <c r="S51" s="498" t="s">
        <v>672</v>
      </c>
      <c r="T51" s="498" t="s">
        <v>191</v>
      </c>
      <c r="U51" s="498" t="s">
        <v>412</v>
      </c>
      <c r="V51" s="498" t="s">
        <v>475</v>
      </c>
      <c r="X51" s="498" t="s">
        <v>673</v>
      </c>
      <c r="Y51" s="498" t="s">
        <v>93</v>
      </c>
      <c r="Z51" s="498" t="s">
        <v>71</v>
      </c>
      <c r="AA51" s="498" t="s">
        <v>71</v>
      </c>
      <c r="AB51" s="498" t="s">
        <v>504</v>
      </c>
      <c r="AC51" s="498" t="s">
        <v>674</v>
      </c>
      <c r="AD51" s="498" t="s">
        <v>475</v>
      </c>
      <c r="AE51" s="488"/>
      <c r="AF51" s="498" t="s">
        <v>191</v>
      </c>
      <c r="AG51" s="498" t="s">
        <v>475</v>
      </c>
      <c r="AI51" s="499" t="str">
        <f>ptxt</f>
        <v>10/31/18</v>
      </c>
      <c r="AJ51" s="499" t="str">
        <f>ctxt</f>
        <v>4/30/19</v>
      </c>
      <c r="AK51" s="499" t="str">
        <f>pr_to_curr</f>
        <v>10/18-4/19</v>
      </c>
      <c r="AM51" s="499" t="s">
        <v>74</v>
      </c>
      <c r="AN51" s="499" t="s">
        <v>191</v>
      </c>
      <c r="AO51" s="499" t="s">
        <v>475</v>
      </c>
      <c r="AQ51" s="523">
        <v>250000</v>
      </c>
      <c r="AR51" s="523">
        <v>350000</v>
      </c>
      <c r="AS51" s="523">
        <v>500000</v>
      </c>
    </row>
    <row r="52" spans="1:48" x14ac:dyDescent="0.2">
      <c r="E52" s="500">
        <v>1</v>
      </c>
      <c r="G52" s="500">
        <f>E52+1</f>
        <v>2</v>
      </c>
      <c r="I52" s="500">
        <f>G52+1</f>
        <v>3</v>
      </c>
      <c r="K52" s="500">
        <f>I52+1</f>
        <v>4</v>
      </c>
      <c r="M52" s="500">
        <f>K52+1</f>
        <v>5</v>
      </c>
      <c r="Q52" s="666"/>
      <c r="X52" s="490"/>
      <c r="AE52" s="488"/>
    </row>
    <row r="53" spans="1:48" x14ac:dyDescent="0.2">
      <c r="E53" s="500"/>
      <c r="G53" s="500"/>
      <c r="I53" s="500"/>
      <c r="K53" s="500"/>
      <c r="M53" s="500"/>
      <c r="Q53" s="666"/>
      <c r="X53" s="490"/>
      <c r="AE53" s="488"/>
    </row>
    <row r="54" spans="1:48" x14ac:dyDescent="0.2">
      <c r="A54" s="493">
        <f>A18</f>
        <v>1996</v>
      </c>
      <c r="C54" s="527">
        <f>Intro!H18</f>
        <v>250000</v>
      </c>
      <c r="E54" s="501">
        <f>'e7'!O16</f>
        <v>683326</v>
      </c>
      <c r="G54" s="502">
        <f ca="1">[1]!ldfsir(ldfs, ldf_ages, ldf_type, ldf_ret, Intro!$AA18, "Rept", $C54, cutoff, 3)</f>
        <v>1.0039974324262859</v>
      </c>
      <c r="I54" s="501">
        <f t="shared" ref="I54" ca="1" si="37">G54*E54</f>
        <v>686057.54951012426</v>
      </c>
      <c r="K54" s="501">
        <f>K18</f>
        <v>51718.748</v>
      </c>
      <c r="M54" s="503">
        <f t="shared" ref="M54:M79" ca="1" si="38">I54/K54</f>
        <v>13.265161591114392</v>
      </c>
      <c r="O54" s="504">
        <f ca="1">'e3.2B'!I54</f>
        <v>689046.71734513121</v>
      </c>
      <c r="P54" s="505">
        <f t="shared" ref="P54" ca="1" si="39">O54/I54</f>
        <v>1.0043570219978504</v>
      </c>
      <c r="Q54" s="685">
        <f t="shared" ref="Q54:Q73" si="40">INDEX($AQ54:$AS54, , MATCH($C54, $AQ$51:$AS$51, 0))</f>
        <v>683326</v>
      </c>
      <c r="R54" s="528">
        <f>'e7'!$M16</f>
        <v>0</v>
      </c>
      <c r="S54" s="364">
        <v>0</v>
      </c>
      <c r="T54" s="504">
        <f t="shared" ref="T54:T61" si="41">Q54-E54</f>
        <v>0</v>
      </c>
      <c r="U54" s="504" t="str">
        <f t="shared" ref="U54:U61" si="42">IFERROR(T54/S54, "")</f>
        <v/>
      </c>
      <c r="V54" s="504" t="b">
        <f t="shared" ref="V54:V61" si="43">IF(OR(S54=0,R54=0),T54=0,T54&gt;0)</f>
        <v>1</v>
      </c>
      <c r="X54" s="511">
        <v>683326</v>
      </c>
      <c r="Y54" s="361">
        <v>683326</v>
      </c>
      <c r="Z54" s="504">
        <f t="shared" ref="Z54" si="44">E54-Y54</f>
        <v>0</v>
      </c>
      <c r="AA54" s="507">
        <f t="shared" ref="AA54" si="45">AK54*(X54-Y54)</f>
        <v>0</v>
      </c>
      <c r="AB54" s="504">
        <f>Z54-AA54</f>
        <v>0</v>
      </c>
      <c r="AC54" s="507">
        <f t="shared" ref="AC54" si="46">Q54-X54</f>
        <v>0</v>
      </c>
      <c r="AD54" s="493" t="b">
        <f t="shared" ref="AD54" si="47">IF(AB54&lt;=0,AC54&lt;=0,AC54&gt;=0)</f>
        <v>1</v>
      </c>
      <c r="AE54" s="488"/>
      <c r="AF54" s="507"/>
      <c r="AG54" s="507"/>
      <c r="AI54" s="509">
        <f>1 / [1]!ldfsir(prldfs, prldf_ages, prldf_type, prldf_ret, Intro!Y18, "Rept", $C54, prldf_cutoff, 3)</f>
        <v>0.99601848341720789</v>
      </c>
      <c r="AJ54" s="509">
        <f>1 / [1]!ldfsir(prldfs, prldf_ages, prldf_type, prldf_ret, Intro!AA18, "Rept", $C54, prldf_cutoff, 3)</f>
        <v>0.99601848341720789</v>
      </c>
      <c r="AK54" s="509">
        <f>(AJ54-AI54)/(1-AI54)</f>
        <v>0</v>
      </c>
      <c r="AM54" s="504">
        <f>'e3.1A'!R90 - R54</f>
        <v>0</v>
      </c>
      <c r="AN54" s="504">
        <f>'e3.1A'!T90 - T54</f>
        <v>0</v>
      </c>
      <c r="AO54" s="488" t="b">
        <f>IF(AM54=0,AN54=0,AN54&gt;0)</f>
        <v>1</v>
      </c>
      <c r="AQ54" s="247">
        <f>'e3.1A'!Q18</f>
        <v>683326</v>
      </c>
      <c r="AR54" s="504">
        <f>'e3.1A'!Q54</f>
        <v>783326</v>
      </c>
      <c r="AS54" s="504">
        <f>'e3.1A'!Q90</f>
        <v>824780.2</v>
      </c>
      <c r="AU54" s="488" t="b">
        <f t="shared" ref="AU54:AV75" si="48">AR54&gt;=AQ54</f>
        <v>1</v>
      </c>
      <c r="AV54" s="488" t="b">
        <f t="shared" si="48"/>
        <v>1</v>
      </c>
    </row>
    <row r="55" spans="1:48" x14ac:dyDescent="0.2">
      <c r="A55" s="493">
        <f t="shared" ref="A55:A77" si="49">A19</f>
        <v>1997</v>
      </c>
      <c r="C55" s="518">
        <f>Intro!H19</f>
        <v>250000</v>
      </c>
      <c r="E55" s="507">
        <f>'e7'!O17</f>
        <v>1337604</v>
      </c>
      <c r="G55" s="502">
        <f ca="1">[1]!ldfsir(ldfs, ldf_ages, ldf_type, ldf_ret, Intro!$AA19, "Rept", $C55, cutoff, 3)</f>
        <v>1.0047068848450238</v>
      </c>
      <c r="I55" s="507">
        <f t="shared" ref="I55:I77" ca="1" si="50">G55*E55</f>
        <v>1343899.9479962431</v>
      </c>
      <c r="K55" s="507">
        <f t="shared" ref="K55:K77" si="51">K19</f>
        <v>71279.833180000031</v>
      </c>
      <c r="M55" s="510">
        <f t="shared" ref="M55:M77" ca="1" si="52">I55/K55</f>
        <v>18.853859332169701</v>
      </c>
      <c r="O55" s="504">
        <f ca="1">'e3.2B'!I55</f>
        <v>1350932.1730051334</v>
      </c>
      <c r="P55" s="505">
        <f t="shared" ref="P55:P77" ca="1" si="53">O55/I55</f>
        <v>1.0052326998147261</v>
      </c>
      <c r="Q55" s="685">
        <f t="shared" si="40"/>
        <v>1337604</v>
      </c>
      <c r="R55" s="528">
        <f>'e7'!$M17</f>
        <v>0</v>
      </c>
      <c r="S55" s="364">
        <v>0</v>
      </c>
      <c r="T55" s="504">
        <f t="shared" si="41"/>
        <v>0</v>
      </c>
      <c r="U55" s="504" t="str">
        <f t="shared" si="42"/>
        <v/>
      </c>
      <c r="V55" s="504" t="b">
        <f t="shared" si="43"/>
        <v>1</v>
      </c>
      <c r="X55" s="511">
        <v>1337604</v>
      </c>
      <c r="Y55" s="361">
        <v>1337604</v>
      </c>
      <c r="Z55" s="504">
        <f t="shared" ref="Z55:Z77" si="54">E55-Y55</f>
        <v>0</v>
      </c>
      <c r="AA55" s="507">
        <f t="shared" ref="AA55:AA77" si="55">AK55*(X55-Y55)</f>
        <v>0</v>
      </c>
      <c r="AB55" s="504">
        <f t="shared" ref="AB55:AB77" si="56">Z55-AA55</f>
        <v>0</v>
      </c>
      <c r="AC55" s="507">
        <f t="shared" ref="AC55:AC77" si="57">Q55-X55</f>
        <v>0</v>
      </c>
      <c r="AD55" s="493" t="b">
        <f t="shared" ref="AD55:AD77" si="58">IF(AB55&lt;=0,AC55&lt;=0,AC55&gt;=0)</f>
        <v>1</v>
      </c>
      <c r="AE55" s="488"/>
      <c r="AF55" s="507"/>
      <c r="AG55" s="507"/>
      <c r="AI55" s="509">
        <f>1 / [1]!ldfsir(prldfs, prldf_ages, prldf_type, prldf_ret, Intro!Y19, "Rept", $C55, prldf_cutoff, 3)</f>
        <v>0.99531516612852733</v>
      </c>
      <c r="AJ55" s="509">
        <f>1 / [1]!ldfsir(prldfs, prldf_ages, prldf_type, prldf_ret, Intro!AA19, "Rept", $C55, prldf_cutoff, 3)</f>
        <v>0.99531516612852733</v>
      </c>
      <c r="AK55" s="509">
        <f t="shared" ref="AK55:AK77" si="59">(AJ55-AI55)/(1-AI55)</f>
        <v>0</v>
      </c>
      <c r="AM55" s="504">
        <f>'e3.1A'!R91 - R55</f>
        <v>0</v>
      </c>
      <c r="AN55" s="504">
        <f>'e3.1A'!T91 - T55</f>
        <v>0</v>
      </c>
      <c r="AO55" s="488" t="b">
        <f t="shared" ref="AO55:AO77" si="60">IF(AM55=0,AN55=0,AN55&gt;0)</f>
        <v>1</v>
      </c>
      <c r="AQ55" s="247">
        <f>'e3.1A'!Q19</f>
        <v>1337604</v>
      </c>
      <c r="AR55" s="504">
        <f>'e3.1A'!Q55</f>
        <v>1450545</v>
      </c>
      <c r="AS55" s="504">
        <f>'e3.1A'!Q91</f>
        <v>1506771</v>
      </c>
      <c r="AU55" s="488" t="b">
        <f t="shared" si="48"/>
        <v>1</v>
      </c>
      <c r="AV55" s="488" t="b">
        <f t="shared" si="48"/>
        <v>1</v>
      </c>
    </row>
    <row r="56" spans="1:48" x14ac:dyDescent="0.2">
      <c r="A56" s="493">
        <f t="shared" si="49"/>
        <v>1998</v>
      </c>
      <c r="C56" s="518">
        <f>Intro!H20</f>
        <v>250000</v>
      </c>
      <c r="E56" s="507">
        <f>'e7'!O18</f>
        <v>2593680.7199999997</v>
      </c>
      <c r="G56" s="502">
        <f ca="1">[1]!ldfsir(ldfs, ldf_ages, ldf_type, ldf_ret, Intro!$AA20, "Rept", $C56, cutoff, 3)</f>
        <v>1.0055425959161362</v>
      </c>
      <c r="I56" s="507">
        <f t="shared" ca="1" si="50"/>
        <v>2608056.4441664326</v>
      </c>
      <c r="K56" s="507">
        <f t="shared" si="51"/>
        <v>90725.935539999991</v>
      </c>
      <c r="M56" s="510">
        <f t="shared" ca="1" si="52"/>
        <v>28.746536793953162</v>
      </c>
      <c r="O56" s="504">
        <f ca="1">'e3.2B'!I56</f>
        <v>2615615.8412902113</v>
      </c>
      <c r="P56" s="505">
        <f t="shared" ca="1" si="53"/>
        <v>1.0028984791110205</v>
      </c>
      <c r="Q56" s="685">
        <f t="shared" ca="1" si="40"/>
        <v>2608056.4441664326</v>
      </c>
      <c r="R56" s="528">
        <f>'e7'!$M18</f>
        <v>8725.5499999998137</v>
      </c>
      <c r="S56" s="364">
        <v>1</v>
      </c>
      <c r="T56" s="504">
        <f t="shared" ca="1" si="41"/>
        <v>14375.724166432861</v>
      </c>
      <c r="U56" s="504">
        <f t="shared" ca="1" si="42"/>
        <v>14375.724166432861</v>
      </c>
      <c r="V56" s="504" t="b">
        <f t="shared" ca="1" si="43"/>
        <v>1</v>
      </c>
      <c r="X56" s="511">
        <v>2608056.4441664326</v>
      </c>
      <c r="Y56" s="361">
        <v>2593680.7199999997</v>
      </c>
      <c r="Z56" s="504">
        <f t="shared" si="54"/>
        <v>0</v>
      </c>
      <c r="AA56" s="507">
        <f t="shared" si="55"/>
        <v>0</v>
      </c>
      <c r="AB56" s="504">
        <f t="shared" si="56"/>
        <v>0</v>
      </c>
      <c r="AC56" s="507">
        <f t="shared" ca="1" si="57"/>
        <v>0</v>
      </c>
      <c r="AD56" s="493" t="b">
        <f t="shared" ca="1" si="58"/>
        <v>1</v>
      </c>
      <c r="AE56" s="488"/>
      <c r="AF56" s="507"/>
      <c r="AG56" s="507"/>
      <c r="AI56" s="509">
        <f>1 / [1]!ldfsir(prldfs, prldf_ages, prldf_type, prldf_ret, Intro!Y20, "Rept", $C56, prldf_cutoff, 3)</f>
        <v>0.99448795512129806</v>
      </c>
      <c r="AJ56" s="509">
        <f>1 / [1]!ldfsir(prldfs, prldf_ages, prldf_type, prldf_ret, Intro!AA20, "Rept", $C56, prldf_cutoff, 3)</f>
        <v>0.99448795512129806</v>
      </c>
      <c r="AK56" s="509">
        <f t="shared" si="59"/>
        <v>0</v>
      </c>
      <c r="AM56" s="504">
        <f>'e3.1A'!R92 - R56</f>
        <v>0</v>
      </c>
      <c r="AN56" s="504">
        <f ca="1">'e3.1A'!T92 - T56</f>
        <v>0</v>
      </c>
      <c r="AO56" s="488" t="b">
        <f t="shared" ca="1" si="60"/>
        <v>1</v>
      </c>
      <c r="AQ56" s="247">
        <f ca="1">'e3.1A'!Q20</f>
        <v>2608056.4441664326</v>
      </c>
      <c r="AR56" s="504">
        <f ca="1">'e3.1A'!Q56</f>
        <v>2708056.4441664326</v>
      </c>
      <c r="AS56" s="504">
        <f ca="1">'e3.1A'!Q92</f>
        <v>2757961.4441664326</v>
      </c>
      <c r="AU56" s="488" t="b">
        <f t="shared" ca="1" si="48"/>
        <v>1</v>
      </c>
      <c r="AV56" s="488" t="b">
        <f t="shared" ca="1" si="48"/>
        <v>1</v>
      </c>
    </row>
    <row r="57" spans="1:48" x14ac:dyDescent="0.2">
      <c r="A57" s="493">
        <f t="shared" si="49"/>
        <v>1999</v>
      </c>
      <c r="C57" s="518">
        <f>Intro!H21</f>
        <v>250000</v>
      </c>
      <c r="E57" s="507">
        <f>'e7'!O19</f>
        <v>2640381.7999999998</v>
      </c>
      <c r="G57" s="502">
        <f ca="1">[1]!ldfsir(ldfs, ldf_ages, ldf_type, ldf_ret, Intro!$AA21, "Rept", $C57, cutoff, 3)</f>
        <v>1.0065271694685793</v>
      </c>
      <c r="I57" s="507">
        <f t="shared" ca="1" si="50"/>
        <v>2657616.0194703522</v>
      </c>
      <c r="K57" s="507">
        <f t="shared" si="51"/>
        <v>115828.16377000001</v>
      </c>
      <c r="M57" s="510">
        <f t="shared" ca="1" si="52"/>
        <v>22.944471646356931</v>
      </c>
      <c r="O57" s="504">
        <f ca="1">'e3.2B'!I57</f>
        <v>2584845.7901977873</v>
      </c>
      <c r="P57" s="505">
        <f t="shared" ca="1" si="53"/>
        <v>0.97261823049701979</v>
      </c>
      <c r="Q57" s="685">
        <f t="shared" ca="1" si="40"/>
        <v>2657616.0194703522</v>
      </c>
      <c r="R57" s="528">
        <f>'e7'!$M19</f>
        <v>91530.509999999776</v>
      </c>
      <c r="S57" s="364">
        <v>2</v>
      </c>
      <c r="T57" s="504">
        <f t="shared" ca="1" si="41"/>
        <v>17234.2194703524</v>
      </c>
      <c r="U57" s="504">
        <f t="shared" ca="1" si="42"/>
        <v>8617.1097351762</v>
      </c>
      <c r="V57" s="504" t="b">
        <f t="shared" ca="1" si="43"/>
        <v>1</v>
      </c>
      <c r="X57" s="511">
        <v>2657616.0194703522</v>
      </c>
      <c r="Y57" s="361">
        <v>2640381.7999999998</v>
      </c>
      <c r="Z57" s="504">
        <f t="shared" si="54"/>
        <v>0</v>
      </c>
      <c r="AA57" s="507">
        <f t="shared" si="55"/>
        <v>0</v>
      </c>
      <c r="AB57" s="504">
        <f t="shared" si="56"/>
        <v>0</v>
      </c>
      <c r="AC57" s="507">
        <f t="shared" ca="1" si="57"/>
        <v>0</v>
      </c>
      <c r="AD57" s="493" t="b">
        <f t="shared" ca="1" si="58"/>
        <v>1</v>
      </c>
      <c r="AE57" s="488"/>
      <c r="AF57" s="507"/>
      <c r="AG57" s="507"/>
      <c r="AI57" s="509">
        <f>1 / [1]!ldfsir(prldfs, prldf_ages, prldf_type, prldf_ret, Intro!Y21, "Rept", $C57, prldf_cutoff, 3)</f>
        <v>0.99351515819287273</v>
      </c>
      <c r="AJ57" s="509">
        <f>1 / [1]!ldfsir(prldfs, prldf_ages, prldf_type, prldf_ret, Intro!AA21, "Rept", $C57, prldf_cutoff, 3)</f>
        <v>0.99351515819287273</v>
      </c>
      <c r="AK57" s="509">
        <f t="shared" si="59"/>
        <v>0</v>
      </c>
      <c r="AM57" s="504">
        <f>'e3.1A'!R93 - R57</f>
        <v>0</v>
      </c>
      <c r="AN57" s="504">
        <f ca="1">'e3.1A'!T93 - T57</f>
        <v>0</v>
      </c>
      <c r="AO57" s="488" t="b">
        <f t="shared" ca="1" si="60"/>
        <v>1</v>
      </c>
      <c r="AQ57" s="247">
        <f ca="1">'e3.1A'!Q21</f>
        <v>2657616.0194703522</v>
      </c>
      <c r="AR57" s="504">
        <f ca="1">'e3.1A'!Q57</f>
        <v>3057616.0194703522</v>
      </c>
      <c r="AS57" s="504">
        <f ca="1">'e3.1A'!Q93</f>
        <v>3427749.0194703522</v>
      </c>
      <c r="AU57" s="488" t="b">
        <f t="shared" ca="1" si="48"/>
        <v>1</v>
      </c>
      <c r="AV57" s="488" t="b">
        <f t="shared" ca="1" si="48"/>
        <v>1</v>
      </c>
    </row>
    <row r="58" spans="1:48" x14ac:dyDescent="0.2">
      <c r="A58" s="493">
        <f t="shared" si="49"/>
        <v>2000</v>
      </c>
      <c r="C58" s="518">
        <f>Intro!H22</f>
        <v>250000</v>
      </c>
      <c r="E58" s="507">
        <f>'e7'!O20</f>
        <v>2370485.2200000002</v>
      </c>
      <c r="G58" s="502">
        <f ca="1">[1]!ldfsir(ldfs, ldf_ages, ldf_type, ldf_ret, Intro!$AA22, "Rept", $C58, cutoff, 3)</f>
        <v>1.00768730779243</v>
      </c>
      <c r="I58" s="507">
        <f t="shared" ca="1" si="50"/>
        <v>2388707.8695035465</v>
      </c>
      <c r="K58" s="507">
        <f t="shared" si="51"/>
        <v>86853.122530000022</v>
      </c>
      <c r="M58" s="510">
        <f t="shared" ca="1" si="52"/>
        <v>27.502843880811085</v>
      </c>
      <c r="O58" s="504">
        <f ca="1">'e3.2B'!I58</f>
        <v>2353207.1661252072</v>
      </c>
      <c r="P58" s="505">
        <f t="shared" ca="1" si="53"/>
        <v>0.98513811427861309</v>
      </c>
      <c r="Q58" s="685">
        <f t="shared" ca="1" si="40"/>
        <v>2388707.8695035465</v>
      </c>
      <c r="R58" s="528">
        <f>'e7'!$M20</f>
        <v>56197.280000000261</v>
      </c>
      <c r="S58" s="364">
        <v>4</v>
      </c>
      <c r="T58" s="504">
        <f t="shared" ca="1" si="41"/>
        <v>18222.649503546301</v>
      </c>
      <c r="U58" s="504">
        <f t="shared" ca="1" si="42"/>
        <v>4555.6623758865753</v>
      </c>
      <c r="V58" s="504" t="b">
        <f t="shared" ca="1" si="43"/>
        <v>1</v>
      </c>
      <c r="X58" s="511">
        <v>2388707.8695035465</v>
      </c>
      <c r="Y58" s="361">
        <v>2370485.2200000002</v>
      </c>
      <c r="Z58" s="504">
        <f t="shared" si="54"/>
        <v>0</v>
      </c>
      <c r="AA58" s="507">
        <f t="shared" si="55"/>
        <v>0</v>
      </c>
      <c r="AB58" s="504">
        <f t="shared" si="56"/>
        <v>0</v>
      </c>
      <c r="AC58" s="507">
        <f t="shared" ca="1" si="57"/>
        <v>0</v>
      </c>
      <c r="AD58" s="493" t="b">
        <f t="shared" ca="1" si="58"/>
        <v>1</v>
      </c>
      <c r="AE58" s="488"/>
      <c r="AF58" s="507"/>
      <c r="AG58" s="507"/>
      <c r="AI58" s="509">
        <f>1 / [1]!ldfsir(prldfs, prldf_ages, prldf_type, prldf_ret, Intro!Y22, "Rept", $C58, prldf_cutoff, 3)</f>
        <v>0.99237133609505235</v>
      </c>
      <c r="AJ58" s="509">
        <f>1 / [1]!ldfsir(prldfs, prldf_ages, prldf_type, prldf_ret, Intro!AA22, "Rept", $C58, prldf_cutoff, 3)</f>
        <v>0.99237133609505235</v>
      </c>
      <c r="AK58" s="509">
        <f t="shared" si="59"/>
        <v>0</v>
      </c>
      <c r="AM58" s="504">
        <f>'e3.1A'!R94 - R58</f>
        <v>55909.720000000205</v>
      </c>
      <c r="AN58" s="504">
        <f ca="1">'e3.1A'!T94 - T58</f>
        <v>12777.764722577296</v>
      </c>
      <c r="AO58" s="488" t="b">
        <f t="shared" ca="1" si="60"/>
        <v>1</v>
      </c>
      <c r="AQ58" s="247">
        <f ca="1">'e3.1A'!Q22</f>
        <v>2388707.8695035465</v>
      </c>
      <c r="AR58" s="504">
        <f ca="1">'e3.1A'!Q58</f>
        <v>2573406.8442261238</v>
      </c>
      <c r="AS58" s="504">
        <f ca="1">'e3.1A'!Q94</f>
        <v>2723406.8442261238</v>
      </c>
      <c r="AU58" s="488" t="b">
        <f t="shared" ca="1" si="48"/>
        <v>1</v>
      </c>
      <c r="AV58" s="488" t="b">
        <f t="shared" ca="1" si="48"/>
        <v>1</v>
      </c>
    </row>
    <row r="59" spans="1:48" x14ac:dyDescent="0.2">
      <c r="A59" s="493">
        <f t="shared" si="49"/>
        <v>2001</v>
      </c>
      <c r="C59" s="518">
        <f>Intro!H23</f>
        <v>250000</v>
      </c>
      <c r="E59" s="507">
        <f>'e7'!O21</f>
        <v>1349446.97</v>
      </c>
      <c r="G59" s="502">
        <f ca="1">[1]!ldfsir(ldfs, ldf_ages, ldf_type, ldf_ret, Intro!$AA23, "Rept", $C59, cutoff, 3)</f>
        <v>1.0090545746999535</v>
      </c>
      <c r="I59" s="507">
        <f t="shared" ca="1" si="50"/>
        <v>1361665.6383934908</v>
      </c>
      <c r="K59" s="507">
        <f t="shared" si="51"/>
        <v>91838.194909999977</v>
      </c>
      <c r="M59" s="510">
        <f t="shared" ca="1" si="52"/>
        <v>14.826790092378255</v>
      </c>
      <c r="O59" s="504">
        <f ca="1">'e3.2B'!I59</f>
        <v>1376376.3000446835</v>
      </c>
      <c r="P59" s="505">
        <f t="shared" ca="1" si="53"/>
        <v>1.0108034316475434</v>
      </c>
      <c r="Q59" s="685">
        <f t="shared" ca="1" si="40"/>
        <v>1361665.6383934908</v>
      </c>
      <c r="R59" s="528">
        <f>'e7'!$M21</f>
        <v>100</v>
      </c>
      <c r="S59" s="364">
        <v>1</v>
      </c>
      <c r="T59" s="504">
        <f t="shared" ca="1" si="41"/>
        <v>12218.668393490836</v>
      </c>
      <c r="U59" s="504">
        <f t="shared" ca="1" si="42"/>
        <v>12218.668393490836</v>
      </c>
      <c r="V59" s="504" t="b">
        <f t="shared" ca="1" si="43"/>
        <v>1</v>
      </c>
      <c r="X59" s="511">
        <v>1361665.6383934908</v>
      </c>
      <c r="Y59" s="361">
        <v>1349446.97</v>
      </c>
      <c r="Z59" s="504">
        <f t="shared" si="54"/>
        <v>0</v>
      </c>
      <c r="AA59" s="507">
        <f t="shared" si="55"/>
        <v>0</v>
      </c>
      <c r="AB59" s="504">
        <f t="shared" si="56"/>
        <v>0</v>
      </c>
      <c r="AC59" s="507">
        <f t="shared" ca="1" si="57"/>
        <v>0</v>
      </c>
      <c r="AD59" s="493" t="b">
        <f t="shared" ca="1" si="58"/>
        <v>1</v>
      </c>
      <c r="AE59" s="488"/>
      <c r="AF59" s="507"/>
      <c r="AG59" s="507"/>
      <c r="AI59" s="509">
        <f>1 / [1]!ldfsir(prldfs, prldf_ages, prldf_type, prldf_ret, Intro!Y23, "Rept", $C59, prldf_cutoff, 3)</f>
        <v>0.99102667494209029</v>
      </c>
      <c r="AJ59" s="509">
        <f>1 / [1]!ldfsir(prldfs, prldf_ages, prldf_type, prldf_ret, Intro!AA23, "Rept", $C59, prldf_cutoff, 3)</f>
        <v>0.99102667494209029</v>
      </c>
      <c r="AK59" s="509">
        <f t="shared" si="59"/>
        <v>0</v>
      </c>
      <c r="AM59" s="504">
        <f>'e3.1A'!R95 - R59</f>
        <v>0</v>
      </c>
      <c r="AN59" s="504">
        <f ca="1">'e3.1A'!T95 - T59</f>
        <v>0</v>
      </c>
      <c r="AO59" s="488" t="b">
        <f t="shared" ca="1" si="60"/>
        <v>1</v>
      </c>
      <c r="AQ59" s="247">
        <f ca="1">'e3.1A'!Q23</f>
        <v>1361665.6383934908</v>
      </c>
      <c r="AR59" s="504">
        <f ca="1">'e3.1A'!Q59</f>
        <v>1461665.6383934908</v>
      </c>
      <c r="AS59" s="504">
        <f ca="1">'e3.1A'!Q95</f>
        <v>1611665.6383934908</v>
      </c>
      <c r="AU59" s="488" t="b">
        <f t="shared" ca="1" si="48"/>
        <v>1</v>
      </c>
      <c r="AV59" s="488" t="b">
        <f t="shared" ca="1" si="48"/>
        <v>1</v>
      </c>
    </row>
    <row r="60" spans="1:48" x14ac:dyDescent="0.2">
      <c r="A60" s="493">
        <f t="shared" si="49"/>
        <v>2002</v>
      </c>
      <c r="C60" s="518">
        <f>Intro!H24</f>
        <v>250000</v>
      </c>
      <c r="E60" s="507">
        <f>'e7'!O22</f>
        <v>2954508.65</v>
      </c>
      <c r="G60" s="502">
        <f ca="1">[1]!ldfsir(ldfs, ldf_ages, ldf_type, ldf_ret, Intro!$AA24, "Rept", $C60, cutoff, 3)</f>
        <v>1.0106853717104405</v>
      </c>
      <c r="I60" s="507">
        <f t="shared" ca="1" si="50"/>
        <v>2986078.6731469617</v>
      </c>
      <c r="K60" s="507">
        <f t="shared" si="51"/>
        <v>86098.134999999995</v>
      </c>
      <c r="M60" s="510">
        <f t="shared" ca="1" si="52"/>
        <v>34.682268938194326</v>
      </c>
      <c r="O60" s="504">
        <f ca="1">'e3.2B'!I60</f>
        <v>2827034.3518026657</v>
      </c>
      <c r="P60" s="505">
        <f t="shared" ca="1" si="53"/>
        <v>0.94673806729389254</v>
      </c>
      <c r="Q60" s="685">
        <f t="shared" ca="1" si="40"/>
        <v>2986078.6731469617</v>
      </c>
      <c r="R60" s="528">
        <f>'e7'!$M22</f>
        <v>193375.66000000015</v>
      </c>
      <c r="S60" s="364">
        <v>3</v>
      </c>
      <c r="T60" s="504">
        <f t="shared" ca="1" si="41"/>
        <v>31570.023146961816</v>
      </c>
      <c r="U60" s="504">
        <f t="shared" ca="1" si="42"/>
        <v>10523.341048987271</v>
      </c>
      <c r="V60" s="504" t="b">
        <f t="shared" ca="1" si="43"/>
        <v>1</v>
      </c>
      <c r="X60" s="511">
        <v>2986078.6731469617</v>
      </c>
      <c r="Y60" s="361">
        <v>2954508.65</v>
      </c>
      <c r="Z60" s="504">
        <f t="shared" si="54"/>
        <v>0</v>
      </c>
      <c r="AA60" s="507">
        <f t="shared" si="55"/>
        <v>0</v>
      </c>
      <c r="AB60" s="504">
        <f t="shared" si="56"/>
        <v>0</v>
      </c>
      <c r="AC60" s="507">
        <f t="shared" ca="1" si="57"/>
        <v>0</v>
      </c>
      <c r="AD60" s="493" t="b">
        <f t="shared" ca="1" si="58"/>
        <v>1</v>
      </c>
      <c r="AE60" s="488"/>
      <c r="AF60" s="507"/>
      <c r="AG60" s="507"/>
      <c r="AI60" s="509">
        <f>1 / [1]!ldfsir(prldfs, prldf_ages, prldf_type, prldf_ret, Intro!Y24, "Rept", $C60, prldf_cutoff, 3)</f>
        <v>0.98942759833126204</v>
      </c>
      <c r="AJ60" s="509">
        <f>1 / [1]!ldfsir(prldfs, prldf_ages, prldf_type, prldf_ret, Intro!AA24, "Rept", $C60, prldf_cutoff, 3)</f>
        <v>0.98942759833126204</v>
      </c>
      <c r="AK60" s="509">
        <f t="shared" si="59"/>
        <v>0</v>
      </c>
      <c r="AM60" s="504">
        <f>'e3.1A'!R96 - R60</f>
        <v>361973.26999999955</v>
      </c>
      <c r="AN60" s="504">
        <f ca="1">'e3.1A'!T96 - T60</f>
        <v>64501.809912311845</v>
      </c>
      <c r="AO60" s="488" t="b">
        <f t="shared" ca="1" si="60"/>
        <v>1</v>
      </c>
      <c r="AQ60" s="247">
        <f ca="1">'e3.1A'!Q24</f>
        <v>2986078.6731469617</v>
      </c>
      <c r="AR60" s="504">
        <f ca="1">'e3.1A'!Q60</f>
        <v>3514524.0190217947</v>
      </c>
      <c r="AS60" s="504">
        <f ca="1">'e3.1A'!Q96</f>
        <v>4047066.7530592731</v>
      </c>
      <c r="AU60" s="488" t="b">
        <f t="shared" ca="1" si="48"/>
        <v>1</v>
      </c>
      <c r="AV60" s="488" t="b">
        <f t="shared" ca="1" si="48"/>
        <v>1</v>
      </c>
    </row>
    <row r="61" spans="1:48" x14ac:dyDescent="0.2">
      <c r="A61" s="493">
        <f t="shared" si="49"/>
        <v>2003</v>
      </c>
      <c r="C61" s="518">
        <f>Intro!H25</f>
        <v>250000</v>
      </c>
      <c r="E61" s="507">
        <f>'e7'!O23</f>
        <v>1243025.0200000005</v>
      </c>
      <c r="G61" s="502">
        <f ca="1">[1]!ldfsir(ldfs, ldf_ages, ldf_type, ldf_ret, Intro!$AA25, "Rept", $C61, cutoff, 3)</f>
        <v>1.0086914060019649</v>
      </c>
      <c r="I61" s="507">
        <f t="shared" ca="1" si="50"/>
        <v>1253828.6551194212</v>
      </c>
      <c r="K61" s="507">
        <f t="shared" si="51"/>
        <v>95877.160999999993</v>
      </c>
      <c r="M61" s="510">
        <f t="shared" ca="1" si="52"/>
        <v>13.077448706678135</v>
      </c>
      <c r="O61" s="504">
        <f ca="1">'e3.2B'!I61</f>
        <v>1266858.581296589</v>
      </c>
      <c r="P61" s="505">
        <f t="shared" ca="1" si="53"/>
        <v>1.0103921106954816</v>
      </c>
      <c r="Q61" s="685">
        <f t="shared" si="40"/>
        <v>1243025.0200000005</v>
      </c>
      <c r="R61" s="528">
        <f>'e7'!$M23</f>
        <v>0</v>
      </c>
      <c r="S61" s="361">
        <v>0</v>
      </c>
      <c r="T61" s="504">
        <f t="shared" si="41"/>
        <v>0</v>
      </c>
      <c r="U61" s="504" t="str">
        <f t="shared" si="42"/>
        <v/>
      </c>
      <c r="V61" s="504" t="b">
        <f t="shared" si="43"/>
        <v>1</v>
      </c>
      <c r="X61" s="511">
        <v>1243025.0200000005</v>
      </c>
      <c r="Y61" s="361">
        <v>1243025.0200000005</v>
      </c>
      <c r="Z61" s="504">
        <f t="shared" si="54"/>
        <v>0</v>
      </c>
      <c r="AA61" s="507">
        <f t="shared" si="55"/>
        <v>0</v>
      </c>
      <c r="AB61" s="504">
        <f t="shared" si="56"/>
        <v>0</v>
      </c>
      <c r="AC61" s="507">
        <f t="shared" si="57"/>
        <v>0</v>
      </c>
      <c r="AD61" s="493" t="b">
        <f t="shared" si="58"/>
        <v>1</v>
      </c>
      <c r="AE61" s="488"/>
      <c r="AF61" s="361">
        <v>0</v>
      </c>
      <c r="AG61" s="504" t="b">
        <f t="shared" ref="AG61:AG77" si="61">AF61&gt;=T61</f>
        <v>1</v>
      </c>
      <c r="AI61" s="509">
        <f>1 / [1]!ldfsir(prldfs, prldf_ages, prldf_type, prldf_ret, Intro!Y25, "Rept", $C61, prldf_cutoff, 3)</f>
        <v>0.99065516060169634</v>
      </c>
      <c r="AJ61" s="509">
        <f>1 / [1]!ldfsir(prldfs, prldf_ages, prldf_type, prldf_ret, Intro!AA25, "Rept", $C61, prldf_cutoff, 3)</f>
        <v>0.99138348364004203</v>
      </c>
      <c r="AK61" s="509">
        <f t="shared" si="59"/>
        <v>7.7938529203391213E-2</v>
      </c>
      <c r="AM61" s="504">
        <f>'e3.1A'!R97 - R61</f>
        <v>0</v>
      </c>
      <c r="AN61" s="504">
        <f>'e3.1A'!T97 - T61</f>
        <v>0</v>
      </c>
      <c r="AO61" s="488" t="b">
        <f t="shared" si="60"/>
        <v>1</v>
      </c>
      <c r="AQ61" s="247">
        <f>'e3.1A'!Q25</f>
        <v>1243025.0200000005</v>
      </c>
      <c r="AR61" s="504">
        <f>'e3.1A'!Q61</f>
        <v>1343025.0200000005</v>
      </c>
      <c r="AS61" s="504">
        <f>'e3.1A'!Q97</f>
        <v>1493025.0200000005</v>
      </c>
      <c r="AU61" s="488" t="b">
        <f t="shared" si="48"/>
        <v>1</v>
      </c>
      <c r="AV61" s="488" t="b">
        <f t="shared" si="48"/>
        <v>1</v>
      </c>
    </row>
    <row r="62" spans="1:48" x14ac:dyDescent="0.2">
      <c r="A62" s="493">
        <f t="shared" si="49"/>
        <v>2004</v>
      </c>
      <c r="C62" s="518">
        <f>Intro!H26</f>
        <v>350000</v>
      </c>
      <c r="E62" s="507">
        <f>'e7'!O24</f>
        <v>2385205.2599999993</v>
      </c>
      <c r="G62" s="502">
        <f ca="1">[1]!ldfsir(ldfs, ldf_ages, ldf_type, ldf_ret, Intro!$AA26, "Rept", $C62, cutoff, 3)</f>
        <v>1.0155760385555581</v>
      </c>
      <c r="I62" s="507">
        <f t="shared" ca="1" si="50"/>
        <v>2422357.3090926795</v>
      </c>
      <c r="K62" s="507">
        <f t="shared" si="51"/>
        <v>102137.68700000001</v>
      </c>
      <c r="M62" s="510">
        <f t="shared" ca="1" si="52"/>
        <v>23.716586700193037</v>
      </c>
      <c r="O62" s="504">
        <f ca="1">'e3.2B'!I62</f>
        <v>2438945.1626365809</v>
      </c>
      <c r="P62" s="505">
        <f t="shared" ca="1" si="53"/>
        <v>1.0068478145159001</v>
      </c>
      <c r="Q62" s="685">
        <f t="shared" ca="1" si="40"/>
        <v>2422357.3090926795</v>
      </c>
      <c r="R62" s="528">
        <f>'e7'!$M24</f>
        <v>25955.969999999739</v>
      </c>
      <c r="S62" s="361">
        <v>1</v>
      </c>
      <c r="T62" s="504">
        <f t="shared" ref="T62:T77" ca="1" si="62">Q62-E62</f>
        <v>37152.049092680216</v>
      </c>
      <c r="U62" s="504">
        <f t="shared" ref="U62:U77" ca="1" si="63">IFERROR(T62/S62, "")</f>
        <v>37152.049092680216</v>
      </c>
      <c r="V62" s="504" t="b">
        <f t="shared" ref="V62:V77" ca="1" si="64">IF(OR(S62=0,R62=0),T62=0,T62&gt;0)</f>
        <v>1</v>
      </c>
      <c r="X62" s="511">
        <v>2426486.5821024156</v>
      </c>
      <c r="Y62" s="361">
        <v>2386789.33</v>
      </c>
      <c r="Z62" s="504">
        <f t="shared" si="54"/>
        <v>-1584.0700000007637</v>
      </c>
      <c r="AA62" s="507">
        <f t="shared" si="55"/>
        <v>2481.8717443602654</v>
      </c>
      <c r="AB62" s="504">
        <f t="shared" si="56"/>
        <v>-4065.9417443610291</v>
      </c>
      <c r="AC62" s="507">
        <f t="shared" ca="1" si="57"/>
        <v>-4129.2730097360909</v>
      </c>
      <c r="AD62" s="493" t="b">
        <f t="shared" ca="1" si="58"/>
        <v>1</v>
      </c>
      <c r="AE62" s="488"/>
      <c r="AF62" s="361">
        <v>136208.54</v>
      </c>
      <c r="AG62" s="504" t="b">
        <f t="shared" ca="1" si="61"/>
        <v>1</v>
      </c>
      <c r="AI62" s="509">
        <f>1 / [1]!ldfsir(prldfs, prldf_ages, prldf_type, prldf_ret, Intro!Y26, "Rept", $C62, prldf_cutoff, 3)</f>
        <v>0.98364002818098417</v>
      </c>
      <c r="AJ62" s="509">
        <f>1 / [1]!ldfsir(prldfs, prldf_ages, prldf_type, prldf_ret, Intro!AA26, "Rept", $C62, prldf_cutoff, 3)</f>
        <v>0.98466285343073678</v>
      </c>
      <c r="AK62" s="509">
        <f t="shared" si="59"/>
        <v>6.2519988485783523E-2</v>
      </c>
      <c r="AM62" s="504">
        <f>'e3.1A'!R98 - R62</f>
        <v>114145.42000000039</v>
      </c>
      <c r="AN62" s="504">
        <f ca="1">'e3.1A'!T98 - T62</f>
        <v>103704.11867758166</v>
      </c>
      <c r="AO62" s="488" t="b">
        <f t="shared" ca="1" si="60"/>
        <v>1</v>
      </c>
      <c r="AQ62" s="247">
        <f ca="1">'e3.1A'!Q26</f>
        <v>2005552.8150348195</v>
      </c>
      <c r="AR62" s="504">
        <f ca="1">'e3.1A'!Q62</f>
        <v>2422357.3090926795</v>
      </c>
      <c r="AS62" s="504">
        <f>'e3.1A'!Q98</f>
        <v>2879567.7077702624</v>
      </c>
      <c r="AU62" s="488" t="b">
        <f t="shared" ca="1" si="48"/>
        <v>1</v>
      </c>
      <c r="AV62" s="488" t="b">
        <f t="shared" ca="1" si="48"/>
        <v>1</v>
      </c>
    </row>
    <row r="63" spans="1:48" x14ac:dyDescent="0.2">
      <c r="A63" s="493">
        <f t="shared" si="49"/>
        <v>2005</v>
      </c>
      <c r="C63" s="518">
        <f>Intro!H27</f>
        <v>350000</v>
      </c>
      <c r="E63" s="507">
        <f>'e7'!O25</f>
        <v>699839.89000000025</v>
      </c>
      <c r="G63" s="502">
        <f ca="1">[1]!ldfsir(ldfs, ldf_ages, ldf_type, ldf_ret, Intro!$AA27, "Rept", $C63, cutoff, 3)</f>
        <v>1.0178251829014258</v>
      </c>
      <c r="I63" s="507">
        <f t="shared" ca="1" si="50"/>
        <v>712314.66404096398</v>
      </c>
      <c r="K63" s="507">
        <f t="shared" si="51"/>
        <v>111292.39200000001</v>
      </c>
      <c r="M63" s="510">
        <f t="shared" ca="1" si="52"/>
        <v>6.4003895615880371</v>
      </c>
      <c r="O63" s="504">
        <f ca="1">'e3.2B'!I63</f>
        <v>727382.56424414425</v>
      </c>
      <c r="P63" s="505">
        <f t="shared" ca="1" si="53"/>
        <v>1.0211534325542311</v>
      </c>
      <c r="Q63" s="685">
        <f t="shared" si="40"/>
        <v>699839.89000000025</v>
      </c>
      <c r="R63" s="528">
        <f>'e7'!$M25</f>
        <v>0</v>
      </c>
      <c r="S63" s="361">
        <v>0</v>
      </c>
      <c r="T63" s="504">
        <f t="shared" si="62"/>
        <v>0</v>
      </c>
      <c r="U63" s="504" t="str">
        <f t="shared" si="63"/>
        <v/>
      </c>
      <c r="V63" s="504" t="b">
        <f t="shared" si="64"/>
        <v>1</v>
      </c>
      <c r="X63" s="511">
        <v>699839.89000000025</v>
      </c>
      <c r="Y63" s="361">
        <v>699839.89000000025</v>
      </c>
      <c r="Z63" s="504">
        <f t="shared" si="54"/>
        <v>0</v>
      </c>
      <c r="AA63" s="507">
        <f t="shared" si="55"/>
        <v>0</v>
      </c>
      <c r="AB63" s="504">
        <f t="shared" si="56"/>
        <v>0</v>
      </c>
      <c r="AC63" s="507">
        <f t="shared" si="57"/>
        <v>0</v>
      </c>
      <c r="AD63" s="493" t="b">
        <f t="shared" si="58"/>
        <v>1</v>
      </c>
      <c r="AE63" s="488"/>
      <c r="AF63" s="361">
        <v>0</v>
      </c>
      <c r="AG63" s="504" t="b">
        <f t="shared" si="61"/>
        <v>1</v>
      </c>
      <c r="AI63" s="509">
        <f>1 / [1]!ldfsir(prldfs, prldf_ages, prldf_type, prldf_ret, Intro!Y27, "Rept", $C63, prldf_cutoff, 3)</f>
        <v>0.98124003942996518</v>
      </c>
      <c r="AJ63" s="509">
        <f>1 / [1]!ldfsir(prldfs, prldf_ages, prldf_type, prldf_ret, Intro!AA27, "Rept", $C63, prldf_cutoff, 3)</f>
        <v>0.98248698971014525</v>
      </c>
      <c r="AK63" s="509">
        <f t="shared" si="59"/>
        <v>6.6468704746203852E-2</v>
      </c>
      <c r="AM63" s="504">
        <f>'e3.1A'!R99 - R63</f>
        <v>0</v>
      </c>
      <c r="AN63" s="504">
        <f>'e3.1A'!T99 - T63</f>
        <v>0</v>
      </c>
      <c r="AO63" s="488" t="b">
        <f t="shared" si="60"/>
        <v>1</v>
      </c>
      <c r="AQ63" s="247">
        <f>'e3.1A'!Q27</f>
        <v>699839.89000000025</v>
      </c>
      <c r="AR63" s="504">
        <f>'e3.1A'!Q63</f>
        <v>699839.89000000025</v>
      </c>
      <c r="AS63" s="504">
        <f>'e3.1A'!Q99</f>
        <v>699839.89000000025</v>
      </c>
      <c r="AU63" s="488" t="b">
        <f t="shared" si="48"/>
        <v>1</v>
      </c>
      <c r="AV63" s="488" t="b">
        <f t="shared" si="48"/>
        <v>1</v>
      </c>
    </row>
    <row r="64" spans="1:48" x14ac:dyDescent="0.2">
      <c r="A64" s="493">
        <f t="shared" si="49"/>
        <v>2006</v>
      </c>
      <c r="C64" s="518">
        <f>Intro!H28</f>
        <v>350000</v>
      </c>
      <c r="E64" s="507">
        <f>'e7'!O26</f>
        <v>2005481.3700000008</v>
      </c>
      <c r="G64" s="502">
        <f ca="1">[1]!ldfsir(ldfs, ldf_ages, ldf_type, ldf_ret, Intro!$AA28, "Rept", $C64, cutoff, 3)</f>
        <v>1.0205016212813123</v>
      </c>
      <c r="I64" s="507">
        <f t="shared" ca="1" si="50"/>
        <v>2046596.9895344682</v>
      </c>
      <c r="K64" s="507">
        <f t="shared" si="51"/>
        <v>107756.82399999999</v>
      </c>
      <c r="M64" s="510">
        <f t="shared" ca="1" si="52"/>
        <v>18.992736734097399</v>
      </c>
      <c r="O64" s="504">
        <f ca="1">'e3.2B'!I64</f>
        <v>2097646.3215761879</v>
      </c>
      <c r="P64" s="505">
        <f t="shared" ca="1" si="53"/>
        <v>1.024943519560894</v>
      </c>
      <c r="Q64" s="685">
        <f t="shared" si="40"/>
        <v>2005481.3700000008</v>
      </c>
      <c r="R64" s="528">
        <f>'e7'!$M26</f>
        <v>0</v>
      </c>
      <c r="S64" s="361">
        <v>0</v>
      </c>
      <c r="T64" s="504">
        <f t="shared" si="62"/>
        <v>0</v>
      </c>
      <c r="U64" s="504" t="str">
        <f t="shared" si="63"/>
        <v/>
      </c>
      <c r="V64" s="504" t="b">
        <f t="shared" si="64"/>
        <v>1</v>
      </c>
      <c r="X64" s="511">
        <v>2005481.3700000008</v>
      </c>
      <c r="Y64" s="361">
        <v>2005481.3700000008</v>
      </c>
      <c r="Z64" s="504">
        <f t="shared" si="54"/>
        <v>0</v>
      </c>
      <c r="AA64" s="507">
        <f t="shared" si="55"/>
        <v>0</v>
      </c>
      <c r="AB64" s="504">
        <f t="shared" si="56"/>
        <v>0</v>
      </c>
      <c r="AC64" s="507">
        <f t="shared" si="57"/>
        <v>0</v>
      </c>
      <c r="AD64" s="493" t="b">
        <f t="shared" si="58"/>
        <v>1</v>
      </c>
      <c r="AE64" s="488"/>
      <c r="AF64" s="361">
        <v>0</v>
      </c>
      <c r="AG64" s="504" t="b">
        <f t="shared" si="61"/>
        <v>1</v>
      </c>
      <c r="AI64" s="509">
        <f>1 / [1]!ldfsir(prldfs, prldf_ages, prldf_type, prldf_ret, Intro!Y28, "Rept", $C64, prldf_cutoff, 3)</f>
        <v>0.97848831654643331</v>
      </c>
      <c r="AJ64" s="509">
        <f>1 / [1]!ldfsir(prldfs, prldf_ages, prldf_type, prldf_ret, Intro!AA28, "Rept", $C64, prldf_cutoff, 3)</f>
        <v>0.97991025114142272</v>
      </c>
      <c r="AK64" s="509">
        <f t="shared" si="59"/>
        <v>6.610057265200435E-2</v>
      </c>
      <c r="AM64" s="504">
        <f>'e3.1A'!R100 - R64</f>
        <v>0</v>
      </c>
      <c r="AN64" s="504">
        <f>'e3.1A'!T100 - T64</f>
        <v>0</v>
      </c>
      <c r="AO64" s="488" t="b">
        <f t="shared" si="60"/>
        <v>1</v>
      </c>
      <c r="AQ64" s="247">
        <f>'e3.1A'!Q28</f>
        <v>1775477.7400000007</v>
      </c>
      <c r="AR64" s="504">
        <f>'e3.1A'!Q64</f>
        <v>2005481.3700000008</v>
      </c>
      <c r="AS64" s="504">
        <f>'e3.1A'!Q100</f>
        <v>2229103.2700000005</v>
      </c>
      <c r="AU64" s="488" t="b">
        <f t="shared" si="48"/>
        <v>1</v>
      </c>
      <c r="AV64" s="488" t="b">
        <f t="shared" si="48"/>
        <v>1</v>
      </c>
    </row>
    <row r="65" spans="1:48" x14ac:dyDescent="0.2">
      <c r="A65" s="493">
        <f t="shared" si="49"/>
        <v>2007</v>
      </c>
      <c r="C65" s="518">
        <f>Intro!H29</f>
        <v>350000</v>
      </c>
      <c r="E65" s="507">
        <f>'e7'!O27</f>
        <v>1099670.4199999997</v>
      </c>
      <c r="G65" s="502">
        <f ca="1">[1]!ldfsir(ldfs, ldf_ages, ldf_type, ldf_ret, Intro!$AA29, "Rept", $C65, cutoff, 3)</f>
        <v>1.0235775552606274</v>
      </c>
      <c r="I65" s="507">
        <f t="shared" ca="1" si="50"/>
        <v>1125597.960096027</v>
      </c>
      <c r="K65" s="507">
        <f t="shared" si="51"/>
        <v>104584.102</v>
      </c>
      <c r="M65" s="510">
        <f t="shared" ca="1" si="52"/>
        <v>10.76261055524507</v>
      </c>
      <c r="O65" s="504">
        <f ca="1">'e3.2B'!I65</f>
        <v>1158420.6088740246</v>
      </c>
      <c r="P65" s="505">
        <f t="shared" ca="1" si="53"/>
        <v>1.0291601885767432</v>
      </c>
      <c r="Q65" s="685">
        <f t="shared" si="40"/>
        <v>1099670.4199999997</v>
      </c>
      <c r="R65" s="528">
        <f>'e7'!$M27</f>
        <v>0</v>
      </c>
      <c r="S65" s="361">
        <v>0</v>
      </c>
      <c r="T65" s="504">
        <f t="shared" si="62"/>
        <v>0</v>
      </c>
      <c r="U65" s="504" t="str">
        <f t="shared" si="63"/>
        <v/>
      </c>
      <c r="V65" s="504" t="b">
        <f t="shared" si="64"/>
        <v>1</v>
      </c>
      <c r="X65" s="511">
        <v>1099670.4199999997</v>
      </c>
      <c r="Y65" s="361">
        <v>1099670.4199999997</v>
      </c>
      <c r="Z65" s="504">
        <f t="shared" si="54"/>
        <v>0</v>
      </c>
      <c r="AA65" s="507">
        <f t="shared" si="55"/>
        <v>0</v>
      </c>
      <c r="AB65" s="504">
        <f t="shared" si="56"/>
        <v>0</v>
      </c>
      <c r="AC65" s="507">
        <f t="shared" si="57"/>
        <v>0</v>
      </c>
      <c r="AD65" s="493" t="b">
        <f t="shared" si="58"/>
        <v>1</v>
      </c>
      <c r="AE65" s="488"/>
      <c r="AF65" s="361">
        <v>0</v>
      </c>
      <c r="AG65" s="504" t="b">
        <f t="shared" si="61"/>
        <v>1</v>
      </c>
      <c r="AI65" s="509">
        <f>1 / [1]!ldfsir(prldfs, prldf_ages, prldf_type, prldf_ret, Intro!Y29, "Rept", $C65, prldf_cutoff, 3)</f>
        <v>0.97533603907945809</v>
      </c>
      <c r="AJ65" s="509">
        <f>1 / [1]!ldfsir(prldfs, prldf_ages, prldf_type, prldf_ret, Intro!AA29, "Rept", $C65, prldf_cutoff, 3)</f>
        <v>0.97696554097004962</v>
      </c>
      <c r="AK65" s="509">
        <f t="shared" si="59"/>
        <v>6.6068134629355388E-2</v>
      </c>
      <c r="AM65" s="512">
        <f>'e3.1A'!R101 - R65</f>
        <v>0</v>
      </c>
      <c r="AN65" s="512">
        <f>'e3.1A'!T101 - T65</f>
        <v>0</v>
      </c>
      <c r="AO65" s="524" t="b">
        <f t="shared" si="60"/>
        <v>1</v>
      </c>
      <c r="AQ65" s="247">
        <f>'e3.1A'!Q29</f>
        <v>1099670.4199999997</v>
      </c>
      <c r="AR65" s="504">
        <f>'e3.1A'!Q65</f>
        <v>1099670.4199999997</v>
      </c>
      <c r="AS65" s="504">
        <f>'e3.1A'!Q101</f>
        <v>1099670.4199999997</v>
      </c>
      <c r="AU65" s="488" t="b">
        <f t="shared" si="48"/>
        <v>1</v>
      </c>
      <c r="AV65" s="488" t="b">
        <f t="shared" si="48"/>
        <v>1</v>
      </c>
    </row>
    <row r="66" spans="1:48" x14ac:dyDescent="0.2">
      <c r="A66" s="493">
        <f t="shared" si="49"/>
        <v>2008</v>
      </c>
      <c r="C66" s="518">
        <f>Intro!H30</f>
        <v>500000</v>
      </c>
      <c r="E66" s="507">
        <f>'e7'!O28</f>
        <v>766269.99000000011</v>
      </c>
      <c r="G66" s="502">
        <f ca="1">[1]!ldfsir(ldfs, ldf_ages, ldf_type, ldf_ret, Intro!$AA30, "Rept", $C66, cutoff, 3)</f>
        <v>1.0388176043763666</v>
      </c>
      <c r="I66" s="507">
        <f t="shared" ca="1" si="50"/>
        <v>796014.75531730254</v>
      </c>
      <c r="K66" s="507">
        <f t="shared" si="51"/>
        <v>106050.29700000001</v>
      </c>
      <c r="M66" s="510">
        <f t="shared" ca="1" si="52"/>
        <v>7.5060115608851383</v>
      </c>
      <c r="O66" s="504">
        <f ca="1">'e3.2B'!I66</f>
        <v>829254.9578850473</v>
      </c>
      <c r="P66" s="505">
        <f t="shared" ca="1" si="53"/>
        <v>1.0417582743858746</v>
      </c>
      <c r="Q66" s="685">
        <f t="shared" si="40"/>
        <v>766269.99000000011</v>
      </c>
      <c r="R66" s="528">
        <f>'e7'!$M28</f>
        <v>0</v>
      </c>
      <c r="S66" s="361">
        <v>0</v>
      </c>
      <c r="T66" s="504">
        <f t="shared" si="62"/>
        <v>0</v>
      </c>
      <c r="U66" s="504" t="str">
        <f t="shared" si="63"/>
        <v/>
      </c>
      <c r="V66" s="504" t="b">
        <f t="shared" si="64"/>
        <v>1</v>
      </c>
      <c r="X66" s="511">
        <v>766269.99000000011</v>
      </c>
      <c r="Y66" s="361">
        <v>766269.99000000011</v>
      </c>
      <c r="Z66" s="504">
        <f t="shared" si="54"/>
        <v>0</v>
      </c>
      <c r="AA66" s="507">
        <f t="shared" si="55"/>
        <v>0</v>
      </c>
      <c r="AB66" s="504">
        <f t="shared" si="56"/>
        <v>0</v>
      </c>
      <c r="AC66" s="507">
        <f t="shared" si="57"/>
        <v>0</v>
      </c>
      <c r="AD66" s="493" t="b">
        <f t="shared" si="58"/>
        <v>1</v>
      </c>
      <c r="AE66" s="488"/>
      <c r="AF66" s="361">
        <v>0</v>
      </c>
      <c r="AG66" s="504" t="b">
        <f t="shared" si="61"/>
        <v>1</v>
      </c>
      <c r="AI66" s="509">
        <f>1 / [1]!ldfsir(prldfs, prldf_ages, prldf_type, prldf_ret, Intro!Y30, "Rept", $C66, prldf_cutoff, 3)</f>
        <v>0.9602023322467611</v>
      </c>
      <c r="AJ66" s="509">
        <f>1 / [1]!ldfsir(prldfs, prldf_ages, prldf_type, prldf_ret, Intro!AA30, "Rept", $C66, prldf_cutoff, 3)</f>
        <v>0.96263289704291233</v>
      </c>
      <c r="AK66" s="509">
        <f t="shared" si="59"/>
        <v>6.107304606947514E-2</v>
      </c>
      <c r="AM66" s="504">
        <f>R66-'e3.1A'!R102</f>
        <v>0</v>
      </c>
      <c r="AN66" s="504">
        <f>T66-'e3.1A'!T102</f>
        <v>0</v>
      </c>
      <c r="AO66" s="488" t="b">
        <f t="shared" si="60"/>
        <v>1</v>
      </c>
      <c r="AQ66" s="247">
        <f>'e3.1A'!Q30</f>
        <v>766269.99000000011</v>
      </c>
      <c r="AR66" s="504">
        <f>'e3.1A'!Q66</f>
        <v>766269.99000000011</v>
      </c>
      <c r="AS66" s="504">
        <f>'e3.1A'!Q102</f>
        <v>766269.99000000011</v>
      </c>
      <c r="AU66" s="488" t="b">
        <f t="shared" si="48"/>
        <v>1</v>
      </c>
      <c r="AV66" s="488" t="b">
        <f t="shared" si="48"/>
        <v>1</v>
      </c>
    </row>
    <row r="67" spans="1:48" x14ac:dyDescent="0.2">
      <c r="A67" s="493">
        <f t="shared" si="49"/>
        <v>2009</v>
      </c>
      <c r="C67" s="518">
        <f>Intro!H31</f>
        <v>500000</v>
      </c>
      <c r="E67" s="507">
        <f>'e7'!O29</f>
        <v>1882294.4700000004</v>
      </c>
      <c r="G67" s="502">
        <f ca="1">[1]!ldfsir(ldfs, ldf_ages, ldf_type, ldf_ret, Intro!$AA31, "Rept", $C67, cutoff, 3)</f>
        <v>1.0442914580812708</v>
      </c>
      <c r="I67" s="507">
        <f t="shared" ca="1" si="50"/>
        <v>1965664.0366146131</v>
      </c>
      <c r="K67" s="507">
        <f t="shared" si="51"/>
        <v>110722.705</v>
      </c>
      <c r="M67" s="510">
        <f t="shared" ca="1" si="52"/>
        <v>17.753034814445808</v>
      </c>
      <c r="O67" s="504">
        <f ca="1">'e3.2B'!I67</f>
        <v>1929731.588425579</v>
      </c>
      <c r="P67" s="505">
        <f t="shared" ca="1" si="53"/>
        <v>0.98171994424290365</v>
      </c>
      <c r="Q67" s="685">
        <f t="shared" ca="1" si="40"/>
        <v>1936555.7366137598</v>
      </c>
      <c r="R67" s="528">
        <f>'e7'!$M29</f>
        <v>117912.80000000005</v>
      </c>
      <c r="S67" s="361">
        <v>1</v>
      </c>
      <c r="T67" s="504">
        <f t="shared" ca="1" si="62"/>
        <v>54261.266613759333</v>
      </c>
      <c r="U67" s="504">
        <f t="shared" ca="1" si="63"/>
        <v>54261.266613759333</v>
      </c>
      <c r="V67" s="504" t="b">
        <f t="shared" ca="1" si="64"/>
        <v>1</v>
      </c>
      <c r="X67" s="511">
        <v>1922724.9110424973</v>
      </c>
      <c r="Y67" s="361">
        <v>1864995.4700000004</v>
      </c>
      <c r="Z67" s="504">
        <f t="shared" si="54"/>
        <v>17299</v>
      </c>
      <c r="AA67" s="507">
        <f t="shared" si="55"/>
        <v>3562.4969299353775</v>
      </c>
      <c r="AB67" s="504">
        <f t="shared" si="56"/>
        <v>13736.503070064622</v>
      </c>
      <c r="AC67" s="507">
        <f t="shared" ca="1" si="57"/>
        <v>13830.82557126251</v>
      </c>
      <c r="AD67" s="493" t="b">
        <f t="shared" ca="1" si="58"/>
        <v>1</v>
      </c>
      <c r="AE67" s="488"/>
      <c r="AF67" s="361">
        <v>207927</v>
      </c>
      <c r="AG67" s="504" t="b">
        <f t="shared" ca="1" si="61"/>
        <v>1</v>
      </c>
      <c r="AI67" s="509">
        <f>1 / [1]!ldfsir(prldfs, prldf_ages, prldf_type, prldf_ret, Intro!Y31, "Rept", $C67, prldf_cutoff, 3)</f>
        <v>0.95479762339079466</v>
      </c>
      <c r="AJ67" s="509">
        <f>1 / [1]!ldfsir(prldfs, prldf_ages, prldf_type, prldf_ret, Intro!AA31, "Rept", $C67, prldf_cutoff, 3)</f>
        <v>0.95758707232686757</v>
      </c>
      <c r="AK67" s="509">
        <f t="shared" si="59"/>
        <v>6.171022732253529E-2</v>
      </c>
      <c r="AM67" s="504">
        <f>R67-'e3.1A'!R103</f>
        <v>0</v>
      </c>
      <c r="AN67" s="504">
        <f ca="1">T67-'e3.1A'!T103</f>
        <v>0</v>
      </c>
      <c r="AO67" s="488" t="b">
        <f t="shared" ca="1" si="60"/>
        <v>1</v>
      </c>
      <c r="AQ67" s="247">
        <f>'e3.1A'!Q31</f>
        <v>1590221.4700000002</v>
      </c>
      <c r="AR67" s="504">
        <f ca="1">'e3.1A'!Q67</f>
        <v>1786555.7366137598</v>
      </c>
      <c r="AS67" s="504">
        <f ca="1">'e3.1A'!Q103</f>
        <v>1936555.7366137598</v>
      </c>
      <c r="AU67" s="488" t="b">
        <f t="shared" ca="1" si="48"/>
        <v>1</v>
      </c>
      <c r="AV67" s="488" t="b">
        <f t="shared" ca="1" si="48"/>
        <v>1</v>
      </c>
    </row>
    <row r="68" spans="1:48" x14ac:dyDescent="0.2">
      <c r="A68" s="493">
        <f t="shared" si="49"/>
        <v>2010</v>
      </c>
      <c r="C68" s="518">
        <f>Intro!H32</f>
        <v>500000</v>
      </c>
      <c r="E68" s="507">
        <f>'e7'!O30</f>
        <v>1200315.5200000003</v>
      </c>
      <c r="G68" s="502">
        <f ca="1">[1]!ldfsir(ldfs, ldf_ages, ldf_type, ldf_ret, Intro!$AA32, "Rept", $C68, cutoff, 3)</f>
        <v>1.0507101496301834</v>
      </c>
      <c r="I68" s="507">
        <f t="shared" ca="1" si="50"/>
        <v>1261183.6996226315</v>
      </c>
      <c r="K68" s="507">
        <f t="shared" si="51"/>
        <v>128222.10400000001</v>
      </c>
      <c r="M68" s="510">
        <f t="shared" ca="1" si="52"/>
        <v>9.8359304696999157</v>
      </c>
      <c r="O68" s="504">
        <f ca="1">'e3.2B'!I68</f>
        <v>1310324.0072019941</v>
      </c>
      <c r="P68" s="505">
        <f t="shared" ca="1" si="53"/>
        <v>1.0389636399471911</v>
      </c>
      <c r="Q68" s="685">
        <f t="shared" ca="1" si="40"/>
        <v>1232465.5338992665</v>
      </c>
      <c r="R68" s="528">
        <f>'e7'!$M30</f>
        <v>17136.330000000075</v>
      </c>
      <c r="S68" s="361">
        <v>1</v>
      </c>
      <c r="T68" s="504">
        <f t="shared" ca="1" si="62"/>
        <v>32150.013899266254</v>
      </c>
      <c r="U68" s="504">
        <f t="shared" ca="1" si="63"/>
        <v>32150.013899266254</v>
      </c>
      <c r="V68" s="504" t="b">
        <f t="shared" ca="1" si="64"/>
        <v>1</v>
      </c>
      <c r="X68" s="511">
        <v>1222085.4335254533</v>
      </c>
      <c r="Y68" s="361">
        <v>1187635.5200000003</v>
      </c>
      <c r="Z68" s="504">
        <f t="shared" si="54"/>
        <v>12680</v>
      </c>
      <c r="AA68" s="507">
        <f t="shared" si="55"/>
        <v>2193.2542826417825</v>
      </c>
      <c r="AB68" s="504">
        <f t="shared" si="56"/>
        <v>10486.745717358217</v>
      </c>
      <c r="AC68" s="507">
        <f t="shared" ca="1" si="57"/>
        <v>10380.100373813184</v>
      </c>
      <c r="AD68" s="493" t="b">
        <f t="shared" ca="1" si="58"/>
        <v>1</v>
      </c>
      <c r="AE68" s="488"/>
      <c r="AF68" s="361">
        <v>306099.52</v>
      </c>
      <c r="AG68" s="504" t="b">
        <f t="shared" ca="1" si="61"/>
        <v>1</v>
      </c>
      <c r="AI68" s="509">
        <f>1 / [1]!ldfsir(prldfs, prldf_ages, prldf_type, prldf_ret, Intro!Y32, "Rept", $C68, prldf_cutoff, 3)</f>
        <v>0.94845569190181755</v>
      </c>
      <c r="AJ68" s="509">
        <f>1 / [1]!ldfsir(prldfs, prldf_ages, prldf_type, prldf_ret, Intro!AA32, "Rept", $C68, prldf_cutoff, 3)</f>
        <v>0.95173726108191492</v>
      </c>
      <c r="AK68" s="509">
        <f t="shared" si="59"/>
        <v>6.3665015618146983E-2</v>
      </c>
      <c r="AM68" s="504">
        <f>R68-'e3.1A'!R104</f>
        <v>0</v>
      </c>
      <c r="AN68" s="504">
        <f ca="1">T68-'e3.1A'!T104</f>
        <v>0</v>
      </c>
      <c r="AO68" s="488" t="b">
        <f t="shared" ca="1" si="60"/>
        <v>1</v>
      </c>
      <c r="AQ68" s="247">
        <f ca="1">'e3.1A'!Q32</f>
        <v>1232465.5338992665</v>
      </c>
      <c r="AR68" s="504">
        <f ca="1">'e3.1A'!Q68</f>
        <v>1232465.5338992665</v>
      </c>
      <c r="AS68" s="504">
        <f ca="1">'e3.1A'!Q104</f>
        <v>1232465.5338992665</v>
      </c>
      <c r="AU68" s="488" t="b">
        <f t="shared" ca="1" si="48"/>
        <v>1</v>
      </c>
      <c r="AV68" s="488" t="b">
        <f t="shared" ca="1" si="48"/>
        <v>1</v>
      </c>
    </row>
    <row r="69" spans="1:48" x14ac:dyDescent="0.2">
      <c r="A69" s="493">
        <f t="shared" si="49"/>
        <v>2011</v>
      </c>
      <c r="C69" s="518">
        <f>Intro!H33</f>
        <v>500000</v>
      </c>
      <c r="E69" s="507">
        <f>'e7'!O31</f>
        <v>1212882.8100000003</v>
      </c>
      <c r="G69" s="502">
        <f ca="1">[1]!ldfsir(ldfs, ldf_ages, ldf_type, ldf_ret, Intro!$AA33, "Rept", $C69, cutoff, 3)</f>
        <v>1.0582766733856392</v>
      </c>
      <c r="I69" s="507">
        <f t="shared" ca="1" si="50"/>
        <v>1283565.5853734266</v>
      </c>
      <c r="K69" s="507">
        <f t="shared" si="51"/>
        <v>143214.37400000001</v>
      </c>
      <c r="M69" s="510">
        <f t="shared" ca="1" si="52"/>
        <v>8.962547190782864</v>
      </c>
      <c r="O69" s="504">
        <f ca="1">'e3.2B'!I69</f>
        <v>1363143.4531717226</v>
      </c>
      <c r="P69" s="505">
        <f t="shared" ca="1" si="53"/>
        <v>1.0619975081173156</v>
      </c>
      <c r="Q69" s="685">
        <f t="shared" si="40"/>
        <v>1212882.8100000003</v>
      </c>
      <c r="R69" s="528">
        <f>'e7'!$M31</f>
        <v>0</v>
      </c>
      <c r="S69" s="361">
        <v>0</v>
      </c>
      <c r="T69" s="504">
        <f t="shared" si="62"/>
        <v>0</v>
      </c>
      <c r="U69" s="504" t="str">
        <f t="shared" si="63"/>
        <v/>
      </c>
      <c r="V69" s="504" t="b">
        <f t="shared" si="64"/>
        <v>1</v>
      </c>
      <c r="X69" s="511">
        <v>1212815.81</v>
      </c>
      <c r="Y69" s="361">
        <v>1212815.81</v>
      </c>
      <c r="Z69" s="504">
        <f t="shared" si="54"/>
        <v>67.000000000232831</v>
      </c>
      <c r="AA69" s="507">
        <f t="shared" si="55"/>
        <v>0</v>
      </c>
      <c r="AB69" s="504">
        <f t="shared" si="56"/>
        <v>67.000000000232831</v>
      </c>
      <c r="AC69" s="507">
        <f t="shared" si="57"/>
        <v>67.000000000232831</v>
      </c>
      <c r="AD69" s="493" t="b">
        <f t="shared" si="58"/>
        <v>1</v>
      </c>
      <c r="AE69" s="488"/>
      <c r="AF69" s="361">
        <v>0</v>
      </c>
      <c r="AG69" s="504" t="b">
        <f t="shared" si="61"/>
        <v>1</v>
      </c>
      <c r="AI69" s="509">
        <f>1 / [1]!ldfsir(prldfs, prldf_ages, prldf_type, prldf_ret, Intro!Y33, "Rept", $C69, prldf_cutoff, 3)</f>
        <v>0.94117065553555057</v>
      </c>
      <c r="AJ69" s="509">
        <f>1 / [1]!ldfsir(prldfs, prldf_ages, prldf_type, prldf_ret, Intro!AA33, "Rept", $C69, prldf_cutoff, 3)</f>
        <v>0.94493247857462404</v>
      </c>
      <c r="AK69" s="509">
        <f t="shared" si="59"/>
        <v>6.3944670356589364E-2</v>
      </c>
      <c r="AM69" s="504">
        <f>R69-'e3.1A'!R105</f>
        <v>0</v>
      </c>
      <c r="AN69" s="504">
        <f>T69-'e3.1A'!T105</f>
        <v>0</v>
      </c>
      <c r="AO69" s="488" t="b">
        <f t="shared" si="60"/>
        <v>1</v>
      </c>
      <c r="AQ69" s="247">
        <f>'e3.1A'!Q33</f>
        <v>1212882.8100000003</v>
      </c>
      <c r="AR69" s="504">
        <f>'e3.1A'!Q69</f>
        <v>1212882.8100000003</v>
      </c>
      <c r="AS69" s="504">
        <f>'e3.1A'!Q105</f>
        <v>1212882.8100000003</v>
      </c>
      <c r="AU69" s="488" t="b">
        <f t="shared" si="48"/>
        <v>1</v>
      </c>
      <c r="AV69" s="488" t="b">
        <f t="shared" si="48"/>
        <v>1</v>
      </c>
    </row>
    <row r="70" spans="1:48" x14ac:dyDescent="0.2">
      <c r="A70" s="493">
        <f t="shared" si="49"/>
        <v>2012</v>
      </c>
      <c r="C70" s="518">
        <f>Intro!H34</f>
        <v>500000</v>
      </c>
      <c r="E70" s="507">
        <f>'e7'!O32</f>
        <v>1930458.7599999993</v>
      </c>
      <c r="G70" s="502">
        <f ca="1">[1]!ldfsir(ldfs, ldf_ages, ldf_type, ldf_ret, Intro!$AA34, "Rept", $C70, cutoff, 3)</f>
        <v>1.0672602881575739</v>
      </c>
      <c r="I70" s="507">
        <f t="shared" ca="1" si="50"/>
        <v>2060301.9724739122</v>
      </c>
      <c r="K70" s="507">
        <f t="shared" si="51"/>
        <v>145569.85699999999</v>
      </c>
      <c r="M70" s="510">
        <f t="shared" ca="1" si="52"/>
        <v>14.15335574915013</v>
      </c>
      <c r="O70" s="504">
        <f ca="1">'e3.2B'!I70</f>
        <v>2204570.199286331</v>
      </c>
      <c r="P70" s="505">
        <f t="shared" ca="1" si="53"/>
        <v>1.0700228552609636</v>
      </c>
      <c r="Q70" s="685">
        <f t="shared" si="40"/>
        <v>1930458.7599999993</v>
      </c>
      <c r="R70" s="528">
        <f>'e7'!$M32</f>
        <v>4655.5</v>
      </c>
      <c r="S70" s="361">
        <v>1</v>
      </c>
      <c r="T70" s="504">
        <f t="shared" si="62"/>
        <v>0</v>
      </c>
      <c r="U70" s="504">
        <f t="shared" si="63"/>
        <v>0</v>
      </c>
      <c r="V70" s="504" t="b">
        <f t="shared" si="64"/>
        <v>0</v>
      </c>
      <c r="X70" s="511">
        <v>1928669.29</v>
      </c>
      <c r="Y70" s="361">
        <v>1926182.29</v>
      </c>
      <c r="Z70" s="504">
        <f t="shared" si="54"/>
        <v>4276.4699999992736</v>
      </c>
      <c r="AA70" s="507">
        <f t="shared" si="55"/>
        <v>166.39761469201869</v>
      </c>
      <c r="AB70" s="504">
        <f t="shared" si="56"/>
        <v>4110.072385307255</v>
      </c>
      <c r="AC70" s="507">
        <f t="shared" si="57"/>
        <v>1789.4699999992736</v>
      </c>
      <c r="AD70" s="493" t="b">
        <f t="shared" si="58"/>
        <v>1</v>
      </c>
      <c r="AE70" s="488"/>
      <c r="AF70" s="361">
        <v>148275</v>
      </c>
      <c r="AG70" s="504" t="b">
        <f t="shared" si="61"/>
        <v>1</v>
      </c>
      <c r="AI70" s="509">
        <f>1 / [1]!ldfsir(prldfs, prldf_ages, prldf_type, prldf_ret, Intro!Y34, "Rept", $C70, prldf_cutoff, 3)</f>
        <v>0.93245963169659574</v>
      </c>
      <c r="AJ70" s="509">
        <f>1 / [1]!ldfsir(prldfs, prldf_ages, prldf_type, prldf_ret, Intro!AA34, "Rept", $C70, prldf_cutoff, 3)</f>
        <v>0.93697855255751528</v>
      </c>
      <c r="AK70" s="509">
        <f t="shared" si="59"/>
        <v>6.6906962079621504E-2</v>
      </c>
      <c r="AM70" s="504">
        <f>R70-'e3.1A'!R106</f>
        <v>0</v>
      </c>
      <c r="AN70" s="504">
        <f>T70-'e3.1A'!T106</f>
        <v>0</v>
      </c>
      <c r="AO70" s="488" t="b">
        <f t="shared" si="60"/>
        <v>1</v>
      </c>
      <c r="AQ70" s="247">
        <f>'e3.1A'!Q34</f>
        <v>1828733.7599999993</v>
      </c>
      <c r="AR70" s="504">
        <f>'e3.1A'!Q70</f>
        <v>1928733.7599999993</v>
      </c>
      <c r="AS70" s="504">
        <f>'e3.1A'!Q106</f>
        <v>1930458.7599999993</v>
      </c>
      <c r="AU70" s="488" t="b">
        <f t="shared" si="48"/>
        <v>1</v>
      </c>
      <c r="AV70" s="488" t="b">
        <f t="shared" si="48"/>
        <v>1</v>
      </c>
    </row>
    <row r="71" spans="1:48" x14ac:dyDescent="0.2">
      <c r="A71" s="493">
        <f t="shared" si="49"/>
        <v>2013</v>
      </c>
      <c r="C71" s="518">
        <f>Intro!H35</f>
        <v>500000</v>
      </c>
      <c r="E71" s="507">
        <f>'e7'!O33</f>
        <v>2106047.2399999998</v>
      </c>
      <c r="G71" s="502">
        <f ca="1">[1]!ldfsir(ldfs, ldf_ages, ldf_type, ldf_ret, Intro!$AA35, "Rept", $C71, cutoff, 3)</f>
        <v>1.0784425114522491</v>
      </c>
      <c r="I71" s="507">
        <f t="shared" ca="1" si="50"/>
        <v>2271250.8747426774</v>
      </c>
      <c r="K71" s="507">
        <f t="shared" si="51"/>
        <v>157968.50285000002</v>
      </c>
      <c r="M71" s="510">
        <f t="shared" ca="1" si="52"/>
        <v>14.377871751429828</v>
      </c>
      <c r="O71" s="504">
        <f ca="1">'e3.2B'!I71</f>
        <v>2417448.5593850561</v>
      </c>
      <c r="P71" s="505">
        <f t="shared" ca="1" si="53"/>
        <v>1.0643687961854686</v>
      </c>
      <c r="Q71" s="685">
        <f t="shared" ca="1" si="40"/>
        <v>2193820.757447863</v>
      </c>
      <c r="R71" s="528">
        <f>'e7'!$M33</f>
        <v>44680.639999999898</v>
      </c>
      <c r="S71" s="361">
        <v>2</v>
      </c>
      <c r="T71" s="504">
        <f t="shared" ca="1" si="62"/>
        <v>87773.51744786324</v>
      </c>
      <c r="U71" s="504">
        <f t="shared" ca="1" si="63"/>
        <v>43886.75872393162</v>
      </c>
      <c r="V71" s="504" t="b">
        <f t="shared" ca="1" si="64"/>
        <v>1</v>
      </c>
      <c r="X71" s="511">
        <v>2194103.4893013444</v>
      </c>
      <c r="Y71" s="361">
        <v>2097334.3199999994</v>
      </c>
      <c r="Z71" s="504">
        <f t="shared" si="54"/>
        <v>8712.9200000003912</v>
      </c>
      <c r="AA71" s="507">
        <f t="shared" si="55"/>
        <v>6984.240940873563</v>
      </c>
      <c r="AB71" s="504">
        <f t="shared" si="56"/>
        <v>1728.6790591268282</v>
      </c>
      <c r="AC71" s="507">
        <f t="shared" ca="1" si="57"/>
        <v>-282.73185348138213</v>
      </c>
      <c r="AD71" s="493" t="b">
        <f t="shared" ca="1" si="58"/>
        <v>0</v>
      </c>
      <c r="AE71" s="488"/>
      <c r="AF71" s="361">
        <v>834108</v>
      </c>
      <c r="AG71" s="504" t="b">
        <f t="shared" ca="1" si="61"/>
        <v>1</v>
      </c>
      <c r="AI71" s="509">
        <f>1 / [1]!ldfsir(prldfs, prldf_ages, prldf_type, prldf_ret, Intro!Y35, "Rept", $C71, prldf_cutoff, 3)</f>
        <v>0.92160505438677187</v>
      </c>
      <c r="AJ71" s="509">
        <f>1 / [1]!ldfsir(prldfs, prldf_ages, prldf_type, prldf_ret, Intro!AA35, "Rept", $C71, prldf_cutoff, 3)</f>
        <v>0.9272631497560152</v>
      </c>
      <c r="AK71" s="509">
        <f t="shared" si="59"/>
        <v>7.217423680805006E-2</v>
      </c>
      <c r="AM71" s="504">
        <f>R71-'e3.1A'!R107</f>
        <v>0</v>
      </c>
      <c r="AN71" s="504">
        <f ca="1">T71-'e3.1A'!T107</f>
        <v>0</v>
      </c>
      <c r="AO71" s="488" t="b">
        <f t="shared" ca="1" si="60"/>
        <v>1</v>
      </c>
      <c r="AQ71" s="247">
        <f ca="1">'e3.1A'!Q35</f>
        <v>1943820.757447863</v>
      </c>
      <c r="AR71" s="504">
        <f ca="1">'e3.1A'!Q71</f>
        <v>2043820.757447863</v>
      </c>
      <c r="AS71" s="504">
        <f ca="1">'e3.1A'!Q107</f>
        <v>2193820.757447863</v>
      </c>
      <c r="AU71" s="488" t="b">
        <f t="shared" ca="1" si="48"/>
        <v>1</v>
      </c>
      <c r="AV71" s="488" t="b">
        <f t="shared" ca="1" si="48"/>
        <v>1</v>
      </c>
    </row>
    <row r="72" spans="1:48" x14ac:dyDescent="0.2">
      <c r="A72" s="493">
        <f t="shared" si="49"/>
        <v>2014</v>
      </c>
      <c r="C72" s="518">
        <f>Intro!H36</f>
        <v>500000</v>
      </c>
      <c r="E72" s="507">
        <f>'e7'!O34</f>
        <v>2342502.8100000005</v>
      </c>
      <c r="G72" s="502">
        <f ca="1">[1]!ldfsir(ldfs, ldf_ages, ldf_type, ldf_ret, Intro!$AA36, "Rept", $C72, cutoff, 3)</f>
        <v>1.0928221522207482</v>
      </c>
      <c r="I72" s="507">
        <f t="shared" ca="1" si="50"/>
        <v>2559938.962407351</v>
      </c>
      <c r="K72" s="507">
        <f t="shared" si="51"/>
        <v>182546.24444841431</v>
      </c>
      <c r="M72" s="510">
        <f t="shared" ca="1" si="52"/>
        <v>14.023509331252024</v>
      </c>
      <c r="O72" s="504">
        <f ca="1">'e3.2B'!I72</f>
        <v>2836352.6808522204</v>
      </c>
      <c r="P72" s="505">
        <f t="shared" ca="1" si="53"/>
        <v>1.1079766832350297</v>
      </c>
      <c r="Q72" s="685">
        <f t="shared" si="40"/>
        <v>2342502.8100000005</v>
      </c>
      <c r="R72" s="528">
        <f>'e7'!$M34</f>
        <v>0</v>
      </c>
      <c r="S72" s="361">
        <v>0</v>
      </c>
      <c r="T72" s="504">
        <f t="shared" si="62"/>
        <v>0</v>
      </c>
      <c r="U72" s="504" t="str">
        <f t="shared" si="63"/>
        <v/>
      </c>
      <c r="V72" s="504" t="b">
        <f t="shared" si="64"/>
        <v>1</v>
      </c>
      <c r="X72" s="511">
        <v>2342329.11</v>
      </c>
      <c r="Y72" s="361">
        <v>2342329.11</v>
      </c>
      <c r="Z72" s="504">
        <f t="shared" si="54"/>
        <v>173.70000000065193</v>
      </c>
      <c r="AA72" s="507">
        <f t="shared" si="55"/>
        <v>0</v>
      </c>
      <c r="AB72" s="504">
        <f t="shared" si="56"/>
        <v>173.70000000065193</v>
      </c>
      <c r="AC72" s="507">
        <f t="shared" si="57"/>
        <v>173.70000000065193</v>
      </c>
      <c r="AD72" s="493" t="b">
        <f t="shared" si="58"/>
        <v>1</v>
      </c>
      <c r="AE72" s="488"/>
      <c r="AF72" s="361">
        <v>0</v>
      </c>
      <c r="AG72" s="504" t="b">
        <f t="shared" si="61"/>
        <v>1</v>
      </c>
      <c r="AI72" s="509">
        <f>1 / [1]!ldfsir(prldfs, prldf_ages, prldf_type, prldf_ret, Intro!Y36, "Rept", $C72, prldf_cutoff, 3)</f>
        <v>0.90789985610047552</v>
      </c>
      <c r="AJ72" s="509">
        <f>1 / [1]!ldfsir(prldfs, prldf_ages, prldf_type, prldf_ret, Intro!AA36, "Rept", $C72, prldf_cutoff, 3)</f>
        <v>0.91506197780478549</v>
      </c>
      <c r="AK72" s="509">
        <f t="shared" si="59"/>
        <v>7.7764500695280056E-2</v>
      </c>
      <c r="AM72" s="504">
        <f>R72-'e3.1A'!R108</f>
        <v>0</v>
      </c>
      <c r="AN72" s="504">
        <f>T72-'e3.1A'!T108</f>
        <v>0</v>
      </c>
      <c r="AO72" s="488" t="b">
        <f t="shared" si="60"/>
        <v>1</v>
      </c>
      <c r="AQ72" s="247">
        <f>'e3.1A'!Q36</f>
        <v>2173195.9299999997</v>
      </c>
      <c r="AR72" s="504">
        <f>'e3.1A'!Q72</f>
        <v>2275241.92</v>
      </c>
      <c r="AS72" s="504">
        <f>'e3.1A'!Q108</f>
        <v>2342502.8100000005</v>
      </c>
      <c r="AU72" s="488" t="b">
        <f t="shared" si="48"/>
        <v>1</v>
      </c>
      <c r="AV72" s="488" t="b">
        <f t="shared" si="48"/>
        <v>1</v>
      </c>
    </row>
    <row r="73" spans="1:48" x14ac:dyDescent="0.2">
      <c r="A73" s="493">
        <f t="shared" si="49"/>
        <v>2015</v>
      </c>
      <c r="C73" s="518">
        <f>Intro!H37</f>
        <v>500000</v>
      </c>
      <c r="E73" s="507">
        <f>'e7'!O35</f>
        <v>3251678.2500000009</v>
      </c>
      <c r="G73" s="502">
        <f ca="1">[1]!ldfsir(ldfs, ldf_ages, ldf_type, ldf_ret, Intro!$AA37, "Rept", $C73, cutoff, 3)</f>
        <v>1.1155798265124286</v>
      </c>
      <c r="I73" s="507">
        <f t="shared" ca="1" si="50"/>
        <v>3627506.6580092385</v>
      </c>
      <c r="K73" s="507">
        <f t="shared" si="51"/>
        <v>196912.10476000005</v>
      </c>
      <c r="M73" s="510">
        <f t="shared" ca="1" si="52"/>
        <v>18.421958682684885</v>
      </c>
      <c r="O73" s="504">
        <f ca="1">'e3.2B'!I73</f>
        <v>3568260.6026782035</v>
      </c>
      <c r="P73" s="505">
        <f t="shared" ca="1" si="53"/>
        <v>0.98366755435163034</v>
      </c>
      <c r="Q73" s="685">
        <f t="shared" ca="1" si="40"/>
        <v>3627506.6580092385</v>
      </c>
      <c r="R73" s="528">
        <f>'e7'!$M35</f>
        <v>441176.08999999985</v>
      </c>
      <c r="S73" s="361">
        <v>4</v>
      </c>
      <c r="T73" s="504">
        <f t="shared" ca="1" si="62"/>
        <v>375828.40800923761</v>
      </c>
      <c r="U73" s="504">
        <f t="shared" ca="1" si="63"/>
        <v>93957.102002309402</v>
      </c>
      <c r="V73" s="504" t="b">
        <f t="shared" ca="1" si="64"/>
        <v>1</v>
      </c>
      <c r="X73" s="511">
        <v>3727217.9588296209</v>
      </c>
      <c r="Y73" s="361">
        <v>3276954.1399999997</v>
      </c>
      <c r="Z73" s="504">
        <f t="shared" si="54"/>
        <v>-25275.889999998733</v>
      </c>
      <c r="AA73" s="507">
        <f t="shared" si="55"/>
        <v>58877.733691967325</v>
      </c>
      <c r="AB73" s="504">
        <f t="shared" si="56"/>
        <v>-84153.623691966059</v>
      </c>
      <c r="AC73" s="507">
        <f t="shared" ca="1" si="57"/>
        <v>-99711.300820382312</v>
      </c>
      <c r="AD73" s="493" t="b">
        <f t="shared" ca="1" si="58"/>
        <v>1</v>
      </c>
      <c r="AE73" s="488"/>
      <c r="AF73" s="361">
        <v>854512.35</v>
      </c>
      <c r="AG73" s="504" t="b">
        <f t="shared" ca="1" si="61"/>
        <v>1</v>
      </c>
      <c r="AI73" s="509">
        <f>1 / [1]!ldfsir(prldfs, prldf_ages, prldf_type, prldf_ret, Intro!Y37, "Rept", $C73, prldf_cutoff, 3)</f>
        <v>0.87919573692679676</v>
      </c>
      <c r="AJ73" s="509">
        <f>1 / [1]!ldfsir(prldfs, prldf_ages, prldf_type, prldf_ret, Intro!AA37, "Rept", $C73, prldf_cutoff, 3)</f>
        <v>0.89499243417990171</v>
      </c>
      <c r="AK73" s="509">
        <f t="shared" si="59"/>
        <v>0.13076274670483023</v>
      </c>
      <c r="AM73" s="504">
        <f>R73-'e3.1A'!R109</f>
        <v>0</v>
      </c>
      <c r="AN73" s="504">
        <f ca="1">T73-'e3.1A'!T109</f>
        <v>0</v>
      </c>
      <c r="AO73" s="488" t="b">
        <f t="shared" ca="1" si="60"/>
        <v>1</v>
      </c>
      <c r="AQ73" s="247">
        <f>'e3.1A'!Q37</f>
        <v>3071802.6300000018</v>
      </c>
      <c r="AR73" s="504">
        <f>'e3.1A'!Q73</f>
        <v>3506190.600000002</v>
      </c>
      <c r="AS73" s="504">
        <f ca="1">'e3.1A'!Q109</f>
        <v>3627506.6580092385</v>
      </c>
      <c r="AU73" s="488" t="b">
        <f t="shared" si="48"/>
        <v>1</v>
      </c>
      <c r="AV73" s="488" t="b">
        <f t="shared" ca="1" si="48"/>
        <v>1</v>
      </c>
    </row>
    <row r="74" spans="1:48" x14ac:dyDescent="0.2">
      <c r="A74" s="493">
        <f t="shared" si="49"/>
        <v>2016</v>
      </c>
      <c r="C74" s="518">
        <f>Intro!H38</f>
        <v>750000</v>
      </c>
      <c r="E74" s="507">
        <f>'e7'!O36</f>
        <v>2628716.9900000021</v>
      </c>
      <c r="G74" s="502">
        <f ca="1">[1]!ldfsir(ldfs, ldf_ages, ldf_type, ldf_ret, Intro!$AA38, "Rept", $C74, cutoff, 3)</f>
        <v>1.1682424205003876</v>
      </c>
      <c r="I74" s="507">
        <f t="shared" ca="1" si="50"/>
        <v>3070978.6992080957</v>
      </c>
      <c r="K74" s="507">
        <f t="shared" si="51"/>
        <v>221894.58274919298</v>
      </c>
      <c r="M74" s="510">
        <f t="shared" ca="1" si="52"/>
        <v>13.839809251581491</v>
      </c>
      <c r="O74" s="504">
        <f ca="1">'e3.2B'!I74</f>
        <v>3399607.7416125936</v>
      </c>
      <c r="P74" s="505">
        <f t="shared" ca="1" si="53"/>
        <v>1.1070111761078774</v>
      </c>
      <c r="Q74" s="659">
        <f ca="1">AS74</f>
        <v>3047826.7734841765</v>
      </c>
      <c r="R74" s="528">
        <f>'e7'!$M36</f>
        <v>178804.94000000041</v>
      </c>
      <c r="S74" s="361">
        <v>8</v>
      </c>
      <c r="T74" s="504">
        <f t="shared" ca="1" si="62"/>
        <v>419109.7834841744</v>
      </c>
      <c r="U74" s="504">
        <f t="shared" ca="1" si="63"/>
        <v>52388.722935521801</v>
      </c>
      <c r="V74" s="504" t="b">
        <f t="shared" ca="1" si="64"/>
        <v>1</v>
      </c>
      <c r="X74" s="511">
        <v>2929576.4346174067</v>
      </c>
      <c r="Y74" s="361">
        <v>2444111.0400000019</v>
      </c>
      <c r="Z74" s="504">
        <f t="shared" si="54"/>
        <v>184605.95000000019</v>
      </c>
      <c r="AA74" s="507">
        <f t="shared" si="55"/>
        <v>67895.495456517296</v>
      </c>
      <c r="AB74" s="504">
        <f t="shared" si="56"/>
        <v>116710.45454348289</v>
      </c>
      <c r="AC74" s="507">
        <f t="shared" ca="1" si="57"/>
        <v>118250.3388667698</v>
      </c>
      <c r="AD74" s="493" t="b">
        <f t="shared" ca="1" si="58"/>
        <v>1</v>
      </c>
      <c r="AE74" s="488"/>
      <c r="AF74" s="361">
        <v>4955793.43</v>
      </c>
      <c r="AG74" s="504" t="b">
        <f t="shared" ca="1" si="61"/>
        <v>1</v>
      </c>
      <c r="AI74" s="509">
        <f>1 / [1]!ldfsir(prldfs, prldf_ages, prldf_type, prldf_ret, Intro!Y38, "Rept", $C74, prldf_cutoff, 3)</f>
        <v>0.82777308940913075</v>
      </c>
      <c r="AJ74" s="509">
        <f>1 / [1]!ldfsir(prldfs, prldf_ages, prldf_type, prldf_ret, Intro!AA38, "Rept", $C74, prldf_cutoff, 3)</f>
        <v>0.85186014392457765</v>
      </c>
      <c r="AK74" s="509">
        <f t="shared" si="59"/>
        <v>0.13985650925752541</v>
      </c>
      <c r="AM74" s="504">
        <f>R74-'e3.1A'!R110</f>
        <v>0</v>
      </c>
      <c r="AN74" s="504">
        <f ca="1">T74-'e3.1A'!T110</f>
        <v>0</v>
      </c>
      <c r="AO74" s="488" t="b">
        <f t="shared" ca="1" si="60"/>
        <v>1</v>
      </c>
      <c r="AQ74" s="247">
        <f ca="1">'e3.1A'!Q38</f>
        <v>2765962.2720213775</v>
      </c>
      <c r="AR74" s="504">
        <f ca="1">'e3.1A'!Q74</f>
        <v>2979677.1167968484</v>
      </c>
      <c r="AS74" s="504">
        <f ca="1">'e3.1A'!Q110</f>
        <v>3047826.7734841765</v>
      </c>
      <c r="AU74" s="488" t="b">
        <f t="shared" ca="1" si="48"/>
        <v>1</v>
      </c>
      <c r="AV74" s="488" t="b">
        <f t="shared" ca="1" si="48"/>
        <v>1</v>
      </c>
    </row>
    <row r="75" spans="1:48" x14ac:dyDescent="0.2">
      <c r="A75" s="493">
        <f t="shared" si="49"/>
        <v>2017</v>
      </c>
      <c r="C75" s="518">
        <f>Intro!H39</f>
        <v>750000</v>
      </c>
      <c r="E75" s="507">
        <f>'e7'!O37</f>
        <v>2585441.4500000016</v>
      </c>
      <c r="G75" s="502">
        <f ca="1">[1]!ldfsir(ldfs, ldf_ages, ldf_type, ldf_ret, Intro!$AA39, "Rept", $C75, cutoff, 3)</f>
        <v>1.2735149656149896</v>
      </c>
      <c r="I75" s="507">
        <f t="shared" ca="1" si="50"/>
        <v>3292598.379296321</v>
      </c>
      <c r="K75" s="507">
        <f t="shared" si="51"/>
        <v>307509.66981400014</v>
      </c>
      <c r="M75" s="510">
        <f t="shared" ca="1" si="52"/>
        <v>10.70730029819185</v>
      </c>
      <c r="O75" s="504">
        <f ca="1">'e3.2B'!I75</f>
        <v>3719059.347323318</v>
      </c>
      <c r="P75" s="505">
        <f t="shared" ca="1" si="53"/>
        <v>1.1295211012398476</v>
      </c>
      <c r="Q75" s="659">
        <f ca="1">AS75</f>
        <v>3265066.7370095071</v>
      </c>
      <c r="R75" s="528">
        <f>'e7'!$M37</f>
        <v>327371.00999999978</v>
      </c>
      <c r="S75" s="361">
        <v>8</v>
      </c>
      <c r="T75" s="504">
        <f t="shared" ca="1" si="62"/>
        <v>679625.28700950556</v>
      </c>
      <c r="U75" s="504">
        <f t="shared" ca="1" si="63"/>
        <v>84953.160876188194</v>
      </c>
      <c r="V75" s="504" t="b">
        <f t="shared" ca="1" si="64"/>
        <v>1</v>
      </c>
      <c r="X75" s="511">
        <v>3067637.8047763514</v>
      </c>
      <c r="Y75" s="361">
        <v>2264112.3000000003</v>
      </c>
      <c r="Z75" s="504">
        <f t="shared" si="54"/>
        <v>321329.1500000013</v>
      </c>
      <c r="AA75" s="507">
        <f t="shared" si="55"/>
        <v>162358.49029678627</v>
      </c>
      <c r="AB75" s="504">
        <f t="shared" si="56"/>
        <v>158970.65970321503</v>
      </c>
      <c r="AC75" s="507">
        <f t="shared" ca="1" si="57"/>
        <v>197428.93223315571</v>
      </c>
      <c r="AD75" s="493" t="b">
        <f t="shared" ca="1" si="58"/>
        <v>1</v>
      </c>
      <c r="AE75" s="488"/>
      <c r="AF75" s="361">
        <v>5943208.29</v>
      </c>
      <c r="AG75" s="504" t="b">
        <f t="shared" ca="1" si="61"/>
        <v>1</v>
      </c>
      <c r="AI75" s="509">
        <f>1 / [1]!ldfsir(prldfs, prldf_ages, prldf_type, prldf_ret, Intro!Y39, "Rept", $C75, prldf_cutoff, 3)</f>
        <v>0.73136980879900793</v>
      </c>
      <c r="AJ75" s="509">
        <f>1 / [1]!ldfsir(prldfs, prldf_ages, prldf_type, prldf_ret, Intro!AA39, "Rept", $C75, prldf_cutoff, 3)</f>
        <v>0.78564859899580386</v>
      </c>
      <c r="AK75" s="509">
        <f t="shared" si="59"/>
        <v>0.20205766877552472</v>
      </c>
      <c r="AM75" s="504">
        <f>R75-'e3.1A'!R111</f>
        <v>0</v>
      </c>
      <c r="AN75" s="504">
        <f ca="1">T75-'e3.1A'!T111</f>
        <v>0</v>
      </c>
      <c r="AO75" s="488" t="b">
        <f t="shared" ca="1" si="60"/>
        <v>1</v>
      </c>
      <c r="AQ75" s="247">
        <f ca="1">'e3.1A'!Q39</f>
        <v>3119810.9942307575</v>
      </c>
      <c r="AR75" s="504">
        <f ca="1">'e3.1A'!Q75</f>
        <v>3182127.6644803137</v>
      </c>
      <c r="AS75" s="504">
        <f ca="1">'e3.1A'!Q111</f>
        <v>3265066.7370095071</v>
      </c>
      <c r="AU75" s="488" t="b">
        <f t="shared" ca="1" si="48"/>
        <v>1</v>
      </c>
      <c r="AV75" s="488" t="b">
        <f t="shared" ca="1" si="48"/>
        <v>1</v>
      </c>
    </row>
    <row r="76" spans="1:48" x14ac:dyDescent="0.2">
      <c r="A76" s="493">
        <f t="shared" si="49"/>
        <v>2018</v>
      </c>
      <c r="C76" s="518">
        <f>Intro!H40</f>
        <v>500000</v>
      </c>
      <c r="E76" s="507">
        <f>'e7'!O38</f>
        <v>5817996.7700000023</v>
      </c>
      <c r="G76" s="502">
        <f ca="1">[1]!ldfsir(ldfs, ldf_ages, ldf_type, ldf_ret, Intro!$AA40, "Rept", $C76, cutoff, 3)</f>
        <v>1.619653822268273</v>
      </c>
      <c r="I76" s="507">
        <f t="shared" ca="1" si="50"/>
        <v>9423140.706474971</v>
      </c>
      <c r="K76" s="507">
        <f t="shared" si="51"/>
        <v>536896.27333</v>
      </c>
      <c r="M76" s="510">
        <f t="shared" ca="1" si="52"/>
        <v>17.55113822643931</v>
      </c>
      <c r="O76" s="504">
        <f ca="1">'e3.2B'!I76</f>
        <v>10451512.251885835</v>
      </c>
      <c r="P76" s="505">
        <f t="shared" ca="1" si="53"/>
        <v>1.1091325681579003</v>
      </c>
      <c r="Q76" s="685">
        <f t="shared" ref="Q76" ca="1" si="65">INDEX($AQ76:$AS76, , MATCH($C76, $AQ$51:$AS$51, 0))</f>
        <v>9423140.706474971</v>
      </c>
      <c r="R76" s="528">
        <f>'e7'!$M38</f>
        <v>1618701.6200000048</v>
      </c>
      <c r="S76" s="361">
        <v>61</v>
      </c>
      <c r="T76" s="504">
        <f t="shared" ca="1" si="62"/>
        <v>3605143.9364749687</v>
      </c>
      <c r="U76" s="504">
        <f t="shared" ca="1" si="63"/>
        <v>59100.720270081452</v>
      </c>
      <c r="V76" s="504" t="b">
        <f t="shared" ca="1" si="64"/>
        <v>1</v>
      </c>
      <c r="X76" s="511">
        <v>9840393.191347817</v>
      </c>
      <c r="Y76" s="361">
        <v>4706747.6700000055</v>
      </c>
      <c r="Z76" s="504">
        <f t="shared" si="54"/>
        <v>1111249.0999999968</v>
      </c>
      <c r="AA76" s="507">
        <f t="shared" si="55"/>
        <v>1448152.8544897039</v>
      </c>
      <c r="AB76" s="504">
        <f t="shared" si="56"/>
        <v>-336903.75448970706</v>
      </c>
      <c r="AC76" s="507">
        <f t="shared" ca="1" si="57"/>
        <v>-417252.48487284593</v>
      </c>
      <c r="AD76" s="530" t="b">
        <f t="shared" ca="1" si="58"/>
        <v>1</v>
      </c>
      <c r="AE76" s="488"/>
      <c r="AF76" s="361">
        <v>27043306.34</v>
      </c>
      <c r="AG76" s="504" t="b">
        <f t="shared" ca="1" si="61"/>
        <v>1</v>
      </c>
      <c r="AI76" s="509">
        <f>1 / [1]!ldfsir(prldfs, prldf_ages, prldf_type, prldf_ret, Intro!Y40, "Rept", $C76, prldf_cutoff, 3)</f>
        <v>0.47830890275181503</v>
      </c>
      <c r="AJ76" s="509">
        <f>1 / [1]!ldfsir(prldfs, prldf_ages, prldf_type, prldf_ret, Intro!AA40, "Rept", $C76, prldf_cutoff, 3)</f>
        <v>0.62547302783606418</v>
      </c>
      <c r="AK76" s="509">
        <f t="shared" si="59"/>
        <v>0.28209054335124778</v>
      </c>
      <c r="AM76" s="504">
        <f>R76-'e3.1A'!R112</f>
        <v>0</v>
      </c>
      <c r="AN76" s="504">
        <f ca="1">T76-'e3.1A'!T112</f>
        <v>0</v>
      </c>
      <c r="AO76" s="488" t="b">
        <f t="shared" ca="1" si="60"/>
        <v>1</v>
      </c>
      <c r="AQ76" s="504">
        <f ca="1">'e3.1A'!Q40</f>
        <v>8722941.3906945344</v>
      </c>
      <c r="AR76" s="504">
        <f ca="1">'e3.1A'!Q76</f>
        <v>9136612.3041557781</v>
      </c>
      <c r="AS76" s="504">
        <f ca="1">'e3.1A'!Q112</f>
        <v>9423140.706474971</v>
      </c>
      <c r="AU76" s="488" t="b">
        <f t="shared" ref="AU76:AU77" ca="1" si="66">AR76&gt;=AQ76</f>
        <v>1</v>
      </c>
      <c r="AV76" s="488" t="b">
        <f t="shared" ref="AV76:AV77" ca="1" si="67">AS76&gt;=AR76</f>
        <v>1</v>
      </c>
    </row>
    <row r="77" spans="1:48" x14ac:dyDescent="0.2">
      <c r="A77" s="493">
        <f t="shared" si="49"/>
        <v>2019</v>
      </c>
      <c r="C77" s="518">
        <f>Intro!H41</f>
        <v>500000</v>
      </c>
      <c r="E77" s="512">
        <f>'e7'!O39</f>
        <v>1261811.2200000007</v>
      </c>
      <c r="G77" s="502">
        <f ca="1">[1]!ldfsir(ldfs, ldf_ages, ldf_type, ldf_ret, Intro!$AA41, "Rept", $C77, cutoff, 3)</f>
        <v>4.5884558470269194</v>
      </c>
      <c r="I77" s="512">
        <f t="shared" ca="1" si="50"/>
        <v>5789765.0702531738</v>
      </c>
      <c r="K77" s="512">
        <f t="shared" si="51"/>
        <v>543133.22666000458</v>
      </c>
      <c r="M77" s="513">
        <f t="shared" ca="1" si="52"/>
        <v>10.659935327207487</v>
      </c>
      <c r="O77" s="512">
        <f ca="1">'e3.2B'!I77</f>
        <v>8591986.0959810279</v>
      </c>
      <c r="P77" s="514">
        <f t="shared" ca="1" si="53"/>
        <v>1.4839956356994843</v>
      </c>
      <c r="Q77" s="684">
        <f ca="1">INDEX($AQ77:$AS77, , MATCH($C77, $AQ$51:$AS$51, 0))</f>
        <v>8591986.0959810279</v>
      </c>
      <c r="R77" s="529">
        <f>'e7'!$M39</f>
        <v>642501.92000000062</v>
      </c>
      <c r="S77" s="305">
        <v>101</v>
      </c>
      <c r="T77" s="512">
        <f t="shared" ca="1" si="62"/>
        <v>7330174.8759810273</v>
      </c>
      <c r="U77" s="512">
        <f t="shared" ca="1" si="63"/>
        <v>72575.988871099282</v>
      </c>
      <c r="V77" s="504" t="b">
        <f t="shared" ca="1" si="64"/>
        <v>1</v>
      </c>
      <c r="X77" s="655">
        <v>9312946.0948400646</v>
      </c>
      <c r="Y77" s="305">
        <v>178621.64</v>
      </c>
      <c r="Z77" s="512">
        <f t="shared" si="54"/>
        <v>1083189.5800000005</v>
      </c>
      <c r="AA77" s="512">
        <f t="shared" si="55"/>
        <v>1877511.9067720901</v>
      </c>
      <c r="AB77" s="512">
        <f t="shared" si="56"/>
        <v>-794322.32677208958</v>
      </c>
      <c r="AC77" s="531">
        <f t="shared" ca="1" si="57"/>
        <v>-720959.99885903671</v>
      </c>
      <c r="AD77" s="493" t="b">
        <f t="shared" ca="1" si="58"/>
        <v>1</v>
      </c>
      <c r="AE77" s="488"/>
      <c r="AF77" s="361">
        <v>55859965.800000004</v>
      </c>
      <c r="AG77" s="504" t="b">
        <f t="shared" ca="1" si="61"/>
        <v>1</v>
      </c>
      <c r="AI77" s="509">
        <f>1 / [1]!ldfsir(prldfs, prldf_ages, prldf_type, prldf_ret, Intro!Y41, "Rept", $C77, prldf_cutoff, 3)</f>
        <v>1.9179928476013321E-2</v>
      </c>
      <c r="AJ77" s="509">
        <f>1 / [1]!ldfsir(prldfs, prldf_ages, prldf_type, prldf_ret, Intro!AA41, "Rept", $C77, prldf_cutoff, 3)</f>
        <v>0.22078228799276661</v>
      </c>
      <c r="AK77" s="509">
        <f t="shared" si="59"/>
        <v>0.20554469200809269</v>
      </c>
      <c r="AM77" s="512">
        <f>R77-'e3.1A'!R113</f>
        <v>0</v>
      </c>
      <c r="AN77" s="512">
        <f ca="1">T77-'e3.1A'!T113</f>
        <v>0</v>
      </c>
      <c r="AO77" s="488" t="b">
        <f t="shared" ca="1" si="60"/>
        <v>1</v>
      </c>
      <c r="AQ77" s="512">
        <f ca="1">'e3.1A'!Q41</f>
        <v>7826148.334131144</v>
      </c>
      <c r="AR77" s="512">
        <f ca="1">'e3.1A'!Q77</f>
        <v>8256507.0849764422</v>
      </c>
      <c r="AS77" s="512">
        <f ca="1">'e3.1A'!Q113</f>
        <v>8591986.0959810279</v>
      </c>
      <c r="AU77" s="488" t="b">
        <f t="shared" ca="1" si="66"/>
        <v>1</v>
      </c>
      <c r="AV77" s="488" t="b">
        <f t="shared" ca="1" si="67"/>
        <v>1</v>
      </c>
    </row>
    <row r="78" spans="1:48" x14ac:dyDescent="0.2">
      <c r="P78" s="515"/>
      <c r="Q78" s="686"/>
      <c r="X78" s="490"/>
      <c r="AE78" s="488"/>
    </row>
    <row r="79" spans="1:48" x14ac:dyDescent="0.2">
      <c r="A79" s="493" t="s">
        <v>78</v>
      </c>
      <c r="E79" s="501">
        <f>SUM(E54:E77)</f>
        <v>48349071.600000001</v>
      </c>
      <c r="I79" s="501">
        <f ca="1">SUM(I54:I77)</f>
        <v>58994687.119864427</v>
      </c>
      <c r="K79" s="501">
        <f>SUM(K54:K77)</f>
        <v>3896630.2405416127</v>
      </c>
      <c r="M79" s="510">
        <f t="shared" ca="1" si="38"/>
        <v>15.139924364921125</v>
      </c>
      <c r="O79" s="507">
        <f ca="1">SUM(O54:O77)</f>
        <v>64107563.064127281</v>
      </c>
      <c r="P79" s="505">
        <f ca="1">O79/I79</f>
        <v>1.086666718544919</v>
      </c>
      <c r="Q79" s="684">
        <f ca="1">SUM(Q54:Q77)</f>
        <v>61063912.022693276</v>
      </c>
      <c r="R79" s="507">
        <f>SUM(R54:R77)</f>
        <v>3768825.820000005</v>
      </c>
      <c r="S79" s="507">
        <f>SUM(S54:S77)</f>
        <v>199</v>
      </c>
      <c r="T79" s="507">
        <f ca="1">SUM(T54:T77)</f>
        <v>12714840.422693267</v>
      </c>
      <c r="U79" s="504">
        <f ca="1">IFERROR(T79/S79, "")</f>
        <v>63893.670465795316</v>
      </c>
      <c r="W79" s="504"/>
      <c r="X79" s="507">
        <f t="shared" ref="X79:AC79" si="68">SUM(X54:X77)</f>
        <v>61964327.445063747</v>
      </c>
      <c r="Y79" s="507">
        <f t="shared" si="68"/>
        <v>45632348.689999998</v>
      </c>
      <c r="Z79" s="507">
        <f t="shared" si="68"/>
        <v>2716722.91</v>
      </c>
      <c r="AA79" s="507">
        <f t="shared" si="68"/>
        <v>3630184.7422195678</v>
      </c>
      <c r="AB79" s="507">
        <f t="shared" si="68"/>
        <v>-913461.83221956796</v>
      </c>
      <c r="AC79" s="507">
        <f t="shared" ca="1" si="68"/>
        <v>-900415.42237048107</v>
      </c>
      <c r="AE79" s="488"/>
      <c r="AF79" s="507"/>
      <c r="AG79" s="507"/>
      <c r="AM79" s="507">
        <f>SUM(AM54:AM77)</f>
        <v>532028.41000000015</v>
      </c>
      <c r="AN79" s="507">
        <f ca="1">SUM(AN54:AN77)</f>
        <v>180983.6933124708</v>
      </c>
      <c r="AQ79" s="507">
        <f ca="1">SUM(AQ54:AQ77)</f>
        <v>57100876.402140543</v>
      </c>
      <c r="AR79" s="507">
        <f t="shared" ref="AR79:AS79" ca="1" si="69">SUM(AR54:AR77)</f>
        <v>61426599.252741151</v>
      </c>
      <c r="AS79" s="507">
        <f t="shared" ca="1" si="69"/>
        <v>64871090.576005742</v>
      </c>
    </row>
    <row r="82" spans="1:1" x14ac:dyDescent="0.2">
      <c r="A82" s="360" t="s">
        <v>83</v>
      </c>
    </row>
    <row r="83" spans="1:1" x14ac:dyDescent="0.2">
      <c r="A83" s="327" t="str">
        <f>"Columns (1) and (4) provided by "&amp;client&amp;"."</f>
        <v>Columns (1) and (4) provided by CLIENT XYZ.</v>
      </c>
    </row>
    <row r="84" spans="1:1" x14ac:dyDescent="0.2">
      <c r="A84" s="516" t="s">
        <v>474</v>
      </c>
    </row>
    <row r="85" spans="1:1" x14ac:dyDescent="0.2">
      <c r="A85" s="327" t="s">
        <v>358</v>
      </c>
    </row>
    <row r="86" spans="1:1" x14ac:dyDescent="0.2">
      <c r="A86" s="327" t="s">
        <v>472</v>
      </c>
    </row>
  </sheetData>
  <printOptions horizontalCentered="1"/>
  <pageMargins left="0.7" right="0.7" top="0.75" bottom="0.75" header="0.3" footer="0.3"/>
  <pageSetup scale="65" orientation="portrait" blackAndWhite="1" r:id="rId1"/>
  <headerFooter>
    <oddHeader xml:space="preserve">&amp;L&amp;"Arial"&amp;10  
  &amp;R&amp;"Arial"&amp;10  Exhibit 3
Sheet 1B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8">
    <tabColor theme="5" tint="0.79998168889431442"/>
    <pageSetUpPr fitToPage="1"/>
  </sheetPr>
  <dimension ref="A1:M51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9" style="222"/>
    <col min="4" max="4" width="2.625" style="222" customWidth="1"/>
    <col min="5" max="5" width="10.625" style="222" customWidth="1"/>
    <col min="6" max="6" width="2.625" style="222" customWidth="1"/>
    <col min="7" max="7" width="10.625" style="222" customWidth="1"/>
    <col min="8" max="8" width="2.625" style="222" customWidth="1"/>
    <col min="9" max="9" width="10.625" style="222" customWidth="1"/>
    <col min="10" max="10" width="2.625" style="222" customWidth="1"/>
    <col min="11" max="11" width="10.625" style="222" customWidth="1"/>
    <col min="12" max="12" width="2.625" style="222" customWidth="1"/>
    <col min="13" max="13" width="10.625" style="222" customWidth="1"/>
    <col min="14" max="16384" width="9" style="222"/>
  </cols>
  <sheetData>
    <row r="1" spans="1:13" x14ac:dyDescent="0.2">
      <c r="A1" s="1" t="str">
        <f>[1]!getlabels()</f>
        <v>Exhibit 3, Sheet 1C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Reported Development Method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392" t="s">
        <v>473</v>
      </c>
    </row>
    <row r="11" spans="1:13" x14ac:dyDescent="0.2">
      <c r="A11" s="341"/>
    </row>
    <row r="12" spans="1:13" x14ac:dyDescent="0.2">
      <c r="A12" s="341"/>
      <c r="E12" s="493" t="s">
        <v>36</v>
      </c>
    </row>
    <row r="13" spans="1:13" x14ac:dyDescent="0.2">
      <c r="A13" s="148"/>
      <c r="B13" s="148"/>
      <c r="C13" s="148"/>
      <c r="D13" s="148"/>
      <c r="E13" s="151" t="s">
        <v>71</v>
      </c>
      <c r="F13" s="148"/>
      <c r="G13" s="151" t="s">
        <v>36</v>
      </c>
      <c r="H13" s="148"/>
      <c r="I13" s="151" t="s">
        <v>330</v>
      </c>
      <c r="J13" s="148"/>
      <c r="K13" s="151"/>
      <c r="L13" s="148"/>
      <c r="M13" s="151" t="s">
        <v>332</v>
      </c>
    </row>
    <row r="14" spans="1:13" x14ac:dyDescent="0.2">
      <c r="A14" s="181" t="str">
        <f>Intro!M9</f>
        <v>Policy</v>
      </c>
      <c r="B14" s="148"/>
      <c r="C14" s="148"/>
      <c r="D14" s="148"/>
      <c r="E14" s="151" t="s">
        <v>8</v>
      </c>
      <c r="F14" s="148"/>
      <c r="G14" s="151" t="s">
        <v>331</v>
      </c>
      <c r="H14" s="148"/>
      <c r="I14" s="342" t="s">
        <v>36</v>
      </c>
      <c r="J14" s="148"/>
      <c r="K14" s="151"/>
      <c r="L14" s="148"/>
      <c r="M14" s="342" t="s">
        <v>36</v>
      </c>
    </row>
    <row r="15" spans="1:13" x14ac:dyDescent="0.2">
      <c r="A15" s="181" t="str">
        <f>Intro!M10</f>
        <v>Period</v>
      </c>
      <c r="B15" s="148"/>
      <c r="C15" s="148"/>
      <c r="D15" s="148"/>
      <c r="E15" s="151" t="s">
        <v>334</v>
      </c>
      <c r="F15" s="148"/>
      <c r="G15" s="151" t="s">
        <v>245</v>
      </c>
      <c r="H15" s="148"/>
      <c r="I15" s="151" t="s">
        <v>245</v>
      </c>
      <c r="J15" s="148"/>
      <c r="K15" s="276" t="s">
        <v>5</v>
      </c>
      <c r="L15" s="148"/>
      <c r="M15" s="151" t="s">
        <v>8</v>
      </c>
    </row>
    <row r="16" spans="1:13" x14ac:dyDescent="0.2">
      <c r="A16" s="176" t="str">
        <f>Intro!M11</f>
        <v>Ending 9/30</v>
      </c>
      <c r="B16" s="148"/>
      <c r="C16" s="176" t="s">
        <v>90</v>
      </c>
      <c r="D16" s="148"/>
      <c r="E16" s="179" t="str">
        <f>ctxt</f>
        <v>4/30/19</v>
      </c>
      <c r="F16" s="148"/>
      <c r="G16" s="176" t="s">
        <v>338</v>
      </c>
      <c r="H16" s="148"/>
      <c r="I16" s="176" t="s">
        <v>8</v>
      </c>
      <c r="J16" s="148"/>
      <c r="K16" s="277" t="s">
        <v>6</v>
      </c>
      <c r="L16" s="148"/>
      <c r="M16" s="232" t="s">
        <v>349</v>
      </c>
    </row>
    <row r="17" spans="1:13" x14ac:dyDescent="0.2">
      <c r="A17" s="148"/>
      <c r="B17" s="148"/>
      <c r="C17" s="148"/>
      <c r="D17" s="148"/>
      <c r="E17" s="246">
        <v>1</v>
      </c>
      <c r="F17" s="148"/>
      <c r="G17" s="246">
        <f>E17+1</f>
        <v>2</v>
      </c>
      <c r="H17" s="148"/>
      <c r="I17" s="246">
        <f>G17+1</f>
        <v>3</v>
      </c>
      <c r="J17" s="148"/>
      <c r="K17" s="246">
        <f>I17+1</f>
        <v>4</v>
      </c>
      <c r="L17" s="148"/>
      <c r="M17" s="246">
        <f>K17+1</f>
        <v>5</v>
      </c>
    </row>
    <row r="18" spans="1:13" x14ac:dyDescent="0.2">
      <c r="A18" s="148"/>
      <c r="B18" s="148"/>
      <c r="C18" s="148"/>
      <c r="D18" s="148"/>
      <c r="E18" s="357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1">
        <f>Intro!C18</f>
        <v>1996</v>
      </c>
      <c r="B19" s="148"/>
      <c r="C19" s="315">
        <f>Intro!H18</f>
        <v>250000</v>
      </c>
      <c r="D19" s="148"/>
      <c r="E19" s="249">
        <f>'e3.1B'!E18-'e3.1B'!E54</f>
        <v>141454.19999999995</v>
      </c>
      <c r="F19" s="148"/>
      <c r="G19" s="236">
        <f ca="1">[1]!ldfsir(xsldfs, ldf_ages, xsldf_type, xsldf_ret, Intro!$AA18, "Rept XS", $C19, cutoff, 3)</f>
        <v>1.1196616209549584</v>
      </c>
      <c r="H19" s="148"/>
      <c r="I19" s="249">
        <f ca="1">E19*G19</f>
        <v>158380.83886288683</v>
      </c>
      <c r="J19" s="148"/>
      <c r="K19" s="350">
        <f>Intro!K18</f>
        <v>51718.748</v>
      </c>
      <c r="L19" s="148"/>
      <c r="M19" s="316">
        <f ca="1">I19/K19</f>
        <v>3.0623486644125033</v>
      </c>
    </row>
    <row r="20" spans="1:13" x14ac:dyDescent="0.2">
      <c r="A20" s="151">
        <f>Intro!C19</f>
        <v>1997</v>
      </c>
      <c r="B20" s="148"/>
      <c r="C20" s="247">
        <f>Intro!H19</f>
        <v>250000</v>
      </c>
      <c r="D20" s="148"/>
      <c r="E20" s="235">
        <f>'e3.1B'!E19-'e3.1B'!E55</f>
        <v>169167</v>
      </c>
      <c r="F20" s="148"/>
      <c r="G20" s="236">
        <f ca="1">[1]!ldfsir(xsldfs, ldf_ages, xsldf_type, xsldf_ret, Intro!$AA19, "Rept XS", $C20, cutoff, 3)</f>
        <v>1.1316173728018819</v>
      </c>
      <c r="H20" s="148"/>
      <c r="I20" s="235">
        <f t="shared" ref="I20:I42" ca="1" si="0">E20*G20</f>
        <v>191432.31610477596</v>
      </c>
      <c r="J20" s="148"/>
      <c r="K20" s="240">
        <f>Intro!K19</f>
        <v>71279.833180000031</v>
      </c>
      <c r="L20" s="148"/>
      <c r="M20" s="255">
        <f t="shared" ref="M20:M42" ca="1" si="1">I20/K20</f>
        <v>2.6856448390017946</v>
      </c>
    </row>
    <row r="21" spans="1:13" x14ac:dyDescent="0.2">
      <c r="A21" s="151">
        <f>Intro!C20</f>
        <v>1998</v>
      </c>
      <c r="B21" s="148"/>
      <c r="C21" s="247">
        <f>Intro!H20</f>
        <v>250000</v>
      </c>
      <c r="D21" s="148"/>
      <c r="E21" s="235">
        <f>'e3.1B'!E20-'e3.1B'!E56</f>
        <v>149905</v>
      </c>
      <c r="F21" s="148"/>
      <c r="G21" s="236">
        <f ca="1">[1]!ldfsir(xsldfs, ldf_ages, xsldf_type, xsldf_ret, Intro!$AA20, "Rept XS", $C21, cutoff, 3)</f>
        <v>1.1447468871341131</v>
      </c>
      <c r="H21" s="148"/>
      <c r="I21" s="235">
        <f t="shared" ca="1" si="0"/>
        <v>171603.28211583922</v>
      </c>
      <c r="J21" s="148"/>
      <c r="K21" s="240">
        <f>Intro!K20</f>
        <v>90725.935539999991</v>
      </c>
      <c r="L21" s="148"/>
      <c r="M21" s="255">
        <f t="shared" ca="1" si="1"/>
        <v>1.8914468183156001</v>
      </c>
    </row>
    <row r="22" spans="1:13" x14ac:dyDescent="0.2">
      <c r="A22" s="151">
        <f>Intro!C21</f>
        <v>1999</v>
      </c>
      <c r="B22" s="148"/>
      <c r="C22" s="247">
        <f>Intro!H21</f>
        <v>250000</v>
      </c>
      <c r="D22" s="148"/>
      <c r="E22" s="235">
        <f>'e3.1B'!E21-'e3.1B'!E57</f>
        <v>1418211.48</v>
      </c>
      <c r="F22" s="148"/>
      <c r="G22" s="236">
        <f ca="1">[1]!ldfsir(xsldfs, ldf_ages, xsldf_type, xsldf_ret, Intro!$AA21, "Rept XS", $C22, cutoff, 3)</f>
        <v>1.1591561409505655</v>
      </c>
      <c r="H22" s="148"/>
      <c r="I22" s="235">
        <f t="shared" ca="1" si="0"/>
        <v>1643928.54620859</v>
      </c>
      <c r="J22" s="148"/>
      <c r="K22" s="240">
        <f>Intro!K21</f>
        <v>115828.16377000001</v>
      </c>
      <c r="L22" s="148"/>
      <c r="M22" s="255">
        <f t="shared" ca="1" si="1"/>
        <v>14.192822304193124</v>
      </c>
    </row>
    <row r="23" spans="1:13" x14ac:dyDescent="0.2">
      <c r="A23" s="151">
        <f>Intro!C22</f>
        <v>2000</v>
      </c>
      <c r="B23" s="148"/>
      <c r="C23" s="247">
        <f>Intro!H22</f>
        <v>250000</v>
      </c>
      <c r="D23" s="148"/>
      <c r="E23" s="235">
        <f>'e3.1B'!E22-'e3.1B'!E58</f>
        <v>1048199.94</v>
      </c>
      <c r="F23" s="148"/>
      <c r="G23" s="236">
        <f ca="1">[1]!ldfsir(xsldfs, ldf_ages, xsldf_type, xsldf_ret, Intro!$AA22, "Rept XS", $C23, cutoff, 3)</f>
        <v>1.1749564675408644</v>
      </c>
      <c r="H23" s="148"/>
      <c r="I23" s="235">
        <f t="shared" ca="1" si="0"/>
        <v>1231589.2987789458</v>
      </c>
      <c r="J23" s="148"/>
      <c r="K23" s="240">
        <f>Intro!K22</f>
        <v>86853.122530000022</v>
      </c>
      <c r="L23" s="148"/>
      <c r="M23" s="255">
        <f t="shared" ca="1" si="1"/>
        <v>14.180138409572336</v>
      </c>
    </row>
    <row r="24" spans="1:13" x14ac:dyDescent="0.2">
      <c r="A24" s="151">
        <f>Intro!C23</f>
        <v>2001</v>
      </c>
      <c r="B24" s="148"/>
      <c r="C24" s="247">
        <f>Intro!H23</f>
        <v>250000</v>
      </c>
      <c r="D24" s="148"/>
      <c r="E24" s="235">
        <f>'e3.1B'!E23-'e3.1B'!E59</f>
        <v>289652</v>
      </c>
      <c r="F24" s="148"/>
      <c r="G24" s="236">
        <f ca="1">[1]!ldfsir(xsldfs, ldf_ages, xsldf_type, xsldf_ret, Intro!$AA23, "Rept XS", $C24, cutoff, 3)</f>
        <v>1.192262852272741</v>
      </c>
      <c r="H24" s="148"/>
      <c r="I24" s="235">
        <f t="shared" ca="1" si="0"/>
        <v>345341.31968650396</v>
      </c>
      <c r="J24" s="148"/>
      <c r="K24" s="240">
        <f>Intro!K23</f>
        <v>91838.194909999977</v>
      </c>
      <c r="L24" s="148"/>
      <c r="M24" s="255">
        <f t="shared" ca="1" si="1"/>
        <v>3.7603234691724197</v>
      </c>
    </row>
    <row r="25" spans="1:13" x14ac:dyDescent="0.2">
      <c r="A25" s="151">
        <f>Intro!C24</f>
        <v>2002</v>
      </c>
      <c r="B25" s="148"/>
      <c r="C25" s="247">
        <f>Intro!H24</f>
        <v>250000</v>
      </c>
      <c r="D25" s="148"/>
      <c r="E25" s="235">
        <f>'e3.1B'!E24-'e3.1B'!E60</f>
        <v>1352212.2399999998</v>
      </c>
      <c r="F25" s="148"/>
      <c r="G25" s="236">
        <f ca="1">[1]!ldfsir(xsldfs, ldf_ages, xsldf_type, xsldf_ret, Intro!$AA24, "Rept XS", $C25, cutoff, 3)</f>
        <v>1.2091372578035926</v>
      </c>
      <c r="H25" s="148"/>
      <c r="I25" s="235">
        <f t="shared" ca="1" si="0"/>
        <v>1635010.1998420532</v>
      </c>
      <c r="J25" s="148"/>
      <c r="K25" s="240">
        <f>Intro!K24</f>
        <v>86098.134999999995</v>
      </c>
      <c r="L25" s="148"/>
      <c r="M25" s="255">
        <f t="shared" ca="1" si="1"/>
        <v>18.990076844777803</v>
      </c>
    </row>
    <row r="26" spans="1:13" x14ac:dyDescent="0.2">
      <c r="A26" s="151">
        <f>Intro!C25</f>
        <v>2003</v>
      </c>
      <c r="B26" s="148"/>
      <c r="C26" s="247">
        <f>Intro!H25</f>
        <v>250000</v>
      </c>
      <c r="D26" s="148"/>
      <c r="E26" s="235">
        <f>'e3.1B'!E25-'e3.1B'!E61</f>
        <v>256580.59999999986</v>
      </c>
      <c r="F26" s="148"/>
      <c r="G26" s="236">
        <f ca="1">[1]!ldfsir(xsldfs, ldf_ages, xsldf_type, xsldf_ret, Intro!$AA25, "Rept XS", $C26, cutoff, 3)</f>
        <v>1.1877860857678781</v>
      </c>
      <c r="H26" s="148"/>
      <c r="I26" s="235">
        <f t="shared" ca="1" si="0"/>
        <v>304762.8665579735</v>
      </c>
      <c r="J26" s="148"/>
      <c r="K26" s="240">
        <f>Intro!K25</f>
        <v>95877.160999999993</v>
      </c>
      <c r="L26" s="148"/>
      <c r="M26" s="255">
        <f t="shared" ca="1" si="1"/>
        <v>3.1786805468507096</v>
      </c>
    </row>
    <row r="27" spans="1:13" x14ac:dyDescent="0.2">
      <c r="A27" s="151">
        <f>Intro!C26</f>
        <v>2004</v>
      </c>
      <c r="B27" s="148"/>
      <c r="C27" s="247">
        <f>Intro!H26</f>
        <v>350000</v>
      </c>
      <c r="D27" s="148"/>
      <c r="E27" s="235">
        <f>'e3.1B'!E26-'e3.1B'!E62</f>
        <v>353506.28000000119</v>
      </c>
      <c r="F27" s="148"/>
      <c r="G27" s="236">
        <f ca="1">[1]!ldfsir(xsldfs, ldf_ages, xsldf_type, xsldf_ret, Intro!$AA26, "Rept XS", $C27, cutoff, 3)</f>
        <v>1.2503817819865983</v>
      </c>
      <c r="H27" s="148"/>
      <c r="I27" s="235">
        <f t="shared" ca="1" si="0"/>
        <v>442017.81232985487</v>
      </c>
      <c r="J27" s="148"/>
      <c r="K27" s="240">
        <f>Intro!K26</f>
        <v>102137.68700000001</v>
      </c>
      <c r="L27" s="148"/>
      <c r="M27" s="255">
        <f t="shared" ca="1" si="1"/>
        <v>4.3276661662590312</v>
      </c>
    </row>
    <row r="28" spans="1:13" x14ac:dyDescent="0.2">
      <c r="A28" s="151">
        <f>Intro!C27</f>
        <v>2005</v>
      </c>
      <c r="B28" s="148"/>
      <c r="C28" s="247">
        <f>Intro!H27</f>
        <v>350000</v>
      </c>
      <c r="D28" s="148"/>
      <c r="E28" s="235">
        <f>'e3.1B'!E27-'e3.1B'!E63</f>
        <v>0</v>
      </c>
      <c r="F28" s="148"/>
      <c r="G28" s="236">
        <f ca="1">[1]!ldfsir(xsldfs, ldf_ages, xsldf_type, xsldf_ret, Intro!$AA27, "Rept XS", $C28, cutoff, 3)</f>
        <v>1.2711843064678745</v>
      </c>
      <c r="H28" s="148"/>
      <c r="I28" s="235">
        <f t="shared" ca="1" si="0"/>
        <v>0</v>
      </c>
      <c r="J28" s="148"/>
      <c r="K28" s="240">
        <f>Intro!K27</f>
        <v>111292.39200000001</v>
      </c>
      <c r="L28" s="148"/>
      <c r="M28" s="255">
        <f t="shared" ca="1" si="1"/>
        <v>0</v>
      </c>
    </row>
    <row r="29" spans="1:13" x14ac:dyDescent="0.2">
      <c r="A29" s="151">
        <f>Intro!C28</f>
        <v>2006</v>
      </c>
      <c r="B29" s="148"/>
      <c r="C29" s="247">
        <f>Intro!H28</f>
        <v>350000</v>
      </c>
      <c r="D29" s="148"/>
      <c r="E29" s="235">
        <f>'e3.1B'!E28-'e3.1B'!E64</f>
        <v>310667.57999999984</v>
      </c>
      <c r="F29" s="148"/>
      <c r="G29" s="236">
        <f ca="1">[1]!ldfsir(xsldfs, ldf_ages, xsldf_type, xsldf_ret, Intro!$AA28, "Rept XS", $C29, cutoff, 3)</f>
        <v>1.2935225044691592</v>
      </c>
      <c r="H29" s="148"/>
      <c r="I29" s="235">
        <f t="shared" ca="1" si="0"/>
        <v>401855.50613897265</v>
      </c>
      <c r="J29" s="148"/>
      <c r="K29" s="240">
        <f>Intro!K28</f>
        <v>107756.82399999999</v>
      </c>
      <c r="L29" s="148"/>
      <c r="M29" s="255">
        <f t="shared" ca="1" si="1"/>
        <v>3.7292812763205854</v>
      </c>
    </row>
    <row r="30" spans="1:13" x14ac:dyDescent="0.2">
      <c r="A30" s="151">
        <f>Intro!C29</f>
        <v>2007</v>
      </c>
      <c r="B30" s="148"/>
      <c r="C30" s="247">
        <f>Intro!H29</f>
        <v>350000</v>
      </c>
      <c r="D30" s="148"/>
      <c r="E30" s="235">
        <f>'e3.1B'!E29-'e3.1B'!E65</f>
        <v>0</v>
      </c>
      <c r="F30" s="148"/>
      <c r="G30" s="236">
        <f ca="1">[1]!ldfsir(xsldfs, ldf_ages, xsldf_type, xsldf_ret, Intro!$AA29, "Rept XS", $C30, cutoff, 3)</f>
        <v>1.3185464437728189</v>
      </c>
      <c r="H30" s="148"/>
      <c r="I30" s="235">
        <f t="shared" ca="1" si="0"/>
        <v>0</v>
      </c>
      <c r="J30" s="148"/>
      <c r="K30" s="240">
        <f>Intro!K29</f>
        <v>104584.102</v>
      </c>
      <c r="L30" s="148"/>
      <c r="M30" s="255">
        <f t="shared" ca="1" si="1"/>
        <v>0</v>
      </c>
    </row>
    <row r="31" spans="1:13" x14ac:dyDescent="0.2">
      <c r="A31" s="151">
        <f>Intro!C30</f>
        <v>2008</v>
      </c>
      <c r="B31" s="148"/>
      <c r="C31" s="247">
        <f>Intro!H30</f>
        <v>500000</v>
      </c>
      <c r="D31" s="148"/>
      <c r="E31" s="235">
        <f>'e3.1B'!E30-'e3.1B'!E66</f>
        <v>0</v>
      </c>
      <c r="F31" s="148"/>
      <c r="G31" s="236">
        <f ca="1">[1]!ldfsir(xsldfs, ldf_ages, xsldf_type, xsldf_ret, Intro!$AA30, "Rept XS", $C31, cutoff, 3)</f>
        <v>1.2911791732873699</v>
      </c>
      <c r="H31" s="148"/>
      <c r="I31" s="235">
        <f t="shared" ca="1" si="0"/>
        <v>0</v>
      </c>
      <c r="J31" s="148"/>
      <c r="K31" s="240">
        <f>Intro!K30</f>
        <v>106050.29700000001</v>
      </c>
      <c r="L31" s="148"/>
      <c r="M31" s="255">
        <f t="shared" ca="1" si="1"/>
        <v>0</v>
      </c>
    </row>
    <row r="32" spans="1:13" x14ac:dyDescent="0.2">
      <c r="A32" s="151">
        <f>Intro!C31</f>
        <v>2009</v>
      </c>
      <c r="B32" s="148"/>
      <c r="C32" s="247">
        <f>Intro!H31</f>
        <v>500000</v>
      </c>
      <c r="D32" s="148"/>
      <c r="E32" s="235">
        <f>'e3.1B'!E31-'e3.1B'!E67</f>
        <v>83743.280000000028</v>
      </c>
      <c r="F32" s="148"/>
      <c r="G32" s="236">
        <f ca="1">[1]!ldfsir(xsldfs, ldf_ages, xsldf_type, xsldf_ret, Intro!$AA31, "Rept XS", $C32, cutoff, 3)</f>
        <v>1.3119872552074012</v>
      </c>
      <c r="H32" s="148"/>
      <c r="I32" s="235">
        <f t="shared" ca="1" si="0"/>
        <v>109870.1160692649</v>
      </c>
      <c r="J32" s="148"/>
      <c r="K32" s="240">
        <f>Intro!K31</f>
        <v>110722.705</v>
      </c>
      <c r="L32" s="148"/>
      <c r="M32" s="255">
        <f t="shared" ca="1" si="1"/>
        <v>0.99229978231894622</v>
      </c>
    </row>
    <row r="33" spans="1:13" x14ac:dyDescent="0.2">
      <c r="A33" s="151">
        <f>Intro!C32</f>
        <v>2010</v>
      </c>
      <c r="B33" s="148"/>
      <c r="C33" s="247">
        <f>Intro!H32</f>
        <v>500000</v>
      </c>
      <c r="D33" s="148"/>
      <c r="E33" s="235">
        <f>'e3.1B'!E32-'e3.1B'!E68</f>
        <v>0</v>
      </c>
      <c r="F33" s="148"/>
      <c r="G33" s="236">
        <f ca="1">[1]!ldfsir(xsldfs, ldf_ages, xsldf_type, xsldf_ret, Intro!$AA32, "Rept XS", $C33, cutoff, 3)</f>
        <v>1.3350417104652077</v>
      </c>
      <c r="H33" s="148"/>
      <c r="I33" s="235">
        <f t="shared" ca="1" si="0"/>
        <v>0</v>
      </c>
      <c r="J33" s="148"/>
      <c r="K33" s="240">
        <f>Intro!K32</f>
        <v>128222.10400000001</v>
      </c>
      <c r="L33" s="148"/>
      <c r="M33" s="255">
        <f t="shared" ca="1" si="1"/>
        <v>0</v>
      </c>
    </row>
    <row r="34" spans="1:13" x14ac:dyDescent="0.2">
      <c r="A34" s="151">
        <f>Intro!C33</f>
        <v>2011</v>
      </c>
      <c r="B34" s="148"/>
      <c r="C34" s="247">
        <f>Intro!H33</f>
        <v>500000</v>
      </c>
      <c r="D34" s="148"/>
      <c r="E34" s="235">
        <f>'e3.1B'!E33-'e3.1B'!E69</f>
        <v>0</v>
      </c>
      <c r="F34" s="148"/>
      <c r="G34" s="236">
        <f ca="1">[1]!ldfsir(xsldfs, ldf_ages, xsldf_type, xsldf_ret, Intro!$AA33, "Rept XS", $C34, cutoff, 3)</f>
        <v>1.3607621027653369</v>
      </c>
      <c r="H34" s="148"/>
      <c r="I34" s="235">
        <f t="shared" ca="1" si="0"/>
        <v>0</v>
      </c>
      <c r="J34" s="148"/>
      <c r="K34" s="240">
        <f>Intro!K33</f>
        <v>143214.37400000001</v>
      </c>
      <c r="L34" s="148"/>
      <c r="M34" s="255">
        <f t="shared" ca="1" si="1"/>
        <v>0</v>
      </c>
    </row>
    <row r="35" spans="1:13" x14ac:dyDescent="0.2">
      <c r="A35" s="151">
        <f>Intro!C34</f>
        <v>2012</v>
      </c>
      <c r="B35" s="148"/>
      <c r="C35" s="247">
        <f>Intro!H34</f>
        <v>500000</v>
      </c>
      <c r="D35" s="148"/>
      <c r="E35" s="235">
        <f>'e3.1B'!E34-'e3.1B'!E70</f>
        <v>0</v>
      </c>
      <c r="F35" s="148"/>
      <c r="G35" s="236">
        <f ca="1">[1]!ldfsir(xsldfs, ldf_ages, xsldf_type, xsldf_ret, Intro!$AA34, "Rept XS", $C35, cutoff, 3)</f>
        <v>1.388828857473533</v>
      </c>
      <c r="H35" s="148"/>
      <c r="I35" s="235">
        <f t="shared" ca="1" si="0"/>
        <v>0</v>
      </c>
      <c r="J35" s="148"/>
      <c r="K35" s="240">
        <f>Intro!K34</f>
        <v>145569.85699999999</v>
      </c>
      <c r="L35" s="148"/>
      <c r="M35" s="255">
        <f t="shared" ca="1" si="1"/>
        <v>0</v>
      </c>
    </row>
    <row r="36" spans="1:13" x14ac:dyDescent="0.2">
      <c r="A36" s="151">
        <f>Intro!C35</f>
        <v>2013</v>
      </c>
      <c r="B36" s="148"/>
      <c r="C36" s="247">
        <f>Intro!H35</f>
        <v>500000</v>
      </c>
      <c r="D36" s="148"/>
      <c r="E36" s="235">
        <f>'e3.1B'!E35-'e3.1B'!E71</f>
        <v>64795.240000000689</v>
      </c>
      <c r="F36" s="148"/>
      <c r="G36" s="236">
        <f ca="1">[1]!ldfsir(xsldfs, ldf_ages, xsldf_type, xsldf_ret, Intro!$AA35, "Rept XS", $C36, cutoff, 3)</f>
        <v>1.4222755725751506</v>
      </c>
      <c r="H36" s="148"/>
      <c r="I36" s="235">
        <f t="shared" ca="1" si="0"/>
        <v>92156.687071145279</v>
      </c>
      <c r="J36" s="148"/>
      <c r="K36" s="240">
        <f>Intro!K35</f>
        <v>157968.50285000002</v>
      </c>
      <c r="L36" s="148"/>
      <c r="M36" s="255">
        <f t="shared" ca="1" si="1"/>
        <v>0.58338646887508483</v>
      </c>
    </row>
    <row r="37" spans="1:13" x14ac:dyDescent="0.2">
      <c r="A37" s="151">
        <f>Intro!C36</f>
        <v>2014</v>
      </c>
      <c r="B37" s="148"/>
      <c r="C37" s="247">
        <f>Intro!H36</f>
        <v>500000</v>
      </c>
      <c r="D37" s="148"/>
      <c r="E37" s="235">
        <f>'e3.1B'!E36-'e3.1B'!E72</f>
        <v>0</v>
      </c>
      <c r="F37" s="148"/>
      <c r="G37" s="236">
        <f ca="1">[1]!ldfsir(xsldfs, ldf_ages, xsldf_type, xsldf_ret, Intro!$AA36, "Rept XS", $C37, cutoff, 3)</f>
        <v>1.4686046604686986</v>
      </c>
      <c r="H37" s="148"/>
      <c r="I37" s="235">
        <f t="shared" ca="1" si="0"/>
        <v>0</v>
      </c>
      <c r="J37" s="148"/>
      <c r="K37" s="240">
        <f>Intro!K36</f>
        <v>182546.24444841431</v>
      </c>
      <c r="L37" s="148"/>
      <c r="M37" s="255">
        <f t="shared" ca="1" si="1"/>
        <v>0</v>
      </c>
    </row>
    <row r="38" spans="1:13" x14ac:dyDescent="0.2">
      <c r="A38" s="151">
        <f>Intro!C37</f>
        <v>2015</v>
      </c>
      <c r="B38" s="148"/>
      <c r="C38" s="247">
        <f>Intro!H37</f>
        <v>500000</v>
      </c>
      <c r="D38" s="148"/>
      <c r="E38" s="235">
        <f>'e3.1B'!E37-'e3.1B'!E73</f>
        <v>0</v>
      </c>
      <c r="F38" s="148"/>
      <c r="G38" s="236">
        <f ca="1">[1]!ldfsir(xsldfs, ldf_ages, xsldf_type, xsldf_ret, Intro!$AA37, "Rept XS", $C38, cutoff, 3)</f>
        <v>1.5337450606236416</v>
      </c>
      <c r="H38" s="148"/>
      <c r="I38" s="235">
        <f t="shared" ca="1" si="0"/>
        <v>0</v>
      </c>
      <c r="J38" s="148"/>
      <c r="K38" s="240">
        <f>Intro!K37</f>
        <v>196912.10476000005</v>
      </c>
      <c r="L38" s="148"/>
      <c r="M38" s="255">
        <f t="shared" ca="1" si="1"/>
        <v>0</v>
      </c>
    </row>
    <row r="39" spans="1:13" x14ac:dyDescent="0.2">
      <c r="A39" s="151">
        <f>Intro!C38</f>
        <v>2016</v>
      </c>
      <c r="B39" s="148"/>
      <c r="C39" s="247">
        <f>Intro!H38</f>
        <v>750000</v>
      </c>
      <c r="D39" s="148"/>
      <c r="E39" s="235">
        <f>'e3.1B'!E38-'e3.1B'!E74</f>
        <v>0</v>
      </c>
      <c r="F39" s="148"/>
      <c r="G39" s="236">
        <f ca="1">[1]!ldfsir(xsldfs, ldf_ages, xsldf_type, xsldf_ret, Intro!$AA38, "Rept XS", $C39, cutoff, 3)</f>
        <v>1.6477317676279923</v>
      </c>
      <c r="H39" s="148"/>
      <c r="I39" s="235">
        <f t="shared" ca="1" si="0"/>
        <v>0</v>
      </c>
      <c r="J39" s="148"/>
      <c r="K39" s="240">
        <f>Intro!K38</f>
        <v>221894.58274919298</v>
      </c>
      <c r="L39" s="148"/>
      <c r="M39" s="255">
        <f t="shared" ca="1" si="1"/>
        <v>0</v>
      </c>
    </row>
    <row r="40" spans="1:13" x14ac:dyDescent="0.2">
      <c r="A40" s="151">
        <f>Intro!C39</f>
        <v>2017</v>
      </c>
      <c r="B40" s="148"/>
      <c r="C40" s="247">
        <f>Intro!H39</f>
        <v>750000</v>
      </c>
      <c r="D40" s="148"/>
      <c r="E40" s="235">
        <f>'e3.1B'!E39-'e3.1B'!E75</f>
        <v>0</v>
      </c>
      <c r="F40" s="148"/>
      <c r="G40" s="236">
        <f ca="1">[1]!ldfsir(xsldfs, ldf_ages, xsldf_type, xsldf_ret, Intro!$AA39, "Rept XS", $C40, cutoff, 3)</f>
        <v>1.8904657797438222</v>
      </c>
      <c r="H40" s="148"/>
      <c r="I40" s="235">
        <f t="shared" ca="1" si="0"/>
        <v>0</v>
      </c>
      <c r="J40" s="148"/>
      <c r="K40" s="240">
        <f>Intro!K39</f>
        <v>307509.66981400014</v>
      </c>
      <c r="L40" s="148"/>
      <c r="M40" s="255">
        <f t="shared" ca="1" si="1"/>
        <v>0</v>
      </c>
    </row>
    <row r="41" spans="1:13" x14ac:dyDescent="0.2">
      <c r="A41" s="151">
        <f>Intro!C40</f>
        <v>2018</v>
      </c>
      <c r="B41" s="148"/>
      <c r="C41" s="247">
        <f>Intro!H40</f>
        <v>500000</v>
      </c>
      <c r="D41" s="148"/>
      <c r="E41" s="235">
        <f>'e3.1B'!E40-'e3.1B'!E76</f>
        <v>0</v>
      </c>
      <c r="F41" s="148"/>
      <c r="G41" s="236">
        <f ca="1">[1]!ldfsir(xsldfs, ldf_ages, xsldf_type, xsldf_ret, Intro!$AA40, "Rept XS", $C41, cutoff, 3)</f>
        <v>2.5609155162140933</v>
      </c>
      <c r="H41" s="148"/>
      <c r="I41" s="235">
        <f t="shared" ca="1" si="0"/>
        <v>0</v>
      </c>
      <c r="J41" s="148"/>
      <c r="K41" s="240">
        <f>Intro!K40</f>
        <v>536896.27333</v>
      </c>
      <c r="L41" s="148"/>
      <c r="M41" s="255">
        <f t="shared" ca="1" si="1"/>
        <v>0</v>
      </c>
    </row>
    <row r="42" spans="1:13" x14ac:dyDescent="0.2">
      <c r="A42" s="151">
        <f>Intro!C41</f>
        <v>2019</v>
      </c>
      <c r="B42" s="148"/>
      <c r="C42" s="247">
        <f>Intro!H41</f>
        <v>500000</v>
      </c>
      <c r="D42" s="148"/>
      <c r="E42" s="235">
        <f>'e3.1B'!E41-'e3.1B'!E77</f>
        <v>0</v>
      </c>
      <c r="F42" s="148"/>
      <c r="G42" s="236">
        <f ca="1">[1]!ldfsir(xsldfs, ldf_ages, xsldf_type, xsldf_ret, Intro!$AA41, "Rept XS", $C42, cutoff, 3)</f>
        <v>7.2550366087848639</v>
      </c>
      <c r="H42" s="148"/>
      <c r="I42" s="235">
        <f t="shared" ca="1" si="0"/>
        <v>0</v>
      </c>
      <c r="J42" s="148"/>
      <c r="K42" s="271">
        <f>Intro!K41</f>
        <v>543133.22666000458</v>
      </c>
      <c r="L42" s="148"/>
      <c r="M42" s="261">
        <f t="shared" ca="1" si="1"/>
        <v>0</v>
      </c>
    </row>
    <row r="43" spans="1:13" x14ac:dyDescent="0.2">
      <c r="A43" s="148"/>
      <c r="B43" s="148"/>
      <c r="C43" s="148"/>
      <c r="D43" s="148"/>
      <c r="E43" s="234"/>
      <c r="F43" s="228"/>
      <c r="G43" s="228"/>
      <c r="H43" s="228"/>
      <c r="I43" s="234"/>
      <c r="J43" s="228"/>
      <c r="K43" s="234"/>
      <c r="L43" s="228"/>
      <c r="M43" s="281"/>
    </row>
    <row r="44" spans="1:13" x14ac:dyDescent="0.2">
      <c r="A44" s="151" t="s">
        <v>78</v>
      </c>
      <c r="B44" s="148"/>
      <c r="C44" s="148"/>
      <c r="D44" s="148"/>
      <c r="E44" s="358">
        <f>SUM(E19:E42)</f>
        <v>5638094.8400000017</v>
      </c>
      <c r="F44" s="148"/>
      <c r="G44" s="148"/>
      <c r="H44" s="148"/>
      <c r="I44" s="358">
        <f ca="1">SUM(I19:I42)</f>
        <v>6727948.7897668071</v>
      </c>
      <c r="J44" s="148"/>
      <c r="K44" s="358">
        <f>SUM(K19:K42)</f>
        <v>3896630.2405416127</v>
      </c>
      <c r="L44" s="148"/>
      <c r="M44" s="316">
        <f t="shared" ref="M44" ca="1" si="2">I44/K44</f>
        <v>1.726606933284913</v>
      </c>
    </row>
    <row r="45" spans="1:13" x14ac:dyDescent="0.2">
      <c r="A45" s="151"/>
      <c r="B45" s="148"/>
      <c r="C45" s="148"/>
      <c r="D45" s="148"/>
      <c r="E45" s="235"/>
      <c r="F45" s="148"/>
      <c r="G45" s="148"/>
      <c r="H45" s="148"/>
      <c r="I45" s="235"/>
      <c r="J45" s="148"/>
      <c r="K45" s="355"/>
      <c r="L45" s="148"/>
      <c r="M45" s="255"/>
    </row>
    <row r="46" spans="1:1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239"/>
    </row>
    <row r="48" spans="1:13" x14ac:dyDescent="0.2">
      <c r="A48" s="356" t="str">
        <f>"Columns (1) and (4) provided by "&amp;client&amp;"."</f>
        <v>Columns (1) and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148" t="s">
        <v>695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359" t="s">
        <v>358</v>
      </c>
    </row>
    <row r="51" spans="1:13" x14ac:dyDescent="0.2">
      <c r="A51" s="341" t="s">
        <v>472</v>
      </c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1C
</oddHeader>
    <oddFooter xml:space="preserve">&amp;L&amp;"Arial"&amp;10 Oliver Wyman Actuarial Consulting, Inc.
&amp;C&amp;"Arial"&amp;10 &amp;R&amp;"Arial"&amp;10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9">
    <tabColor theme="5" tint="0.79998168889431442"/>
    <pageSetUpPr fitToPage="1"/>
  </sheetPr>
  <dimension ref="A1:M122"/>
  <sheetViews>
    <sheetView zoomScale="85" zoomScaleNormal="85" workbookViewId="0"/>
  </sheetViews>
  <sheetFormatPr defaultColWidth="9" defaultRowHeight="12.75" x14ac:dyDescent="0.2"/>
  <cols>
    <col min="1" max="1" width="9.5" style="488" customWidth="1"/>
    <col min="2" max="2" width="2.625" style="488" customWidth="1"/>
    <col min="3" max="3" width="9" style="488"/>
    <col min="4" max="4" width="2.625" style="488" customWidth="1"/>
    <col min="5" max="5" width="10.75" style="488" customWidth="1"/>
    <col min="6" max="6" width="2.625" style="488" customWidth="1"/>
    <col min="7" max="7" width="9" style="488"/>
    <col min="8" max="8" width="2.625" style="488" customWidth="1"/>
    <col min="9" max="9" width="10.75" style="488" customWidth="1"/>
    <col min="10" max="10" width="2.625" style="488" customWidth="1"/>
    <col min="11" max="11" width="10.625" style="488" customWidth="1"/>
    <col min="12" max="12" width="2.625" style="488" customWidth="1"/>
    <col min="13" max="13" width="10.75" style="488" customWidth="1"/>
    <col min="14" max="14" width="2.625" style="488" customWidth="1"/>
    <col min="15" max="16384" width="9" style="488"/>
  </cols>
  <sheetData>
    <row r="1" spans="1:13" x14ac:dyDescent="0.2">
      <c r="A1" s="1" t="str">
        <f>[1]!getlabels()</f>
        <v>Exhibit 3, Sheet 2A</v>
      </c>
    </row>
    <row r="2" spans="1:13" ht="22.5" x14ac:dyDescent="0.45">
      <c r="A2" s="78" t="str">
        <f>client</f>
        <v>CLIENT XYZ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13" ht="15" x14ac:dyDescent="0.2">
      <c r="A3" s="80" t="str">
        <f>tit</f>
        <v>Analysis of Unpaid Loss &amp; ALAE as of June 30, 2019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</row>
    <row r="4" spans="1:13" ht="15" x14ac:dyDescent="0.2">
      <c r="A4" s="80" t="str">
        <f>cov</f>
        <v>Workers Compensation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</row>
    <row r="5" spans="1:13" ht="15" x14ac:dyDescent="0.2">
      <c r="A5" s="80" t="str">
        <f>"Data Evaluated as of "&amp;ctxt_l</f>
        <v>Data Evaluated as of April 30, 2019</v>
      </c>
      <c r="B5" s="491"/>
      <c r="C5" s="491"/>
      <c r="D5" s="491"/>
      <c r="E5" s="491"/>
      <c r="F5" s="491"/>
      <c r="G5" s="491"/>
      <c r="H5" s="491"/>
      <c r="I5" s="491"/>
      <c r="J5" s="491"/>
      <c r="K5" s="491"/>
      <c r="L5" s="491"/>
      <c r="M5" s="491"/>
    </row>
    <row r="7" spans="1:13" s="619" customFormat="1" x14ac:dyDescent="0.2">
      <c r="A7" s="224" t="str">
        <f>VLOOKUP($A$1, index_lkups, 3, FALSE)</f>
        <v>Paid Development Method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</row>
    <row r="10" spans="1:13" x14ac:dyDescent="0.2">
      <c r="A10" s="392" t="s">
        <v>413</v>
      </c>
    </row>
    <row r="12" spans="1:13" x14ac:dyDescent="0.2">
      <c r="E12" s="493" t="s">
        <v>75</v>
      </c>
    </row>
    <row r="13" spans="1:13" x14ac:dyDescent="0.2">
      <c r="A13" s="496" t="str">
        <f>Intro!M9</f>
        <v>Policy</v>
      </c>
      <c r="E13" s="493" t="s">
        <v>8</v>
      </c>
      <c r="G13" s="496" t="s">
        <v>331</v>
      </c>
      <c r="I13" s="496" t="s">
        <v>330</v>
      </c>
      <c r="M13" s="496" t="s">
        <v>332</v>
      </c>
    </row>
    <row r="14" spans="1:13" x14ac:dyDescent="0.2">
      <c r="A14" s="496" t="str">
        <f>Intro!M10</f>
        <v>Period</v>
      </c>
      <c r="E14" s="493" t="s">
        <v>334</v>
      </c>
      <c r="G14" s="496" t="s">
        <v>245</v>
      </c>
      <c r="I14" s="496" t="s">
        <v>245</v>
      </c>
      <c r="K14" s="496" t="s">
        <v>5</v>
      </c>
      <c r="M14" s="496" t="s">
        <v>8</v>
      </c>
    </row>
    <row r="15" spans="1:13" x14ac:dyDescent="0.2">
      <c r="A15" s="498" t="str">
        <f>Intro!M11</f>
        <v>Ending 9/30</v>
      </c>
      <c r="C15" s="498" t="s">
        <v>90</v>
      </c>
      <c r="E15" s="498" t="str">
        <f>ctxt</f>
        <v>4/30/19</v>
      </c>
      <c r="G15" s="498" t="s">
        <v>338</v>
      </c>
      <c r="I15" s="498" t="s">
        <v>8</v>
      </c>
      <c r="K15" s="498" t="s">
        <v>6</v>
      </c>
      <c r="M15" s="498" t="s">
        <v>349</v>
      </c>
    </row>
    <row r="16" spans="1:13" x14ac:dyDescent="0.2">
      <c r="E16" s="500">
        <v>1</v>
      </c>
      <c r="G16" s="500">
        <f>E16+1</f>
        <v>2</v>
      </c>
      <c r="I16" s="500">
        <f>G16+1</f>
        <v>3</v>
      </c>
      <c r="K16" s="500">
        <f>I16+1</f>
        <v>4</v>
      </c>
      <c r="M16" s="500">
        <f>K16+1</f>
        <v>5</v>
      </c>
    </row>
    <row r="17" spans="1:13" x14ac:dyDescent="0.2">
      <c r="E17" s="500"/>
      <c r="G17" s="500"/>
      <c r="I17" s="500"/>
      <c r="K17" s="500"/>
      <c r="M17" s="500"/>
    </row>
    <row r="18" spans="1:13" x14ac:dyDescent="0.2">
      <c r="A18" s="493">
        <f>Intro!C18</f>
        <v>1996</v>
      </c>
      <c r="C18" s="517">
        <v>250000</v>
      </c>
      <c r="E18" s="501">
        <f>'e7'!C49</f>
        <v>683326</v>
      </c>
      <c r="G18" s="502">
        <f ca="1">[1]!ldfsir(ldfs, ldf_ages, ldf_type, ldf_ret, Intro!$AA18, "Paid", $C18, cutoff, 3)</f>
        <v>1.0083718713251526</v>
      </c>
      <c r="I18" s="501">
        <f ca="1">E18*G18</f>
        <v>689046.71734513121</v>
      </c>
      <c r="K18" s="501">
        <f>Intro!K18</f>
        <v>51718.748</v>
      </c>
      <c r="M18" s="503">
        <f ca="1">I18/K18</f>
        <v>13.322958191971917</v>
      </c>
    </row>
    <row r="19" spans="1:13" x14ac:dyDescent="0.2">
      <c r="A19" s="493">
        <f>Intro!C19</f>
        <v>1997</v>
      </c>
      <c r="C19" s="518">
        <f>C18</f>
        <v>250000</v>
      </c>
      <c r="E19" s="504">
        <f>'e7'!C50</f>
        <v>1337604</v>
      </c>
      <c r="G19" s="502">
        <f ca="1">[1]!ldfsir(ldfs, ldf_ages, ldf_type, ldf_ret, Intro!$AA19, "Paid", $C19, cutoff, 3)</f>
        <v>1.0099642143752063</v>
      </c>
      <c r="I19" s="507">
        <f t="shared" ref="I19:I39" ca="1" si="0">E19*G19</f>
        <v>1350932.1730051334</v>
      </c>
      <c r="K19" s="504">
        <f>Intro!K19</f>
        <v>71279.833180000031</v>
      </c>
      <c r="M19" s="510">
        <f t="shared" ref="M19:M43" ca="1" si="1">I19/K19</f>
        <v>18.952515918404018</v>
      </c>
    </row>
    <row r="20" spans="1:13" x14ac:dyDescent="0.2">
      <c r="A20" s="493">
        <f>Intro!C20</f>
        <v>1998</v>
      </c>
      <c r="C20" s="518">
        <f t="shared" ref="C20:C41" si="2">C19</f>
        <v>250000</v>
      </c>
      <c r="E20" s="504">
        <f>'e7'!C51</f>
        <v>2584955.17</v>
      </c>
      <c r="G20" s="502">
        <f ca="1">[1]!ldfsir(ldfs, ldf_ages, ldf_type, ldf_ret, Intro!$AA20, "Paid", $C20, cutoff, 3)</f>
        <v>1.0118612003976113</v>
      </c>
      <c r="I20" s="507">
        <f t="shared" ca="1" si="0"/>
        <v>2615615.8412902113</v>
      </c>
      <c r="K20" s="504">
        <f>Intro!K20</f>
        <v>90725.935539999991</v>
      </c>
      <c r="M20" s="510">
        <f t="shared" ca="1" si="1"/>
        <v>28.829858030364615</v>
      </c>
    </row>
    <row r="21" spans="1:13" x14ac:dyDescent="0.2">
      <c r="A21" s="493">
        <f>Intro!C21</f>
        <v>1999</v>
      </c>
      <c r="C21" s="518">
        <f t="shared" si="2"/>
        <v>250000</v>
      </c>
      <c r="E21" s="504">
        <f>'e7'!C52</f>
        <v>2548851.29</v>
      </c>
      <c r="G21" s="502">
        <f ca="1">[1]!ldfsir(ldfs, ldf_ages, ldf_type, ldf_ret, Intro!$AA21, "Paid", $C21, cutoff, 3)</f>
        <v>1.0141218518079127</v>
      </c>
      <c r="I21" s="507">
        <f t="shared" ca="1" si="0"/>
        <v>2584845.7901977873</v>
      </c>
      <c r="K21" s="504">
        <f>Intro!K21</f>
        <v>115828.16377000001</v>
      </c>
      <c r="M21" s="510">
        <f t="shared" ca="1" si="1"/>
        <v>22.31621141236872</v>
      </c>
    </row>
    <row r="22" spans="1:13" x14ac:dyDescent="0.2">
      <c r="A22" s="493">
        <f>Intro!C22</f>
        <v>2000</v>
      </c>
      <c r="C22" s="518">
        <f t="shared" si="2"/>
        <v>250000</v>
      </c>
      <c r="E22" s="504">
        <f>'e7'!C53</f>
        <v>2314287.94</v>
      </c>
      <c r="G22" s="502">
        <f ca="1">[1]!ldfsir(ldfs, ldf_ages, ldf_type, ldf_ret, Intro!$AA22, "Paid", $C22, cutoff, 3)</f>
        <v>1.0168169333869523</v>
      </c>
      <c r="I22" s="507">
        <f t="shared" ca="1" si="0"/>
        <v>2353207.1661252072</v>
      </c>
      <c r="K22" s="504">
        <f>Intro!K22</f>
        <v>86853.122530000022</v>
      </c>
      <c r="M22" s="510">
        <f t="shared" ca="1" si="1"/>
        <v>27.094099758041324</v>
      </c>
    </row>
    <row r="23" spans="1:13" x14ac:dyDescent="0.2">
      <c r="A23" s="493">
        <f>Intro!C23</f>
        <v>2001</v>
      </c>
      <c r="C23" s="518">
        <f t="shared" si="2"/>
        <v>250000</v>
      </c>
      <c r="E23" s="504">
        <f>'e7'!C54</f>
        <v>1349346.97</v>
      </c>
      <c r="G23" s="502">
        <f ca="1">[1]!ldfsir(ldfs, ldf_ages, ldf_type, ldf_ret, Intro!$AA23, "Paid", $C23, cutoff, 3)</f>
        <v>1.0200314156741195</v>
      </c>
      <c r="I23" s="507">
        <f t="shared" ca="1" si="0"/>
        <v>1376376.3000446835</v>
      </c>
      <c r="K23" s="504">
        <f>Intro!K23</f>
        <v>91838.194909999977</v>
      </c>
      <c r="M23" s="510">
        <f t="shared" ca="1" si="1"/>
        <v>14.986970305693738</v>
      </c>
    </row>
    <row r="24" spans="1:13" x14ac:dyDescent="0.2">
      <c r="A24" s="493">
        <f>Intro!C24</f>
        <v>2002</v>
      </c>
      <c r="C24" s="518">
        <f t="shared" si="2"/>
        <v>250000</v>
      </c>
      <c r="E24" s="504">
        <f>'e7'!C55</f>
        <v>2761132.9899999998</v>
      </c>
      <c r="G24" s="502">
        <f ca="1">[1]!ldfsir(ldfs, ldf_ages, ldf_type, ldf_ret, Intro!$AA24, "Paid", $C24, cutoff, 3)</f>
        <v>1.0238675073027417</v>
      </c>
      <c r="I24" s="507">
        <f t="shared" ca="1" si="0"/>
        <v>2827034.3518026657</v>
      </c>
      <c r="K24" s="504">
        <f>Intro!K24</f>
        <v>86098.134999999995</v>
      </c>
      <c r="M24" s="510">
        <f t="shared" ca="1" si="1"/>
        <v>32.835024263913105</v>
      </c>
    </row>
    <row r="25" spans="1:13" x14ac:dyDescent="0.2">
      <c r="A25" s="493">
        <f>Intro!C25</f>
        <v>2003</v>
      </c>
      <c r="C25" s="518">
        <f t="shared" si="2"/>
        <v>250000</v>
      </c>
      <c r="E25" s="504">
        <f>'e7'!C56</f>
        <v>1243025.0200000005</v>
      </c>
      <c r="G25" s="502">
        <f ca="1">[1]!ldfsir(ldfs, ldf_ages, ldf_type, ldf_ret, Intro!$AA25, "Paid", $C25, cutoff, 3)</f>
        <v>1.0191738387507183</v>
      </c>
      <c r="I25" s="507">
        <f t="shared" ca="1" si="0"/>
        <v>1266858.581296589</v>
      </c>
      <c r="K25" s="504">
        <f>Intro!K25</f>
        <v>95877.160999999993</v>
      </c>
      <c r="M25" s="510">
        <f t="shared" ca="1" si="1"/>
        <v>13.213351001252416</v>
      </c>
    </row>
    <row r="26" spans="1:13" x14ac:dyDescent="0.2">
      <c r="A26" s="493">
        <f>Intro!C26</f>
        <v>2004</v>
      </c>
      <c r="C26" s="518">
        <f t="shared" si="2"/>
        <v>250000</v>
      </c>
      <c r="E26" s="504">
        <f>'e7'!C57</f>
        <v>1971339.2299999993</v>
      </c>
      <c r="G26" s="502">
        <f ca="1">[1]!ldfsir(ldfs, ldf_ages, ldf_type, ldf_ret, Intro!$AA26, "Paid", $C26, cutoff, 3)</f>
        <v>1.0228438700024272</v>
      </c>
      <c r="I26" s="507">
        <f t="shared" ca="1" si="0"/>
        <v>2016372.2471008042</v>
      </c>
      <c r="K26" s="504">
        <f>Intro!K26</f>
        <v>102137.68700000001</v>
      </c>
      <c r="M26" s="510">
        <f t="shared" ca="1" si="1"/>
        <v>19.741706575955693</v>
      </c>
    </row>
    <row r="27" spans="1:13" x14ac:dyDescent="0.2">
      <c r="A27" s="493">
        <f>Intro!C27</f>
        <v>2005</v>
      </c>
      <c r="C27" s="518">
        <f t="shared" si="2"/>
        <v>250000</v>
      </c>
      <c r="E27" s="504">
        <f>'e7'!C58</f>
        <v>699839.89000000025</v>
      </c>
      <c r="G27" s="502">
        <f ca="1">[1]!ldfsir(ldfs, ldf_ages, ldf_type, ldf_ret, Intro!$AA27, "Paid", $C27, cutoff, 3)</f>
        <v>1.0274340986706185</v>
      </c>
      <c r="I27" s="507">
        <f t="shared" ca="1" si="0"/>
        <v>719039.36659589503</v>
      </c>
      <c r="K27" s="504">
        <f>Intro!K27</f>
        <v>111292.39200000001</v>
      </c>
      <c r="M27" s="510">
        <f t="shared" ca="1" si="1"/>
        <v>6.4608133015587894</v>
      </c>
    </row>
    <row r="28" spans="1:13" x14ac:dyDescent="0.2">
      <c r="A28" s="493">
        <f>Intro!C28</f>
        <v>2006</v>
      </c>
      <c r="C28" s="518">
        <f t="shared" si="2"/>
        <v>250000</v>
      </c>
      <c r="E28" s="504">
        <f>'e7'!C59</f>
        <v>1775477.7400000007</v>
      </c>
      <c r="G28" s="502">
        <f ca="1">[1]!ldfsir(ldfs, ldf_ages, ldf_type, ldf_ret, Intro!$AA28, "Paid", $C28, cutoff, 3)</f>
        <v>1.0331775282486453</v>
      </c>
      <c r="I28" s="507">
        <f t="shared" ca="1" si="0"/>
        <v>1834383.7028736917</v>
      </c>
      <c r="K28" s="504">
        <f>Intro!K28</f>
        <v>107756.82399999999</v>
      </c>
      <c r="M28" s="510">
        <f t="shared" ca="1" si="1"/>
        <v>17.023364597992344</v>
      </c>
    </row>
    <row r="29" spans="1:13" x14ac:dyDescent="0.2">
      <c r="A29" s="493">
        <f>Intro!C29</f>
        <v>2007</v>
      </c>
      <c r="C29" s="518">
        <f t="shared" si="2"/>
        <v>250000</v>
      </c>
      <c r="E29" s="504">
        <f>'e7'!C60</f>
        <v>1099670.4199999997</v>
      </c>
      <c r="G29" s="502">
        <f ca="1">[1]!ldfsir(ldfs, ldf_ages, ldf_type, ldf_ret, Intro!$AA29, "Paid", $C29, cutoff, 3)</f>
        <v>1.0397335496546645</v>
      </c>
      <c r="I29" s="507">
        <f t="shared" ca="1" si="0"/>
        <v>1143364.2292368354</v>
      </c>
      <c r="K29" s="504">
        <f>Intro!K29</f>
        <v>104584.102</v>
      </c>
      <c r="M29" s="510">
        <f t="shared" ca="1" si="1"/>
        <v>10.932485983738097</v>
      </c>
    </row>
    <row r="30" spans="1:13" x14ac:dyDescent="0.2">
      <c r="A30" s="493">
        <f>Intro!C30</f>
        <v>2008</v>
      </c>
      <c r="C30" s="518">
        <f t="shared" si="2"/>
        <v>250000</v>
      </c>
      <c r="E30" s="504">
        <f>'e7'!C61</f>
        <v>766269.99000000011</v>
      </c>
      <c r="G30" s="502">
        <f ca="1">[1]!ldfsir(ldfs, ldf_ages, ldf_type, ldf_ret, Intro!$AA30, "Paid", $C30, cutoff, 3)</f>
        <v>1.0471776383007039</v>
      </c>
      <c r="I30" s="507">
        <f t="shared" ca="1" si="0"/>
        <v>802420.79842890403</v>
      </c>
      <c r="K30" s="504">
        <f>Intro!K30</f>
        <v>106050.29700000001</v>
      </c>
      <c r="M30" s="510">
        <f t="shared" ca="1" si="1"/>
        <v>7.5664172673547911</v>
      </c>
    </row>
    <row r="31" spans="1:13" x14ac:dyDescent="0.2">
      <c r="A31" s="493">
        <f>Intro!C31</f>
        <v>2009</v>
      </c>
      <c r="C31" s="518">
        <f t="shared" si="2"/>
        <v>250000</v>
      </c>
      <c r="E31" s="504">
        <f>'e7'!C62</f>
        <v>1514381.6700000002</v>
      </c>
      <c r="G31" s="502">
        <f ca="1">[1]!ldfsir(ldfs, ldf_ages, ldf_type, ldf_ret, Intro!$AA31, "Paid", $C31, cutoff, 3)</f>
        <v>1.055880260199161</v>
      </c>
      <c r="I31" s="507">
        <f t="shared" ca="1" si="0"/>
        <v>1599005.7117604401</v>
      </c>
      <c r="K31" s="504">
        <f>Intro!K31</f>
        <v>110722.705</v>
      </c>
      <c r="M31" s="510">
        <f t="shared" ca="1" si="1"/>
        <v>14.441534026471265</v>
      </c>
    </row>
    <row r="32" spans="1:13" x14ac:dyDescent="0.2">
      <c r="A32" s="493">
        <f>Intro!C32</f>
        <v>2010</v>
      </c>
      <c r="C32" s="518">
        <f t="shared" si="2"/>
        <v>250000</v>
      </c>
      <c r="E32" s="504">
        <f>'e7'!C63</f>
        <v>1183179.1900000002</v>
      </c>
      <c r="G32" s="502">
        <f ca="1">[1]!ldfsir(ldfs, ldf_ages, ldf_type, ldf_ret, Intro!$AA32, "Paid", $C32, cutoff, 3)</f>
        <v>1.0662753278199539</v>
      </c>
      <c r="I32" s="507">
        <f t="shared" ca="1" si="0"/>
        <v>1261594.7786869977</v>
      </c>
      <c r="K32" s="504">
        <f>Intro!K32</f>
        <v>128222.10400000001</v>
      </c>
      <c r="M32" s="510">
        <f t="shared" ca="1" si="1"/>
        <v>9.8391364618926982</v>
      </c>
    </row>
    <row r="33" spans="1:13" x14ac:dyDescent="0.2">
      <c r="A33" s="493">
        <f>Intro!C33</f>
        <v>2011</v>
      </c>
      <c r="C33" s="518">
        <f t="shared" si="2"/>
        <v>250000</v>
      </c>
      <c r="E33" s="504">
        <f>'e7'!C64</f>
        <v>1212882.8100000003</v>
      </c>
      <c r="G33" s="502">
        <f ca="1">[1]!ldfsir(ldfs, ldf_ages, ldf_type, ldf_ret, Intro!$AA33, "Paid", $C33, cutoff, 3)</f>
        <v>1.0789241704621788</v>
      </c>
      <c r="I33" s="507">
        <f t="shared" ca="1" si="0"/>
        <v>1308608.5796470868</v>
      </c>
      <c r="K33" s="504">
        <f>Intro!K33</f>
        <v>143214.37400000001</v>
      </c>
      <c r="M33" s="510">
        <f t="shared" ca="1" si="1"/>
        <v>9.1374108834011771</v>
      </c>
    </row>
    <row r="34" spans="1:13" x14ac:dyDescent="0.2">
      <c r="A34" s="493">
        <f>Intro!C34</f>
        <v>2012</v>
      </c>
      <c r="C34" s="518">
        <f t="shared" si="2"/>
        <v>250000</v>
      </c>
      <c r="E34" s="504">
        <f>'e7'!C65</f>
        <v>1828733.7599999993</v>
      </c>
      <c r="G34" s="502">
        <f ca="1">[1]!ldfsir(ldfs, ldf_ages, ldf_type, ldf_ret, Intro!$AA34, "Paid", $C34, cutoff, 3)</f>
        <v>1.0951246421749394</v>
      </c>
      <c r="I34" s="507">
        <f t="shared" ca="1" si="0"/>
        <v>2002691.4045532309</v>
      </c>
      <c r="K34" s="504">
        <f>Intro!K34</f>
        <v>145569.85699999999</v>
      </c>
      <c r="M34" s="510">
        <f t="shared" ca="1" si="1"/>
        <v>13.757596839249702</v>
      </c>
    </row>
    <row r="35" spans="1:13" x14ac:dyDescent="0.2">
      <c r="A35" s="493">
        <f>Intro!C35</f>
        <v>2013</v>
      </c>
      <c r="C35" s="518">
        <f t="shared" si="2"/>
        <v>250000</v>
      </c>
      <c r="E35" s="504">
        <f>'e7'!C66</f>
        <v>1811366.5999999999</v>
      </c>
      <c r="G35" s="502">
        <f ca="1">[1]!ldfsir(ldfs, ldf_ages, ldf_type, ldf_ret, Intro!$AA35, "Paid", $C35, cutoff, 3)</f>
        <v>1.1181881757125443</v>
      </c>
      <c r="I35" s="507">
        <f t="shared" ca="1" si="0"/>
        <v>2025448.7140006337</v>
      </c>
      <c r="K35" s="504">
        <f>Intro!K35</f>
        <v>157968.50285000002</v>
      </c>
      <c r="M35" s="510">
        <f t="shared" ca="1" si="1"/>
        <v>12.821851682192058</v>
      </c>
    </row>
    <row r="36" spans="1:13" x14ac:dyDescent="0.2">
      <c r="A36" s="493">
        <f>Intro!C36</f>
        <v>2014</v>
      </c>
      <c r="C36" s="518">
        <f t="shared" si="2"/>
        <v>250000</v>
      </c>
      <c r="E36" s="504">
        <f>'e7'!C67</f>
        <v>2173195.9299999997</v>
      </c>
      <c r="G36" s="502">
        <f ca="1">[1]!ldfsir(ldfs, ldf_ages, ldf_type, ldf_ret, Intro!$AA36, "Paid", $C36, cutoff, 3)</f>
        <v>1.1520401229664605</v>
      </c>
      <c r="I36" s="507">
        <f t="shared" ca="1" si="0"/>
        <v>2503608.9064274114</v>
      </c>
      <c r="K36" s="504">
        <f>Intro!K36</f>
        <v>182546.24444841431</v>
      </c>
      <c r="M36" s="510">
        <f t="shared" ca="1" si="1"/>
        <v>13.714929682570958</v>
      </c>
    </row>
    <row r="37" spans="1:13" x14ac:dyDescent="0.2">
      <c r="A37" s="493">
        <f>Intro!C37</f>
        <v>2015</v>
      </c>
      <c r="C37" s="518">
        <f t="shared" si="2"/>
        <v>250000</v>
      </c>
      <c r="E37" s="504">
        <f>'e7'!C68</f>
        <v>2776114.1900000009</v>
      </c>
      <c r="G37" s="502">
        <f ca="1">[1]!ldfsir(ldfs, ldf_ages, ldf_type, ldf_ret, Intro!$AA37, "Paid", $C37, cutoff, 3)</f>
        <v>1.2040751389319559</v>
      </c>
      <c r="I37" s="507">
        <f t="shared" ca="1" si="0"/>
        <v>3342650.0790152252</v>
      </c>
      <c r="K37" s="504">
        <f>Intro!K37</f>
        <v>196912.10476000005</v>
      </c>
      <c r="M37" s="510">
        <f t="shared" ca="1" si="1"/>
        <v>16.97534076480116</v>
      </c>
    </row>
    <row r="38" spans="1:13" x14ac:dyDescent="0.2">
      <c r="A38" s="493">
        <f>Intro!C38</f>
        <v>2016</v>
      </c>
      <c r="C38" s="518">
        <f t="shared" si="2"/>
        <v>250000</v>
      </c>
      <c r="E38" s="504">
        <f>'e7'!C69</f>
        <v>2347544.3600000013</v>
      </c>
      <c r="G38" s="502">
        <f ca="1">[1]!ldfsir(ldfs, ldf_ages, ldf_type, ldf_ret, Intro!$AA38, "Paid", $C38, cutoff, 3)</f>
        <v>1.2970691265442551</v>
      </c>
      <c r="I38" s="507">
        <f t="shared" ca="1" si="0"/>
        <v>3044927.3125490942</v>
      </c>
      <c r="K38" s="504">
        <f>Intro!K38</f>
        <v>221894.58274919298</v>
      </c>
      <c r="M38" s="510">
        <f t="shared" ca="1" si="1"/>
        <v>13.722404913286097</v>
      </c>
    </row>
    <row r="39" spans="1:13" x14ac:dyDescent="0.2">
      <c r="A39" s="493">
        <f>Intro!C39</f>
        <v>2017</v>
      </c>
      <c r="C39" s="518">
        <f t="shared" si="2"/>
        <v>250000</v>
      </c>
      <c r="E39" s="504">
        <f>'e7'!C70</f>
        <v>2258070.4400000018</v>
      </c>
      <c r="G39" s="502">
        <f ca="1">[1]!ldfsir(ldfs, ldf_ages, ldf_type, ldf_ret, Intro!$AA39, "Paid", $C39, cutoff, 3)</f>
        <v>1.5196616633140005</v>
      </c>
      <c r="I39" s="507">
        <f t="shared" ca="1" si="0"/>
        <v>3431503.0807305798</v>
      </c>
      <c r="K39" s="504">
        <f>Intro!K39</f>
        <v>307509.66981400014</v>
      </c>
      <c r="M39" s="510">
        <f t="shared" ca="1" si="1"/>
        <v>11.159008699811469</v>
      </c>
    </row>
    <row r="40" spans="1:13" x14ac:dyDescent="0.2">
      <c r="A40" s="493">
        <f>Intro!C40</f>
        <v>2018</v>
      </c>
      <c r="C40" s="518">
        <f t="shared" si="2"/>
        <v>250000</v>
      </c>
      <c r="E40" s="504">
        <f>'e7'!C71</f>
        <v>4199295.1499999976</v>
      </c>
      <c r="G40" s="502">
        <f ca="1">[1]!ldfsir(ldfs, ldf_ages, ldf_type, ldf_ret, Intro!$AA40, "Paid", $C40, cutoff, 3)</f>
        <v>2.2885387762769192</v>
      </c>
      <c r="I40" s="507">
        <f t="shared" ref="I40:I41" ca="1" si="3">E40*G40</f>
        <v>9610249.783806596</v>
      </c>
      <c r="K40" s="504">
        <f>Intro!K40</f>
        <v>536896.27333</v>
      </c>
      <c r="M40" s="510">
        <f t="shared" ref="M40:M41" ca="1" si="4">I40/K40</f>
        <v>17.89963957879759</v>
      </c>
    </row>
    <row r="41" spans="1:13" x14ac:dyDescent="0.2">
      <c r="A41" s="493">
        <f>Intro!C41</f>
        <v>2019</v>
      </c>
      <c r="C41" s="518">
        <f t="shared" si="2"/>
        <v>250000</v>
      </c>
      <c r="E41" s="512">
        <f>'e7'!C72</f>
        <v>619309.30000000005</v>
      </c>
      <c r="G41" s="502">
        <f ca="1">[1]!ldfsir(ldfs, ldf_ages, ldf_type, ldf_ret, Intro!$AA41, "Paid", $C41, cutoff, 3)</f>
        <v>12.636897805557163</v>
      </c>
      <c r="I41" s="512">
        <f t="shared" ca="1" si="3"/>
        <v>7826148.334131144</v>
      </c>
      <c r="K41" s="512">
        <f>Intro!K41</f>
        <v>543133.22666000458</v>
      </c>
      <c r="M41" s="513">
        <f t="shared" ca="1" si="4"/>
        <v>14.409260840582354</v>
      </c>
    </row>
    <row r="43" spans="1:13" x14ac:dyDescent="0.2">
      <c r="A43" s="493" t="s">
        <v>78</v>
      </c>
      <c r="E43" s="501">
        <f>SUM(E18:E41)</f>
        <v>43059200.050000004</v>
      </c>
      <c r="I43" s="501">
        <f ca="1">SUM(I18:I41)</f>
        <v>59535933.950651981</v>
      </c>
      <c r="K43" s="501">
        <f>SUM(K18:K41)</f>
        <v>3896630.2405416127</v>
      </c>
      <c r="M43" s="503">
        <f t="shared" ca="1" si="1"/>
        <v>15.278825619948167</v>
      </c>
    </row>
    <row r="46" spans="1:13" x14ac:dyDescent="0.2">
      <c r="A46" s="392" t="s">
        <v>414</v>
      </c>
    </row>
    <row r="48" spans="1:13" x14ac:dyDescent="0.2">
      <c r="E48" s="493" t="s">
        <v>75</v>
      </c>
    </row>
    <row r="49" spans="1:13" x14ac:dyDescent="0.2">
      <c r="A49" s="496" t="str">
        <f>A13</f>
        <v>Policy</v>
      </c>
      <c r="E49" s="493" t="s">
        <v>8</v>
      </c>
      <c r="G49" s="496" t="s">
        <v>331</v>
      </c>
      <c r="I49" s="496" t="s">
        <v>330</v>
      </c>
      <c r="M49" s="496" t="s">
        <v>332</v>
      </c>
    </row>
    <row r="50" spans="1:13" x14ac:dyDescent="0.2">
      <c r="A50" s="496" t="str">
        <f>A14</f>
        <v>Period</v>
      </c>
      <c r="E50" s="493" t="s">
        <v>334</v>
      </c>
      <c r="G50" s="496" t="s">
        <v>245</v>
      </c>
      <c r="I50" s="496" t="s">
        <v>245</v>
      </c>
      <c r="K50" s="496" t="s">
        <v>5</v>
      </c>
      <c r="M50" s="496" t="s">
        <v>8</v>
      </c>
    </row>
    <row r="51" spans="1:13" x14ac:dyDescent="0.2">
      <c r="A51" s="498" t="str">
        <f>A15</f>
        <v>Ending 9/30</v>
      </c>
      <c r="C51" s="498" t="s">
        <v>90</v>
      </c>
      <c r="E51" s="498" t="str">
        <f>ctxt</f>
        <v>4/30/19</v>
      </c>
      <c r="G51" s="498" t="s">
        <v>338</v>
      </c>
      <c r="I51" s="498" t="s">
        <v>8</v>
      </c>
      <c r="K51" s="498" t="s">
        <v>6</v>
      </c>
      <c r="M51" s="498" t="s">
        <v>349</v>
      </c>
    </row>
    <row r="52" spans="1:13" x14ac:dyDescent="0.2">
      <c r="E52" s="500">
        <v>1</v>
      </c>
      <c r="G52" s="500">
        <f>E52+1</f>
        <v>2</v>
      </c>
      <c r="I52" s="500">
        <f>G52+1</f>
        <v>3</v>
      </c>
      <c r="K52" s="500">
        <f>I52+1</f>
        <v>4</v>
      </c>
      <c r="M52" s="500">
        <f>K52+1</f>
        <v>5</v>
      </c>
    </row>
    <row r="53" spans="1:13" x14ac:dyDescent="0.2">
      <c r="E53" s="500"/>
      <c r="G53" s="500"/>
      <c r="I53" s="500"/>
      <c r="K53" s="500"/>
      <c r="M53" s="500"/>
    </row>
    <row r="54" spans="1:13" x14ac:dyDescent="0.2">
      <c r="A54" s="493">
        <f t="shared" ref="A54:A75" si="5">A18</f>
        <v>1996</v>
      </c>
      <c r="C54" s="517">
        <v>350000</v>
      </c>
      <c r="E54" s="501">
        <f>'e7'!I49</f>
        <v>783326</v>
      </c>
      <c r="G54" s="502">
        <f ca="1">[1]!ldfsir(ldfs, ldf_ages, ldf_type, ldf_ret, Intro!$AA18, "Paid", $C54, cutoff, 3)</f>
        <v>1.0143201363502672</v>
      </c>
      <c r="I54" s="501">
        <f ca="1">E54*G54</f>
        <v>794543.33512670943</v>
      </c>
      <c r="K54" s="501">
        <f>K18</f>
        <v>51718.748</v>
      </c>
      <c r="M54" s="503">
        <f ca="1">I54/K54</f>
        <v>15.36277202856321</v>
      </c>
    </row>
    <row r="55" spans="1:13" x14ac:dyDescent="0.2">
      <c r="A55" s="493">
        <f t="shared" si="5"/>
        <v>1997</v>
      </c>
      <c r="C55" s="518">
        <f>C54</f>
        <v>350000</v>
      </c>
      <c r="E55" s="507">
        <f>'e7'!I50</f>
        <v>1450545</v>
      </c>
      <c r="G55" s="502">
        <f ca="1">[1]!ldfsir(ldfs, ldf_ages, ldf_type, ldf_ret, Intro!$AA19, "Paid", $C55, cutoff, 3)</f>
        <v>1.0166164761195939</v>
      </c>
      <c r="I55" s="507">
        <f t="shared" ref="I55:I77" ca="1" si="6">E55*G55</f>
        <v>1474647.9463528963</v>
      </c>
      <c r="K55" s="507">
        <f t="shared" ref="K55:K77" si="7">K19</f>
        <v>71279.833180000031</v>
      </c>
      <c r="M55" s="510">
        <f t="shared" ref="M55:M77" ca="1" si="8">I55/K55</f>
        <v>20.688150919616049</v>
      </c>
    </row>
    <row r="56" spans="1:13" x14ac:dyDescent="0.2">
      <c r="A56" s="493">
        <f t="shared" si="5"/>
        <v>1998</v>
      </c>
      <c r="C56" s="518">
        <f t="shared" ref="C56:C77" si="9">C55</f>
        <v>350000</v>
      </c>
      <c r="E56" s="507">
        <f>'e7'!I51</f>
        <v>2684955.17</v>
      </c>
      <c r="G56" s="502">
        <f ca="1">[1]!ldfsir(ldfs, ldf_ages, ldf_type, ldf_ret, Intro!$AA20, "Paid", $C56, cutoff, 3)</f>
        <v>1.0192845376652797</v>
      </c>
      <c r="I56" s="507">
        <f t="shared" ca="1" si="6"/>
        <v>2736733.2891054526</v>
      </c>
      <c r="K56" s="507">
        <f t="shared" si="7"/>
        <v>90725.935539999991</v>
      </c>
      <c r="M56" s="510">
        <f t="shared" ca="1" si="8"/>
        <v>30.164839555706308</v>
      </c>
    </row>
    <row r="57" spans="1:13" x14ac:dyDescent="0.2">
      <c r="A57" s="493">
        <f t="shared" si="5"/>
        <v>1999</v>
      </c>
      <c r="C57" s="518">
        <f t="shared" si="9"/>
        <v>350000</v>
      </c>
      <c r="E57" s="507">
        <f>'e7'!I52</f>
        <v>2948851.29</v>
      </c>
      <c r="G57" s="502">
        <f ca="1">[1]!ldfsir(ldfs, ldf_ages, ldf_type, ldf_ret, Intro!$AA21, "Paid", $C57, cutoff, 3)</f>
        <v>1.022385697617284</v>
      </c>
      <c r="I57" s="507">
        <f t="shared" ca="1" si="6"/>
        <v>3014863.3832962778</v>
      </c>
      <c r="K57" s="507">
        <f t="shared" si="7"/>
        <v>115828.16377000001</v>
      </c>
      <c r="M57" s="510">
        <f t="shared" ca="1" si="8"/>
        <v>26.028759199557822</v>
      </c>
    </row>
    <row r="58" spans="1:13" x14ac:dyDescent="0.2">
      <c r="A58" s="493">
        <f t="shared" si="5"/>
        <v>2000</v>
      </c>
      <c r="C58" s="518">
        <f t="shared" si="9"/>
        <v>350000</v>
      </c>
      <c r="E58" s="507">
        <f>'e7'!I53</f>
        <v>2430299.4299999997</v>
      </c>
      <c r="G58" s="502">
        <f ca="1">[1]!ldfsir(ldfs, ldf_ages, ldf_type, ldf_ret, Intro!$AA22, "Paid", $C58, cutoff, 3)</f>
        <v>1.0259918820849809</v>
      </c>
      <c r="I58" s="507">
        <f t="shared" ca="1" si="6"/>
        <v>2493467.4862157563</v>
      </c>
      <c r="K58" s="507">
        <f t="shared" si="7"/>
        <v>86853.122530000022</v>
      </c>
      <c r="M58" s="510">
        <f t="shared" ca="1" si="8"/>
        <v>28.709013718585481</v>
      </c>
    </row>
    <row r="59" spans="1:13" x14ac:dyDescent="0.2">
      <c r="A59" s="493">
        <f t="shared" si="5"/>
        <v>2001</v>
      </c>
      <c r="C59" s="518">
        <f t="shared" si="9"/>
        <v>350000</v>
      </c>
      <c r="E59" s="507">
        <f>'e7'!I54</f>
        <v>1449346.97</v>
      </c>
      <c r="G59" s="502">
        <f ca="1">[1]!ldfsir(ldfs, ldf_ages, ldf_type, ldf_ret, Intro!$AA23, "Paid", $C59, cutoff, 3)</f>
        <v>1.0301875223587018</v>
      </c>
      <c r="I59" s="507">
        <f t="shared" ca="1" si="6"/>
        <v>1493099.1640623917</v>
      </c>
      <c r="K59" s="507">
        <f t="shared" si="7"/>
        <v>91838.194909999977</v>
      </c>
      <c r="M59" s="510">
        <f t="shared" ca="1" si="8"/>
        <v>16.257932394311606</v>
      </c>
    </row>
    <row r="60" spans="1:13" x14ac:dyDescent="0.2">
      <c r="A60" s="493">
        <f t="shared" si="5"/>
        <v>2002</v>
      </c>
      <c r="C60" s="518">
        <f t="shared" si="9"/>
        <v>350000</v>
      </c>
      <c r="E60" s="507">
        <f>'e7'!I55</f>
        <v>3065476.9899999998</v>
      </c>
      <c r="G60" s="502">
        <f ca="1">[1]!ldfsir(ldfs, ldf_ages, ldf_type, ldf_ret, Intro!$AA24, "Paid", $C60, cutoff, 3)</f>
        <v>1.0350719212107389</v>
      </c>
      <c r="I60" s="507">
        <f t="shared" ca="1" si="6"/>
        <v>3172989.1574666128</v>
      </c>
      <c r="K60" s="507">
        <f t="shared" si="7"/>
        <v>86098.134999999995</v>
      </c>
      <c r="M60" s="510">
        <f t="shared" ca="1" si="8"/>
        <v>36.853169438183684</v>
      </c>
    </row>
    <row r="61" spans="1:13" x14ac:dyDescent="0.2">
      <c r="A61" s="493">
        <f t="shared" si="5"/>
        <v>2003</v>
      </c>
      <c r="C61" s="518">
        <f t="shared" si="9"/>
        <v>350000</v>
      </c>
      <c r="E61" s="507">
        <f>'e7'!I56</f>
        <v>1343025.0200000005</v>
      </c>
      <c r="G61" s="502">
        <f ca="1">[1]!ldfsir(ldfs, ldf_ages, ldf_type, ldf_ret, Intro!$AA25, "Paid", $C61, cutoff, 3)</f>
        <v>1.0290781993692373</v>
      </c>
      <c r="I61" s="507">
        <f t="shared" ca="1" si="6"/>
        <v>1382077.7692894344</v>
      </c>
      <c r="K61" s="507">
        <f t="shared" si="7"/>
        <v>95877.160999999993</v>
      </c>
      <c r="M61" s="510">
        <f t="shared" ca="1" si="8"/>
        <v>14.415088587045611</v>
      </c>
    </row>
    <row r="62" spans="1:13" x14ac:dyDescent="0.2">
      <c r="A62" s="493">
        <f t="shared" si="5"/>
        <v>2004</v>
      </c>
      <c r="C62" s="518">
        <f t="shared" si="9"/>
        <v>350000</v>
      </c>
      <c r="E62" s="507">
        <f>'e7'!I57</f>
        <v>2359249.2899999996</v>
      </c>
      <c r="G62" s="502">
        <f ca="1">[1]!ldfsir(ldfs, ldf_ages, ldf_type, ldf_ret, Intro!$AA26, "Paid", $C62, cutoff, 3)</f>
        <v>1.0337801829481874</v>
      </c>
      <c r="I62" s="507">
        <f t="shared" ca="1" si="6"/>
        <v>2438945.1626365809</v>
      </c>
      <c r="K62" s="507">
        <f t="shared" si="7"/>
        <v>102137.68700000001</v>
      </c>
      <c r="M62" s="510">
        <f t="shared" ca="1" si="8"/>
        <v>23.878993486866221</v>
      </c>
    </row>
    <row r="63" spans="1:13" x14ac:dyDescent="0.2">
      <c r="A63" s="493">
        <f t="shared" si="5"/>
        <v>2005</v>
      </c>
      <c r="C63" s="518">
        <f t="shared" si="9"/>
        <v>350000</v>
      </c>
      <c r="E63" s="507">
        <f>'e7'!I58</f>
        <v>699839.89000000025</v>
      </c>
      <c r="G63" s="502">
        <f ca="1">[1]!ldfsir(ldfs, ldf_ages, ldf_type, ldf_ret, Intro!$AA27, "Paid", $C63, cutoff, 3)</f>
        <v>1.039355679259929</v>
      </c>
      <c r="I63" s="507">
        <f t="shared" ca="1" si="6"/>
        <v>727382.56424414425</v>
      </c>
      <c r="K63" s="507">
        <f t="shared" si="7"/>
        <v>111292.39200000001</v>
      </c>
      <c r="M63" s="510">
        <f t="shared" ca="1" si="8"/>
        <v>6.5357797704998939</v>
      </c>
    </row>
    <row r="64" spans="1:13" x14ac:dyDescent="0.2">
      <c r="A64" s="493">
        <f t="shared" si="5"/>
        <v>2006</v>
      </c>
      <c r="C64" s="518">
        <f t="shared" si="9"/>
        <v>350000</v>
      </c>
      <c r="E64" s="507">
        <f>'e7'!I59</f>
        <v>2005481.3700000008</v>
      </c>
      <c r="G64" s="502">
        <f ca="1">[1]!ldfsir(ldfs, ldf_ages, ldf_type, ldf_ret, Intro!$AA28, "Paid", $C64, cutoff, 3)</f>
        <v>1.0459565234336667</v>
      </c>
      <c r="I64" s="507">
        <f t="shared" ca="1" si="6"/>
        <v>2097646.3215761879</v>
      </c>
      <c r="K64" s="507">
        <f t="shared" si="7"/>
        <v>107756.82399999999</v>
      </c>
      <c r="M64" s="510">
        <f t="shared" ca="1" si="8"/>
        <v>19.466482434339266</v>
      </c>
    </row>
    <row r="65" spans="1:13" x14ac:dyDescent="0.2">
      <c r="A65" s="493">
        <f t="shared" si="5"/>
        <v>2007</v>
      </c>
      <c r="C65" s="518">
        <f t="shared" si="9"/>
        <v>350000</v>
      </c>
      <c r="E65" s="507">
        <f>'e7'!I60</f>
        <v>1099670.4199999997</v>
      </c>
      <c r="G65" s="502">
        <f ca="1">[1]!ldfsir(ldfs, ldf_ages, ldf_type, ldf_ret, Intro!$AA29, "Paid", $C65, cutoff, 3)</f>
        <v>1.0534252697949491</v>
      </c>
      <c r="I65" s="507">
        <f t="shared" ca="1" si="6"/>
        <v>1158420.6088740246</v>
      </c>
      <c r="K65" s="507">
        <f t="shared" si="7"/>
        <v>104584.102</v>
      </c>
      <c r="M65" s="510">
        <f t="shared" ca="1" si="8"/>
        <v>11.076450308614062</v>
      </c>
    </row>
    <row r="66" spans="1:13" x14ac:dyDescent="0.2">
      <c r="A66" s="493">
        <f t="shared" si="5"/>
        <v>2008</v>
      </c>
      <c r="C66" s="518">
        <f t="shared" si="9"/>
        <v>350000</v>
      </c>
      <c r="E66" s="507">
        <f>'e7'!I61</f>
        <v>766269.99000000011</v>
      </c>
      <c r="G66" s="502">
        <f ca="1">[1]!ldfsir(ldfs, ldf_ages, ldf_type, ldf_ret, Intro!$AA30, "Paid", $C66, cutoff, 3)</f>
        <v>1.0618251116024202</v>
      </c>
      <c r="I66" s="507">
        <f t="shared" ca="1" si="6"/>
        <v>813644.71764933551</v>
      </c>
      <c r="K66" s="507">
        <f t="shared" si="7"/>
        <v>106050.29700000001</v>
      </c>
      <c r="M66" s="510">
        <f t="shared" ca="1" si="8"/>
        <v>7.672253078643763</v>
      </c>
    </row>
    <row r="67" spans="1:13" x14ac:dyDescent="0.2">
      <c r="A67" s="493">
        <f t="shared" si="5"/>
        <v>2009</v>
      </c>
      <c r="C67" s="518">
        <f t="shared" si="9"/>
        <v>350000</v>
      </c>
      <c r="E67" s="507">
        <f>'e7'!I62</f>
        <v>1614381.6700000004</v>
      </c>
      <c r="G67" s="502">
        <f ca="1">[1]!ldfsir(ldfs, ldf_ages, ldf_type, ldf_ret, Intro!$AA31, "Paid", $C67, cutoff, 3)</f>
        <v>1.071612231264117</v>
      </c>
      <c r="I67" s="507">
        <f t="shared" ca="1" si="6"/>
        <v>1729991.1435005919</v>
      </c>
      <c r="K67" s="507">
        <f t="shared" si="7"/>
        <v>110722.705</v>
      </c>
      <c r="M67" s="510">
        <f t="shared" ca="1" si="8"/>
        <v>15.624538286890587</v>
      </c>
    </row>
    <row r="68" spans="1:13" x14ac:dyDescent="0.2">
      <c r="A68" s="493">
        <f t="shared" si="5"/>
        <v>2010</v>
      </c>
      <c r="C68" s="518">
        <f t="shared" si="9"/>
        <v>350000</v>
      </c>
      <c r="E68" s="507">
        <f>'e7'!I63</f>
        <v>1183179.1900000002</v>
      </c>
      <c r="G68" s="502">
        <f ca="1">[1]!ldfsir(ldfs, ldf_ages, ldf_type, ldf_ret, Intro!$AA32, "Paid", $C68, cutoff, 3)</f>
        <v>1.0832939253143119</v>
      </c>
      <c r="I68" s="507">
        <f t="shared" ca="1" si="6"/>
        <v>1281730.8290853081</v>
      </c>
      <c r="K68" s="507">
        <f t="shared" si="7"/>
        <v>128222.10400000001</v>
      </c>
      <c r="M68" s="510">
        <f t="shared" ca="1" si="8"/>
        <v>9.9961768610918131</v>
      </c>
    </row>
    <row r="69" spans="1:13" x14ac:dyDescent="0.2">
      <c r="A69" s="493">
        <f t="shared" si="5"/>
        <v>2011</v>
      </c>
      <c r="C69" s="518">
        <f t="shared" si="9"/>
        <v>350000</v>
      </c>
      <c r="E69" s="507">
        <f>'e7'!I64</f>
        <v>1212882.8100000003</v>
      </c>
      <c r="G69" s="502">
        <f ca="1">[1]!ldfsir(ldfs, ldf_ages, ldf_type, ldf_ret, Intro!$AA33, "Paid", $C69, cutoff, 3)</f>
        <v>1.0973922683377746</v>
      </c>
      <c r="I69" s="507">
        <f t="shared" ca="1" si="6"/>
        <v>1331008.2180937943</v>
      </c>
      <c r="K69" s="507">
        <f t="shared" si="7"/>
        <v>143214.37400000001</v>
      </c>
      <c r="M69" s="510">
        <f t="shared" ca="1" si="8"/>
        <v>9.293817239977562</v>
      </c>
    </row>
    <row r="70" spans="1:13" x14ac:dyDescent="0.2">
      <c r="A70" s="493">
        <f t="shared" si="5"/>
        <v>2012</v>
      </c>
      <c r="C70" s="518">
        <f t="shared" si="9"/>
        <v>350000</v>
      </c>
      <c r="E70" s="507">
        <f>'e7'!I65</f>
        <v>1925803.2599999993</v>
      </c>
      <c r="G70" s="502">
        <f ca="1">[1]!ldfsir(ldfs, ldf_ages, ldf_type, ldf_ret, Intro!$AA34, "Paid", $C70, cutoff, 3)</f>
        <v>1.115454191869595</v>
      </c>
      <c r="I70" s="507">
        <f t="shared" ca="1" si="6"/>
        <v>2148145.3190831309</v>
      </c>
      <c r="K70" s="507">
        <f t="shared" si="7"/>
        <v>145569.85699999999</v>
      </c>
      <c r="M70" s="510">
        <f t="shared" ca="1" si="8"/>
        <v>14.756800366185226</v>
      </c>
    </row>
    <row r="71" spans="1:13" x14ac:dyDescent="0.2">
      <c r="A71" s="493">
        <f t="shared" si="5"/>
        <v>2013</v>
      </c>
      <c r="C71" s="518">
        <f t="shared" si="9"/>
        <v>350000</v>
      </c>
      <c r="E71" s="507">
        <f>'e7'!I66</f>
        <v>1911366.5999999999</v>
      </c>
      <c r="G71" s="502">
        <f ca="1">[1]!ldfsir(ldfs, ldf_ages, ldf_type, ldf_ret, Intro!$AA35, "Paid", $C71, cutoff, 3)</f>
        <v>1.140553236703123</v>
      </c>
      <c r="I71" s="507">
        <f t="shared" ca="1" si="6"/>
        <v>2180015.3621562435</v>
      </c>
      <c r="K71" s="507">
        <f t="shared" si="7"/>
        <v>157968.50285000002</v>
      </c>
      <c r="M71" s="510">
        <f t="shared" ca="1" si="8"/>
        <v>13.800316663292623</v>
      </c>
    </row>
    <row r="72" spans="1:13" x14ac:dyDescent="0.2">
      <c r="A72" s="493">
        <f t="shared" si="5"/>
        <v>2014</v>
      </c>
      <c r="C72" s="518">
        <f t="shared" si="9"/>
        <v>350000</v>
      </c>
      <c r="E72" s="507">
        <f>'e7'!I67</f>
        <v>2275241.92</v>
      </c>
      <c r="G72" s="502">
        <f ca="1">[1]!ldfsir(ldfs, ldf_ages, ldf_type, ldf_ret, Intro!$AA36, "Paid", $C72, cutoff, 3)</f>
        <v>1.1759822465608001</v>
      </c>
      <c r="I72" s="507">
        <f t="shared" ca="1" si="6"/>
        <v>2675644.1045509083</v>
      </c>
      <c r="K72" s="507">
        <f t="shared" si="7"/>
        <v>182546.24444841431</v>
      </c>
      <c r="M72" s="510">
        <f t="shared" ca="1" si="8"/>
        <v>14.657349498674666</v>
      </c>
    </row>
    <row r="73" spans="1:13" x14ac:dyDescent="0.2">
      <c r="A73" s="493">
        <f t="shared" si="5"/>
        <v>2015</v>
      </c>
      <c r="C73" s="518">
        <f t="shared" si="9"/>
        <v>350000</v>
      </c>
      <c r="E73" s="507">
        <f>'e7'!I68</f>
        <v>2810502.1600000011</v>
      </c>
      <c r="G73" s="502">
        <f ca="1">[1]!ldfsir(ldfs, ldf_ages, ldf_type, ldf_ret, Intro!$AA37, "Paid", $C73, cutoff, 3)</f>
        <v>1.2307861768494088</v>
      </c>
      <c r="I73" s="507">
        <f t="shared" ca="1" si="6"/>
        <v>3459127.2085334067</v>
      </c>
      <c r="K73" s="507">
        <f t="shared" si="7"/>
        <v>196912.10476000005</v>
      </c>
      <c r="M73" s="510">
        <f t="shared" ca="1" si="8"/>
        <v>17.566859146366102</v>
      </c>
    </row>
    <row r="74" spans="1:13" x14ac:dyDescent="0.2">
      <c r="A74" s="493">
        <f t="shared" si="5"/>
        <v>2016</v>
      </c>
      <c r="C74" s="518">
        <f t="shared" si="9"/>
        <v>350000</v>
      </c>
      <c r="E74" s="507">
        <f>'e7'!I69</f>
        <v>2449912.0500000017</v>
      </c>
      <c r="G74" s="502">
        <f ca="1">[1]!ldfsir(ldfs, ldf_ages, ldf_type, ldf_ret, Intro!$AA38, "Paid", $C74, cutoff, 3)</f>
        <v>1.3287130868116672</v>
      </c>
      <c r="I74" s="507">
        <f t="shared" ca="1" si="6"/>
        <v>3255230.2023726017</v>
      </c>
      <c r="K74" s="507">
        <f t="shared" si="7"/>
        <v>221894.58274919298</v>
      </c>
      <c r="M74" s="510">
        <f t="shared" ca="1" si="8"/>
        <v>14.670165274165266</v>
      </c>
    </row>
    <row r="75" spans="1:13" x14ac:dyDescent="0.2">
      <c r="A75" s="493">
        <f t="shared" si="5"/>
        <v>2017</v>
      </c>
      <c r="C75" s="518">
        <f t="shared" si="9"/>
        <v>350000</v>
      </c>
      <c r="E75" s="507">
        <f>'e7'!I70</f>
        <v>2258070.4400000018</v>
      </c>
      <c r="G75" s="502">
        <f ca="1">[1]!ldfsir(ldfs, ldf_ages, ldf_type, ldf_ret, Intro!$AA39, "Paid", $C75, cutoff, 3)</f>
        <v>1.5700284958451791</v>
      </c>
      <c r="I75" s="507">
        <f t="shared" ca="1" si="6"/>
        <v>3545234.9364256645</v>
      </c>
      <c r="K75" s="507">
        <f t="shared" si="7"/>
        <v>307509.66981400014</v>
      </c>
      <c r="M75" s="510">
        <f t="shared" ca="1" si="8"/>
        <v>11.528856762683366</v>
      </c>
    </row>
    <row r="76" spans="1:13" x14ac:dyDescent="0.2">
      <c r="A76" s="493">
        <f t="shared" ref="A76:A77" si="10">A40</f>
        <v>2018</v>
      </c>
      <c r="C76" s="518">
        <f t="shared" si="9"/>
        <v>350000</v>
      </c>
      <c r="E76" s="507">
        <f>'e7'!I71</f>
        <v>4199295.1499999976</v>
      </c>
      <c r="G76" s="502">
        <f ca="1">[1]!ldfsir(ldfs, ldf_ages, ldf_type, ldf_ret, Intro!$AA40, "Paid", $C76, cutoff, 3)</f>
        <v>2.3992098643632316</v>
      </c>
      <c r="I76" s="507">
        <f t="shared" ca="1" si="6"/>
        <v>10074990.347252671</v>
      </c>
      <c r="K76" s="507">
        <f t="shared" si="7"/>
        <v>536896.27333</v>
      </c>
      <c r="M76" s="510">
        <f t="shared" ca="1" si="8"/>
        <v>18.765245444458767</v>
      </c>
    </row>
    <row r="77" spans="1:13" x14ac:dyDescent="0.2">
      <c r="A77" s="493">
        <f t="shared" si="10"/>
        <v>2019</v>
      </c>
      <c r="C77" s="518">
        <f t="shared" si="9"/>
        <v>350000</v>
      </c>
      <c r="E77" s="512">
        <f>'e7'!I72</f>
        <v>619309.30000000005</v>
      </c>
      <c r="G77" s="502">
        <f ca="1">[1]!ldfsir(ldfs, ldf_ages, ldf_type, ldf_ret, Intro!$AA41, "Paid", $C77, cutoff, 3)</f>
        <v>13.331798965357764</v>
      </c>
      <c r="I77" s="512">
        <f t="shared" ca="1" si="6"/>
        <v>8256507.0849764422</v>
      </c>
      <c r="K77" s="512">
        <f t="shared" si="7"/>
        <v>543133.22666000458</v>
      </c>
      <c r="M77" s="513">
        <f t="shared" ca="1" si="8"/>
        <v>15.201623984136997</v>
      </c>
    </row>
    <row r="79" spans="1:13" x14ac:dyDescent="0.2">
      <c r="A79" s="493" t="s">
        <v>78</v>
      </c>
      <c r="E79" s="501">
        <f>SUM(E54:E77)</f>
        <v>45546281.38000001</v>
      </c>
      <c r="I79" s="501">
        <f ca="1">SUM(I54:I77)</f>
        <v>63736085.661926575</v>
      </c>
      <c r="K79" s="501">
        <f>SUM(K54:K77)</f>
        <v>3896630.2405416127</v>
      </c>
      <c r="M79" s="503">
        <f t="shared" ref="M79" ca="1" si="11">I79/K79</f>
        <v>16.356718941099111</v>
      </c>
    </row>
    <row r="82" spans="1:13" x14ac:dyDescent="0.2">
      <c r="A82" s="392" t="s">
        <v>415</v>
      </c>
    </row>
    <row r="84" spans="1:13" x14ac:dyDescent="0.2">
      <c r="E84" s="493" t="s">
        <v>75</v>
      </c>
    </row>
    <row r="85" spans="1:13" x14ac:dyDescent="0.2">
      <c r="A85" s="496" t="str">
        <f>A49</f>
        <v>Policy</v>
      </c>
      <c r="E85" s="493" t="s">
        <v>8</v>
      </c>
      <c r="G85" s="496" t="s">
        <v>331</v>
      </c>
      <c r="I85" s="496" t="s">
        <v>330</v>
      </c>
      <c r="M85" s="496" t="s">
        <v>332</v>
      </c>
    </row>
    <row r="86" spans="1:13" x14ac:dyDescent="0.2">
      <c r="A86" s="496" t="str">
        <f>A50</f>
        <v>Period</v>
      </c>
      <c r="E86" s="493" t="s">
        <v>334</v>
      </c>
      <c r="G86" s="496" t="s">
        <v>245</v>
      </c>
      <c r="I86" s="496" t="s">
        <v>245</v>
      </c>
      <c r="K86" s="496" t="s">
        <v>5</v>
      </c>
      <c r="M86" s="496" t="s">
        <v>8</v>
      </c>
    </row>
    <row r="87" spans="1:13" x14ac:dyDescent="0.2">
      <c r="A87" s="498" t="str">
        <f>A51</f>
        <v>Ending 9/30</v>
      </c>
      <c r="C87" s="498" t="s">
        <v>90</v>
      </c>
      <c r="E87" s="498" t="str">
        <f>ctxt</f>
        <v>4/30/19</v>
      </c>
      <c r="G87" s="498" t="s">
        <v>338</v>
      </c>
      <c r="I87" s="498" t="s">
        <v>8</v>
      </c>
      <c r="K87" s="498" t="s">
        <v>6</v>
      </c>
      <c r="M87" s="498" t="s">
        <v>349</v>
      </c>
    </row>
    <row r="88" spans="1:13" x14ac:dyDescent="0.2">
      <c r="E88" s="500">
        <v>1</v>
      </c>
      <c r="G88" s="500">
        <f>E88+1</f>
        <v>2</v>
      </c>
      <c r="I88" s="500">
        <f>G88+1</f>
        <v>3</v>
      </c>
      <c r="K88" s="500">
        <f>I88+1</f>
        <v>4</v>
      </c>
      <c r="M88" s="500">
        <f>K88+1</f>
        <v>5</v>
      </c>
    </row>
    <row r="89" spans="1:13" x14ac:dyDescent="0.2">
      <c r="E89" s="500"/>
      <c r="G89" s="500"/>
      <c r="I89" s="500"/>
      <c r="K89" s="500"/>
      <c r="M89" s="500"/>
    </row>
    <row r="90" spans="1:13" x14ac:dyDescent="0.2">
      <c r="A90" s="493">
        <f t="shared" ref="A90:A111" si="12">A54</f>
        <v>1996</v>
      </c>
      <c r="C90" s="517">
        <v>500000</v>
      </c>
      <c r="E90" s="501">
        <f>'e7'!O49</f>
        <v>824780.2</v>
      </c>
      <c r="G90" s="502">
        <f ca="1">[1]!ldfsir(ldfs, ldf_ages, ldf_type, ldf_ret, Intro!$AA18, "Paid", $C90, cutoff, 3)</f>
        <v>1.0226843388986575</v>
      </c>
      <c r="I90" s="501">
        <f ca="1">E90*G90</f>
        <v>843489.79357370245</v>
      </c>
      <c r="K90" s="501">
        <f>K54</f>
        <v>51718.748</v>
      </c>
      <c r="M90" s="503">
        <f ca="1">I90/K90</f>
        <v>16.309168844800777</v>
      </c>
    </row>
    <row r="91" spans="1:13" x14ac:dyDescent="0.2">
      <c r="A91" s="493">
        <f t="shared" si="12"/>
        <v>1997</v>
      </c>
      <c r="C91" s="518">
        <f>C90</f>
        <v>500000</v>
      </c>
      <c r="E91" s="507">
        <f>'e7'!O50</f>
        <v>1506771</v>
      </c>
      <c r="G91" s="502">
        <f ca="1">[1]!ldfsir(ldfs, ldf_ages, ldf_type, ldf_ret, Intro!$AA19, "Paid", $C91, cutoff, 3)</f>
        <v>1.0258699099029394</v>
      </c>
      <c r="I91" s="507">
        <f t="shared" ref="I91:I113" ca="1" si="13">E91*G91</f>
        <v>1545751.030014362</v>
      </c>
      <c r="K91" s="507">
        <f t="shared" ref="K91:K113" si="14">K55</f>
        <v>71279.833180000031</v>
      </c>
      <c r="M91" s="510">
        <f t="shared" ref="M91:M113" ca="1" si="15">I91/K91</f>
        <v>21.685671262879367</v>
      </c>
    </row>
    <row r="92" spans="1:13" x14ac:dyDescent="0.2">
      <c r="A92" s="493">
        <f t="shared" si="12"/>
        <v>1998</v>
      </c>
      <c r="C92" s="518">
        <f t="shared" ref="C92:C113" si="16">C91</f>
        <v>500000</v>
      </c>
      <c r="E92" s="507">
        <f>'e7'!O51</f>
        <v>2734860.17</v>
      </c>
      <c r="G92" s="502">
        <f ca="1">[1]!ldfsir(ldfs, ldf_ages, ldf_type, ldf_ret, Intro!$AA20, "Paid", $C92, cutoff, 3)</f>
        <v>1.0295092480644528</v>
      </c>
      <c r="I92" s="507">
        <f t="shared" ca="1" si="13"/>
        <v>2815563.8371781213</v>
      </c>
      <c r="K92" s="507">
        <f t="shared" si="14"/>
        <v>90725.935539999991</v>
      </c>
      <c r="M92" s="510">
        <f t="shared" ca="1" si="15"/>
        <v>31.033726138175478</v>
      </c>
    </row>
    <row r="93" spans="1:13" x14ac:dyDescent="0.2">
      <c r="A93" s="493">
        <f t="shared" si="12"/>
        <v>1999</v>
      </c>
      <c r="C93" s="518">
        <f t="shared" si="16"/>
        <v>500000</v>
      </c>
      <c r="E93" s="507">
        <f>'e7'!O52</f>
        <v>3318984.29</v>
      </c>
      <c r="G93" s="502">
        <f ca="1">[1]!ldfsir(ldfs, ldf_ages, ldf_type, ldf_ret, Intro!$AA21, "Paid", $C93, cutoff, 3)</f>
        <v>1.0336689077955337</v>
      </c>
      <c r="I93" s="507">
        <f t="shared" ca="1" si="13"/>
        <v>3430730.8660348346</v>
      </c>
      <c r="K93" s="507">
        <f t="shared" si="14"/>
        <v>115828.16377000001</v>
      </c>
      <c r="M93" s="510">
        <f t="shared" ca="1" si="15"/>
        <v>29.619142308491025</v>
      </c>
    </row>
    <row r="94" spans="1:13" x14ac:dyDescent="0.2">
      <c r="A94" s="493">
        <f t="shared" si="12"/>
        <v>2000</v>
      </c>
      <c r="C94" s="518">
        <f t="shared" si="16"/>
        <v>500000</v>
      </c>
      <c r="E94" s="507">
        <f>'e7'!O53</f>
        <v>2580299.4299999997</v>
      </c>
      <c r="G94" s="502">
        <f ca="1">[1]!ldfsir(ldfs, ldf_ages, ldf_type, ldf_ret, Intro!$AA22, "Paid", $C94, cutoff, 3)</f>
        <v>1.0384257773657664</v>
      </c>
      <c r="I94" s="507">
        <f t="shared" ca="1" si="13"/>
        <v>2679449.4414341934</v>
      </c>
      <c r="K94" s="507">
        <f t="shared" si="14"/>
        <v>86853.122530000022</v>
      </c>
      <c r="M94" s="510">
        <f t="shared" ca="1" si="15"/>
        <v>30.850352450007566</v>
      </c>
    </row>
    <row r="95" spans="1:13" x14ac:dyDescent="0.2">
      <c r="A95" s="493">
        <f t="shared" si="12"/>
        <v>2001</v>
      </c>
      <c r="C95" s="518">
        <f t="shared" si="16"/>
        <v>500000</v>
      </c>
      <c r="E95" s="507">
        <f>'e7'!O54</f>
        <v>1599346.97</v>
      </c>
      <c r="G95" s="502">
        <f ca="1">[1]!ldfsir(ldfs, ldf_ages, ldf_type, ldf_ret, Intro!$AA23, "Paid", $C95, cutoff, 3)</f>
        <v>1.0438688527116744</v>
      </c>
      <c r="I95" s="507">
        <f t="shared" ca="1" si="13"/>
        <v>1669508.4866617927</v>
      </c>
      <c r="K95" s="507">
        <f t="shared" si="14"/>
        <v>91838.194909999977</v>
      </c>
      <c r="M95" s="510">
        <f t="shared" ca="1" si="15"/>
        <v>18.178803364960359</v>
      </c>
    </row>
    <row r="96" spans="1:13" x14ac:dyDescent="0.2">
      <c r="A96" s="493">
        <f t="shared" si="12"/>
        <v>2002</v>
      </c>
      <c r="C96" s="518">
        <f t="shared" si="16"/>
        <v>500000</v>
      </c>
      <c r="E96" s="507">
        <f>'e7'!O55</f>
        <v>3395645.9899999998</v>
      </c>
      <c r="G96" s="502">
        <f ca="1">[1]!ldfsir(ldfs, ldf_ages, ldf_type, ldf_ret, Intro!$AA24, "Paid", $C96, cutoff, 3)</f>
        <v>1.0501013646696569</v>
      </c>
      <c r="I96" s="507">
        <f t="shared" ca="1" si="13"/>
        <v>3565772.4880340477</v>
      </c>
      <c r="K96" s="507">
        <f t="shared" si="14"/>
        <v>86098.134999999995</v>
      </c>
      <c r="M96" s="510">
        <f t="shared" ca="1" si="15"/>
        <v>41.415211700393371</v>
      </c>
    </row>
    <row r="97" spans="1:13" x14ac:dyDescent="0.2">
      <c r="A97" s="493">
        <f t="shared" si="12"/>
        <v>2003</v>
      </c>
      <c r="C97" s="518">
        <f t="shared" si="16"/>
        <v>500000</v>
      </c>
      <c r="E97" s="507">
        <f>'e7'!O56</f>
        <v>1493025.0200000005</v>
      </c>
      <c r="G97" s="502">
        <f ca="1">[1]!ldfsir(ldfs, ldf_ages, ldf_type, ldf_ret, Intro!$AA25, "Paid", $C97, cutoff, 3)</f>
        <v>1.0424383723016717</v>
      </c>
      <c r="I97" s="507">
        <f t="shared" ca="1" si="13"/>
        <v>1556386.5716544713</v>
      </c>
      <c r="K97" s="507">
        <f t="shared" si="14"/>
        <v>95877.160999999993</v>
      </c>
      <c r="M97" s="510">
        <f t="shared" ca="1" si="15"/>
        <v>16.23313159694488</v>
      </c>
    </row>
    <row r="98" spans="1:13" x14ac:dyDescent="0.2">
      <c r="A98" s="493">
        <f t="shared" si="12"/>
        <v>2004</v>
      </c>
      <c r="C98" s="518">
        <f t="shared" si="16"/>
        <v>500000</v>
      </c>
      <c r="E98" s="507">
        <f>'e7'!O57</f>
        <v>2598610.1500000004</v>
      </c>
      <c r="G98" s="502">
        <f ca="1">[1]!ldfsir(ldfs, ldf_ages, ldf_type, ldf_ret, Intro!$AA26, "Paid", $C98, cutoff, 3)</f>
        <v>1.0484629770108389</v>
      </c>
      <c r="I98" s="507">
        <f t="shared" ca="1" si="13"/>
        <v>2724546.5339595829</v>
      </c>
      <c r="K98" s="507">
        <f t="shared" si="14"/>
        <v>102137.68700000001</v>
      </c>
      <c r="M98" s="510">
        <f t="shared" ca="1" si="15"/>
        <v>26.675232365107139</v>
      </c>
    </row>
    <row r="99" spans="1:13" x14ac:dyDescent="0.2">
      <c r="A99" s="493">
        <f t="shared" si="12"/>
        <v>2005</v>
      </c>
      <c r="C99" s="518">
        <f t="shared" si="16"/>
        <v>500000</v>
      </c>
      <c r="E99" s="507">
        <f>'e7'!O58</f>
        <v>699839.89000000025</v>
      </c>
      <c r="G99" s="502">
        <f ca="1">[1]!ldfsir(ldfs, ldf_ages, ldf_type, ldf_ret, Intro!$AA27, "Paid", $C99, cutoff, 3)</f>
        <v>1.0553976368817455</v>
      </c>
      <c r="I99" s="507">
        <f t="shared" ca="1" si="13"/>
        <v>738609.3661015809</v>
      </c>
      <c r="K99" s="507">
        <f t="shared" si="14"/>
        <v>111292.39200000001</v>
      </c>
      <c r="M99" s="510">
        <f t="shared" ca="1" si="15"/>
        <v>6.6366564041644542</v>
      </c>
    </row>
    <row r="100" spans="1:13" x14ac:dyDescent="0.2">
      <c r="A100" s="493">
        <f t="shared" si="12"/>
        <v>2006</v>
      </c>
      <c r="C100" s="518">
        <f t="shared" si="16"/>
        <v>500000</v>
      </c>
      <c r="E100" s="507">
        <f>'e7'!O59</f>
        <v>2229103.2700000005</v>
      </c>
      <c r="G100" s="502">
        <f ca="1">[1]!ldfsir(ldfs, ldf_ages, ldf_type, ldf_ret, Intro!$AA28, "Paid", $C100, cutoff, 3)</f>
        <v>1.0633570181309153</v>
      </c>
      <c r="I100" s="507">
        <f t="shared" ca="1" si="13"/>
        <v>2370332.6062930729</v>
      </c>
      <c r="K100" s="507">
        <f t="shared" si="14"/>
        <v>107756.82399999999</v>
      </c>
      <c r="M100" s="510">
        <f t="shared" ca="1" si="15"/>
        <v>21.99705334942939</v>
      </c>
    </row>
    <row r="101" spans="1:13" x14ac:dyDescent="0.2">
      <c r="A101" s="493">
        <f t="shared" si="12"/>
        <v>2007</v>
      </c>
      <c r="C101" s="518">
        <f t="shared" si="16"/>
        <v>500000</v>
      </c>
      <c r="E101" s="507">
        <f>'e7'!O60</f>
        <v>1099670.4199999997</v>
      </c>
      <c r="G101" s="502">
        <f ca="1">[1]!ldfsir(ldfs, ldf_ages, ldf_type, ldf_ret, Intro!$AA29, "Paid", $C101, cutoff, 3)</f>
        <v>1.0722755328462765</v>
      </c>
      <c r="I101" s="507">
        <f t="shared" ca="1" si="13"/>
        <v>1179149.6855607883</v>
      </c>
      <c r="K101" s="507">
        <f t="shared" si="14"/>
        <v>104584.102</v>
      </c>
      <c r="M101" s="510">
        <f t="shared" ca="1" si="15"/>
        <v>11.274655162797002</v>
      </c>
    </row>
    <row r="102" spans="1:13" x14ac:dyDescent="0.2">
      <c r="A102" s="493">
        <f t="shared" si="12"/>
        <v>2008</v>
      </c>
      <c r="C102" s="518">
        <f t="shared" si="16"/>
        <v>500000</v>
      </c>
      <c r="E102" s="507">
        <f>'e7'!O61</f>
        <v>766269.99000000011</v>
      </c>
      <c r="G102" s="502">
        <f ca="1">[1]!ldfsir(ldfs, ldf_ages, ldf_type, ldf_ret, Intro!$AA30, "Paid", $C102, cutoff, 3)</f>
        <v>1.0821968349367919</v>
      </c>
      <c r="I102" s="507">
        <f t="shared" ca="1" si="13"/>
        <v>829254.9578850473</v>
      </c>
      <c r="K102" s="507">
        <f t="shared" si="14"/>
        <v>106050.29700000001</v>
      </c>
      <c r="M102" s="510">
        <f t="shared" ca="1" si="15"/>
        <v>7.8194496511881271</v>
      </c>
    </row>
    <row r="103" spans="1:13" x14ac:dyDescent="0.2">
      <c r="A103" s="493">
        <f t="shared" si="12"/>
        <v>2009</v>
      </c>
      <c r="C103" s="518">
        <f t="shared" si="16"/>
        <v>500000</v>
      </c>
      <c r="E103" s="507">
        <f>'e7'!O62</f>
        <v>1764381.6700000004</v>
      </c>
      <c r="G103" s="502">
        <f ca="1">[1]!ldfsir(ldfs, ldf_ages, ldf_type, ldf_ret, Intro!$AA31, "Paid", $C103, cutoff, 3)</f>
        <v>1.0937155045515625</v>
      </c>
      <c r="I103" s="507">
        <f t="shared" ca="1" si="13"/>
        <v>1929731.588425579</v>
      </c>
      <c r="K103" s="507">
        <f t="shared" si="14"/>
        <v>110722.705</v>
      </c>
      <c r="M103" s="510">
        <f t="shared" ca="1" si="15"/>
        <v>17.428508348180067</v>
      </c>
    </row>
    <row r="104" spans="1:13" x14ac:dyDescent="0.2">
      <c r="A104" s="493">
        <f t="shared" si="12"/>
        <v>2010</v>
      </c>
      <c r="C104" s="518">
        <f t="shared" si="16"/>
        <v>500000</v>
      </c>
      <c r="E104" s="507">
        <f>'e7'!O63</f>
        <v>1183179.1900000002</v>
      </c>
      <c r="G104" s="502">
        <f ca="1">[1]!ldfsir(ldfs, ldf_ages, ldf_type, ldf_ret, Intro!$AA32, "Paid", $C104, cutoff, 3)</f>
        <v>1.1074603223895392</v>
      </c>
      <c r="I104" s="507">
        <f t="shared" ca="1" si="13"/>
        <v>1310324.0072019941</v>
      </c>
      <c r="K104" s="507">
        <f t="shared" si="14"/>
        <v>128222.10400000001</v>
      </c>
      <c r="M104" s="510">
        <f t="shared" ca="1" si="15"/>
        <v>10.219174123066908</v>
      </c>
    </row>
    <row r="105" spans="1:13" x14ac:dyDescent="0.2">
      <c r="A105" s="493">
        <f t="shared" si="12"/>
        <v>2011</v>
      </c>
      <c r="C105" s="518">
        <f t="shared" si="16"/>
        <v>500000</v>
      </c>
      <c r="E105" s="507">
        <f>'e7'!O64</f>
        <v>1212882.8100000003</v>
      </c>
      <c r="G105" s="502">
        <f ca="1">[1]!ldfsir(ldfs, ldf_ages, ldf_type, ldf_ret, Intro!$AA33, "Paid", $C105, cutoff, 3)</f>
        <v>1.1238871900342311</v>
      </c>
      <c r="I105" s="507">
        <f t="shared" ca="1" si="13"/>
        <v>1363143.4531717226</v>
      </c>
      <c r="K105" s="507">
        <f t="shared" si="14"/>
        <v>143214.37400000001</v>
      </c>
      <c r="M105" s="510">
        <f t="shared" ca="1" si="15"/>
        <v>9.5182027829952496</v>
      </c>
    </row>
    <row r="106" spans="1:13" x14ac:dyDescent="0.2">
      <c r="A106" s="493">
        <f t="shared" si="12"/>
        <v>2012</v>
      </c>
      <c r="C106" s="518">
        <f t="shared" si="16"/>
        <v>500000</v>
      </c>
      <c r="E106" s="507">
        <f>'e7'!O65</f>
        <v>1925803.2599999993</v>
      </c>
      <c r="G106" s="502">
        <f ca="1">[1]!ldfsir(ldfs, ldf_ages, ldf_type, ldf_ret, Intro!$AA34, "Paid", $C106, cutoff, 3)</f>
        <v>1.1447535919563931</v>
      </c>
      <c r="I106" s="507">
        <f t="shared" ca="1" si="13"/>
        <v>2204570.199286331</v>
      </c>
      <c r="K106" s="507">
        <f t="shared" si="14"/>
        <v>145569.85699999999</v>
      </c>
      <c r="M106" s="510">
        <f t="shared" ca="1" si="15"/>
        <v>15.144414130229798</v>
      </c>
    </row>
    <row r="107" spans="1:13" x14ac:dyDescent="0.2">
      <c r="A107" s="493">
        <f t="shared" si="12"/>
        <v>2013</v>
      </c>
      <c r="C107" s="518">
        <f t="shared" si="16"/>
        <v>500000</v>
      </c>
      <c r="E107" s="507">
        <f>'e7'!O66</f>
        <v>2061366.5999999999</v>
      </c>
      <c r="G107" s="502">
        <f ca="1">[1]!ldfsir(ldfs, ldf_ages, ldf_type, ldf_ret, Intro!$AA35, "Paid", $C107, cutoff, 3)</f>
        <v>1.1727407242287986</v>
      </c>
      <c r="I107" s="507">
        <f t="shared" ca="1" si="13"/>
        <v>2417448.5593850561</v>
      </c>
      <c r="K107" s="507">
        <f t="shared" si="14"/>
        <v>157968.50285000002</v>
      </c>
      <c r="M107" s="510">
        <f t="shared" ca="1" si="15"/>
        <v>15.303358047778421</v>
      </c>
    </row>
    <row r="108" spans="1:13" x14ac:dyDescent="0.2">
      <c r="A108" s="493">
        <f t="shared" si="12"/>
        <v>2014</v>
      </c>
      <c r="C108" s="518">
        <f t="shared" si="16"/>
        <v>500000</v>
      </c>
      <c r="E108" s="507">
        <f>'e7'!O67</f>
        <v>2342502.8100000005</v>
      </c>
      <c r="G108" s="502">
        <f ca="1">[1]!ldfsir(ldfs, ldf_ages, ldf_type, ldf_ret, Intro!$AA36, "Paid", $C108, cutoff, 3)</f>
        <v>1.2108214635833114</v>
      </c>
      <c r="I108" s="507">
        <f t="shared" ca="1" si="13"/>
        <v>2836352.6808522204</v>
      </c>
      <c r="K108" s="507">
        <f t="shared" si="14"/>
        <v>182546.24444841431</v>
      </c>
      <c r="M108" s="510">
        <f t="shared" ca="1" si="15"/>
        <v>15.537721356156108</v>
      </c>
    </row>
    <row r="109" spans="1:13" x14ac:dyDescent="0.2">
      <c r="A109" s="493">
        <f t="shared" si="12"/>
        <v>2015</v>
      </c>
      <c r="C109" s="518">
        <f t="shared" si="16"/>
        <v>500000</v>
      </c>
      <c r="E109" s="507">
        <f>'e7'!O68</f>
        <v>2810502.1600000011</v>
      </c>
      <c r="G109" s="502">
        <f ca="1">[1]!ldfsir(ldfs, ldf_ages, ldf_type, ldf_ret, Intro!$AA37, "Paid", $C109, cutoff, 3)</f>
        <v>1.2696167444604285</v>
      </c>
      <c r="I109" s="507">
        <f t="shared" ca="1" si="13"/>
        <v>3568260.6026782035</v>
      </c>
      <c r="K109" s="507">
        <f t="shared" si="14"/>
        <v>196912.10476000005</v>
      </c>
      <c r="M109" s="510">
        <f t="shared" ca="1" si="15"/>
        <v>18.121083043763424</v>
      </c>
    </row>
    <row r="110" spans="1:13" x14ac:dyDescent="0.2">
      <c r="A110" s="493">
        <f t="shared" si="12"/>
        <v>2016</v>
      </c>
      <c r="C110" s="518">
        <f t="shared" si="16"/>
        <v>500000</v>
      </c>
      <c r="E110" s="507">
        <f>'e7'!O69</f>
        <v>2449912.0500000017</v>
      </c>
      <c r="G110" s="502">
        <f ca="1">[1]!ldfsir(ldfs, ldf_ages, ldf_type, ldf_ret, Intro!$AA38, "Paid", $C110, cutoff, 3)</f>
        <v>1.3741871342703802</v>
      </c>
      <c r="I110" s="507">
        <f t="shared" ca="1" si="13"/>
        <v>3366637.6192039745</v>
      </c>
      <c r="K110" s="507">
        <f t="shared" si="14"/>
        <v>221894.58274919298</v>
      </c>
      <c r="M110" s="510">
        <f t="shared" ca="1" si="15"/>
        <v>15.172238896022435</v>
      </c>
    </row>
    <row r="111" spans="1:13" x14ac:dyDescent="0.2">
      <c r="A111" s="493">
        <f t="shared" si="12"/>
        <v>2017</v>
      </c>
      <c r="C111" s="518">
        <f t="shared" si="16"/>
        <v>500000</v>
      </c>
      <c r="E111" s="507">
        <f>'e7'!O70</f>
        <v>2258070.4400000018</v>
      </c>
      <c r="G111" s="502">
        <f ca="1">[1]!ldfsir(ldfs, ldf_ages, ldf_type, ldf_ret, Intro!$AA39, "Paid", $C111, cutoff, 3)</f>
        <v>1.6304239073857805</v>
      </c>
      <c r="I111" s="507">
        <f t="shared" ca="1" si="13"/>
        <v>3681612.0299371313</v>
      </c>
      <c r="K111" s="507">
        <f t="shared" si="14"/>
        <v>307509.66981400014</v>
      </c>
      <c r="M111" s="510">
        <f t="shared" ca="1" si="15"/>
        <v>11.97234555961764</v>
      </c>
    </row>
    <row r="112" spans="1:13" x14ac:dyDescent="0.2">
      <c r="A112" s="493">
        <f t="shared" ref="A112:A113" si="17">A76</f>
        <v>2018</v>
      </c>
      <c r="C112" s="518">
        <f t="shared" si="16"/>
        <v>500000</v>
      </c>
      <c r="E112" s="507">
        <f>'e7'!O71</f>
        <v>4199295.1499999976</v>
      </c>
      <c r="G112" s="502">
        <f ca="1">[1]!ldfsir(ldfs, ldf_ages, ldf_type, ldf_ret, Intro!$AA40, "Paid", $C112, cutoff, 3)</f>
        <v>2.4888729842878132</v>
      </c>
      <c r="I112" s="507">
        <f t="shared" ca="1" si="13"/>
        <v>10451512.251885835</v>
      </c>
      <c r="K112" s="507">
        <f t="shared" si="14"/>
        <v>536896.27333</v>
      </c>
      <c r="M112" s="510">
        <f t="shared" ca="1" si="15"/>
        <v>19.466539015184924</v>
      </c>
    </row>
    <row r="113" spans="1:13" x14ac:dyDescent="0.2">
      <c r="A113" s="493">
        <f t="shared" si="17"/>
        <v>2019</v>
      </c>
      <c r="C113" s="518">
        <f t="shared" si="16"/>
        <v>500000</v>
      </c>
      <c r="E113" s="512">
        <f>'e7'!O72</f>
        <v>619309.30000000005</v>
      </c>
      <c r="G113" s="502">
        <f ca="1">[1]!ldfsir(ldfs, ldf_ages, ldf_type, ldf_ret, Intro!$AA41, "Paid", $C113, cutoff, 3)</f>
        <v>13.873497614166341</v>
      </c>
      <c r="I113" s="512">
        <f t="shared" ca="1" si="13"/>
        <v>8591986.0959810279</v>
      </c>
      <c r="K113" s="512">
        <f t="shared" si="14"/>
        <v>543133.22666000458</v>
      </c>
      <c r="M113" s="513">
        <f t="shared" ca="1" si="15"/>
        <v>15.819297502414663</v>
      </c>
    </row>
    <row r="115" spans="1:13" x14ac:dyDescent="0.2">
      <c r="A115" s="493" t="s">
        <v>78</v>
      </c>
      <c r="E115" s="501">
        <f>SUM(E90:E113)</f>
        <v>47674412.230000004</v>
      </c>
      <c r="I115" s="501">
        <f ca="1">SUM(I90:I113)</f>
        <v>67670124.752394676</v>
      </c>
      <c r="K115" s="501">
        <f>SUM(K90:K113)</f>
        <v>3896630.2405416127</v>
      </c>
      <c r="M115" s="503">
        <f t="shared" ref="M115" ca="1" si="18">I115/K115</f>
        <v>17.366319248959289</v>
      </c>
    </row>
    <row r="118" spans="1:13" s="327" customFormat="1" ht="12" x14ac:dyDescent="0.2">
      <c r="A118" s="360" t="s">
        <v>83</v>
      </c>
    </row>
    <row r="119" spans="1:13" s="327" customFormat="1" ht="12" x14ac:dyDescent="0.2">
      <c r="A119" s="327" t="str">
        <f>"Columns (1) and (4) provided by "&amp;client&amp;"."</f>
        <v>Columns (1) and (4) provided by CLIENT XYZ.</v>
      </c>
    </row>
    <row r="120" spans="1:13" s="327" customFormat="1" ht="12" x14ac:dyDescent="0.2">
      <c r="A120" s="516" t="s">
        <v>474</v>
      </c>
    </row>
    <row r="121" spans="1:13" s="327" customFormat="1" ht="12" x14ac:dyDescent="0.2">
      <c r="A121" s="327" t="s">
        <v>358</v>
      </c>
    </row>
    <row r="122" spans="1:13" s="327" customFormat="1" ht="12" x14ac:dyDescent="0.2">
      <c r="A122" s="327" t="s">
        <v>472</v>
      </c>
    </row>
  </sheetData>
  <printOptions horizontalCentered="1"/>
  <pageMargins left="0.7" right="0.7" top="0.75" bottom="0.75" header="0.3" footer="0.3"/>
  <pageSetup scale="46" orientation="portrait" blackAndWhite="1" r:id="rId1"/>
  <headerFooter>
    <oddHeader xml:space="preserve">&amp;L&amp;"Arial"&amp;10  
  &amp;R&amp;"Arial"&amp;10  Exhibit 3
Sheet 2A
</oddHeader>
    <oddFooter xml:space="preserve">&amp;L&amp;"Arial"&amp;10 Oliver Wyman Actuarial Consulting, Inc.
&amp;C&amp;"Arial"&amp;10 &amp;R&amp;"Arial"&amp;10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>
    <tabColor theme="5" tint="0.79998168889431442"/>
    <pageSetUpPr fitToPage="1"/>
  </sheetPr>
  <dimension ref="A1:M86"/>
  <sheetViews>
    <sheetView zoomScale="85" zoomScaleNormal="85" workbookViewId="0"/>
  </sheetViews>
  <sheetFormatPr defaultColWidth="9" defaultRowHeight="12.75" x14ac:dyDescent="0.2"/>
  <cols>
    <col min="1" max="1" width="9.5" style="488" customWidth="1"/>
    <col min="2" max="2" width="2.625" style="488" customWidth="1"/>
    <col min="3" max="3" width="9" style="488"/>
    <col min="4" max="4" width="2.625" style="488" customWidth="1"/>
    <col min="5" max="5" width="10.75" style="488" customWidth="1"/>
    <col min="6" max="6" width="2.625" style="488" customWidth="1"/>
    <col min="7" max="7" width="9" style="488"/>
    <col min="8" max="8" width="2.625" style="488" customWidth="1"/>
    <col min="9" max="9" width="10.75" style="488" customWidth="1"/>
    <col min="10" max="10" width="2.625" style="488" customWidth="1"/>
    <col min="11" max="11" width="10.625" style="488" customWidth="1"/>
    <col min="12" max="12" width="2.625" style="488" customWidth="1"/>
    <col min="13" max="13" width="10.75" style="488" customWidth="1"/>
    <col min="14" max="14" width="2.625" style="488" customWidth="1"/>
    <col min="15" max="16384" width="9" style="488"/>
  </cols>
  <sheetData>
    <row r="1" spans="1:13" x14ac:dyDescent="0.2">
      <c r="A1" s="1" t="str">
        <f>[1]!getlabels()</f>
        <v>Exhibit 3, Sheet 2B</v>
      </c>
    </row>
    <row r="2" spans="1:13" ht="22.5" x14ac:dyDescent="0.45">
      <c r="A2" s="78" t="str">
        <f>client</f>
        <v>CLIENT XYZ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13" ht="15" x14ac:dyDescent="0.2">
      <c r="A3" s="80" t="str">
        <f>tit</f>
        <v>Analysis of Unpaid Loss &amp; ALAE as of June 30, 2019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</row>
    <row r="4" spans="1:13" ht="15" x14ac:dyDescent="0.2">
      <c r="A4" s="80" t="str">
        <f>cov</f>
        <v>Workers Compensation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</row>
    <row r="5" spans="1:13" ht="15" x14ac:dyDescent="0.2">
      <c r="A5" s="80" t="str">
        <f>"Data Evaluated as of "&amp;ctxt_l</f>
        <v>Data Evaluated as of April 30, 2019</v>
      </c>
      <c r="B5" s="491"/>
      <c r="C5" s="491"/>
      <c r="D5" s="491"/>
      <c r="E5" s="491"/>
      <c r="F5" s="491"/>
      <c r="G5" s="491"/>
      <c r="H5" s="491"/>
      <c r="I5" s="491"/>
      <c r="J5" s="491"/>
      <c r="K5" s="491"/>
      <c r="L5" s="491"/>
      <c r="M5" s="491"/>
    </row>
    <row r="7" spans="1:13" s="619" customFormat="1" x14ac:dyDescent="0.2">
      <c r="A7" s="224" t="str">
        <f>VLOOKUP($A$1, index_lkups, 3, FALSE)</f>
        <v>Paid Development Method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</row>
    <row r="10" spans="1:13" x14ac:dyDescent="0.2">
      <c r="A10" s="392" t="s">
        <v>406</v>
      </c>
    </row>
    <row r="12" spans="1:13" x14ac:dyDescent="0.2">
      <c r="E12" s="493" t="s">
        <v>75</v>
      </c>
    </row>
    <row r="13" spans="1:13" x14ac:dyDescent="0.2">
      <c r="A13" s="496" t="str">
        <f>Intro!M9</f>
        <v>Policy</v>
      </c>
      <c r="E13" s="493" t="s">
        <v>8</v>
      </c>
      <c r="G13" s="496" t="s">
        <v>331</v>
      </c>
      <c r="I13" s="496" t="s">
        <v>330</v>
      </c>
      <c r="M13" s="496" t="s">
        <v>332</v>
      </c>
    </row>
    <row r="14" spans="1:13" x14ac:dyDescent="0.2">
      <c r="A14" s="496" t="str">
        <f>Intro!M10</f>
        <v>Period</v>
      </c>
      <c r="E14" s="493" t="s">
        <v>334</v>
      </c>
      <c r="G14" s="496" t="s">
        <v>245</v>
      </c>
      <c r="I14" s="496" t="s">
        <v>245</v>
      </c>
      <c r="K14" s="496" t="s">
        <v>5</v>
      </c>
      <c r="M14" s="496" t="s">
        <v>8</v>
      </c>
    </row>
    <row r="15" spans="1:13" x14ac:dyDescent="0.2">
      <c r="A15" s="498" t="str">
        <f>Intro!M11</f>
        <v>Ending 9/30</v>
      </c>
      <c r="C15" s="498" t="s">
        <v>90</v>
      </c>
      <c r="E15" s="498" t="str">
        <f>ctxt</f>
        <v>4/30/19</v>
      </c>
      <c r="G15" s="498" t="s">
        <v>338</v>
      </c>
      <c r="I15" s="498" t="s">
        <v>8</v>
      </c>
      <c r="K15" s="498" t="s">
        <v>6</v>
      </c>
      <c r="M15" s="498" t="s">
        <v>349</v>
      </c>
    </row>
    <row r="16" spans="1:13" x14ac:dyDescent="0.2">
      <c r="E16" s="500">
        <v>1</v>
      </c>
      <c r="G16" s="500">
        <f>E16+1</f>
        <v>2</v>
      </c>
      <c r="I16" s="500">
        <f>G16+1</f>
        <v>3</v>
      </c>
      <c r="K16" s="500">
        <f>I16+1</f>
        <v>4</v>
      </c>
      <c r="M16" s="500">
        <f>K16+1</f>
        <v>5</v>
      </c>
    </row>
    <row r="17" spans="1:13" x14ac:dyDescent="0.2">
      <c r="E17" s="500"/>
      <c r="G17" s="500"/>
      <c r="I17" s="500"/>
      <c r="K17" s="500"/>
      <c r="M17" s="500"/>
    </row>
    <row r="18" spans="1:13" x14ac:dyDescent="0.2">
      <c r="A18" s="493">
        <f>Intro!C18</f>
        <v>1996</v>
      </c>
      <c r="C18" s="521">
        <v>10000000</v>
      </c>
      <c r="E18" s="501">
        <f>'e7'!E16</f>
        <v>824780.2</v>
      </c>
      <c r="G18" s="502">
        <f ca="1">[1]!ldfsir(ldfs, ldf_ages, ldf_type, ldf_ret, Intro!$AA18, "Paid", $C18, cutoff, 3)</f>
        <v>1.0330821022434322</v>
      </c>
      <c r="I18" s="501">
        <f ca="1">E18*G18</f>
        <v>852065.66290475847</v>
      </c>
      <c r="K18" s="501">
        <f>Intro!K18</f>
        <v>51718.748</v>
      </c>
      <c r="M18" s="503">
        <f ca="1">I18/K18</f>
        <v>16.474986264260661</v>
      </c>
    </row>
    <row r="19" spans="1:13" x14ac:dyDescent="0.2">
      <c r="A19" s="493">
        <f>Intro!C19</f>
        <v>1997</v>
      </c>
      <c r="C19" s="522">
        <f>C18</f>
        <v>10000000</v>
      </c>
      <c r="E19" s="504">
        <f>'e7'!E17</f>
        <v>1506771</v>
      </c>
      <c r="G19" s="502">
        <f ca="1">[1]!ldfsir(ldfs, ldf_ages, ldf_type, ldf_ret, Intro!$AA19, "Paid", $C19, cutoff, 3)</f>
        <v>1.0372517996610733</v>
      </c>
      <c r="I19" s="507">
        <f t="shared" ref="I19:I41" ca="1" si="0">E19*G19</f>
        <v>1562900.9314271151</v>
      </c>
      <c r="K19" s="504">
        <f>Intro!K19</f>
        <v>71279.833180000031</v>
      </c>
      <c r="M19" s="510">
        <f t="shared" ref="M19:M41" ca="1" si="1">I19/K19</f>
        <v>21.926270891801693</v>
      </c>
    </row>
    <row r="20" spans="1:13" x14ac:dyDescent="0.2">
      <c r="A20" s="493">
        <f>Intro!C20</f>
        <v>1998</v>
      </c>
      <c r="C20" s="522">
        <f t="shared" ref="C20:C41" si="2">C19</f>
        <v>10000000</v>
      </c>
      <c r="E20" s="504">
        <f>'e7'!E18</f>
        <v>2734860.17</v>
      </c>
      <c r="G20" s="502">
        <f ca="1">[1]!ldfsir(ldfs, ldf_ages, ldf_type, ldf_ret, Intro!$AA20, "Paid", $C20, cutoff, 3)</f>
        <v>1.0419576343939214</v>
      </c>
      <c r="I20" s="507">
        <f t="shared" ca="1" si="0"/>
        <v>2849608.4331313577</v>
      </c>
      <c r="K20" s="504">
        <f>Intro!K20</f>
        <v>90725.935539999991</v>
      </c>
      <c r="M20" s="510">
        <f t="shared" ca="1" si="1"/>
        <v>31.408972706321656</v>
      </c>
    </row>
    <row r="21" spans="1:13" x14ac:dyDescent="0.2">
      <c r="A21" s="493">
        <f>Intro!C21</f>
        <v>1999</v>
      </c>
      <c r="C21" s="522">
        <f t="shared" si="2"/>
        <v>10000000</v>
      </c>
      <c r="E21" s="504">
        <f>'e7'!E19</f>
        <v>3784778.14</v>
      </c>
      <c r="G21" s="502">
        <f ca="1">[1]!ldfsir(ldfs, ldf_ages, ldf_type, ldf_ret, Intro!$AA21, "Paid", $C21, cutoff, 3)</f>
        <v>1.0472713550969925</v>
      </c>
      <c r="I21" s="507">
        <f t="shared" ca="1" si="0"/>
        <v>3963689.731419275</v>
      </c>
      <c r="K21" s="504">
        <f>Intro!K21</f>
        <v>115828.16377000001</v>
      </c>
      <c r="M21" s="510">
        <f t="shared" ca="1" si="1"/>
        <v>34.220431390848724</v>
      </c>
    </row>
    <row r="22" spans="1:13" x14ac:dyDescent="0.2">
      <c r="A22" s="493">
        <f>Intro!C22</f>
        <v>2000</v>
      </c>
      <c r="C22" s="522">
        <f t="shared" si="2"/>
        <v>10000000</v>
      </c>
      <c r="E22" s="504">
        <f>'e7'!E20</f>
        <v>2827413.16</v>
      </c>
      <c r="G22" s="502">
        <f ca="1">[1]!ldfsir(ldfs, ldf_ages, ldf_type, ldf_ret, Intro!$AA22, "Paid", $C22, cutoff, 3)</f>
        <v>1.0532750575089058</v>
      </c>
      <c r="I22" s="507">
        <f t="shared" ca="1" si="0"/>
        <v>2978043.7587004374</v>
      </c>
      <c r="K22" s="504">
        <f>Intro!K22</f>
        <v>86853.122530000022</v>
      </c>
      <c r="M22" s="510">
        <f t="shared" ca="1" si="1"/>
        <v>34.288275101125905</v>
      </c>
    </row>
    <row r="23" spans="1:13" x14ac:dyDescent="0.2">
      <c r="A23" s="493">
        <f>Intro!C23</f>
        <v>2001</v>
      </c>
      <c r="C23" s="522">
        <f t="shared" si="2"/>
        <v>10000000</v>
      </c>
      <c r="E23" s="504">
        <f>'e7'!E21</f>
        <v>1638998.97</v>
      </c>
      <c r="G23" s="502">
        <f ca="1">[1]!ldfsir(ldfs, ldf_ages, ldf_type, ldf_ret, Intro!$AA23, "Paid", $C23, cutoff, 3)</f>
        <v>1.0600628718238569</v>
      </c>
      <c r="I23" s="507">
        <f t="shared" ca="1" si="0"/>
        <v>1737441.9550545434</v>
      </c>
      <c r="K23" s="504">
        <f>Intro!K23</f>
        <v>91838.194909999977</v>
      </c>
      <c r="M23" s="510">
        <f t="shared" ca="1" si="1"/>
        <v>18.918511592668061</v>
      </c>
    </row>
    <row r="24" spans="1:13" x14ac:dyDescent="0.2">
      <c r="A24" s="493">
        <f>Intro!C24</f>
        <v>2002</v>
      </c>
      <c r="C24" s="522">
        <f t="shared" si="2"/>
        <v>10000000</v>
      </c>
      <c r="E24" s="504">
        <f>'e7'!E22</f>
        <v>3627710.46</v>
      </c>
      <c r="G24" s="502">
        <f ca="1">[1]!ldfsir(ldfs, ldf_ages, ldf_type, ldf_ret, Intro!$AA24, "Paid", $C24, cutoff, 3)</f>
        <v>1.0677429749633467</v>
      </c>
      <c r="I24" s="507">
        <f t="shared" ca="1" si="0"/>
        <v>3873462.3588660508</v>
      </c>
      <c r="K24" s="504">
        <f>Intro!K24</f>
        <v>86098.134999999995</v>
      </c>
      <c r="M24" s="510">
        <f t="shared" ca="1" si="1"/>
        <v>44.988922917622446</v>
      </c>
    </row>
    <row r="25" spans="1:13" x14ac:dyDescent="0.2">
      <c r="A25" s="493">
        <f>Intro!C25</f>
        <v>2003</v>
      </c>
      <c r="C25" s="522">
        <f t="shared" si="2"/>
        <v>10000000</v>
      </c>
      <c r="E25" s="504">
        <f>'e7'!E23</f>
        <v>1499605.6200000003</v>
      </c>
      <c r="G25" s="502">
        <f ca="1">[1]!ldfsir(ldfs, ldf_ages, ldf_type, ldf_ret, Intro!$AA25, "Paid", $C25, cutoff, 3)</f>
        <v>1.0582867529855606</v>
      </c>
      <c r="I25" s="507">
        <f t="shared" ca="1" si="0"/>
        <v>1587012.7623486989</v>
      </c>
      <c r="K25" s="504">
        <f>Intro!K25</f>
        <v>95877.160999999993</v>
      </c>
      <c r="M25" s="510">
        <f t="shared" ca="1" si="1"/>
        <v>16.55256315264382</v>
      </c>
    </row>
    <row r="26" spans="1:13" x14ac:dyDescent="0.2">
      <c r="A26" s="493">
        <f>Intro!C26</f>
        <v>2004</v>
      </c>
      <c r="C26" s="522">
        <f t="shared" si="2"/>
        <v>10000000</v>
      </c>
      <c r="E26" s="504">
        <f>'e7'!E24</f>
        <v>2598610.1500000004</v>
      </c>
      <c r="G26" s="502">
        <f ca="1">[1]!ldfsir(ldfs, ldf_ages, ldf_type, ldf_ret, Intro!$AA26, "Paid", $C26, cutoff, 3)</f>
        <v>1.0657327877396354</v>
      </c>
      <c r="I26" s="507">
        <f t="shared" ca="1" si="0"/>
        <v>2769424.0394080128</v>
      </c>
      <c r="K26" s="504">
        <f>Intro!K26</f>
        <v>102137.68700000001</v>
      </c>
      <c r="M26" s="510">
        <f t="shared" ca="1" si="1"/>
        <v>27.114614798433927</v>
      </c>
    </row>
    <row r="27" spans="1:13" x14ac:dyDescent="0.2">
      <c r="A27" s="493">
        <f>Intro!C27</f>
        <v>2005</v>
      </c>
      <c r="C27" s="522">
        <f t="shared" si="2"/>
        <v>10000000</v>
      </c>
      <c r="E27" s="504">
        <f>'e7'!E25</f>
        <v>699839.89000000025</v>
      </c>
      <c r="G27" s="502">
        <f ca="1">[1]!ldfsir(ldfs, ldf_ages, ldf_type, ldf_ret, Intro!$AA27, "Paid", $C27, cutoff, 3)</f>
        <v>1.0741209771653186</v>
      </c>
      <c r="I27" s="507">
        <f t="shared" ca="1" si="0"/>
        <v>751712.7065060694</v>
      </c>
      <c r="K27" s="504">
        <f>Intro!K27</f>
        <v>111292.39200000001</v>
      </c>
      <c r="M27" s="510">
        <f t="shared" ca="1" si="1"/>
        <v>6.7543943750087552</v>
      </c>
    </row>
    <row r="28" spans="1:13" x14ac:dyDescent="0.2">
      <c r="A28" s="493">
        <f>Intro!C28</f>
        <v>2006</v>
      </c>
      <c r="C28" s="522">
        <f t="shared" si="2"/>
        <v>10000000</v>
      </c>
      <c r="E28" s="504">
        <f>'e7'!E26</f>
        <v>2316148.9500000007</v>
      </c>
      <c r="G28" s="502">
        <f ca="1">[1]!ldfsir(ldfs, ldf_ages, ldf_type, ldf_ret, Intro!$AA28, "Paid", $C28, cutoff, 3)</f>
        <v>1.0835298880493847</v>
      </c>
      <c r="I28" s="507">
        <f t="shared" ca="1" si="0"/>
        <v>2509616.6124992007</v>
      </c>
      <c r="K28" s="504">
        <f>Intro!K28</f>
        <v>107756.82399999999</v>
      </c>
      <c r="M28" s="510">
        <f t="shared" ca="1" si="1"/>
        <v>23.28963047852265</v>
      </c>
    </row>
    <row r="29" spans="1:13" x14ac:dyDescent="0.2">
      <c r="A29" s="493">
        <f>Intro!C29</f>
        <v>2007</v>
      </c>
      <c r="C29" s="522">
        <f t="shared" si="2"/>
        <v>10000000</v>
      </c>
      <c r="E29" s="504">
        <f>'e7'!E27</f>
        <v>1099670.4199999997</v>
      </c>
      <c r="G29" s="502">
        <f ca="1">[1]!ldfsir(ldfs, ldf_ages, ldf_type, ldf_ret, Intro!$AA29, "Paid", $C29, cutoff, 3)</f>
        <v>1.0939904899526705</v>
      </c>
      <c r="I29" s="507">
        <f t="shared" ca="1" si="0"/>
        <v>1203028.9815622587</v>
      </c>
      <c r="K29" s="504">
        <f>Intro!K29</f>
        <v>104584.102</v>
      </c>
      <c r="M29" s="510">
        <f t="shared" ca="1" si="1"/>
        <v>11.502981414539073</v>
      </c>
    </row>
    <row r="30" spans="1:13" x14ac:dyDescent="0.2">
      <c r="A30" s="493">
        <f>Intro!C30</f>
        <v>2008</v>
      </c>
      <c r="C30" s="522">
        <f t="shared" si="2"/>
        <v>10000000</v>
      </c>
      <c r="E30" s="504">
        <f>'e7'!E28</f>
        <v>766269.99000000011</v>
      </c>
      <c r="G30" s="502">
        <f ca="1">[1]!ldfsir(ldfs, ldf_ages, ldf_type, ldf_ret, Intro!$AA30, "Paid", $C30, cutoff, 3)</f>
        <v>1.1055224864618738</v>
      </c>
      <c r="I30" s="507">
        <f t="shared" ca="1" si="0"/>
        <v>847128.70464591531</v>
      </c>
      <c r="K30" s="504">
        <f>Intro!K30</f>
        <v>106050.29700000001</v>
      </c>
      <c r="M30" s="510">
        <f t="shared" ca="1" si="1"/>
        <v>7.987989931286239</v>
      </c>
    </row>
    <row r="31" spans="1:13" x14ac:dyDescent="0.2">
      <c r="A31" s="493">
        <f>Intro!C31</f>
        <v>2009</v>
      </c>
      <c r="C31" s="522">
        <f t="shared" si="2"/>
        <v>10000000</v>
      </c>
      <c r="E31" s="504">
        <f>'e7'!E29</f>
        <v>1848124.9500000004</v>
      </c>
      <c r="G31" s="502">
        <f ca="1">[1]!ldfsir(ldfs, ldf_ages, ldf_type, ldf_ret, Intro!$AA31, "Paid", $C31, cutoff, 3)</f>
        <v>1.1188743796310656</v>
      </c>
      <c r="I31" s="507">
        <f t="shared" ca="1" si="0"/>
        <v>2067819.6569119447</v>
      </c>
      <c r="K31" s="504">
        <f>Intro!K31</f>
        <v>110722.705</v>
      </c>
      <c r="M31" s="510">
        <f t="shared" ca="1" si="1"/>
        <v>18.675660578486994</v>
      </c>
    </row>
    <row r="32" spans="1:13" x14ac:dyDescent="0.2">
      <c r="A32" s="493">
        <f>Intro!C32</f>
        <v>2010</v>
      </c>
      <c r="C32" s="522">
        <f t="shared" si="2"/>
        <v>10000000</v>
      </c>
      <c r="E32" s="504">
        <f>'e7'!E30</f>
        <v>1183179.1900000002</v>
      </c>
      <c r="G32" s="502">
        <f ca="1">[1]!ldfsir(ldfs, ldf_ages, ldf_type, ldf_ret, Intro!$AA32, "Paid", $C32, cutoff, 3)</f>
        <v>1.1348079976588499</v>
      </c>
      <c r="I32" s="507">
        <f t="shared" ca="1" si="0"/>
        <v>1342681.2074755202</v>
      </c>
      <c r="K32" s="504">
        <f>Intro!K32</f>
        <v>128222.10400000001</v>
      </c>
      <c r="M32" s="510">
        <f t="shared" ca="1" si="1"/>
        <v>10.471526870870253</v>
      </c>
    </row>
    <row r="33" spans="1:13" x14ac:dyDescent="0.2">
      <c r="A33" s="493">
        <f>Intro!C33</f>
        <v>2011</v>
      </c>
      <c r="C33" s="522">
        <f t="shared" si="2"/>
        <v>10000000</v>
      </c>
      <c r="E33" s="504">
        <f>'e7'!E31</f>
        <v>1212882.8100000003</v>
      </c>
      <c r="G33" s="502">
        <f ca="1">[1]!ldfsir(ldfs, ldf_ages, ldf_type, ldf_ret, Intro!$AA33, "Paid", $C33, cutoff, 3)</f>
        <v>1.1538325943591023</v>
      </c>
      <c r="I33" s="507">
        <f t="shared" ca="1" si="0"/>
        <v>1399463.7193158586</v>
      </c>
      <c r="K33" s="504">
        <f>Intro!K33</f>
        <v>143214.37400000001</v>
      </c>
      <c r="M33" s="510">
        <f t="shared" ca="1" si="1"/>
        <v>9.7718104700569963</v>
      </c>
    </row>
    <row r="34" spans="1:13" x14ac:dyDescent="0.2">
      <c r="A34" s="493">
        <f>Intro!C34</f>
        <v>2012</v>
      </c>
      <c r="C34" s="522">
        <f t="shared" si="2"/>
        <v>10000000</v>
      </c>
      <c r="E34" s="504">
        <f>'e7'!E32</f>
        <v>1925803.2599999993</v>
      </c>
      <c r="G34" s="502">
        <f ca="1">[1]!ldfsir(ldfs, ldf_ages, ldf_type, ldf_ret, Intro!$AA34, "Paid", $C34, cutoff, 3)</f>
        <v>1.1775523097393084</v>
      </c>
      <c r="I34" s="507">
        <f t="shared" ca="1" si="0"/>
        <v>2267734.0769164888</v>
      </c>
      <c r="K34" s="504">
        <f>Intro!K34</f>
        <v>145569.85699999999</v>
      </c>
      <c r="M34" s="510">
        <f t="shared" ca="1" si="1"/>
        <v>15.578321801308695</v>
      </c>
    </row>
    <row r="35" spans="1:13" x14ac:dyDescent="0.2">
      <c r="A35" s="493">
        <f>Intro!C35</f>
        <v>2013</v>
      </c>
      <c r="C35" s="522">
        <f t="shared" si="2"/>
        <v>10000000</v>
      </c>
      <c r="E35" s="504">
        <f>'e7'!E33</f>
        <v>2126161.8399999994</v>
      </c>
      <c r="G35" s="502">
        <f ca="1">[1]!ldfsir(ldfs, ldf_ages, ldf_type, ldf_ret, Intro!$AA35, "Paid", $C35, cutoff, 3)</f>
        <v>1.208073272411448</v>
      </c>
      <c r="I35" s="507">
        <f t="shared" ca="1" si="0"/>
        <v>2568559.2917251447</v>
      </c>
      <c r="K35" s="504">
        <f>Intro!K35</f>
        <v>157968.50285000002</v>
      </c>
      <c r="M35" s="510">
        <f t="shared" ca="1" si="1"/>
        <v>16.259945782762379</v>
      </c>
    </row>
    <row r="36" spans="1:13" x14ac:dyDescent="0.2">
      <c r="A36" s="493">
        <f>Intro!C36</f>
        <v>2014</v>
      </c>
      <c r="C36" s="522">
        <f t="shared" si="2"/>
        <v>10000000</v>
      </c>
      <c r="E36" s="504">
        <f>'e7'!E34</f>
        <v>2342502.8100000005</v>
      </c>
      <c r="G36" s="502">
        <f ca="1">[1]!ldfsir(ldfs, ldf_ages, ldf_type, ldf_ret, Intro!$AA36, "Paid", $C36, cutoff, 3)</f>
        <v>1.2486046784573577</v>
      </c>
      <c r="I36" s="507">
        <f t="shared" ca="1" si="0"/>
        <v>2924859.9678655076</v>
      </c>
      <c r="K36" s="504">
        <f>Intro!K36</f>
        <v>182546.24444841431</v>
      </c>
      <c r="M36" s="510">
        <f t="shared" ca="1" si="1"/>
        <v>16.022569934009478</v>
      </c>
    </row>
    <row r="37" spans="1:13" x14ac:dyDescent="0.2">
      <c r="A37" s="493">
        <f>Intro!C37</f>
        <v>2015</v>
      </c>
      <c r="C37" s="522">
        <f t="shared" si="2"/>
        <v>10000000</v>
      </c>
      <c r="E37" s="504">
        <f>'e7'!E35</f>
        <v>2810502.1600000011</v>
      </c>
      <c r="G37" s="502">
        <f ca="1">[1]!ldfsir(ldfs, ldf_ages, ldf_type, ldf_ret, Intro!$AA37, "Paid", $C37, cutoff, 3)</f>
        <v>1.3101691136996707</v>
      </c>
      <c r="I37" s="507">
        <f t="shared" ca="1" si="0"/>
        <v>3682233.1240182114</v>
      </c>
      <c r="K37" s="504">
        <f>Intro!K37</f>
        <v>196912.10476000005</v>
      </c>
      <c r="M37" s="510">
        <f t="shared" ca="1" si="1"/>
        <v>18.699882003222616</v>
      </c>
    </row>
    <row r="38" spans="1:13" x14ac:dyDescent="0.2">
      <c r="A38" s="493">
        <f>Intro!C38</f>
        <v>2016</v>
      </c>
      <c r="C38" s="522">
        <f t="shared" si="2"/>
        <v>10000000</v>
      </c>
      <c r="E38" s="504">
        <f>'e7'!E36</f>
        <v>2449912.0500000017</v>
      </c>
      <c r="G38" s="502">
        <f ca="1">[1]!ldfsir(ldfs, ldf_ages, ldf_type, ldf_ret, Intro!$AA38, "Paid", $C38, cutoff, 3)</f>
        <v>1.4204232607089999</v>
      </c>
      <c r="I38" s="507">
        <f t="shared" ca="1" si="0"/>
        <v>3479912.0625112727</v>
      </c>
      <c r="K38" s="504">
        <f>Intro!K38</f>
        <v>221894.58274919298</v>
      </c>
      <c r="M38" s="510">
        <f t="shared" ca="1" si="1"/>
        <v>15.682726542470894</v>
      </c>
    </row>
    <row r="39" spans="1:13" x14ac:dyDescent="0.2">
      <c r="A39" s="493">
        <f>Intro!C39</f>
        <v>2017</v>
      </c>
      <c r="C39" s="522">
        <f t="shared" si="2"/>
        <v>10000000</v>
      </c>
      <c r="E39" s="504">
        <f>'e7'!E37</f>
        <v>2258070.4400000018</v>
      </c>
      <c r="G39" s="502">
        <f ca="1">[1]!ldfsir(ldfs, ldf_ages, ldf_type, ldf_ret, Intro!$AA39, "Paid", $C39, cutoff, 3)</f>
        <v>1.6917904381167888</v>
      </c>
      <c r="I39" s="507">
        <f t="shared" ca="1" si="0"/>
        <v>3820181.9789861729</v>
      </c>
      <c r="K39" s="504">
        <f>Intro!K39</f>
        <v>307509.66981400014</v>
      </c>
      <c r="M39" s="510">
        <f t="shared" ca="1" si="1"/>
        <v>12.42296536982672</v>
      </c>
    </row>
    <row r="40" spans="1:13" x14ac:dyDescent="0.2">
      <c r="A40" s="493">
        <f>Intro!C40</f>
        <v>2018</v>
      </c>
      <c r="C40" s="522">
        <f t="shared" si="2"/>
        <v>10000000</v>
      </c>
      <c r="E40" s="504">
        <f>'e7'!E38</f>
        <v>4199295.1499999976</v>
      </c>
      <c r="G40" s="502">
        <f ca="1">[1]!ldfsir(ldfs, ldf_ages, ldf_type, ldf_ret, Intro!$AA40, "Paid", $C40, cutoff, 3)</f>
        <v>2.5804098746134518</v>
      </c>
      <c r="I40" s="507">
        <f t="shared" ca="1" si="0"/>
        <v>10835902.67147637</v>
      </c>
      <c r="K40" s="504">
        <f>Intro!K40</f>
        <v>536896.27333</v>
      </c>
      <c r="M40" s="510">
        <f t="shared" ca="1" si="1"/>
        <v>20.182488144811817</v>
      </c>
    </row>
    <row r="41" spans="1:13" x14ac:dyDescent="0.2">
      <c r="A41" s="493">
        <f>Intro!C41</f>
        <v>2019</v>
      </c>
      <c r="C41" s="522">
        <f t="shared" si="2"/>
        <v>10000000</v>
      </c>
      <c r="E41" s="512">
        <f>'e7'!E39</f>
        <v>619309.30000000005</v>
      </c>
      <c r="G41" s="502">
        <f ca="1">[1]!ldfsir(ldfs, ldf_ages, ldf_type, ldf_ret, Intro!$AA41, "Paid", $C41, cutoff, 3)</f>
        <v>14.428805368630927</v>
      </c>
      <c r="I41" s="512">
        <f t="shared" ca="1" si="0"/>
        <v>8935893.3526830617</v>
      </c>
      <c r="K41" s="512">
        <f>Intro!K41</f>
        <v>543133.22666000458</v>
      </c>
      <c r="M41" s="513">
        <f t="shared" ca="1" si="1"/>
        <v>16.452488844466945</v>
      </c>
    </row>
    <row r="43" spans="1:13" x14ac:dyDescent="0.2">
      <c r="A43" s="493" t="s">
        <v>78</v>
      </c>
      <c r="E43" s="501">
        <f>SUM(E18:E41)</f>
        <v>48901201.080000006</v>
      </c>
      <c r="I43" s="501">
        <f ca="1">SUM(I18:I41)</f>
        <v>70810377.748359248</v>
      </c>
      <c r="K43" s="501">
        <f>SUM(K18:K41)</f>
        <v>3896630.2405416127</v>
      </c>
      <c r="M43" s="510">
        <f t="shared" ref="M43" ca="1" si="3">I43/K43</f>
        <v>18.172208646237099</v>
      </c>
    </row>
    <row r="46" spans="1:13" x14ac:dyDescent="0.2">
      <c r="A46" s="392" t="s">
        <v>407</v>
      </c>
    </row>
    <row r="48" spans="1:13" x14ac:dyDescent="0.2">
      <c r="E48" s="493" t="s">
        <v>75</v>
      </c>
    </row>
    <row r="49" spans="1:13" x14ac:dyDescent="0.2">
      <c r="A49" s="496" t="str">
        <f>A13</f>
        <v>Policy</v>
      </c>
      <c r="E49" s="493" t="s">
        <v>8</v>
      </c>
      <c r="G49" s="496" t="s">
        <v>331</v>
      </c>
      <c r="I49" s="496" t="s">
        <v>330</v>
      </c>
      <c r="M49" s="496" t="s">
        <v>332</v>
      </c>
    </row>
    <row r="50" spans="1:13" x14ac:dyDescent="0.2">
      <c r="A50" s="496" t="str">
        <f>A14</f>
        <v>Period</v>
      </c>
      <c r="E50" s="493" t="s">
        <v>334</v>
      </c>
      <c r="G50" s="496" t="s">
        <v>245</v>
      </c>
      <c r="I50" s="496" t="s">
        <v>245</v>
      </c>
      <c r="K50" s="496" t="s">
        <v>5</v>
      </c>
      <c r="M50" s="496" t="s">
        <v>8</v>
      </c>
    </row>
    <row r="51" spans="1:13" x14ac:dyDescent="0.2">
      <c r="A51" s="498" t="str">
        <f>A15</f>
        <v>Ending 9/30</v>
      </c>
      <c r="C51" s="498" t="s">
        <v>90</v>
      </c>
      <c r="E51" s="498" t="str">
        <f>ctxt</f>
        <v>4/30/19</v>
      </c>
      <c r="G51" s="498" t="s">
        <v>338</v>
      </c>
      <c r="I51" s="498" t="s">
        <v>8</v>
      </c>
      <c r="K51" s="498" t="s">
        <v>6</v>
      </c>
      <c r="M51" s="498" t="s">
        <v>349</v>
      </c>
    </row>
    <row r="52" spans="1:13" x14ac:dyDescent="0.2">
      <c r="E52" s="500">
        <v>1</v>
      </c>
      <c r="G52" s="500">
        <f>E52+1</f>
        <v>2</v>
      </c>
      <c r="I52" s="500">
        <f>G52+1</f>
        <v>3</v>
      </c>
      <c r="K52" s="500">
        <f>I52+1</f>
        <v>4</v>
      </c>
      <c r="M52" s="500">
        <f>K52+1</f>
        <v>5</v>
      </c>
    </row>
    <row r="53" spans="1:13" x14ac:dyDescent="0.2">
      <c r="E53" s="500"/>
      <c r="G53" s="500"/>
      <c r="I53" s="500"/>
      <c r="K53" s="500"/>
      <c r="M53" s="500"/>
    </row>
    <row r="54" spans="1:13" x14ac:dyDescent="0.2">
      <c r="A54" s="493">
        <f>A18</f>
        <v>1996</v>
      </c>
      <c r="C54" s="525">
        <f>Intro!H18</f>
        <v>250000</v>
      </c>
      <c r="E54" s="501">
        <f>'e7'!K16</f>
        <v>683326</v>
      </c>
      <c r="G54" s="502">
        <f ca="1">[1]!ldfsir(ldfs, ldf_ages, ldf_type, ldf_ret, Intro!$AA18, "Paid", $C54, cutoff, 3)</f>
        <v>1.0083718713251526</v>
      </c>
      <c r="I54" s="501">
        <f t="shared" ref="I54" ca="1" si="4">G54*E54</f>
        <v>689046.71734513121</v>
      </c>
      <c r="K54" s="501">
        <f>K18</f>
        <v>51718.748</v>
      </c>
      <c r="M54" s="503">
        <f t="shared" ref="M54:M79" ca="1" si="5">I54/K54</f>
        <v>13.322958191971917</v>
      </c>
    </row>
    <row r="55" spans="1:13" x14ac:dyDescent="0.2">
      <c r="A55" s="493">
        <f t="shared" ref="A55:A77" si="6">A19</f>
        <v>1997</v>
      </c>
      <c r="C55" s="518">
        <f>Intro!H19</f>
        <v>250000</v>
      </c>
      <c r="E55" s="507">
        <f>'e7'!K17</f>
        <v>1337604</v>
      </c>
      <c r="G55" s="502">
        <f ca="1">[1]!ldfsir(ldfs, ldf_ages, ldf_type, ldf_ret, Intro!$AA19, "Paid", $C55, cutoff, 3)</f>
        <v>1.0099642143752063</v>
      </c>
      <c r="I55" s="507">
        <f t="shared" ref="I55:I77" ca="1" si="7">G55*E55</f>
        <v>1350932.1730051334</v>
      </c>
      <c r="K55" s="507">
        <f t="shared" ref="K55:K77" si="8">K19</f>
        <v>71279.833180000031</v>
      </c>
      <c r="M55" s="510">
        <f t="shared" ref="M55:M77" ca="1" si="9">I55/K55</f>
        <v>18.952515918404018</v>
      </c>
    </row>
    <row r="56" spans="1:13" x14ac:dyDescent="0.2">
      <c r="A56" s="493">
        <f t="shared" si="6"/>
        <v>1998</v>
      </c>
      <c r="C56" s="518">
        <f>Intro!H20</f>
        <v>250000</v>
      </c>
      <c r="E56" s="507">
        <f>'e7'!K18</f>
        <v>2584955.17</v>
      </c>
      <c r="G56" s="502">
        <f ca="1">[1]!ldfsir(ldfs, ldf_ages, ldf_type, ldf_ret, Intro!$AA20, "Paid", $C56, cutoff, 3)</f>
        <v>1.0118612003976113</v>
      </c>
      <c r="I56" s="507">
        <f t="shared" ca="1" si="7"/>
        <v>2615615.8412902113</v>
      </c>
      <c r="K56" s="507">
        <f t="shared" si="8"/>
        <v>90725.935539999991</v>
      </c>
      <c r="M56" s="510">
        <f t="shared" ca="1" si="9"/>
        <v>28.829858030364615</v>
      </c>
    </row>
    <row r="57" spans="1:13" x14ac:dyDescent="0.2">
      <c r="A57" s="493">
        <f t="shared" si="6"/>
        <v>1999</v>
      </c>
      <c r="C57" s="518">
        <f>Intro!H21</f>
        <v>250000</v>
      </c>
      <c r="E57" s="507">
        <f>'e7'!K19</f>
        <v>2548851.29</v>
      </c>
      <c r="G57" s="502">
        <f ca="1">[1]!ldfsir(ldfs, ldf_ages, ldf_type, ldf_ret, Intro!$AA21, "Paid", $C57, cutoff, 3)</f>
        <v>1.0141218518079127</v>
      </c>
      <c r="I57" s="507">
        <f t="shared" ca="1" si="7"/>
        <v>2584845.7901977873</v>
      </c>
      <c r="K57" s="507">
        <f t="shared" si="8"/>
        <v>115828.16377000001</v>
      </c>
      <c r="M57" s="510">
        <f t="shared" ca="1" si="9"/>
        <v>22.31621141236872</v>
      </c>
    </row>
    <row r="58" spans="1:13" x14ac:dyDescent="0.2">
      <c r="A58" s="493">
        <f t="shared" si="6"/>
        <v>2000</v>
      </c>
      <c r="C58" s="518">
        <f>Intro!H22</f>
        <v>250000</v>
      </c>
      <c r="E58" s="507">
        <f>'e7'!K20</f>
        <v>2314287.94</v>
      </c>
      <c r="G58" s="502">
        <f ca="1">[1]!ldfsir(ldfs, ldf_ages, ldf_type, ldf_ret, Intro!$AA22, "Paid", $C58, cutoff, 3)</f>
        <v>1.0168169333869523</v>
      </c>
      <c r="I58" s="507">
        <f t="shared" ca="1" si="7"/>
        <v>2353207.1661252072</v>
      </c>
      <c r="K58" s="507">
        <f t="shared" si="8"/>
        <v>86853.122530000022</v>
      </c>
      <c r="M58" s="510">
        <f t="shared" ca="1" si="9"/>
        <v>27.094099758041324</v>
      </c>
    </row>
    <row r="59" spans="1:13" x14ac:dyDescent="0.2">
      <c r="A59" s="493">
        <f t="shared" si="6"/>
        <v>2001</v>
      </c>
      <c r="C59" s="518">
        <f>Intro!H23</f>
        <v>250000</v>
      </c>
      <c r="E59" s="507">
        <f>'e7'!K21</f>
        <v>1349346.97</v>
      </c>
      <c r="G59" s="502">
        <f ca="1">[1]!ldfsir(ldfs, ldf_ages, ldf_type, ldf_ret, Intro!$AA23, "Paid", $C59, cutoff, 3)</f>
        <v>1.0200314156741195</v>
      </c>
      <c r="I59" s="507">
        <f t="shared" ca="1" si="7"/>
        <v>1376376.3000446835</v>
      </c>
      <c r="K59" s="507">
        <f t="shared" si="8"/>
        <v>91838.194909999977</v>
      </c>
      <c r="M59" s="510">
        <f t="shared" ca="1" si="9"/>
        <v>14.986970305693738</v>
      </c>
    </row>
    <row r="60" spans="1:13" x14ac:dyDescent="0.2">
      <c r="A60" s="493">
        <f t="shared" si="6"/>
        <v>2002</v>
      </c>
      <c r="C60" s="518">
        <f>Intro!H24</f>
        <v>250000</v>
      </c>
      <c r="E60" s="507">
        <f>'e7'!K22</f>
        <v>2761132.9899999998</v>
      </c>
      <c r="G60" s="502">
        <f ca="1">[1]!ldfsir(ldfs, ldf_ages, ldf_type, ldf_ret, Intro!$AA24, "Paid", $C60, cutoff, 3)</f>
        <v>1.0238675073027417</v>
      </c>
      <c r="I60" s="507">
        <f t="shared" ca="1" si="7"/>
        <v>2827034.3518026657</v>
      </c>
      <c r="K60" s="507">
        <f t="shared" si="8"/>
        <v>86098.134999999995</v>
      </c>
      <c r="M60" s="510">
        <f t="shared" ca="1" si="9"/>
        <v>32.835024263913105</v>
      </c>
    </row>
    <row r="61" spans="1:13" x14ac:dyDescent="0.2">
      <c r="A61" s="493">
        <f t="shared" si="6"/>
        <v>2003</v>
      </c>
      <c r="C61" s="518">
        <f>Intro!H25</f>
        <v>250000</v>
      </c>
      <c r="E61" s="507">
        <f>'e7'!K23</f>
        <v>1243025.0200000005</v>
      </c>
      <c r="G61" s="502">
        <f ca="1">[1]!ldfsir(ldfs, ldf_ages, ldf_type, ldf_ret, Intro!$AA25, "Paid", $C61, cutoff, 3)</f>
        <v>1.0191738387507183</v>
      </c>
      <c r="I61" s="507">
        <f t="shared" ca="1" si="7"/>
        <v>1266858.581296589</v>
      </c>
      <c r="K61" s="507">
        <f t="shared" si="8"/>
        <v>95877.160999999993</v>
      </c>
      <c r="M61" s="510">
        <f t="shared" ca="1" si="9"/>
        <v>13.213351001252416</v>
      </c>
    </row>
    <row r="62" spans="1:13" x14ac:dyDescent="0.2">
      <c r="A62" s="493">
        <f t="shared" si="6"/>
        <v>2004</v>
      </c>
      <c r="C62" s="518">
        <f>Intro!H26</f>
        <v>350000</v>
      </c>
      <c r="E62" s="507">
        <f>'e7'!K24</f>
        <v>2359249.2899999996</v>
      </c>
      <c r="G62" s="502">
        <f ca="1">[1]!ldfsir(ldfs, ldf_ages, ldf_type, ldf_ret, Intro!$AA26, "Paid", $C62, cutoff, 3)</f>
        <v>1.0337801829481874</v>
      </c>
      <c r="I62" s="507">
        <f t="shared" ca="1" si="7"/>
        <v>2438945.1626365809</v>
      </c>
      <c r="K62" s="507">
        <f t="shared" si="8"/>
        <v>102137.68700000001</v>
      </c>
      <c r="M62" s="510">
        <f t="shared" ca="1" si="9"/>
        <v>23.878993486866221</v>
      </c>
    </row>
    <row r="63" spans="1:13" x14ac:dyDescent="0.2">
      <c r="A63" s="493">
        <f t="shared" si="6"/>
        <v>2005</v>
      </c>
      <c r="C63" s="518">
        <f>Intro!H27</f>
        <v>350000</v>
      </c>
      <c r="E63" s="507">
        <f>'e7'!K25</f>
        <v>699839.89000000025</v>
      </c>
      <c r="G63" s="502">
        <f ca="1">[1]!ldfsir(ldfs, ldf_ages, ldf_type, ldf_ret, Intro!$AA27, "Paid", $C63, cutoff, 3)</f>
        <v>1.039355679259929</v>
      </c>
      <c r="I63" s="507">
        <f t="shared" ca="1" si="7"/>
        <v>727382.56424414425</v>
      </c>
      <c r="K63" s="507">
        <f t="shared" si="8"/>
        <v>111292.39200000001</v>
      </c>
      <c r="M63" s="510">
        <f t="shared" ca="1" si="9"/>
        <v>6.5357797704998939</v>
      </c>
    </row>
    <row r="64" spans="1:13" x14ac:dyDescent="0.2">
      <c r="A64" s="493">
        <f t="shared" si="6"/>
        <v>2006</v>
      </c>
      <c r="C64" s="518">
        <f>Intro!H28</f>
        <v>350000</v>
      </c>
      <c r="E64" s="507">
        <f>'e7'!K26</f>
        <v>2005481.3700000008</v>
      </c>
      <c r="G64" s="502">
        <f ca="1">[1]!ldfsir(ldfs, ldf_ages, ldf_type, ldf_ret, Intro!$AA28, "Paid", $C64, cutoff, 3)</f>
        <v>1.0459565234336667</v>
      </c>
      <c r="I64" s="507">
        <f t="shared" ca="1" si="7"/>
        <v>2097646.3215761879</v>
      </c>
      <c r="K64" s="507">
        <f t="shared" si="8"/>
        <v>107756.82399999999</v>
      </c>
      <c r="M64" s="510">
        <f t="shared" ca="1" si="9"/>
        <v>19.466482434339266</v>
      </c>
    </row>
    <row r="65" spans="1:13" x14ac:dyDescent="0.2">
      <c r="A65" s="493">
        <f t="shared" si="6"/>
        <v>2007</v>
      </c>
      <c r="C65" s="518">
        <f>Intro!H29</f>
        <v>350000</v>
      </c>
      <c r="E65" s="507">
        <f>'e7'!K27</f>
        <v>1099670.4199999997</v>
      </c>
      <c r="G65" s="502">
        <f ca="1">[1]!ldfsir(ldfs, ldf_ages, ldf_type, ldf_ret, Intro!$AA29, "Paid", $C65, cutoff, 3)</f>
        <v>1.0534252697949491</v>
      </c>
      <c r="I65" s="507">
        <f t="shared" ca="1" si="7"/>
        <v>1158420.6088740246</v>
      </c>
      <c r="K65" s="507">
        <f t="shared" si="8"/>
        <v>104584.102</v>
      </c>
      <c r="M65" s="510">
        <f t="shared" ca="1" si="9"/>
        <v>11.076450308614062</v>
      </c>
    </row>
    <row r="66" spans="1:13" x14ac:dyDescent="0.2">
      <c r="A66" s="493">
        <f t="shared" si="6"/>
        <v>2008</v>
      </c>
      <c r="C66" s="518">
        <f>Intro!H30</f>
        <v>500000</v>
      </c>
      <c r="E66" s="507">
        <f>'e7'!K28</f>
        <v>766269.99000000011</v>
      </c>
      <c r="G66" s="502">
        <f ca="1">[1]!ldfsir(ldfs, ldf_ages, ldf_type, ldf_ret, Intro!$AA30, "Paid", $C66, cutoff, 3)</f>
        <v>1.0821968349367919</v>
      </c>
      <c r="I66" s="507">
        <f t="shared" ca="1" si="7"/>
        <v>829254.9578850473</v>
      </c>
      <c r="K66" s="507">
        <f t="shared" si="8"/>
        <v>106050.29700000001</v>
      </c>
      <c r="M66" s="510">
        <f t="shared" ca="1" si="9"/>
        <v>7.8194496511881271</v>
      </c>
    </row>
    <row r="67" spans="1:13" x14ac:dyDescent="0.2">
      <c r="A67" s="493">
        <f t="shared" si="6"/>
        <v>2009</v>
      </c>
      <c r="C67" s="518">
        <f>Intro!H31</f>
        <v>500000</v>
      </c>
      <c r="E67" s="507">
        <f>'e7'!K29</f>
        <v>1764381.6700000004</v>
      </c>
      <c r="G67" s="502">
        <f ca="1">[1]!ldfsir(ldfs, ldf_ages, ldf_type, ldf_ret, Intro!$AA31, "Paid", $C67, cutoff, 3)</f>
        <v>1.0937155045515625</v>
      </c>
      <c r="I67" s="507">
        <f t="shared" ca="1" si="7"/>
        <v>1929731.588425579</v>
      </c>
      <c r="K67" s="507">
        <f t="shared" si="8"/>
        <v>110722.705</v>
      </c>
      <c r="M67" s="510">
        <f t="shared" ca="1" si="9"/>
        <v>17.428508348180067</v>
      </c>
    </row>
    <row r="68" spans="1:13" x14ac:dyDescent="0.2">
      <c r="A68" s="493">
        <f t="shared" si="6"/>
        <v>2010</v>
      </c>
      <c r="C68" s="518">
        <f>Intro!H32</f>
        <v>500000</v>
      </c>
      <c r="E68" s="507">
        <f>'e7'!K30</f>
        <v>1183179.1900000002</v>
      </c>
      <c r="G68" s="502">
        <f ca="1">[1]!ldfsir(ldfs, ldf_ages, ldf_type, ldf_ret, Intro!$AA32, "Paid", $C68, cutoff, 3)</f>
        <v>1.1074603223895392</v>
      </c>
      <c r="I68" s="507">
        <f t="shared" ca="1" si="7"/>
        <v>1310324.0072019941</v>
      </c>
      <c r="K68" s="507">
        <f t="shared" si="8"/>
        <v>128222.10400000001</v>
      </c>
      <c r="M68" s="510">
        <f t="shared" ca="1" si="9"/>
        <v>10.219174123066908</v>
      </c>
    </row>
    <row r="69" spans="1:13" x14ac:dyDescent="0.2">
      <c r="A69" s="493">
        <f t="shared" si="6"/>
        <v>2011</v>
      </c>
      <c r="C69" s="518">
        <f>Intro!H33</f>
        <v>500000</v>
      </c>
      <c r="E69" s="507">
        <f>'e7'!K31</f>
        <v>1212882.8100000003</v>
      </c>
      <c r="G69" s="502">
        <f ca="1">[1]!ldfsir(ldfs, ldf_ages, ldf_type, ldf_ret, Intro!$AA33, "Paid", $C69, cutoff, 3)</f>
        <v>1.1238871900342311</v>
      </c>
      <c r="I69" s="507">
        <f t="shared" ca="1" si="7"/>
        <v>1363143.4531717226</v>
      </c>
      <c r="K69" s="507">
        <f t="shared" si="8"/>
        <v>143214.37400000001</v>
      </c>
      <c r="M69" s="510">
        <f t="shared" ca="1" si="9"/>
        <v>9.5182027829952496</v>
      </c>
    </row>
    <row r="70" spans="1:13" x14ac:dyDescent="0.2">
      <c r="A70" s="493">
        <f t="shared" si="6"/>
        <v>2012</v>
      </c>
      <c r="C70" s="518">
        <f>Intro!H34</f>
        <v>500000</v>
      </c>
      <c r="E70" s="507">
        <f>'e7'!K32</f>
        <v>1925803.2599999993</v>
      </c>
      <c r="G70" s="502">
        <f ca="1">[1]!ldfsir(ldfs, ldf_ages, ldf_type, ldf_ret, Intro!$AA34, "Paid", $C70, cutoff, 3)</f>
        <v>1.1447535919563931</v>
      </c>
      <c r="I70" s="507">
        <f t="shared" ca="1" si="7"/>
        <v>2204570.199286331</v>
      </c>
      <c r="K70" s="507">
        <f t="shared" si="8"/>
        <v>145569.85699999999</v>
      </c>
      <c r="M70" s="510">
        <f t="shared" ca="1" si="9"/>
        <v>15.144414130229798</v>
      </c>
    </row>
    <row r="71" spans="1:13" x14ac:dyDescent="0.2">
      <c r="A71" s="493">
        <f t="shared" si="6"/>
        <v>2013</v>
      </c>
      <c r="C71" s="518">
        <f>Intro!H35</f>
        <v>500000</v>
      </c>
      <c r="E71" s="507">
        <f>'e7'!K33</f>
        <v>2061366.5999999999</v>
      </c>
      <c r="G71" s="502">
        <f ca="1">[1]!ldfsir(ldfs, ldf_ages, ldf_type, ldf_ret, Intro!$AA35, "Paid", $C71, cutoff, 3)</f>
        <v>1.1727407242287986</v>
      </c>
      <c r="I71" s="507">
        <f t="shared" ca="1" si="7"/>
        <v>2417448.5593850561</v>
      </c>
      <c r="K71" s="507">
        <f t="shared" si="8"/>
        <v>157968.50285000002</v>
      </c>
      <c r="M71" s="510">
        <f t="shared" ca="1" si="9"/>
        <v>15.303358047778421</v>
      </c>
    </row>
    <row r="72" spans="1:13" x14ac:dyDescent="0.2">
      <c r="A72" s="493">
        <f t="shared" si="6"/>
        <v>2014</v>
      </c>
      <c r="C72" s="518">
        <f>Intro!H36</f>
        <v>500000</v>
      </c>
      <c r="E72" s="507">
        <f>'e7'!K34</f>
        <v>2342502.8100000005</v>
      </c>
      <c r="G72" s="502">
        <f ca="1">[1]!ldfsir(ldfs, ldf_ages, ldf_type, ldf_ret, Intro!$AA36, "Paid", $C72, cutoff, 3)</f>
        <v>1.2108214635833114</v>
      </c>
      <c r="I72" s="507">
        <f t="shared" ca="1" si="7"/>
        <v>2836352.6808522204</v>
      </c>
      <c r="K72" s="507">
        <f t="shared" si="8"/>
        <v>182546.24444841431</v>
      </c>
      <c r="M72" s="510">
        <f t="shared" ca="1" si="9"/>
        <v>15.537721356156108</v>
      </c>
    </row>
    <row r="73" spans="1:13" x14ac:dyDescent="0.2">
      <c r="A73" s="493">
        <f t="shared" si="6"/>
        <v>2015</v>
      </c>
      <c r="C73" s="518">
        <f>Intro!H37</f>
        <v>500000</v>
      </c>
      <c r="E73" s="507">
        <f>'e7'!K35</f>
        <v>2810502.1600000011</v>
      </c>
      <c r="G73" s="502">
        <f ca="1">[1]!ldfsir(ldfs, ldf_ages, ldf_type, ldf_ret, Intro!$AA37, "Paid", $C73, cutoff, 3)</f>
        <v>1.2696167444604285</v>
      </c>
      <c r="I73" s="507">
        <f t="shared" ca="1" si="7"/>
        <v>3568260.6026782035</v>
      </c>
      <c r="K73" s="507">
        <f t="shared" si="8"/>
        <v>196912.10476000005</v>
      </c>
      <c r="M73" s="510">
        <f t="shared" ca="1" si="9"/>
        <v>18.121083043763424</v>
      </c>
    </row>
    <row r="74" spans="1:13" x14ac:dyDescent="0.2">
      <c r="A74" s="493">
        <f t="shared" si="6"/>
        <v>2016</v>
      </c>
      <c r="C74" s="518">
        <f>Intro!H38</f>
        <v>750000</v>
      </c>
      <c r="E74" s="507">
        <f>'e7'!K36</f>
        <v>2449912.0500000017</v>
      </c>
      <c r="G74" s="502">
        <f ca="1">[1]!ldfsir(ldfs, ldf_ages, ldf_type, ldf_ret, Intro!$AA38, "Paid", $C74, cutoff, 3)</f>
        <v>1.3876448101933256</v>
      </c>
      <c r="I74" s="507">
        <f t="shared" ca="1" si="7"/>
        <v>3399607.7416125936</v>
      </c>
      <c r="K74" s="507">
        <f t="shared" si="8"/>
        <v>221894.58274919298</v>
      </c>
      <c r="M74" s="510">
        <f t="shared" ca="1" si="9"/>
        <v>15.320823516701909</v>
      </c>
    </row>
    <row r="75" spans="1:13" x14ac:dyDescent="0.2">
      <c r="A75" s="493">
        <f t="shared" si="6"/>
        <v>2017</v>
      </c>
      <c r="C75" s="518">
        <f>Intro!H39</f>
        <v>750000</v>
      </c>
      <c r="E75" s="507">
        <f>'e7'!K37</f>
        <v>2258070.4400000018</v>
      </c>
      <c r="G75" s="502">
        <f ca="1">[1]!ldfsir(ldfs, ldf_ages, ldf_type, ldf_ret, Intro!$AA39, "Paid", $C75, cutoff, 3)</f>
        <v>1.6470076758647596</v>
      </c>
      <c r="I75" s="507">
        <f t="shared" ca="1" si="7"/>
        <v>3719059.347323318</v>
      </c>
      <c r="K75" s="507">
        <f t="shared" si="8"/>
        <v>307509.66981400014</v>
      </c>
      <c r="M75" s="510">
        <f t="shared" ca="1" si="9"/>
        <v>12.094121624119408</v>
      </c>
    </row>
    <row r="76" spans="1:13" x14ac:dyDescent="0.2">
      <c r="A76" s="493">
        <f t="shared" si="6"/>
        <v>2018</v>
      </c>
      <c r="C76" s="518">
        <f>Intro!H40</f>
        <v>500000</v>
      </c>
      <c r="E76" s="507">
        <f>'e7'!K38</f>
        <v>4199295.1499999976</v>
      </c>
      <c r="G76" s="502">
        <f ca="1">[1]!ldfsir(ldfs, ldf_ages, ldf_type, ldf_ret, Intro!$AA40, "Paid", $C76, cutoff, 3)</f>
        <v>2.4888729842878132</v>
      </c>
      <c r="I76" s="507">
        <f t="shared" ca="1" si="7"/>
        <v>10451512.251885835</v>
      </c>
      <c r="K76" s="507">
        <f t="shared" si="8"/>
        <v>536896.27333</v>
      </c>
      <c r="M76" s="510">
        <f t="shared" ca="1" si="9"/>
        <v>19.466539015184924</v>
      </c>
    </row>
    <row r="77" spans="1:13" x14ac:dyDescent="0.2">
      <c r="A77" s="493">
        <f t="shared" si="6"/>
        <v>2019</v>
      </c>
      <c r="C77" s="518">
        <f>Intro!H41</f>
        <v>500000</v>
      </c>
      <c r="E77" s="512">
        <f>'e7'!K39</f>
        <v>619309.30000000005</v>
      </c>
      <c r="G77" s="502">
        <f ca="1">[1]!ldfsir(ldfs, ldf_ages, ldf_type, ldf_ret, Intro!$AA41, "Paid", $C77, cutoff, 3)</f>
        <v>13.873497614166341</v>
      </c>
      <c r="I77" s="512">
        <f t="shared" ca="1" si="7"/>
        <v>8591986.0959810279</v>
      </c>
      <c r="K77" s="512">
        <f t="shared" si="8"/>
        <v>543133.22666000458</v>
      </c>
      <c r="M77" s="513">
        <f t="shared" ca="1" si="9"/>
        <v>15.819297502414663</v>
      </c>
    </row>
    <row r="79" spans="1:13" x14ac:dyDescent="0.2">
      <c r="A79" s="493" t="s">
        <v>78</v>
      </c>
      <c r="E79" s="501">
        <f>SUM(E54:E77)</f>
        <v>44580245.780000009</v>
      </c>
      <c r="I79" s="501">
        <f ca="1">SUM(I54:I77)</f>
        <v>64107563.064127281</v>
      </c>
      <c r="K79" s="501">
        <f>SUM(K54:K77)</f>
        <v>3896630.2405416127</v>
      </c>
      <c r="M79" s="510">
        <f t="shared" ca="1" si="5"/>
        <v>16.452051928647109</v>
      </c>
    </row>
    <row r="82" spans="1:1" s="327" customFormat="1" ht="12" x14ac:dyDescent="0.2">
      <c r="A82" s="360" t="s">
        <v>83</v>
      </c>
    </row>
    <row r="83" spans="1:1" s="327" customFormat="1" ht="12" x14ac:dyDescent="0.2">
      <c r="A83" s="327" t="str">
        <f>"Columns (1) and (4) provided by "&amp;client&amp;"."</f>
        <v>Columns (1) and (4) provided by CLIENT XYZ.</v>
      </c>
    </row>
    <row r="84" spans="1:1" s="327" customFormat="1" ht="12" x14ac:dyDescent="0.2">
      <c r="A84" s="516" t="s">
        <v>474</v>
      </c>
    </row>
    <row r="85" spans="1:1" s="327" customFormat="1" ht="12" x14ac:dyDescent="0.2">
      <c r="A85" s="327" t="s">
        <v>358</v>
      </c>
    </row>
    <row r="86" spans="1:1" s="327" customFormat="1" ht="12" x14ac:dyDescent="0.2">
      <c r="A86" s="327" t="s">
        <v>472</v>
      </c>
    </row>
  </sheetData>
  <printOptions horizontalCentered="1"/>
  <pageMargins left="0.7" right="0.7" top="0.75" bottom="0.75" header="0.3" footer="0.3"/>
  <pageSetup scale="65" orientation="portrait" blackAndWhite="1" r:id="rId1"/>
  <headerFooter>
    <oddHeader xml:space="preserve">&amp;L&amp;"Arial"&amp;10  
  &amp;R&amp;"Arial"&amp;10  Exhibit 3
Sheet 2B
</oddHeader>
    <oddFooter xml:space="preserve">&amp;L&amp;"Arial"&amp;10 Oliver Wyman Actuarial Consulting, Inc.
&amp;C&amp;"Arial"&amp;10 &amp;R&amp;"Arial"&amp;10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  <pageSetUpPr fitToPage="1"/>
  </sheetPr>
  <dimension ref="A1:AW52"/>
  <sheetViews>
    <sheetView zoomScale="85" zoomScaleNormal="85" workbookViewId="0"/>
  </sheetViews>
  <sheetFormatPr defaultColWidth="9" defaultRowHeight="12.75" x14ac:dyDescent="0.2"/>
  <cols>
    <col min="1" max="3" width="9" style="1" customWidth="1"/>
    <col min="4" max="4" width="9" style="1"/>
    <col min="5" max="5" width="15.625" style="1" bestFit="1" customWidth="1"/>
    <col min="6" max="6" width="9" style="1"/>
    <col min="7" max="11" width="9" style="1" customWidth="1"/>
    <col min="12" max="12" width="9" style="36" customWidth="1"/>
    <col min="13" max="13" width="9" style="1" customWidth="1"/>
    <col min="14" max="14" width="11.875" style="1" customWidth="1"/>
    <col min="15" max="15" width="11.75" style="1" customWidth="1"/>
    <col min="16" max="17" width="9" style="1" customWidth="1"/>
    <col min="18" max="18" width="2.625" style="36" customWidth="1"/>
    <col min="19" max="29" width="7.125" style="1" customWidth="1"/>
    <col min="30" max="30" width="2.625" style="1" customWidth="1"/>
    <col min="31" max="31" width="8.625" style="1" bestFit="1" customWidth="1"/>
    <col min="32" max="33" width="9" style="1"/>
    <col min="34" max="34" width="2.625" style="1" customWidth="1"/>
    <col min="35" max="36" width="9" style="1"/>
    <col min="37" max="37" width="2.625" style="1" customWidth="1"/>
    <col min="38" max="38" width="11.875" style="1" bestFit="1" customWidth="1"/>
    <col min="39" max="39" width="11.75" style="1" bestFit="1" customWidth="1"/>
    <col min="40" max="48" width="9" style="1"/>
    <col min="49" max="49" width="11.25" style="1" bestFit="1" customWidth="1"/>
    <col min="50" max="16384" width="9" style="1"/>
  </cols>
  <sheetData>
    <row r="1" spans="1:36" x14ac:dyDescent="0.2">
      <c r="A1" s="24" t="s">
        <v>0</v>
      </c>
      <c r="B1" s="5"/>
      <c r="C1" s="487" t="s">
        <v>834</v>
      </c>
      <c r="F1" s="7"/>
      <c r="G1" s="7"/>
      <c r="I1" s="24" t="s">
        <v>28</v>
      </c>
      <c r="J1" s="8" t="s">
        <v>5</v>
      </c>
      <c r="L1" s="26" t="s">
        <v>39</v>
      </c>
      <c r="M1" s="9">
        <v>250000</v>
      </c>
      <c r="N1" s="8" t="s">
        <v>263</v>
      </c>
      <c r="O1" s="72" t="s">
        <v>31</v>
      </c>
      <c r="R1" s="1"/>
      <c r="S1" s="24" t="s">
        <v>9</v>
      </c>
      <c r="T1" s="24"/>
      <c r="U1" s="11">
        <v>12</v>
      </c>
    </row>
    <row r="2" spans="1:36" x14ac:dyDescent="0.2">
      <c r="A2" s="4" t="s">
        <v>68</v>
      </c>
      <c r="C2" s="1" t="str">
        <f>"Analysis of Unpaid Loss &amp; ALAE as of "&amp;rtxt_l</f>
        <v>Analysis of Unpaid Loss &amp; ALAE as of June 30, 2019</v>
      </c>
      <c r="F2" s="7"/>
      <c r="G2" s="7"/>
      <c r="J2" s="8" t="s">
        <v>12</v>
      </c>
      <c r="L2" s="1"/>
      <c r="M2" s="23">
        <v>350000</v>
      </c>
      <c r="N2" s="8" t="s">
        <v>264</v>
      </c>
      <c r="O2" s="72" t="s">
        <v>32</v>
      </c>
      <c r="R2" s="1"/>
      <c r="S2" s="24" t="s">
        <v>10</v>
      </c>
      <c r="T2" s="24"/>
      <c r="U2" s="8">
        <v>12</v>
      </c>
    </row>
    <row r="3" spans="1:36" x14ac:dyDescent="0.2">
      <c r="A3" s="24" t="s">
        <v>1</v>
      </c>
      <c r="B3" s="5"/>
      <c r="C3" s="21" t="s">
        <v>2</v>
      </c>
      <c r="F3" s="7"/>
      <c r="G3" s="7"/>
      <c r="J3" s="8" t="s">
        <v>6</v>
      </c>
      <c r="L3" s="1"/>
      <c r="M3" s="9">
        <v>500000</v>
      </c>
      <c r="N3" s="8" t="s">
        <v>265</v>
      </c>
      <c r="O3" s="72" t="s">
        <v>33</v>
      </c>
    </row>
    <row r="4" spans="1:36" x14ac:dyDescent="0.2">
      <c r="A4" s="24" t="s">
        <v>69</v>
      </c>
      <c r="B4" s="5"/>
      <c r="C4" s="6" t="s">
        <v>70</v>
      </c>
      <c r="D4" s="7"/>
      <c r="E4" s="7"/>
      <c r="F4" s="7"/>
      <c r="G4" s="7"/>
      <c r="J4" s="8" t="s">
        <v>13</v>
      </c>
      <c r="L4" s="1"/>
      <c r="M4" s="9">
        <v>750000</v>
      </c>
      <c r="N4" s="8" t="s">
        <v>266</v>
      </c>
      <c r="O4" s="72" t="s">
        <v>43</v>
      </c>
      <c r="R4" s="1"/>
      <c r="S4" s="24" t="s">
        <v>7</v>
      </c>
      <c r="U4" s="72" t="s">
        <v>8</v>
      </c>
    </row>
    <row r="5" spans="1:36" x14ac:dyDescent="0.2">
      <c r="G5" s="7"/>
      <c r="J5" s="22"/>
      <c r="L5" s="1"/>
      <c r="M5" s="9" t="s">
        <v>34</v>
      </c>
      <c r="N5" s="8" t="s">
        <v>14</v>
      </c>
      <c r="O5" s="72" t="s">
        <v>34</v>
      </c>
      <c r="R5" s="1"/>
    </row>
    <row r="6" spans="1:36" x14ac:dyDescent="0.2">
      <c r="A6" s="24" t="s">
        <v>29</v>
      </c>
      <c r="B6" s="5"/>
      <c r="C6" s="11"/>
      <c r="D6" s="5"/>
      <c r="E6" s="5"/>
      <c r="F6" s="7"/>
      <c r="G6" s="7"/>
      <c r="L6" s="1"/>
      <c r="M6" s="8" t="s">
        <v>15</v>
      </c>
      <c r="N6" s="10" t="s">
        <v>16</v>
      </c>
      <c r="O6" s="72" t="s">
        <v>35</v>
      </c>
      <c r="S6" s="4" t="s">
        <v>657</v>
      </c>
      <c r="T6" s="114" t="str">
        <f>"n/a "</f>
        <v xml:space="preserve">n/a </v>
      </c>
    </row>
    <row r="7" spans="1:36" x14ac:dyDescent="0.2">
      <c r="A7" s="25" t="s">
        <v>30</v>
      </c>
      <c r="B7" s="5"/>
      <c r="C7" s="475">
        <v>42761</v>
      </c>
      <c r="D7" s="3" t="str">
        <f t="shared" ref="D7:D12" si="0">TEXT(C7, "m/d/yy")</f>
        <v>1/26/17</v>
      </c>
      <c r="E7" s="1" t="str">
        <f t="shared" ref="E7:E12" si="1">TEXT(C7, "mmmmmmm d, yyyy")</f>
        <v>January 26, 2017</v>
      </c>
      <c r="F7" s="7"/>
      <c r="G7" s="7"/>
      <c r="L7" s="1"/>
      <c r="M7" s="3" t="s">
        <v>36</v>
      </c>
      <c r="N7" s="3" t="s">
        <v>37</v>
      </c>
      <c r="O7" s="22" t="s">
        <v>38</v>
      </c>
    </row>
    <row r="8" spans="1:36" x14ac:dyDescent="0.2">
      <c r="A8" s="25" t="s">
        <v>268</v>
      </c>
      <c r="B8" s="5"/>
      <c r="C8" s="2">
        <v>43585</v>
      </c>
      <c r="D8" s="3" t="str">
        <f t="shared" si="0"/>
        <v>4/30/19</v>
      </c>
      <c r="E8" s="1" t="str">
        <f t="shared" si="1"/>
        <v>April 30, 2019</v>
      </c>
      <c r="F8" s="7"/>
      <c r="L8" s="1"/>
      <c r="M8" s="5"/>
      <c r="Q8" s="22"/>
    </row>
    <row r="9" spans="1:36" x14ac:dyDescent="0.2">
      <c r="A9" s="25" t="s">
        <v>269</v>
      </c>
      <c r="B9" s="5"/>
      <c r="C9" s="476">
        <f>curr</f>
        <v>43585</v>
      </c>
      <c r="D9" s="3" t="str">
        <f t="shared" si="0"/>
        <v>4/30/19</v>
      </c>
      <c r="E9" s="1" t="str">
        <f t="shared" si="1"/>
        <v>April 30, 2019</v>
      </c>
      <c r="F9" s="7"/>
      <c r="G9" s="7"/>
      <c r="K9" s="22"/>
      <c r="L9" s="24" t="s">
        <v>66</v>
      </c>
      <c r="M9" s="8" t="s">
        <v>3</v>
      </c>
      <c r="P9" s="22"/>
      <c r="Q9" s="22"/>
    </row>
    <row r="10" spans="1:36" x14ac:dyDescent="0.2">
      <c r="A10" s="25" t="s">
        <v>654</v>
      </c>
      <c r="B10" s="5"/>
      <c r="C10" s="2">
        <v>43404</v>
      </c>
      <c r="D10" s="3" t="str">
        <f t="shared" si="0"/>
        <v>10/31/18</v>
      </c>
      <c r="E10" s="1" t="str">
        <f t="shared" si="1"/>
        <v>October 31, 2018</v>
      </c>
      <c r="F10" s="8" t="str">
        <f>TEXT($C10, "m/yy")&amp;"-"&amp;TEXT($C$8, "m/yy")</f>
        <v>10/18-4/19</v>
      </c>
      <c r="G10" s="72" t="str">
        <f>TEXT($C10, "mmmmmm d, yyyy")&amp;" to "&amp;TEXT($C$8, "mmmmmm d, yyyy")</f>
        <v>October 31, 2018 to April 30, 2019</v>
      </c>
      <c r="J10" s="8"/>
      <c r="K10" s="22"/>
      <c r="L10" s="24"/>
      <c r="M10" s="8" t="s">
        <v>4</v>
      </c>
      <c r="P10" s="22"/>
      <c r="Q10" s="22"/>
    </row>
    <row r="11" spans="1:36" x14ac:dyDescent="0.2">
      <c r="A11" s="25" t="s">
        <v>655</v>
      </c>
      <c r="B11" s="5"/>
      <c r="C11" s="2">
        <v>43465</v>
      </c>
      <c r="D11" s="3" t="str">
        <f t="shared" si="0"/>
        <v>12/31/18</v>
      </c>
      <c r="E11" s="1" t="str">
        <f t="shared" si="1"/>
        <v>December 31, 2018</v>
      </c>
      <c r="F11" s="8" t="str">
        <f>TEXT(C11, "m/yy")&amp;"-"&amp;TEXT($C$8, "m/yy")</f>
        <v>12/18-4/19</v>
      </c>
      <c r="G11" s="72" t="str">
        <f t="shared" ref="G11" si="2">TEXT($C11, "mmmmmm d, yyyy")&amp;" to "&amp;TEXT($C$8, "mmmmmm d, yyyy")</f>
        <v>December 31, 2018 to April 30, 2019</v>
      </c>
      <c r="K11" s="22"/>
      <c r="L11" s="1"/>
      <c r="M11" s="8" t="s">
        <v>27</v>
      </c>
      <c r="P11" s="22"/>
      <c r="Q11" s="22"/>
    </row>
    <row r="12" spans="1:36" x14ac:dyDescent="0.2">
      <c r="A12" s="25" t="s">
        <v>656</v>
      </c>
      <c r="B12" s="5"/>
      <c r="C12" s="2">
        <v>43646</v>
      </c>
      <c r="D12" s="3" t="str">
        <f t="shared" si="0"/>
        <v>6/30/19</v>
      </c>
      <c r="E12" s="1" t="str">
        <f t="shared" si="1"/>
        <v>June 30, 2019</v>
      </c>
      <c r="F12" s="8" t="str">
        <f>TEXT(C8, "m/yy")&amp;"-"&amp;TEXT($C$12, "m/yy")</f>
        <v>4/19-6/19</v>
      </c>
      <c r="G12" s="72" t="str">
        <f>TEXT($C8, "mmmmmm d, yyyy")&amp;" to "&amp;TEXT($C$12, "mmmmmm d, yyyy")</f>
        <v>April 30, 2019 to June 30, 2019</v>
      </c>
      <c r="L12" s="1"/>
      <c r="P12" s="22"/>
      <c r="Q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36" x14ac:dyDescent="0.2">
      <c r="B13" s="5"/>
      <c r="C13" s="5"/>
      <c r="D13" s="5"/>
      <c r="E13" s="5"/>
      <c r="F13" s="8" t="str">
        <f>TEXT($C$12, "m/yy")&amp;"-"&amp;TEXT(EOMONTH($C$12, 12), "m/yy")</f>
        <v>6/19-6/20</v>
      </c>
      <c r="G13" s="8" t="str">
        <f>TEXT($C$12, "mmmmmm d, yyyy")&amp;"-"&amp;TEXT(EOMONTH($C$12, 12), "mmmmmm d, yyyy")</f>
        <v>June 30, 2019-June 30, 2020</v>
      </c>
      <c r="S13" s="209">
        <v>1</v>
      </c>
      <c r="T13" s="10">
        <f t="shared" ref="T13:AC13" si="3">S13+1</f>
        <v>2</v>
      </c>
      <c r="U13" s="10">
        <f t="shared" si="3"/>
        <v>3</v>
      </c>
      <c r="V13" s="10">
        <f t="shared" si="3"/>
        <v>4</v>
      </c>
      <c r="W13" s="10">
        <f t="shared" si="3"/>
        <v>5</v>
      </c>
      <c r="X13" s="10">
        <f t="shared" si="3"/>
        <v>6</v>
      </c>
      <c r="Y13" s="10">
        <f t="shared" si="3"/>
        <v>7</v>
      </c>
      <c r="Z13" s="10">
        <f t="shared" si="3"/>
        <v>8</v>
      </c>
      <c r="AA13" s="10">
        <f t="shared" si="3"/>
        <v>9</v>
      </c>
      <c r="AB13" s="10">
        <f t="shared" si="3"/>
        <v>10</v>
      </c>
      <c r="AC13" s="10">
        <f t="shared" si="3"/>
        <v>11</v>
      </c>
      <c r="AD13" s="5"/>
      <c r="AE13" s="5"/>
      <c r="AF13" s="5"/>
    </row>
    <row r="14" spans="1:36" x14ac:dyDescent="0.2"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36" x14ac:dyDescent="0.2">
      <c r="A15" s="24" t="s">
        <v>42</v>
      </c>
      <c r="B15" s="5"/>
      <c r="C15" s="5"/>
      <c r="D15" s="5"/>
      <c r="E15" s="5"/>
      <c r="F15" s="5"/>
      <c r="G15" s="5"/>
      <c r="M15" s="31"/>
      <c r="N15" s="31"/>
      <c r="O15" s="31"/>
      <c r="P15" s="44"/>
      <c r="Q15" s="44"/>
      <c r="R15" s="37"/>
      <c r="S15" s="210"/>
      <c r="T15" s="21"/>
      <c r="U15" s="21"/>
      <c r="V15" s="8"/>
      <c r="W15" s="8"/>
      <c r="X15" s="8"/>
      <c r="Y15" s="8"/>
      <c r="Z15" s="8"/>
      <c r="AA15" s="8"/>
      <c r="AB15" s="8"/>
      <c r="AC15" s="8"/>
      <c r="AD15" s="5"/>
      <c r="AE15" s="39" t="s">
        <v>18</v>
      </c>
      <c r="AF15" s="11"/>
      <c r="AG15" s="11"/>
      <c r="AH15" s="3"/>
      <c r="AI15" s="3"/>
      <c r="AJ15" s="3"/>
    </row>
    <row r="16" spans="1:36" x14ac:dyDescent="0.2">
      <c r="A16" s="38"/>
      <c r="B16" s="35"/>
      <c r="C16" s="35"/>
      <c r="D16" s="35"/>
      <c r="E16" s="35"/>
      <c r="F16" s="35"/>
      <c r="G16" s="35"/>
      <c r="H16" s="46" t="s">
        <v>59</v>
      </c>
      <c r="I16" s="45"/>
      <c r="K16" s="43" t="s">
        <v>54</v>
      </c>
      <c r="L16" s="43"/>
      <c r="M16" s="43"/>
      <c r="N16" s="38"/>
      <c r="O16" s="38"/>
      <c r="P16" s="53"/>
      <c r="Q16" s="53"/>
      <c r="R16" s="1"/>
      <c r="S16" s="49" t="s">
        <v>19</v>
      </c>
      <c r="T16" s="12"/>
      <c r="U16" s="12"/>
      <c r="V16" s="12"/>
      <c r="W16" s="12"/>
      <c r="X16" s="12"/>
      <c r="Y16" s="12"/>
      <c r="Z16" s="12"/>
      <c r="AA16" s="12"/>
      <c r="AB16" s="12"/>
      <c r="AC16" s="13"/>
      <c r="AE16" s="52" t="s">
        <v>55</v>
      </c>
      <c r="AF16" s="3"/>
      <c r="AG16" s="39" t="s">
        <v>57</v>
      </c>
      <c r="AH16" s="3"/>
      <c r="AI16" s="52" t="s">
        <v>18</v>
      </c>
      <c r="AJ16" s="33"/>
    </row>
    <row r="17" spans="1:38" x14ac:dyDescent="0.2">
      <c r="A17" s="40" t="s">
        <v>21</v>
      </c>
      <c r="B17" s="40" t="s">
        <v>22</v>
      </c>
      <c r="C17" s="30" t="s">
        <v>41</v>
      </c>
      <c r="D17" s="30" t="s">
        <v>53</v>
      </c>
      <c r="E17" s="40" t="s">
        <v>40</v>
      </c>
      <c r="F17" s="40" t="s">
        <v>23</v>
      </c>
      <c r="G17" s="40" t="s">
        <v>24</v>
      </c>
      <c r="H17" s="30" t="s">
        <v>58</v>
      </c>
      <c r="I17" s="46" t="s">
        <v>20</v>
      </c>
      <c r="J17" s="593" t="s">
        <v>60</v>
      </c>
      <c r="K17" s="593" t="s">
        <v>61</v>
      </c>
      <c r="L17" s="593" t="s">
        <v>63</v>
      </c>
      <c r="M17" s="593" t="s">
        <v>62</v>
      </c>
      <c r="N17" s="30" t="s">
        <v>46</v>
      </c>
      <c r="O17" s="40" t="s">
        <v>26</v>
      </c>
      <c r="P17" s="40" t="s">
        <v>17</v>
      </c>
      <c r="Q17" s="40" t="s">
        <v>25</v>
      </c>
      <c r="R17" s="1"/>
      <c r="S17" s="69">
        <f>SMALL($C$7:$C$11, S$13)</f>
        <v>42761</v>
      </c>
      <c r="T17" s="69">
        <f>SMALL($C$7:$C$11, T$13)</f>
        <v>43404</v>
      </c>
      <c r="U17" s="69">
        <f>SMALL($C$7:$C$11, U$13)</f>
        <v>43465</v>
      </c>
      <c r="V17" s="69">
        <f>SMALL($C$7:$C$11, V$13)</f>
        <v>43585</v>
      </c>
      <c r="W17" s="69">
        <f>SMALL($C$7:$C$12, W$13)</f>
        <v>43585</v>
      </c>
      <c r="X17" s="69">
        <f>SMALL($C$7:$C$12, X$13)</f>
        <v>43646</v>
      </c>
      <c r="Y17" s="69" t="s">
        <v>658</v>
      </c>
      <c r="Z17" s="69" t="s">
        <v>659</v>
      </c>
      <c r="AA17" s="70" t="s">
        <v>271</v>
      </c>
      <c r="AB17" s="70" t="s">
        <v>660</v>
      </c>
      <c r="AC17" s="71" t="s">
        <v>65</v>
      </c>
      <c r="AE17" s="30" t="s">
        <v>11</v>
      </c>
      <c r="AF17" s="30" t="s">
        <v>56</v>
      </c>
      <c r="AG17" s="30" t="s">
        <v>56</v>
      </c>
      <c r="AI17" s="30" t="s">
        <v>60</v>
      </c>
      <c r="AJ17" s="30" t="s">
        <v>56</v>
      </c>
      <c r="AL17" s="40" t="s">
        <v>64</v>
      </c>
    </row>
    <row r="18" spans="1:38" x14ac:dyDescent="0.2">
      <c r="A18" s="19">
        <v>34973</v>
      </c>
      <c r="B18" s="16">
        <f>EOMONTH(A18, 11)</f>
        <v>35338</v>
      </c>
      <c r="C18" s="33">
        <f>YEAR(B18)</f>
        <v>1996</v>
      </c>
      <c r="D18" s="33" t="str">
        <f>TEXT(A18, "yy")&amp;"/"&amp;TEXT(B18,"yy")</f>
        <v>95/96</v>
      </c>
      <c r="E18" s="14" t="str">
        <f t="shared" ref="E18:E39" si="4">TEXT(A18, "m/d/yy")&amp;"-"&amp;TEXT(B18, "m/d/yy")</f>
        <v>10/1/95-9/30/96</v>
      </c>
      <c r="F18" s="17">
        <f t="shared" ref="F18:F40" si="5">AVERAGE(A18:B18)</f>
        <v>35155.5</v>
      </c>
      <c r="G18" s="18">
        <f t="shared" ref="G18:G40" si="6">ROUND(($F$47 - F18) /365.25, 0)</f>
        <v>23</v>
      </c>
      <c r="H18" s="474">
        <v>250000</v>
      </c>
      <c r="I18" s="474">
        <v>1066389</v>
      </c>
      <c r="J18" s="594">
        <v>1.1429772558804836</v>
      </c>
      <c r="K18" s="595">
        <v>51718.748</v>
      </c>
      <c r="L18" s="638">
        <f t="shared" ref="L18:L22" si="7">L19</f>
        <v>0.77330581975421253</v>
      </c>
      <c r="M18" s="596">
        <f t="shared" ref="M18:M42" si="8">K18*L18</f>
        <v>39994.408818801538</v>
      </c>
      <c r="N18" s="14" t="s">
        <v>47</v>
      </c>
      <c r="O18" s="14" t="s">
        <v>47</v>
      </c>
      <c r="P18" s="42">
        <f t="shared" ref="P18:P24" si="9">old</f>
        <v>42761</v>
      </c>
      <c r="Q18" s="27">
        <f>ROUND((P18-$F18)/365.25*12, 0) + 6</f>
        <v>256</v>
      </c>
      <c r="R18" s="1"/>
      <c r="S18" s="57">
        <f t="shared" ref="S18:X33" si="10">ROUND((S$17-$F18)/365.25*12, 0) + 6</f>
        <v>256</v>
      </c>
      <c r="T18" s="27">
        <f t="shared" si="10"/>
        <v>277</v>
      </c>
      <c r="U18" s="27">
        <f t="shared" si="10"/>
        <v>279</v>
      </c>
      <c r="V18" s="27">
        <f t="shared" si="10"/>
        <v>283</v>
      </c>
      <c r="W18" s="27">
        <f t="shared" si="10"/>
        <v>283</v>
      </c>
      <c r="X18" s="27">
        <f t="shared" si="10"/>
        <v>285</v>
      </c>
      <c r="Y18" s="477">
        <f>S18</f>
        <v>256</v>
      </c>
      <c r="Z18" s="477">
        <f>Y18</f>
        <v>256</v>
      </c>
      <c r="AA18" s="477">
        <f t="shared" ref="AA18:AA40" si="11">Q18</f>
        <v>256</v>
      </c>
      <c r="AB18" s="576">
        <f>X18</f>
        <v>285</v>
      </c>
      <c r="AC18" s="51">
        <f t="shared" ref="AC18:AC40" si="12">AC19+$U$2</f>
        <v>288</v>
      </c>
      <c r="AE18" s="54">
        <v>40594.684467753264</v>
      </c>
      <c r="AF18" s="683">
        <f t="shared" ref="AF18:AF41" si="13">M18/AE18-1</f>
        <v>-1.4787050492498843E-2</v>
      </c>
      <c r="AG18" s="31"/>
      <c r="AI18" s="50">
        <v>1.1462803605710363</v>
      </c>
      <c r="AJ18" s="643">
        <f t="shared" ref="AJ18:AJ41" si="14">J18/AI18-1</f>
        <v>-2.8815853469802422E-3</v>
      </c>
      <c r="AL18" s="14" t="str">
        <f t="shared" ref="AL18:AL42" si="15">VLOOKUP(H18, $M$1:$N$7, 2, FALSE)</f>
        <v>250K</v>
      </c>
    </row>
    <row r="19" spans="1:38" x14ac:dyDescent="0.2">
      <c r="A19" s="16">
        <f>B18+1</f>
        <v>35339</v>
      </c>
      <c r="B19" s="16">
        <f>EOMONTH(A19, 11)</f>
        <v>35703</v>
      </c>
      <c r="C19" s="33">
        <f t="shared" ref="C19:C40" si="16">YEAR(B19)</f>
        <v>1997</v>
      </c>
      <c r="D19" s="33" t="str">
        <f t="shared" ref="D19:D40" si="17">TEXT(A19, "yy")&amp;"/"&amp;TEXT(B19,"yy")</f>
        <v>96/97</v>
      </c>
      <c r="E19" s="14" t="str">
        <f t="shared" si="4"/>
        <v>10/1/96-9/30/97</v>
      </c>
      <c r="F19" s="17">
        <f t="shared" si="5"/>
        <v>35521</v>
      </c>
      <c r="G19" s="18">
        <f t="shared" si="6"/>
        <v>22</v>
      </c>
      <c r="H19" s="474">
        <v>250000</v>
      </c>
      <c r="I19" s="474">
        <v>1660996</v>
      </c>
      <c r="J19" s="594">
        <v>1.1586516942611411</v>
      </c>
      <c r="K19" s="595">
        <v>71279.833180000031</v>
      </c>
      <c r="L19" s="638">
        <f t="shared" si="7"/>
        <v>0.77330581975421253</v>
      </c>
      <c r="M19" s="596">
        <f t="shared" si="8"/>
        <v>55121.109829203444</v>
      </c>
      <c r="N19" s="14" t="s">
        <v>47</v>
      </c>
      <c r="O19" s="14" t="s">
        <v>47</v>
      </c>
      <c r="P19" s="42">
        <f t="shared" si="9"/>
        <v>42761</v>
      </c>
      <c r="Q19" s="27">
        <f t="shared" ref="Q19:Q41" si="18">ROUND((P19-F19)/365.25*12, 0) + 6</f>
        <v>244</v>
      </c>
      <c r="R19" s="1"/>
      <c r="S19" s="57">
        <f t="shared" si="10"/>
        <v>244</v>
      </c>
      <c r="T19" s="27">
        <f t="shared" si="10"/>
        <v>265</v>
      </c>
      <c r="U19" s="27">
        <f t="shared" si="10"/>
        <v>267</v>
      </c>
      <c r="V19" s="27">
        <f t="shared" si="10"/>
        <v>271</v>
      </c>
      <c r="W19" s="27">
        <f t="shared" si="10"/>
        <v>271</v>
      </c>
      <c r="X19" s="27">
        <f t="shared" si="10"/>
        <v>273</v>
      </c>
      <c r="Y19" s="477">
        <f t="shared" ref="Y19:Y24" si="19">S19</f>
        <v>244</v>
      </c>
      <c r="Z19" s="477">
        <f t="shared" ref="Z19:Z24" si="20">Y19</f>
        <v>244</v>
      </c>
      <c r="AA19" s="477">
        <f t="shared" si="11"/>
        <v>244</v>
      </c>
      <c r="AB19" s="576">
        <f t="shared" ref="AB19:AB24" si="21">X19</f>
        <v>273</v>
      </c>
      <c r="AC19" s="51">
        <f t="shared" si="12"/>
        <v>276</v>
      </c>
      <c r="AE19" s="54">
        <v>55948.421969847201</v>
      </c>
      <c r="AF19" s="683">
        <f t="shared" si="13"/>
        <v>-1.4787050492498732E-2</v>
      </c>
      <c r="AG19" s="48">
        <f t="shared" ref="AG19:AG42" si="22">M19/M18-1</f>
        <v>0.37822039272876506</v>
      </c>
      <c r="AI19" s="50">
        <v>1.1596841965616245</v>
      </c>
      <c r="AJ19" s="643">
        <f t="shared" si="14"/>
        <v>-8.9033057753540312E-4</v>
      </c>
      <c r="AL19" s="14" t="str">
        <f t="shared" si="15"/>
        <v>250K</v>
      </c>
    </row>
    <row r="20" spans="1:38" x14ac:dyDescent="0.2">
      <c r="A20" s="16">
        <f t="shared" ref="A20:A40" si="23">B19+1</f>
        <v>35704</v>
      </c>
      <c r="B20" s="16">
        <f t="shared" ref="B20:B40" si="24">EOMONTH(A20, 11)</f>
        <v>36068</v>
      </c>
      <c r="C20" s="33">
        <f t="shared" si="16"/>
        <v>1998</v>
      </c>
      <c r="D20" s="33" t="str">
        <f t="shared" si="17"/>
        <v>97/98</v>
      </c>
      <c r="E20" s="14" t="str">
        <f t="shared" si="4"/>
        <v>10/1/97-9/30/98</v>
      </c>
      <c r="F20" s="17">
        <f t="shared" si="5"/>
        <v>35886</v>
      </c>
      <c r="G20" s="18">
        <f t="shared" si="6"/>
        <v>21</v>
      </c>
      <c r="H20" s="474">
        <v>250000</v>
      </c>
      <c r="I20" s="474">
        <v>2412000</v>
      </c>
      <c r="J20" s="594">
        <v>1.1472092745516156</v>
      </c>
      <c r="K20" s="595">
        <v>90725.935539999991</v>
      </c>
      <c r="L20" s="638">
        <f t="shared" si="7"/>
        <v>0.77330581975421253</v>
      </c>
      <c r="M20" s="596">
        <f t="shared" si="8"/>
        <v>70158.893955727544</v>
      </c>
      <c r="N20" s="14" t="s">
        <v>47</v>
      </c>
      <c r="O20" s="14" t="s">
        <v>47</v>
      </c>
      <c r="P20" s="42">
        <f t="shared" si="9"/>
        <v>42761</v>
      </c>
      <c r="Q20" s="27">
        <f t="shared" si="18"/>
        <v>232</v>
      </c>
      <c r="R20" s="1"/>
      <c r="S20" s="57">
        <f t="shared" si="10"/>
        <v>232</v>
      </c>
      <c r="T20" s="27">
        <f t="shared" si="10"/>
        <v>253</v>
      </c>
      <c r="U20" s="27">
        <f t="shared" si="10"/>
        <v>255</v>
      </c>
      <c r="V20" s="27">
        <f t="shared" si="10"/>
        <v>259</v>
      </c>
      <c r="W20" s="27">
        <f t="shared" si="10"/>
        <v>259</v>
      </c>
      <c r="X20" s="27">
        <f t="shared" si="10"/>
        <v>261</v>
      </c>
      <c r="Y20" s="477">
        <f t="shared" si="19"/>
        <v>232</v>
      </c>
      <c r="Z20" s="477">
        <f t="shared" si="20"/>
        <v>232</v>
      </c>
      <c r="AA20" s="477">
        <f t="shared" si="11"/>
        <v>232</v>
      </c>
      <c r="AB20" s="576">
        <f t="shared" si="21"/>
        <v>261</v>
      </c>
      <c r="AC20" s="51">
        <f t="shared" si="12"/>
        <v>264</v>
      </c>
      <c r="AE20" s="54">
        <v>71211.908035515895</v>
      </c>
      <c r="AF20" s="683">
        <f t="shared" si="13"/>
        <v>-1.4787050492498732E-2</v>
      </c>
      <c r="AG20" s="48">
        <f t="shared" si="22"/>
        <v>0.27281352231694367</v>
      </c>
      <c r="AI20" s="50">
        <v>1.1479696566468423</v>
      </c>
      <c r="AJ20" s="643">
        <f t="shared" si="14"/>
        <v>-6.6237124894719113E-4</v>
      </c>
      <c r="AL20" s="14" t="str">
        <f t="shared" si="15"/>
        <v>250K</v>
      </c>
    </row>
    <row r="21" spans="1:38" x14ac:dyDescent="0.2">
      <c r="A21" s="16">
        <f t="shared" si="23"/>
        <v>36069</v>
      </c>
      <c r="B21" s="16">
        <f t="shared" si="24"/>
        <v>36433</v>
      </c>
      <c r="C21" s="33">
        <f t="shared" si="16"/>
        <v>1999</v>
      </c>
      <c r="D21" s="33" t="str">
        <f t="shared" si="17"/>
        <v>98/99</v>
      </c>
      <c r="E21" s="14" t="str">
        <f t="shared" si="4"/>
        <v>10/1/98-9/30/99</v>
      </c>
      <c r="F21" s="17">
        <f t="shared" si="5"/>
        <v>36251</v>
      </c>
      <c r="G21" s="18">
        <f t="shared" si="6"/>
        <v>20</v>
      </c>
      <c r="H21" s="474">
        <v>250000</v>
      </c>
      <c r="I21" s="474">
        <v>2371069</v>
      </c>
      <c r="J21" s="594">
        <v>1.1383473850581671</v>
      </c>
      <c r="K21" s="595">
        <v>115828.16377000001</v>
      </c>
      <c r="L21" s="638">
        <f t="shared" si="7"/>
        <v>0.77330581975421253</v>
      </c>
      <c r="M21" s="596">
        <f t="shared" si="8"/>
        <v>89570.593134785042</v>
      </c>
      <c r="N21" s="14" t="s">
        <v>47</v>
      </c>
      <c r="O21" s="14" t="s">
        <v>47</v>
      </c>
      <c r="P21" s="42">
        <f t="shared" si="9"/>
        <v>42761</v>
      </c>
      <c r="Q21" s="27">
        <f t="shared" si="18"/>
        <v>220</v>
      </c>
      <c r="R21" s="1"/>
      <c r="S21" s="57">
        <f t="shared" si="10"/>
        <v>220</v>
      </c>
      <c r="T21" s="27">
        <f t="shared" si="10"/>
        <v>241</v>
      </c>
      <c r="U21" s="27">
        <f t="shared" si="10"/>
        <v>243</v>
      </c>
      <c r="V21" s="27">
        <f t="shared" si="10"/>
        <v>247</v>
      </c>
      <c r="W21" s="27">
        <f t="shared" si="10"/>
        <v>247</v>
      </c>
      <c r="X21" s="27">
        <f t="shared" si="10"/>
        <v>249</v>
      </c>
      <c r="Y21" s="477">
        <f t="shared" si="19"/>
        <v>220</v>
      </c>
      <c r="Z21" s="477">
        <f t="shared" si="20"/>
        <v>220</v>
      </c>
      <c r="AA21" s="477">
        <f t="shared" si="11"/>
        <v>220</v>
      </c>
      <c r="AB21" s="576">
        <f t="shared" si="21"/>
        <v>249</v>
      </c>
      <c r="AC21" s="51">
        <f t="shared" si="12"/>
        <v>252</v>
      </c>
      <c r="AE21" s="54">
        <v>90914.957197386146</v>
      </c>
      <c r="AF21" s="683">
        <f t="shared" si="13"/>
        <v>-1.4787050492498621E-2</v>
      </c>
      <c r="AG21" s="48">
        <f t="shared" si="22"/>
        <v>0.27668194414961689</v>
      </c>
      <c r="AI21" s="50">
        <v>1.1389383432641396</v>
      </c>
      <c r="AJ21" s="643">
        <f t="shared" si="14"/>
        <v>-5.1886760110186891E-4</v>
      </c>
      <c r="AL21" s="14" t="str">
        <f t="shared" si="15"/>
        <v>250K</v>
      </c>
    </row>
    <row r="22" spans="1:38" x14ac:dyDescent="0.2">
      <c r="A22" s="16">
        <f t="shared" si="23"/>
        <v>36434</v>
      </c>
      <c r="B22" s="16">
        <f t="shared" si="24"/>
        <v>36799</v>
      </c>
      <c r="C22" s="33">
        <f t="shared" si="16"/>
        <v>2000</v>
      </c>
      <c r="D22" s="33" t="str">
        <f t="shared" si="17"/>
        <v>99/00</v>
      </c>
      <c r="E22" s="14" t="str">
        <f t="shared" si="4"/>
        <v>10/1/99-9/30/00</v>
      </c>
      <c r="F22" s="17">
        <f t="shared" si="5"/>
        <v>36616.5</v>
      </c>
      <c r="G22" s="18">
        <f t="shared" si="6"/>
        <v>19</v>
      </c>
      <c r="H22" s="474">
        <v>250000</v>
      </c>
      <c r="I22" s="474">
        <v>1985102</v>
      </c>
      <c r="J22" s="594">
        <v>1.1276856835351232</v>
      </c>
      <c r="K22" s="595">
        <v>86853.122530000022</v>
      </c>
      <c r="L22" s="638">
        <f t="shared" si="7"/>
        <v>0.77330581975421253</v>
      </c>
      <c r="M22" s="596">
        <f t="shared" si="8"/>
        <v>67164.02511627473</v>
      </c>
      <c r="N22" s="14" t="s">
        <v>47</v>
      </c>
      <c r="O22" s="14" t="s">
        <v>47</v>
      </c>
      <c r="P22" s="42">
        <f t="shared" si="9"/>
        <v>42761</v>
      </c>
      <c r="Q22" s="27">
        <f t="shared" si="18"/>
        <v>208</v>
      </c>
      <c r="R22" s="1"/>
      <c r="S22" s="57">
        <f t="shared" si="10"/>
        <v>208</v>
      </c>
      <c r="T22" s="27">
        <f t="shared" si="10"/>
        <v>229</v>
      </c>
      <c r="U22" s="27">
        <f t="shared" si="10"/>
        <v>231</v>
      </c>
      <c r="V22" s="27">
        <f t="shared" si="10"/>
        <v>235</v>
      </c>
      <c r="W22" s="27">
        <f t="shared" si="10"/>
        <v>235</v>
      </c>
      <c r="X22" s="27">
        <f t="shared" si="10"/>
        <v>237</v>
      </c>
      <c r="Y22" s="477">
        <f t="shared" si="19"/>
        <v>208</v>
      </c>
      <c r="Z22" s="477">
        <f t="shared" si="20"/>
        <v>208</v>
      </c>
      <c r="AA22" s="477">
        <f t="shared" si="11"/>
        <v>208</v>
      </c>
      <c r="AB22" s="576">
        <f t="shared" si="21"/>
        <v>237</v>
      </c>
      <c r="AC22" s="51">
        <f t="shared" si="12"/>
        <v>240</v>
      </c>
      <c r="AE22" s="54">
        <v>68172.089242076443</v>
      </c>
      <c r="AF22" s="683">
        <f t="shared" si="13"/>
        <v>-1.4787050492498732E-2</v>
      </c>
      <c r="AG22" s="48">
        <f t="shared" si="22"/>
        <v>-0.25015540518742696</v>
      </c>
      <c r="AI22" s="50">
        <v>1.1278729861254642</v>
      </c>
      <c r="AJ22" s="643">
        <f t="shared" si="14"/>
        <v>-1.6606709500543992E-4</v>
      </c>
      <c r="AL22" s="14" t="str">
        <f t="shared" si="15"/>
        <v>250K</v>
      </c>
    </row>
    <row r="23" spans="1:38" x14ac:dyDescent="0.2">
      <c r="A23" s="16">
        <f t="shared" si="23"/>
        <v>36800</v>
      </c>
      <c r="B23" s="16">
        <f t="shared" si="24"/>
        <v>37164</v>
      </c>
      <c r="C23" s="33">
        <f t="shared" si="16"/>
        <v>2001</v>
      </c>
      <c r="D23" s="33" t="str">
        <f t="shared" si="17"/>
        <v>00/01</v>
      </c>
      <c r="E23" s="14" t="str">
        <f t="shared" si="4"/>
        <v>10/1/00-9/30/01</v>
      </c>
      <c r="F23" s="17">
        <f t="shared" si="5"/>
        <v>36982</v>
      </c>
      <c r="G23" s="18">
        <f t="shared" si="6"/>
        <v>18</v>
      </c>
      <c r="H23" s="474">
        <v>250000</v>
      </c>
      <c r="I23" s="474">
        <v>2121632</v>
      </c>
      <c r="J23" s="594">
        <v>1.1157888358226624</v>
      </c>
      <c r="K23" s="595">
        <v>91838.194909999977</v>
      </c>
      <c r="L23" s="638">
        <f>L24</f>
        <v>0.77330581975421253</v>
      </c>
      <c r="M23" s="596">
        <f t="shared" si="8"/>
        <v>71019.010599624686</v>
      </c>
      <c r="N23" s="14" t="s">
        <v>47</v>
      </c>
      <c r="O23" s="14" t="s">
        <v>47</v>
      </c>
      <c r="P23" s="42">
        <f t="shared" si="9"/>
        <v>42761</v>
      </c>
      <c r="Q23" s="27">
        <f t="shared" si="18"/>
        <v>196</v>
      </c>
      <c r="R23" s="1"/>
      <c r="S23" s="57">
        <f t="shared" si="10"/>
        <v>196</v>
      </c>
      <c r="T23" s="27">
        <f t="shared" si="10"/>
        <v>217</v>
      </c>
      <c r="U23" s="27">
        <f t="shared" si="10"/>
        <v>219</v>
      </c>
      <c r="V23" s="27">
        <f t="shared" si="10"/>
        <v>223</v>
      </c>
      <c r="W23" s="27">
        <f t="shared" si="10"/>
        <v>223</v>
      </c>
      <c r="X23" s="27">
        <f t="shared" si="10"/>
        <v>225</v>
      </c>
      <c r="Y23" s="477">
        <f t="shared" si="19"/>
        <v>196</v>
      </c>
      <c r="Z23" s="477">
        <f t="shared" si="20"/>
        <v>196</v>
      </c>
      <c r="AA23" s="477">
        <f t="shared" si="11"/>
        <v>196</v>
      </c>
      <c r="AB23" s="576">
        <f t="shared" si="21"/>
        <v>225</v>
      </c>
      <c r="AC23" s="51">
        <f t="shared" si="12"/>
        <v>228</v>
      </c>
      <c r="AE23" s="54">
        <v>72084.934160809018</v>
      </c>
      <c r="AF23" s="683">
        <f t="shared" si="13"/>
        <v>-1.4787050492498732E-2</v>
      </c>
      <c r="AG23" s="48">
        <f t="shared" si="22"/>
        <v>5.7396582123780959E-2</v>
      </c>
      <c r="AI23" s="50">
        <v>1.1155071795530087</v>
      </c>
      <c r="AJ23" s="643">
        <f t="shared" si="14"/>
        <v>2.5249166909580012E-4</v>
      </c>
      <c r="AL23" s="14" t="str">
        <f t="shared" si="15"/>
        <v>250K</v>
      </c>
    </row>
    <row r="24" spans="1:38" x14ac:dyDescent="0.2">
      <c r="A24" s="16">
        <f t="shared" si="23"/>
        <v>37165</v>
      </c>
      <c r="B24" s="16">
        <f t="shared" si="24"/>
        <v>37529</v>
      </c>
      <c r="C24" s="33">
        <f t="shared" si="16"/>
        <v>2002</v>
      </c>
      <c r="D24" s="33" t="str">
        <f t="shared" si="17"/>
        <v>01/02</v>
      </c>
      <c r="E24" s="14" t="str">
        <f t="shared" si="4"/>
        <v>10/1/01-9/30/02</v>
      </c>
      <c r="F24" s="17">
        <f t="shared" si="5"/>
        <v>37347</v>
      </c>
      <c r="G24" s="18">
        <f t="shared" si="6"/>
        <v>17</v>
      </c>
      <c r="H24" s="474">
        <v>250000</v>
      </c>
      <c r="I24" s="474">
        <v>2896730</v>
      </c>
      <c r="J24" s="594">
        <v>1.1044876209657188</v>
      </c>
      <c r="K24" s="595">
        <v>86098.134999999995</v>
      </c>
      <c r="L24" s="594">
        <v>0.77330581975421253</v>
      </c>
      <c r="M24" s="596">
        <f t="shared" si="8"/>
        <v>66580.188865483855</v>
      </c>
      <c r="N24" s="14" t="s">
        <v>47</v>
      </c>
      <c r="O24" s="14" t="s">
        <v>47</v>
      </c>
      <c r="P24" s="42">
        <f t="shared" si="9"/>
        <v>42761</v>
      </c>
      <c r="Q24" s="27">
        <f t="shared" si="18"/>
        <v>184</v>
      </c>
      <c r="R24" s="1"/>
      <c r="S24" s="57">
        <f t="shared" si="10"/>
        <v>184</v>
      </c>
      <c r="T24" s="27">
        <f t="shared" si="10"/>
        <v>205</v>
      </c>
      <c r="U24" s="27">
        <f t="shared" si="10"/>
        <v>207</v>
      </c>
      <c r="V24" s="27">
        <f t="shared" si="10"/>
        <v>211</v>
      </c>
      <c r="W24" s="27">
        <f t="shared" si="10"/>
        <v>211</v>
      </c>
      <c r="X24" s="27">
        <f t="shared" si="10"/>
        <v>213</v>
      </c>
      <c r="Y24" s="477">
        <f t="shared" si="19"/>
        <v>184</v>
      </c>
      <c r="Z24" s="477">
        <f t="shared" si="20"/>
        <v>184</v>
      </c>
      <c r="AA24" s="477">
        <f t="shared" si="11"/>
        <v>184</v>
      </c>
      <c r="AB24" s="576">
        <f t="shared" si="21"/>
        <v>213</v>
      </c>
      <c r="AC24" s="51">
        <f t="shared" si="12"/>
        <v>216</v>
      </c>
      <c r="AE24" s="54">
        <v>67579.490199318505</v>
      </c>
      <c r="AF24" s="683">
        <f t="shared" si="13"/>
        <v>-1.4787050492498843E-2</v>
      </c>
      <c r="AG24" s="48">
        <f t="shared" si="22"/>
        <v>-6.2501880787456221E-2</v>
      </c>
      <c r="AI24" s="50">
        <v>1.1034181727341372</v>
      </c>
      <c r="AJ24" s="643">
        <f t="shared" si="14"/>
        <v>9.6921390095627835E-4</v>
      </c>
      <c r="AL24" s="14" t="str">
        <f t="shared" si="15"/>
        <v>250K</v>
      </c>
    </row>
    <row r="25" spans="1:38" x14ac:dyDescent="0.2">
      <c r="A25" s="16">
        <f t="shared" si="23"/>
        <v>37530</v>
      </c>
      <c r="B25" s="16">
        <f t="shared" si="24"/>
        <v>37894</v>
      </c>
      <c r="C25" s="33">
        <f t="shared" si="16"/>
        <v>2003</v>
      </c>
      <c r="D25" s="33" t="str">
        <f t="shared" si="17"/>
        <v>02/03</v>
      </c>
      <c r="E25" s="14" t="str">
        <f t="shared" si="4"/>
        <v>10/1/02-9/30/03</v>
      </c>
      <c r="F25" s="17">
        <f t="shared" si="5"/>
        <v>37712</v>
      </c>
      <c r="G25" s="18">
        <f t="shared" si="6"/>
        <v>16</v>
      </c>
      <c r="H25" s="474">
        <v>250000</v>
      </c>
      <c r="I25" s="60" t="s">
        <v>559</v>
      </c>
      <c r="J25" s="594">
        <v>1.0980216306970509</v>
      </c>
      <c r="K25" s="595">
        <v>95877.160999999993</v>
      </c>
      <c r="L25" s="594">
        <v>0.79035991647913106</v>
      </c>
      <c r="M25" s="596">
        <f t="shared" si="8"/>
        <v>75777.464960216195</v>
      </c>
      <c r="N25" s="33" t="s">
        <v>45</v>
      </c>
      <c r="O25" s="28" t="s">
        <v>44</v>
      </c>
      <c r="P25" s="41">
        <f t="shared" ref="P25:P42" si="25">curr</f>
        <v>43585</v>
      </c>
      <c r="Q25" s="27">
        <f t="shared" si="18"/>
        <v>199</v>
      </c>
      <c r="R25" s="1"/>
      <c r="S25" s="57">
        <f t="shared" si="10"/>
        <v>172</v>
      </c>
      <c r="T25" s="27">
        <f t="shared" si="10"/>
        <v>193</v>
      </c>
      <c r="U25" s="27">
        <f t="shared" si="10"/>
        <v>195</v>
      </c>
      <c r="V25" s="27">
        <f t="shared" si="10"/>
        <v>199</v>
      </c>
      <c r="W25" s="27">
        <f t="shared" si="10"/>
        <v>199</v>
      </c>
      <c r="X25" s="27">
        <f t="shared" si="10"/>
        <v>201</v>
      </c>
      <c r="Y25" s="474">
        <f>T25</f>
        <v>193</v>
      </c>
      <c r="Z25" s="73">
        <f>U25</f>
        <v>195</v>
      </c>
      <c r="AA25" s="27">
        <f t="shared" si="11"/>
        <v>199</v>
      </c>
      <c r="AB25" s="27">
        <f>X25</f>
        <v>201</v>
      </c>
      <c r="AC25" s="51">
        <f t="shared" si="12"/>
        <v>204</v>
      </c>
      <c r="AE25" s="54">
        <v>76575.793085904457</v>
      </c>
      <c r="AF25" s="683">
        <f t="shared" si="13"/>
        <v>-1.0425332778371321E-2</v>
      </c>
      <c r="AG25" s="48">
        <f t="shared" si="22"/>
        <v>0.13813832990642561</v>
      </c>
      <c r="AI25" s="50">
        <v>1.096637111584039</v>
      </c>
      <c r="AJ25" s="643">
        <f t="shared" si="14"/>
        <v>1.2625134589983045E-3</v>
      </c>
      <c r="AL25" s="14" t="str">
        <f t="shared" si="15"/>
        <v>250K</v>
      </c>
    </row>
    <row r="26" spans="1:38" x14ac:dyDescent="0.2">
      <c r="A26" s="16">
        <f t="shared" si="23"/>
        <v>37895</v>
      </c>
      <c r="B26" s="16">
        <f t="shared" si="24"/>
        <v>38260</v>
      </c>
      <c r="C26" s="33">
        <f t="shared" si="16"/>
        <v>2004</v>
      </c>
      <c r="D26" s="33" t="str">
        <f t="shared" si="17"/>
        <v>03/04</v>
      </c>
      <c r="E26" s="14" t="str">
        <f t="shared" si="4"/>
        <v>10/1/03-9/30/04</v>
      </c>
      <c r="F26" s="17">
        <f t="shared" si="5"/>
        <v>38077.5</v>
      </c>
      <c r="G26" s="18">
        <f t="shared" si="6"/>
        <v>15</v>
      </c>
      <c r="H26" s="474">
        <v>350000</v>
      </c>
      <c r="I26" s="60" t="s">
        <v>559</v>
      </c>
      <c r="J26" s="594">
        <v>1.1043638048521249</v>
      </c>
      <c r="K26" s="595">
        <v>102137.68700000001</v>
      </c>
      <c r="L26" s="594">
        <v>0.78169156504546589</v>
      </c>
      <c r="M26" s="596">
        <f t="shared" si="8"/>
        <v>79840.168401153933</v>
      </c>
      <c r="N26" s="33" t="s">
        <v>45</v>
      </c>
      <c r="O26" s="28" t="s">
        <v>44</v>
      </c>
      <c r="P26" s="41">
        <f t="shared" si="25"/>
        <v>43585</v>
      </c>
      <c r="Q26" s="27">
        <f t="shared" si="18"/>
        <v>187</v>
      </c>
      <c r="R26" s="1"/>
      <c r="S26" s="57">
        <f t="shared" si="10"/>
        <v>160</v>
      </c>
      <c r="T26" s="27">
        <f t="shared" si="10"/>
        <v>181</v>
      </c>
      <c r="U26" s="27">
        <f t="shared" si="10"/>
        <v>183</v>
      </c>
      <c r="V26" s="27">
        <f t="shared" si="10"/>
        <v>187</v>
      </c>
      <c r="W26" s="27">
        <f t="shared" si="10"/>
        <v>187</v>
      </c>
      <c r="X26" s="27">
        <f t="shared" si="10"/>
        <v>189</v>
      </c>
      <c r="Y26" s="474">
        <f t="shared" ref="Y26:Y41" si="26">T26</f>
        <v>181</v>
      </c>
      <c r="Z26" s="73">
        <f t="shared" ref="Z26:Z41" si="27">U26</f>
        <v>183</v>
      </c>
      <c r="AA26" s="27">
        <f t="shared" si="11"/>
        <v>187</v>
      </c>
      <c r="AB26" s="27">
        <f t="shared" ref="AB26:AB40" si="28">X26</f>
        <v>189</v>
      </c>
      <c r="AC26" s="51">
        <f t="shared" si="12"/>
        <v>192</v>
      </c>
      <c r="AE26" s="54">
        <v>80621.742991618594</v>
      </c>
      <c r="AF26" s="683">
        <f t="shared" si="13"/>
        <v>-9.6943400311491068E-3</v>
      </c>
      <c r="AG26" s="48">
        <f t="shared" si="22"/>
        <v>5.361360983863328E-2</v>
      </c>
      <c r="AI26" s="50">
        <v>1.1024947826552136</v>
      </c>
      <c r="AJ26" s="643">
        <f t="shared" si="14"/>
        <v>1.6952662509748251E-3</v>
      </c>
      <c r="AL26" s="14" t="str">
        <f t="shared" si="15"/>
        <v>350K</v>
      </c>
    </row>
    <row r="27" spans="1:38" x14ac:dyDescent="0.2">
      <c r="A27" s="16">
        <f t="shared" si="23"/>
        <v>38261</v>
      </c>
      <c r="B27" s="16">
        <f t="shared" si="24"/>
        <v>38625</v>
      </c>
      <c r="C27" s="33">
        <f t="shared" si="16"/>
        <v>2005</v>
      </c>
      <c r="D27" s="33" t="str">
        <f t="shared" si="17"/>
        <v>04/05</v>
      </c>
      <c r="E27" s="14" t="str">
        <f t="shared" si="4"/>
        <v>10/1/04-9/30/05</v>
      </c>
      <c r="F27" s="17">
        <f t="shared" si="5"/>
        <v>38443</v>
      </c>
      <c r="G27" s="18">
        <f t="shared" si="6"/>
        <v>14</v>
      </c>
      <c r="H27" s="474">
        <v>350000</v>
      </c>
      <c r="I27" s="60" t="s">
        <v>559</v>
      </c>
      <c r="J27" s="594">
        <v>1.0993295241734087</v>
      </c>
      <c r="K27" s="595">
        <v>111292.39200000001</v>
      </c>
      <c r="L27" s="594">
        <v>0.78441601299858521</v>
      </c>
      <c r="M27" s="596">
        <f t="shared" si="8"/>
        <v>87299.534409715649</v>
      </c>
      <c r="N27" s="33" t="s">
        <v>45</v>
      </c>
      <c r="O27" s="28" t="s">
        <v>45</v>
      </c>
      <c r="P27" s="41">
        <f t="shared" si="25"/>
        <v>43585</v>
      </c>
      <c r="Q27" s="27">
        <f t="shared" si="18"/>
        <v>175</v>
      </c>
      <c r="R27" s="1"/>
      <c r="S27" s="57">
        <f t="shared" si="10"/>
        <v>148</v>
      </c>
      <c r="T27" s="27">
        <f t="shared" si="10"/>
        <v>169</v>
      </c>
      <c r="U27" s="27">
        <f t="shared" si="10"/>
        <v>171</v>
      </c>
      <c r="V27" s="27">
        <f t="shared" si="10"/>
        <v>175</v>
      </c>
      <c r="W27" s="27">
        <f t="shared" si="10"/>
        <v>175</v>
      </c>
      <c r="X27" s="27">
        <f t="shared" si="10"/>
        <v>177</v>
      </c>
      <c r="Y27" s="474">
        <f t="shared" si="26"/>
        <v>169</v>
      </c>
      <c r="Z27" s="73">
        <f t="shared" si="27"/>
        <v>171</v>
      </c>
      <c r="AA27" s="27">
        <f t="shared" si="11"/>
        <v>175</v>
      </c>
      <c r="AB27" s="27">
        <f t="shared" si="28"/>
        <v>177</v>
      </c>
      <c r="AC27" s="51">
        <f t="shared" si="12"/>
        <v>180</v>
      </c>
      <c r="AE27" s="54">
        <v>88083.604109794527</v>
      </c>
      <c r="AF27" s="683">
        <f t="shared" si="13"/>
        <v>-8.9014261848499032E-3</v>
      </c>
      <c r="AG27" s="48">
        <f t="shared" si="22"/>
        <v>9.3428735910004779E-2</v>
      </c>
      <c r="AI27" s="50">
        <v>1.0978622349638085</v>
      </c>
      <c r="AJ27" s="643">
        <f t="shared" si="14"/>
        <v>1.3364966594815453E-3</v>
      </c>
      <c r="AL27" s="14" t="str">
        <f t="shared" si="15"/>
        <v>350K</v>
      </c>
    </row>
    <row r="28" spans="1:38" x14ac:dyDescent="0.2">
      <c r="A28" s="16">
        <f t="shared" si="23"/>
        <v>38626</v>
      </c>
      <c r="B28" s="16">
        <f t="shared" si="24"/>
        <v>38990</v>
      </c>
      <c r="C28" s="33">
        <f t="shared" si="16"/>
        <v>2006</v>
      </c>
      <c r="D28" s="33" t="str">
        <f t="shared" si="17"/>
        <v>05/06</v>
      </c>
      <c r="E28" s="14" t="str">
        <f t="shared" si="4"/>
        <v>10/1/05-9/30/06</v>
      </c>
      <c r="F28" s="17">
        <f t="shared" si="5"/>
        <v>38808</v>
      </c>
      <c r="G28" s="18">
        <f t="shared" si="6"/>
        <v>13</v>
      </c>
      <c r="H28" s="474">
        <v>350000</v>
      </c>
      <c r="I28" s="60" t="s">
        <v>559</v>
      </c>
      <c r="J28" s="594">
        <v>1.0898938283807902</v>
      </c>
      <c r="K28" s="595">
        <v>107756.82399999999</v>
      </c>
      <c r="L28" s="594">
        <v>0.80317985362894262</v>
      </c>
      <c r="M28" s="596">
        <f t="shared" si="8"/>
        <v>86548.110127839725</v>
      </c>
      <c r="N28" s="33" t="s">
        <v>48</v>
      </c>
      <c r="O28" s="28" t="s">
        <v>48</v>
      </c>
      <c r="P28" s="41">
        <f t="shared" si="25"/>
        <v>43585</v>
      </c>
      <c r="Q28" s="27">
        <f t="shared" si="18"/>
        <v>163</v>
      </c>
      <c r="R28" s="1"/>
      <c r="S28" s="57">
        <f t="shared" si="10"/>
        <v>136</v>
      </c>
      <c r="T28" s="27">
        <f t="shared" ref="T28:X41" si="29">ROUND((T$17-$F28)/365.25*12, 0) + 6</f>
        <v>157</v>
      </c>
      <c r="U28" s="27">
        <f t="shared" si="29"/>
        <v>159</v>
      </c>
      <c r="V28" s="27">
        <f t="shared" si="29"/>
        <v>163</v>
      </c>
      <c r="W28" s="27">
        <f t="shared" si="29"/>
        <v>163</v>
      </c>
      <c r="X28" s="27">
        <f t="shared" si="29"/>
        <v>165</v>
      </c>
      <c r="Y28" s="474">
        <f t="shared" si="26"/>
        <v>157</v>
      </c>
      <c r="Z28" s="73">
        <f t="shared" si="27"/>
        <v>159</v>
      </c>
      <c r="AA28" s="27">
        <f t="shared" si="11"/>
        <v>163</v>
      </c>
      <c r="AB28" s="27">
        <f t="shared" si="28"/>
        <v>165</v>
      </c>
      <c r="AC28" s="51">
        <f t="shared" si="12"/>
        <v>168</v>
      </c>
      <c r="AE28" s="54">
        <v>87188.720542012641</v>
      </c>
      <c r="AF28" s="683">
        <f t="shared" si="13"/>
        <v>-7.3474001016476942E-3</v>
      </c>
      <c r="AG28" s="48">
        <f t="shared" si="22"/>
        <v>-8.6074259955307708E-3</v>
      </c>
      <c r="AI28" s="50">
        <v>1.0882613324882342</v>
      </c>
      <c r="AJ28" s="643">
        <f t="shared" si="14"/>
        <v>1.5000954677157896E-3</v>
      </c>
      <c r="AL28" s="14" t="str">
        <f t="shared" si="15"/>
        <v>350K</v>
      </c>
    </row>
    <row r="29" spans="1:38" x14ac:dyDescent="0.2">
      <c r="A29" s="16">
        <f t="shared" si="23"/>
        <v>38991</v>
      </c>
      <c r="B29" s="16">
        <f t="shared" si="24"/>
        <v>39355</v>
      </c>
      <c r="C29" s="33">
        <f t="shared" si="16"/>
        <v>2007</v>
      </c>
      <c r="D29" s="33" t="str">
        <f t="shared" si="17"/>
        <v>06/07</v>
      </c>
      <c r="E29" s="14" t="str">
        <f t="shared" si="4"/>
        <v>10/1/06-9/30/07</v>
      </c>
      <c r="F29" s="17">
        <f t="shared" si="5"/>
        <v>39173</v>
      </c>
      <c r="G29" s="18">
        <f t="shared" si="6"/>
        <v>12</v>
      </c>
      <c r="H29" s="474">
        <v>350000</v>
      </c>
      <c r="I29" s="60" t="s">
        <v>559</v>
      </c>
      <c r="J29" s="594">
        <v>1.0779438773143473</v>
      </c>
      <c r="K29" s="595">
        <v>104584.102</v>
      </c>
      <c r="L29" s="594">
        <v>0.82714970603473503</v>
      </c>
      <c r="M29" s="596">
        <f t="shared" si="8"/>
        <v>86506.709225206738</v>
      </c>
      <c r="N29" s="33" t="s">
        <v>48</v>
      </c>
      <c r="O29" s="28" t="s">
        <v>48</v>
      </c>
      <c r="P29" s="41">
        <f t="shared" si="25"/>
        <v>43585</v>
      </c>
      <c r="Q29" s="27">
        <f t="shared" si="18"/>
        <v>151</v>
      </c>
      <c r="R29" s="1"/>
      <c r="S29" s="57">
        <f t="shared" si="10"/>
        <v>124</v>
      </c>
      <c r="T29" s="27">
        <f t="shared" si="29"/>
        <v>145</v>
      </c>
      <c r="U29" s="27">
        <f t="shared" si="29"/>
        <v>147</v>
      </c>
      <c r="V29" s="27">
        <f t="shared" si="29"/>
        <v>151</v>
      </c>
      <c r="W29" s="27">
        <f t="shared" si="29"/>
        <v>151</v>
      </c>
      <c r="X29" s="27">
        <f t="shared" si="29"/>
        <v>153</v>
      </c>
      <c r="Y29" s="474">
        <f t="shared" si="26"/>
        <v>145</v>
      </c>
      <c r="Z29" s="73">
        <f t="shared" si="27"/>
        <v>147</v>
      </c>
      <c r="AA29" s="27">
        <f t="shared" si="11"/>
        <v>151</v>
      </c>
      <c r="AB29" s="27">
        <f t="shared" si="28"/>
        <v>153</v>
      </c>
      <c r="AC29" s="51">
        <f t="shared" si="12"/>
        <v>156</v>
      </c>
      <c r="AE29" s="54">
        <v>87001.239688313755</v>
      </c>
      <c r="AF29" s="683">
        <f t="shared" si="13"/>
        <v>-5.6841772011375635E-3</v>
      </c>
      <c r="AG29" s="48">
        <f t="shared" si="22"/>
        <v>-4.78357096091786E-4</v>
      </c>
      <c r="AI29" s="50">
        <v>1.0758508599164238</v>
      </c>
      <c r="AJ29" s="643">
        <f t="shared" si="14"/>
        <v>1.9454531068423542E-3</v>
      </c>
      <c r="AL29" s="14" t="str">
        <f t="shared" si="15"/>
        <v>350K</v>
      </c>
    </row>
    <row r="30" spans="1:38" x14ac:dyDescent="0.2">
      <c r="A30" s="16">
        <f t="shared" si="23"/>
        <v>39356</v>
      </c>
      <c r="B30" s="16">
        <f t="shared" si="24"/>
        <v>39721</v>
      </c>
      <c r="C30" s="33">
        <f t="shared" si="16"/>
        <v>2008</v>
      </c>
      <c r="D30" s="33" t="str">
        <f t="shared" si="17"/>
        <v>07/08</v>
      </c>
      <c r="E30" s="14" t="str">
        <f t="shared" si="4"/>
        <v>10/1/07-9/30/08</v>
      </c>
      <c r="F30" s="17">
        <f t="shared" si="5"/>
        <v>39538.5</v>
      </c>
      <c r="G30" s="18">
        <f t="shared" si="6"/>
        <v>11</v>
      </c>
      <c r="H30" s="474">
        <v>500000</v>
      </c>
      <c r="I30" s="60" t="s">
        <v>559</v>
      </c>
      <c r="J30" s="594">
        <v>1.0673951535966342</v>
      </c>
      <c r="K30" s="595">
        <v>106050.29700000001</v>
      </c>
      <c r="L30" s="594">
        <v>0.84174442498970214</v>
      </c>
      <c r="M30" s="596">
        <f t="shared" si="8"/>
        <v>89267.246268252144</v>
      </c>
      <c r="N30" s="33" t="s">
        <v>48</v>
      </c>
      <c r="O30" s="28" t="s">
        <v>48</v>
      </c>
      <c r="P30" s="41">
        <f t="shared" si="25"/>
        <v>43585</v>
      </c>
      <c r="Q30" s="27">
        <f t="shared" si="18"/>
        <v>139</v>
      </c>
      <c r="R30" s="1"/>
      <c r="S30" s="57">
        <f t="shared" si="10"/>
        <v>112</v>
      </c>
      <c r="T30" s="27">
        <f t="shared" si="29"/>
        <v>133</v>
      </c>
      <c r="U30" s="27">
        <f t="shared" si="29"/>
        <v>135</v>
      </c>
      <c r="V30" s="27">
        <f t="shared" si="29"/>
        <v>139</v>
      </c>
      <c r="W30" s="27">
        <f t="shared" si="29"/>
        <v>139</v>
      </c>
      <c r="X30" s="27">
        <f t="shared" si="29"/>
        <v>141</v>
      </c>
      <c r="Y30" s="474">
        <f t="shared" si="26"/>
        <v>133</v>
      </c>
      <c r="Z30" s="73">
        <f t="shared" si="27"/>
        <v>135</v>
      </c>
      <c r="AA30" s="27">
        <f t="shared" si="11"/>
        <v>139</v>
      </c>
      <c r="AB30" s="27">
        <f t="shared" si="28"/>
        <v>141</v>
      </c>
      <c r="AC30" s="51">
        <f t="shared" si="12"/>
        <v>144</v>
      </c>
      <c r="AE30" s="54">
        <v>89664.656702894456</v>
      </c>
      <c r="AF30" s="683">
        <f t="shared" si="13"/>
        <v>-4.4321859833706956E-3</v>
      </c>
      <c r="AG30" s="48">
        <f t="shared" si="22"/>
        <v>3.1911247899382822E-2</v>
      </c>
      <c r="AI30" s="50">
        <v>1.0649002776293472</v>
      </c>
      <c r="AJ30" s="643">
        <f t="shared" si="14"/>
        <v>2.3428259149682606E-3</v>
      </c>
      <c r="AL30" s="14" t="str">
        <f t="shared" si="15"/>
        <v>500K</v>
      </c>
    </row>
    <row r="31" spans="1:38" x14ac:dyDescent="0.2">
      <c r="A31" s="16">
        <f t="shared" si="23"/>
        <v>39722</v>
      </c>
      <c r="B31" s="16">
        <f t="shared" si="24"/>
        <v>40086</v>
      </c>
      <c r="C31" s="33">
        <f t="shared" si="16"/>
        <v>2009</v>
      </c>
      <c r="D31" s="33" t="str">
        <f t="shared" si="17"/>
        <v>08/09</v>
      </c>
      <c r="E31" s="14" t="str">
        <f t="shared" si="4"/>
        <v>10/1/08-9/30/09</v>
      </c>
      <c r="F31" s="17">
        <f t="shared" si="5"/>
        <v>39904</v>
      </c>
      <c r="G31" s="18">
        <f t="shared" si="6"/>
        <v>10</v>
      </c>
      <c r="H31" s="474">
        <v>500000</v>
      </c>
      <c r="I31" s="60" t="s">
        <v>559</v>
      </c>
      <c r="J31" s="594">
        <v>1.0587300339527494</v>
      </c>
      <c r="K31" s="595">
        <v>110722.705</v>
      </c>
      <c r="L31" s="594">
        <v>0.84740356064125255</v>
      </c>
      <c r="M31" s="596">
        <f t="shared" si="8"/>
        <v>93826.814460831025</v>
      </c>
      <c r="N31" s="33" t="s">
        <v>48</v>
      </c>
      <c r="O31" s="28" t="s">
        <v>48</v>
      </c>
      <c r="P31" s="41">
        <f t="shared" si="25"/>
        <v>43585</v>
      </c>
      <c r="Q31" s="27">
        <f t="shared" si="18"/>
        <v>127</v>
      </c>
      <c r="R31" s="1"/>
      <c r="S31" s="57">
        <f t="shared" si="10"/>
        <v>100</v>
      </c>
      <c r="T31" s="27">
        <f t="shared" si="29"/>
        <v>121</v>
      </c>
      <c r="U31" s="27">
        <f t="shared" si="29"/>
        <v>123</v>
      </c>
      <c r="V31" s="27">
        <f t="shared" si="29"/>
        <v>127</v>
      </c>
      <c r="W31" s="27">
        <f t="shared" si="29"/>
        <v>127</v>
      </c>
      <c r="X31" s="27">
        <f t="shared" si="29"/>
        <v>129</v>
      </c>
      <c r="Y31" s="474">
        <f t="shared" si="26"/>
        <v>121</v>
      </c>
      <c r="Z31" s="73">
        <f t="shared" si="27"/>
        <v>123</v>
      </c>
      <c r="AA31" s="27">
        <f t="shared" si="11"/>
        <v>127</v>
      </c>
      <c r="AB31" s="27">
        <f t="shared" si="28"/>
        <v>129</v>
      </c>
      <c r="AC31" s="51">
        <f t="shared" si="12"/>
        <v>132</v>
      </c>
      <c r="AE31" s="54">
        <v>94213.964601326079</v>
      </c>
      <c r="AF31" s="683">
        <f t="shared" si="13"/>
        <v>-4.1092649283289706E-3</v>
      </c>
      <c r="AG31" s="48">
        <f t="shared" si="22"/>
        <v>5.1077728766015351E-2</v>
      </c>
      <c r="AI31" s="50">
        <v>1.0562144569552492</v>
      </c>
      <c r="AJ31" s="643">
        <f t="shared" si="14"/>
        <v>2.3816915030228092E-3</v>
      </c>
      <c r="AL31" s="14" t="str">
        <f t="shared" si="15"/>
        <v>500K</v>
      </c>
    </row>
    <row r="32" spans="1:38" x14ac:dyDescent="0.2">
      <c r="A32" s="16">
        <f t="shared" si="23"/>
        <v>40087</v>
      </c>
      <c r="B32" s="16">
        <f t="shared" si="24"/>
        <v>40451</v>
      </c>
      <c r="C32" s="33">
        <f t="shared" si="16"/>
        <v>2010</v>
      </c>
      <c r="D32" s="33" t="str">
        <f t="shared" si="17"/>
        <v>09/10</v>
      </c>
      <c r="E32" s="14" t="str">
        <f t="shared" si="4"/>
        <v>10/1/09-9/30/10</v>
      </c>
      <c r="F32" s="17">
        <f t="shared" si="5"/>
        <v>40269</v>
      </c>
      <c r="G32" s="18">
        <f t="shared" si="6"/>
        <v>9</v>
      </c>
      <c r="H32" s="474">
        <v>500000</v>
      </c>
      <c r="I32" s="60" t="s">
        <v>559</v>
      </c>
      <c r="J32" s="594">
        <v>1.0522219598580769</v>
      </c>
      <c r="K32" s="595">
        <v>128222.10400000001</v>
      </c>
      <c r="L32" s="594">
        <v>0.85565926747242615</v>
      </c>
      <c r="M32" s="596">
        <f t="shared" si="8"/>
        <v>109714.43158241325</v>
      </c>
      <c r="N32" s="33" t="s">
        <v>48</v>
      </c>
      <c r="O32" s="28" t="s">
        <v>48</v>
      </c>
      <c r="P32" s="41">
        <f t="shared" si="25"/>
        <v>43585</v>
      </c>
      <c r="Q32" s="27">
        <f t="shared" si="18"/>
        <v>115</v>
      </c>
      <c r="R32" s="1"/>
      <c r="S32" s="57">
        <f t="shared" si="10"/>
        <v>88</v>
      </c>
      <c r="T32" s="27">
        <f t="shared" si="29"/>
        <v>109</v>
      </c>
      <c r="U32" s="27">
        <f t="shared" si="29"/>
        <v>111</v>
      </c>
      <c r="V32" s="27">
        <f t="shared" si="29"/>
        <v>115</v>
      </c>
      <c r="W32" s="27">
        <f t="shared" si="29"/>
        <v>115</v>
      </c>
      <c r="X32" s="27">
        <f t="shared" si="29"/>
        <v>117</v>
      </c>
      <c r="Y32" s="474">
        <f t="shared" si="26"/>
        <v>109</v>
      </c>
      <c r="Z32" s="73">
        <f t="shared" si="27"/>
        <v>111</v>
      </c>
      <c r="AA32" s="27">
        <f t="shared" si="11"/>
        <v>115</v>
      </c>
      <c r="AB32" s="27">
        <f t="shared" si="28"/>
        <v>117</v>
      </c>
      <c r="AC32" s="51">
        <f t="shared" si="12"/>
        <v>120</v>
      </c>
      <c r="AE32" s="54">
        <v>110103.03635564972</v>
      </c>
      <c r="AF32" s="683">
        <f t="shared" si="13"/>
        <v>-3.5294646369352645E-3</v>
      </c>
      <c r="AG32" s="48">
        <f t="shared" si="22"/>
        <v>0.16932917538423609</v>
      </c>
      <c r="AI32" s="50">
        <v>1.0494182927178457</v>
      </c>
      <c r="AJ32" s="643">
        <f t="shared" si="14"/>
        <v>2.6716392878669559E-3</v>
      </c>
      <c r="AL32" s="14" t="str">
        <f t="shared" si="15"/>
        <v>500K</v>
      </c>
    </row>
    <row r="33" spans="1:38" x14ac:dyDescent="0.2">
      <c r="A33" s="16">
        <f t="shared" si="23"/>
        <v>40452</v>
      </c>
      <c r="B33" s="16">
        <f t="shared" si="24"/>
        <v>40816</v>
      </c>
      <c r="C33" s="33">
        <f t="shared" si="16"/>
        <v>2011</v>
      </c>
      <c r="D33" s="33" t="str">
        <f t="shared" si="17"/>
        <v>10/11</v>
      </c>
      <c r="E33" s="14" t="str">
        <f t="shared" si="4"/>
        <v>10/1/10-9/30/11</v>
      </c>
      <c r="F33" s="17">
        <f t="shared" si="5"/>
        <v>40634</v>
      </c>
      <c r="G33" s="18">
        <f t="shared" si="6"/>
        <v>8</v>
      </c>
      <c r="H33" s="474">
        <v>500000</v>
      </c>
      <c r="I33" s="60" t="s">
        <v>559</v>
      </c>
      <c r="J33" s="594">
        <v>1.0474460237870546</v>
      </c>
      <c r="K33" s="595">
        <v>143214.37400000001</v>
      </c>
      <c r="L33" s="594">
        <v>0.84809073426823689</v>
      </c>
      <c r="M33" s="596">
        <f t="shared" si="8"/>
        <v>121458.78360342591</v>
      </c>
      <c r="N33" s="33" t="s">
        <v>49</v>
      </c>
      <c r="O33" s="28" t="s">
        <v>49</v>
      </c>
      <c r="P33" s="41">
        <f t="shared" si="25"/>
        <v>43585</v>
      </c>
      <c r="Q33" s="27">
        <f t="shared" si="18"/>
        <v>103</v>
      </c>
      <c r="R33" s="1"/>
      <c r="S33" s="57">
        <f t="shared" si="10"/>
        <v>76</v>
      </c>
      <c r="T33" s="27">
        <f t="shared" si="29"/>
        <v>97</v>
      </c>
      <c r="U33" s="27">
        <f t="shared" si="29"/>
        <v>99</v>
      </c>
      <c r="V33" s="27">
        <f t="shared" si="29"/>
        <v>103</v>
      </c>
      <c r="W33" s="27">
        <f t="shared" si="29"/>
        <v>103</v>
      </c>
      <c r="X33" s="27">
        <f t="shared" si="29"/>
        <v>105</v>
      </c>
      <c r="Y33" s="474">
        <f t="shared" si="26"/>
        <v>97</v>
      </c>
      <c r="Z33" s="73">
        <f t="shared" si="27"/>
        <v>99</v>
      </c>
      <c r="AA33" s="27">
        <f t="shared" si="11"/>
        <v>103</v>
      </c>
      <c r="AB33" s="27">
        <f t="shared" si="28"/>
        <v>105</v>
      </c>
      <c r="AC33" s="51">
        <f t="shared" si="12"/>
        <v>108</v>
      </c>
      <c r="AE33" s="54">
        <v>122041.03862555276</v>
      </c>
      <c r="AF33" s="683">
        <f t="shared" si="13"/>
        <v>-4.7709772768594894E-3</v>
      </c>
      <c r="AG33" s="48">
        <f t="shared" si="22"/>
        <v>0.10704473287263716</v>
      </c>
      <c r="AI33" s="50">
        <v>1.0444324030199925</v>
      </c>
      <c r="AJ33" s="643">
        <f t="shared" si="14"/>
        <v>2.8854148515002898E-3</v>
      </c>
      <c r="AL33" s="14" t="str">
        <f t="shared" si="15"/>
        <v>500K</v>
      </c>
    </row>
    <row r="34" spans="1:38" x14ac:dyDescent="0.2">
      <c r="A34" s="16">
        <f t="shared" si="23"/>
        <v>40817</v>
      </c>
      <c r="B34" s="16">
        <f t="shared" si="24"/>
        <v>41182</v>
      </c>
      <c r="C34" s="33">
        <f t="shared" si="16"/>
        <v>2012</v>
      </c>
      <c r="D34" s="33" t="str">
        <f t="shared" si="17"/>
        <v>11/12</v>
      </c>
      <c r="E34" s="14" t="str">
        <f t="shared" si="4"/>
        <v>10/1/11-9/30/12</v>
      </c>
      <c r="F34" s="17">
        <f t="shared" si="5"/>
        <v>40999.5</v>
      </c>
      <c r="G34" s="18">
        <f t="shared" si="6"/>
        <v>7</v>
      </c>
      <c r="H34" s="474">
        <v>500000</v>
      </c>
      <c r="I34" s="60" t="s">
        <v>559</v>
      </c>
      <c r="J34" s="594">
        <v>1.0451717334298189</v>
      </c>
      <c r="K34" s="595">
        <v>145569.85699999999</v>
      </c>
      <c r="L34" s="594">
        <v>0.82949789894567727</v>
      </c>
      <c r="M34" s="596">
        <f t="shared" si="8"/>
        <v>120749.89053132269</v>
      </c>
      <c r="N34" s="33" t="s">
        <v>49</v>
      </c>
      <c r="O34" s="28" t="s">
        <v>49</v>
      </c>
      <c r="P34" s="41">
        <f t="shared" si="25"/>
        <v>43585</v>
      </c>
      <c r="Q34" s="27">
        <f t="shared" si="18"/>
        <v>91</v>
      </c>
      <c r="R34" s="1"/>
      <c r="S34" s="57">
        <f t="shared" ref="S34:S39" si="30">ROUND((S$17-$F34)/365.25*12, 0) + 6</f>
        <v>64</v>
      </c>
      <c r="T34" s="27">
        <f t="shared" si="29"/>
        <v>85</v>
      </c>
      <c r="U34" s="27">
        <f t="shared" si="29"/>
        <v>87</v>
      </c>
      <c r="V34" s="27">
        <f t="shared" si="29"/>
        <v>91</v>
      </c>
      <c r="W34" s="27">
        <f t="shared" si="29"/>
        <v>91</v>
      </c>
      <c r="X34" s="27">
        <f t="shared" si="29"/>
        <v>93</v>
      </c>
      <c r="Y34" s="474">
        <f t="shared" si="26"/>
        <v>85</v>
      </c>
      <c r="Z34" s="73">
        <f t="shared" si="27"/>
        <v>87</v>
      </c>
      <c r="AA34" s="27">
        <f t="shared" si="11"/>
        <v>91</v>
      </c>
      <c r="AB34" s="27">
        <f t="shared" si="28"/>
        <v>93</v>
      </c>
      <c r="AC34" s="51">
        <f t="shared" si="12"/>
        <v>96</v>
      </c>
      <c r="AE34" s="54">
        <v>121144.49274678643</v>
      </c>
      <c r="AF34" s="683">
        <f t="shared" si="13"/>
        <v>-3.2572856307099274E-3</v>
      </c>
      <c r="AG34" s="48">
        <f t="shared" si="22"/>
        <v>-5.8364907919531417E-3</v>
      </c>
      <c r="AI34" s="50">
        <v>1.0420622340941306</v>
      </c>
      <c r="AJ34" s="643">
        <f t="shared" si="14"/>
        <v>2.9839862092224667E-3</v>
      </c>
      <c r="AL34" s="14" t="str">
        <f t="shared" si="15"/>
        <v>500K</v>
      </c>
    </row>
    <row r="35" spans="1:38" x14ac:dyDescent="0.2">
      <c r="A35" s="16">
        <f t="shared" si="23"/>
        <v>41183</v>
      </c>
      <c r="B35" s="16">
        <f t="shared" si="24"/>
        <v>41547</v>
      </c>
      <c r="C35" s="33">
        <f t="shared" si="16"/>
        <v>2013</v>
      </c>
      <c r="D35" s="33" t="str">
        <f t="shared" si="17"/>
        <v>12/13</v>
      </c>
      <c r="E35" s="14" t="str">
        <f t="shared" si="4"/>
        <v>10/1/12-9/30/13</v>
      </c>
      <c r="F35" s="17">
        <f t="shared" si="5"/>
        <v>41365</v>
      </c>
      <c r="G35" s="18">
        <f t="shared" si="6"/>
        <v>6</v>
      </c>
      <c r="H35" s="474">
        <v>500000</v>
      </c>
      <c r="I35" s="60" t="s">
        <v>559</v>
      </c>
      <c r="J35" s="594">
        <v>1.0424066175137374</v>
      </c>
      <c r="K35" s="595">
        <v>157968.50285000002</v>
      </c>
      <c r="L35" s="594">
        <v>0.89214561352770161</v>
      </c>
      <c r="M35" s="596">
        <f t="shared" si="8"/>
        <v>140930.90689316575</v>
      </c>
      <c r="N35" s="33" t="s">
        <v>49</v>
      </c>
      <c r="O35" s="28" t="s">
        <v>49</v>
      </c>
      <c r="P35" s="41">
        <f t="shared" si="25"/>
        <v>43585</v>
      </c>
      <c r="Q35" s="27">
        <f t="shared" si="18"/>
        <v>79</v>
      </c>
      <c r="R35" s="1"/>
      <c r="S35" s="57">
        <f t="shared" si="30"/>
        <v>52</v>
      </c>
      <c r="T35" s="27">
        <f t="shared" si="29"/>
        <v>73</v>
      </c>
      <c r="U35" s="27">
        <f t="shared" si="29"/>
        <v>75</v>
      </c>
      <c r="V35" s="27">
        <f t="shared" si="29"/>
        <v>79</v>
      </c>
      <c r="W35" s="27">
        <f t="shared" si="29"/>
        <v>79</v>
      </c>
      <c r="X35" s="27">
        <f t="shared" si="29"/>
        <v>81</v>
      </c>
      <c r="Y35" s="474">
        <f t="shared" si="26"/>
        <v>73</v>
      </c>
      <c r="Z35" s="73">
        <f t="shared" si="27"/>
        <v>75</v>
      </c>
      <c r="AA35" s="27">
        <f t="shared" si="11"/>
        <v>79</v>
      </c>
      <c r="AB35" s="27">
        <f t="shared" si="28"/>
        <v>81</v>
      </c>
      <c r="AC35" s="51">
        <f t="shared" si="12"/>
        <v>84</v>
      </c>
      <c r="AE35" s="54">
        <v>141681.20578008506</v>
      </c>
      <c r="AF35" s="683">
        <f t="shared" si="13"/>
        <v>-5.2956839461396621E-3</v>
      </c>
      <c r="AG35" s="48">
        <f t="shared" si="22"/>
        <v>0.16713072180059729</v>
      </c>
      <c r="AI35" s="50">
        <v>1.0393982169034048</v>
      </c>
      <c r="AJ35" s="643">
        <f t="shared" si="14"/>
        <v>2.8943676845003541E-3</v>
      </c>
      <c r="AL35" s="14" t="str">
        <f t="shared" si="15"/>
        <v>500K</v>
      </c>
    </row>
    <row r="36" spans="1:38" x14ac:dyDescent="0.2">
      <c r="A36" s="16">
        <f t="shared" si="23"/>
        <v>41548</v>
      </c>
      <c r="B36" s="16">
        <f t="shared" si="24"/>
        <v>41912</v>
      </c>
      <c r="C36" s="33">
        <f t="shared" si="16"/>
        <v>2014</v>
      </c>
      <c r="D36" s="33" t="str">
        <f t="shared" si="17"/>
        <v>13/14</v>
      </c>
      <c r="E36" s="14" t="str">
        <f t="shared" si="4"/>
        <v>10/1/13-9/30/14</v>
      </c>
      <c r="F36" s="17">
        <f t="shared" si="5"/>
        <v>41730</v>
      </c>
      <c r="G36" s="18">
        <f t="shared" si="6"/>
        <v>5</v>
      </c>
      <c r="H36" s="474">
        <v>500000</v>
      </c>
      <c r="I36" s="60" t="s">
        <v>559</v>
      </c>
      <c r="J36" s="594">
        <v>1.0412119709838517</v>
      </c>
      <c r="K36" s="595">
        <v>182546.24444841431</v>
      </c>
      <c r="L36" s="594">
        <v>0.93609121355209535</v>
      </c>
      <c r="M36" s="596">
        <f t="shared" si="8"/>
        <v>170879.93549509358</v>
      </c>
      <c r="N36" s="33" t="s">
        <v>50</v>
      </c>
      <c r="O36" s="642" t="s">
        <v>52</v>
      </c>
      <c r="P36" s="41">
        <f t="shared" si="25"/>
        <v>43585</v>
      </c>
      <c r="Q36" s="27">
        <f t="shared" si="18"/>
        <v>67</v>
      </c>
      <c r="R36" s="1"/>
      <c r="S36" s="57">
        <f t="shared" si="30"/>
        <v>40</v>
      </c>
      <c r="T36" s="27">
        <f t="shared" si="29"/>
        <v>61</v>
      </c>
      <c r="U36" s="27">
        <f t="shared" si="29"/>
        <v>63</v>
      </c>
      <c r="V36" s="27">
        <f t="shared" si="29"/>
        <v>67</v>
      </c>
      <c r="W36" s="27">
        <f t="shared" si="29"/>
        <v>67</v>
      </c>
      <c r="X36" s="27">
        <f t="shared" si="29"/>
        <v>69</v>
      </c>
      <c r="Y36" s="474">
        <f t="shared" si="26"/>
        <v>61</v>
      </c>
      <c r="Z36" s="73">
        <f t="shared" si="27"/>
        <v>63</v>
      </c>
      <c r="AA36" s="27">
        <f t="shared" si="11"/>
        <v>67</v>
      </c>
      <c r="AB36" s="27">
        <f t="shared" si="28"/>
        <v>69</v>
      </c>
      <c r="AC36" s="51">
        <f t="shared" si="12"/>
        <v>72</v>
      </c>
      <c r="AE36" s="54">
        <v>171928.93005375151</v>
      </c>
      <c r="AF36" s="683">
        <f t="shared" si="13"/>
        <v>-6.101326625658432E-3</v>
      </c>
      <c r="AG36" s="48">
        <f t="shared" si="22"/>
        <v>0.21250859206228645</v>
      </c>
      <c r="AI36" s="50">
        <v>1.0382352575961824</v>
      </c>
      <c r="AJ36" s="643">
        <f t="shared" si="14"/>
        <v>2.8670894827451665E-3</v>
      </c>
      <c r="AL36" s="14" t="str">
        <f t="shared" si="15"/>
        <v>500K</v>
      </c>
    </row>
    <row r="37" spans="1:38" x14ac:dyDescent="0.2">
      <c r="A37" s="16">
        <f t="shared" si="23"/>
        <v>41913</v>
      </c>
      <c r="B37" s="16">
        <f t="shared" si="24"/>
        <v>42277</v>
      </c>
      <c r="C37" s="33">
        <f t="shared" si="16"/>
        <v>2015</v>
      </c>
      <c r="D37" s="33" t="str">
        <f t="shared" si="17"/>
        <v>14/15</v>
      </c>
      <c r="E37" s="14" t="str">
        <f t="shared" si="4"/>
        <v>10/1/14-9/30/15</v>
      </c>
      <c r="F37" s="17">
        <f t="shared" si="5"/>
        <v>42095</v>
      </c>
      <c r="G37" s="18">
        <f t="shared" si="6"/>
        <v>4</v>
      </c>
      <c r="H37" s="474">
        <v>500000</v>
      </c>
      <c r="I37" s="60" t="s">
        <v>559</v>
      </c>
      <c r="J37" s="594">
        <v>1.0428069267716835</v>
      </c>
      <c r="K37" s="595">
        <v>196912.10476000005</v>
      </c>
      <c r="L37" s="594">
        <v>0.91648703979937651</v>
      </c>
      <c r="M37" s="596">
        <f t="shared" si="8"/>
        <v>180467.39199215715</v>
      </c>
      <c r="N37" s="33" t="s">
        <v>50</v>
      </c>
      <c r="O37" s="642" t="s">
        <v>52</v>
      </c>
      <c r="P37" s="41">
        <f t="shared" si="25"/>
        <v>43585</v>
      </c>
      <c r="Q37" s="27">
        <f t="shared" si="18"/>
        <v>55</v>
      </c>
      <c r="R37" s="1"/>
      <c r="S37" s="57">
        <f t="shared" si="30"/>
        <v>28</v>
      </c>
      <c r="T37" s="27">
        <f t="shared" si="29"/>
        <v>49</v>
      </c>
      <c r="U37" s="27">
        <f t="shared" si="29"/>
        <v>51</v>
      </c>
      <c r="V37" s="27">
        <f t="shared" si="29"/>
        <v>55</v>
      </c>
      <c r="W37" s="27">
        <f t="shared" si="29"/>
        <v>55</v>
      </c>
      <c r="X37" s="27">
        <f t="shared" si="29"/>
        <v>57</v>
      </c>
      <c r="Y37" s="474">
        <f t="shared" si="26"/>
        <v>49</v>
      </c>
      <c r="Z37" s="73">
        <f t="shared" si="27"/>
        <v>51</v>
      </c>
      <c r="AA37" s="27">
        <f t="shared" si="11"/>
        <v>55</v>
      </c>
      <c r="AB37" s="27">
        <f t="shared" si="28"/>
        <v>57</v>
      </c>
      <c r="AC37" s="51">
        <f t="shared" si="12"/>
        <v>60</v>
      </c>
      <c r="AE37" s="54">
        <v>181131.57820312283</v>
      </c>
      <c r="AF37" s="683">
        <f t="shared" si="13"/>
        <v>-3.6668714398372382E-3</v>
      </c>
      <c r="AG37" s="48">
        <f t="shared" si="22"/>
        <v>5.6106391129453925E-2</v>
      </c>
      <c r="AI37" s="50">
        <v>1.0399795204902651</v>
      </c>
      <c r="AJ37" s="643">
        <f t="shared" si="14"/>
        <v>2.7187134224389009E-3</v>
      </c>
      <c r="AL37" s="14" t="str">
        <f t="shared" si="15"/>
        <v>500K</v>
      </c>
    </row>
    <row r="38" spans="1:38" x14ac:dyDescent="0.2">
      <c r="A38" s="16">
        <f t="shared" si="23"/>
        <v>42278</v>
      </c>
      <c r="B38" s="16">
        <f t="shared" si="24"/>
        <v>42643</v>
      </c>
      <c r="C38" s="33">
        <f t="shared" si="16"/>
        <v>2016</v>
      </c>
      <c r="D38" s="33" t="str">
        <f t="shared" si="17"/>
        <v>15/16</v>
      </c>
      <c r="E38" s="14" t="str">
        <f t="shared" si="4"/>
        <v>10/1/15-9/30/16</v>
      </c>
      <c r="F38" s="17">
        <f t="shared" si="5"/>
        <v>42460.5</v>
      </c>
      <c r="G38" s="18">
        <f t="shared" si="6"/>
        <v>3</v>
      </c>
      <c r="H38" s="474">
        <v>750000</v>
      </c>
      <c r="I38" s="60" t="s">
        <v>559</v>
      </c>
      <c r="J38" s="594">
        <v>1.0342758961601715</v>
      </c>
      <c r="K38" s="595">
        <v>221894.58274919298</v>
      </c>
      <c r="L38" s="594">
        <v>0.92696847191952003</v>
      </c>
      <c r="M38" s="596">
        <f t="shared" si="8"/>
        <v>205689.28229823892</v>
      </c>
      <c r="N38" s="33" t="s">
        <v>51</v>
      </c>
      <c r="O38" s="28" t="s">
        <v>52</v>
      </c>
      <c r="P38" s="41">
        <f t="shared" si="25"/>
        <v>43585</v>
      </c>
      <c r="Q38" s="27">
        <f t="shared" si="18"/>
        <v>43</v>
      </c>
      <c r="R38" s="1"/>
      <c r="S38" s="57">
        <f t="shared" si="30"/>
        <v>16</v>
      </c>
      <c r="T38" s="27">
        <f t="shared" si="29"/>
        <v>37</v>
      </c>
      <c r="U38" s="27">
        <f t="shared" si="29"/>
        <v>39</v>
      </c>
      <c r="V38" s="27">
        <f t="shared" si="29"/>
        <v>43</v>
      </c>
      <c r="W38" s="27">
        <f t="shared" si="29"/>
        <v>43</v>
      </c>
      <c r="X38" s="27">
        <f t="shared" si="29"/>
        <v>45</v>
      </c>
      <c r="Y38" s="474">
        <f t="shared" si="26"/>
        <v>37</v>
      </c>
      <c r="Z38" s="73">
        <f t="shared" si="27"/>
        <v>39</v>
      </c>
      <c r="AA38" s="27">
        <f t="shared" si="11"/>
        <v>43</v>
      </c>
      <c r="AB38" s="27">
        <f t="shared" si="28"/>
        <v>45</v>
      </c>
      <c r="AC38" s="51">
        <f t="shared" si="12"/>
        <v>48</v>
      </c>
      <c r="AE38" s="54">
        <v>205257.96599270284</v>
      </c>
      <c r="AF38" s="683">
        <f t="shared" si="13"/>
        <v>2.1013377164198488E-3</v>
      </c>
      <c r="AG38" s="48">
        <f t="shared" si="22"/>
        <v>0.13975871223970415</v>
      </c>
      <c r="AI38" s="50">
        <v>1.0318135211939297</v>
      </c>
      <c r="AJ38" s="643">
        <f t="shared" si="14"/>
        <v>2.3864534779429736E-3</v>
      </c>
      <c r="AL38" s="14" t="str">
        <f t="shared" si="15"/>
        <v>750K</v>
      </c>
    </row>
    <row r="39" spans="1:38" x14ac:dyDescent="0.2">
      <c r="A39" s="16">
        <f t="shared" si="23"/>
        <v>42644</v>
      </c>
      <c r="B39" s="16">
        <f t="shared" si="24"/>
        <v>43008</v>
      </c>
      <c r="C39" s="33">
        <f t="shared" si="16"/>
        <v>2017</v>
      </c>
      <c r="D39" s="33" t="str">
        <f t="shared" si="17"/>
        <v>16/17</v>
      </c>
      <c r="E39" s="14" t="str">
        <f t="shared" si="4"/>
        <v>10/1/16-9/30/17</v>
      </c>
      <c r="F39" s="17">
        <f t="shared" si="5"/>
        <v>42826</v>
      </c>
      <c r="G39" s="18">
        <f t="shared" si="6"/>
        <v>2</v>
      </c>
      <c r="H39" s="474">
        <v>750000</v>
      </c>
      <c r="I39" s="60" t="s">
        <v>559</v>
      </c>
      <c r="J39" s="594">
        <v>1.0165895076831004</v>
      </c>
      <c r="K39" s="595">
        <v>307509.66981400014</v>
      </c>
      <c r="L39" s="594">
        <v>0.80226943072853818</v>
      </c>
      <c r="M39" s="596">
        <f t="shared" si="8"/>
        <v>246705.60774519862</v>
      </c>
      <c r="N39" s="33" t="s">
        <v>51</v>
      </c>
      <c r="O39" s="28" t="s">
        <v>52</v>
      </c>
      <c r="P39" s="41">
        <f t="shared" si="25"/>
        <v>43585</v>
      </c>
      <c r="Q39" s="27">
        <f t="shared" si="18"/>
        <v>31</v>
      </c>
      <c r="R39" s="1"/>
      <c r="S39" s="57">
        <f t="shared" si="30"/>
        <v>4</v>
      </c>
      <c r="T39" s="27">
        <f t="shared" si="29"/>
        <v>25</v>
      </c>
      <c r="U39" s="27">
        <f t="shared" si="29"/>
        <v>27</v>
      </c>
      <c r="V39" s="27">
        <f t="shared" si="29"/>
        <v>31</v>
      </c>
      <c r="W39" s="27">
        <f t="shared" si="29"/>
        <v>31</v>
      </c>
      <c r="X39" s="27">
        <f t="shared" si="29"/>
        <v>33</v>
      </c>
      <c r="Y39" s="474">
        <f t="shared" si="26"/>
        <v>25</v>
      </c>
      <c r="Z39" s="73">
        <f t="shared" si="27"/>
        <v>27</v>
      </c>
      <c r="AA39" s="27">
        <f t="shared" si="11"/>
        <v>31</v>
      </c>
      <c r="AB39" s="27">
        <f t="shared" si="28"/>
        <v>33</v>
      </c>
      <c r="AC39" s="51">
        <f t="shared" si="12"/>
        <v>36</v>
      </c>
      <c r="AE39" s="54">
        <v>248470.50241145573</v>
      </c>
      <c r="AF39" s="683">
        <f t="shared" si="13"/>
        <v>-7.1030349644262136E-3</v>
      </c>
      <c r="AG39" s="48">
        <f t="shared" si="22"/>
        <v>0.19940915242967372</v>
      </c>
      <c r="AI39" s="50">
        <v>1.0150949936145568</v>
      </c>
      <c r="AJ39" s="643">
        <f t="shared" si="14"/>
        <v>1.4722898624708325E-3</v>
      </c>
      <c r="AL39" s="14" t="str">
        <f t="shared" si="15"/>
        <v>750K</v>
      </c>
    </row>
    <row r="40" spans="1:38" x14ac:dyDescent="0.2">
      <c r="A40" s="16">
        <f t="shared" si="23"/>
        <v>43009</v>
      </c>
      <c r="B40" s="16">
        <f t="shared" si="24"/>
        <v>43373</v>
      </c>
      <c r="C40" s="33">
        <f t="shared" si="16"/>
        <v>2018</v>
      </c>
      <c r="D40" s="33" t="str">
        <f t="shared" si="17"/>
        <v>17/18</v>
      </c>
      <c r="E40" s="14" t="str">
        <f>TEXT(A40, "m/d/yy")&amp;"-"&amp;TEXT(B40, "m/d/yy")</f>
        <v>10/1/17-9/30/18</v>
      </c>
      <c r="F40" s="17">
        <f t="shared" si="5"/>
        <v>43191</v>
      </c>
      <c r="G40" s="18">
        <f t="shared" si="6"/>
        <v>1</v>
      </c>
      <c r="H40" s="474">
        <v>500000</v>
      </c>
      <c r="I40" s="60" t="s">
        <v>559</v>
      </c>
      <c r="J40" s="594">
        <v>1.0000032636733147</v>
      </c>
      <c r="K40" s="595">
        <v>536896.27333</v>
      </c>
      <c r="L40" s="594">
        <v>1.018452231841392</v>
      </c>
      <c r="M40" s="596">
        <f t="shared" si="8"/>
        <v>546803.20784026454</v>
      </c>
      <c r="N40" s="641" t="s">
        <v>51</v>
      </c>
      <c r="O40" s="28" t="s">
        <v>52</v>
      </c>
      <c r="P40" s="41">
        <f t="shared" si="25"/>
        <v>43585</v>
      </c>
      <c r="Q40" s="27">
        <f t="shared" si="18"/>
        <v>19</v>
      </c>
      <c r="R40" s="1"/>
      <c r="S40" s="57"/>
      <c r="T40" s="27">
        <f t="shared" si="29"/>
        <v>13</v>
      </c>
      <c r="U40" s="27">
        <f t="shared" si="29"/>
        <v>15</v>
      </c>
      <c r="V40" s="27">
        <f t="shared" si="29"/>
        <v>19</v>
      </c>
      <c r="W40" s="27">
        <f t="shared" si="29"/>
        <v>19</v>
      </c>
      <c r="X40" s="27">
        <f t="shared" si="29"/>
        <v>21</v>
      </c>
      <c r="Y40" s="474">
        <f t="shared" si="26"/>
        <v>13</v>
      </c>
      <c r="Z40" s="73">
        <f t="shared" si="27"/>
        <v>15</v>
      </c>
      <c r="AA40" s="27">
        <f t="shared" si="11"/>
        <v>19</v>
      </c>
      <c r="AB40" s="27">
        <f t="shared" si="28"/>
        <v>21</v>
      </c>
      <c r="AC40" s="51">
        <f t="shared" si="12"/>
        <v>24</v>
      </c>
      <c r="AE40" s="54">
        <v>536896.27333000011</v>
      </c>
      <c r="AF40" s="683">
        <f t="shared" si="13"/>
        <v>1.8452231841391775E-2</v>
      </c>
      <c r="AG40" s="48">
        <f t="shared" si="22"/>
        <v>1.2164198570022426</v>
      </c>
      <c r="AI40" s="50">
        <v>1.000003904682965</v>
      </c>
      <c r="AJ40" s="48">
        <f t="shared" si="14"/>
        <v>-6.4100714736170517E-7</v>
      </c>
      <c r="AL40" s="14" t="str">
        <f t="shared" si="15"/>
        <v>500K</v>
      </c>
    </row>
    <row r="41" spans="1:38" x14ac:dyDescent="0.2">
      <c r="A41" s="16">
        <f t="shared" ref="A41:A42" si="31">B40+1</f>
        <v>43374</v>
      </c>
      <c r="B41" s="16">
        <f t="shared" ref="B41:B42" si="32">EOMONTH(A41, 11)</f>
        <v>43738</v>
      </c>
      <c r="C41" s="33">
        <f t="shared" ref="C41:C42" si="33">YEAR(B41)</f>
        <v>2019</v>
      </c>
      <c r="D41" s="33" t="str">
        <f t="shared" ref="D41:D42" si="34">TEXT(A41, "yy")&amp;"/"&amp;TEXT(B41,"yy")</f>
        <v>18/19</v>
      </c>
      <c r="E41" s="14" t="str">
        <f t="shared" ref="E41:E42" si="35">TEXT(A41, "m/d/yy")&amp;"-"&amp;TEXT(B41, "m/d/yy")</f>
        <v>10/1/18-9/30/19</v>
      </c>
      <c r="F41" s="17">
        <f t="shared" ref="F41:F42" si="36">AVERAGE(A41:B41)</f>
        <v>43556</v>
      </c>
      <c r="G41" s="18">
        <f t="shared" ref="G41:G42" si="37">ROUND(($F$47 - F41) /365.25, 0)</f>
        <v>0</v>
      </c>
      <c r="H41" s="681">
        <v>500000</v>
      </c>
      <c r="I41" s="60" t="s">
        <v>559</v>
      </c>
      <c r="J41" s="594">
        <v>1</v>
      </c>
      <c r="K41" s="682">
        <v>543133.22666000458</v>
      </c>
      <c r="L41" s="594">
        <v>1</v>
      </c>
      <c r="M41" s="596">
        <f t="shared" si="8"/>
        <v>543133.22666000458</v>
      </c>
      <c r="N41" s="641" t="s">
        <v>51</v>
      </c>
      <c r="O41" s="28" t="s">
        <v>52</v>
      </c>
      <c r="P41" s="41">
        <f t="shared" si="25"/>
        <v>43585</v>
      </c>
      <c r="Q41" s="27">
        <f t="shared" si="18"/>
        <v>7</v>
      </c>
      <c r="R41" s="1"/>
      <c r="S41" s="57"/>
      <c r="T41" s="27">
        <f t="shared" si="29"/>
        <v>1</v>
      </c>
      <c r="U41" s="27">
        <f t="shared" si="29"/>
        <v>3</v>
      </c>
      <c r="V41" s="27">
        <f t="shared" si="29"/>
        <v>7</v>
      </c>
      <c r="W41" s="27">
        <f t="shared" si="29"/>
        <v>7</v>
      </c>
      <c r="X41" s="27">
        <f t="shared" si="29"/>
        <v>9</v>
      </c>
      <c r="Y41" s="474">
        <f t="shared" si="26"/>
        <v>1</v>
      </c>
      <c r="Z41" s="73">
        <f t="shared" si="27"/>
        <v>3</v>
      </c>
      <c r="AA41" s="27">
        <f t="shared" ref="AA41" si="38">Q41</f>
        <v>7</v>
      </c>
      <c r="AB41" s="27">
        <f t="shared" ref="AB41" si="39">X41</f>
        <v>9</v>
      </c>
      <c r="AC41" s="56">
        <f>$U$2</f>
        <v>12</v>
      </c>
      <c r="AE41" s="54">
        <v>553003.16152990004</v>
      </c>
      <c r="AF41" s="683">
        <f t="shared" si="13"/>
        <v>-1.7847881452594194E-2</v>
      </c>
      <c r="AG41" s="48">
        <f t="shared" si="22"/>
        <v>-6.7117038225790182E-3</v>
      </c>
      <c r="AI41" s="50">
        <v>1</v>
      </c>
      <c r="AJ41" s="48">
        <f t="shared" si="14"/>
        <v>0</v>
      </c>
      <c r="AL41" s="14" t="str">
        <f t="shared" si="15"/>
        <v>500K</v>
      </c>
    </row>
    <row r="42" spans="1:38" x14ac:dyDescent="0.2">
      <c r="A42" s="16">
        <f t="shared" si="31"/>
        <v>43739</v>
      </c>
      <c r="B42" s="16">
        <f t="shared" si="32"/>
        <v>44104</v>
      </c>
      <c r="C42" s="33">
        <f t="shared" si="33"/>
        <v>2020</v>
      </c>
      <c r="D42" s="33" t="str">
        <f t="shared" si="34"/>
        <v>19/20</v>
      </c>
      <c r="E42" s="14" t="str">
        <f t="shared" si="35"/>
        <v>10/1/19-9/30/20</v>
      </c>
      <c r="F42" s="17">
        <f t="shared" si="36"/>
        <v>43921.5</v>
      </c>
      <c r="G42" s="18">
        <f t="shared" si="37"/>
        <v>-1</v>
      </c>
      <c r="H42" s="592">
        <f>H41</f>
        <v>500000</v>
      </c>
      <c r="I42" s="60" t="s">
        <v>559</v>
      </c>
      <c r="J42" s="640">
        <f>J41</f>
        <v>1</v>
      </c>
      <c r="K42" s="637">
        <f>K41*1.03</f>
        <v>559427.22345980478</v>
      </c>
      <c r="L42" s="594">
        <v>1.0000000000000004</v>
      </c>
      <c r="M42" s="596">
        <f t="shared" si="8"/>
        <v>559427.22345980501</v>
      </c>
      <c r="N42" s="34" t="s">
        <v>51</v>
      </c>
      <c r="O42" s="29" t="s">
        <v>52</v>
      </c>
      <c r="P42" s="41">
        <f t="shared" si="25"/>
        <v>43585</v>
      </c>
      <c r="Q42" s="27"/>
      <c r="R42" s="1"/>
      <c r="S42" s="58"/>
      <c r="T42" s="478"/>
      <c r="U42" s="478"/>
      <c r="V42" s="478"/>
      <c r="W42" s="478"/>
      <c r="X42" s="478"/>
      <c r="Y42" s="478"/>
      <c r="Z42" s="478"/>
      <c r="AA42" s="478"/>
      <c r="AB42" s="478"/>
      <c r="AC42" s="20"/>
      <c r="AE42" s="54"/>
      <c r="AF42" s="643"/>
      <c r="AG42" s="48">
        <f t="shared" si="22"/>
        <v>3.0000000000000471E-2</v>
      </c>
      <c r="AI42" s="50"/>
      <c r="AJ42" s="48"/>
      <c r="AL42" s="14" t="str">
        <f t="shared" si="15"/>
        <v>500K</v>
      </c>
    </row>
    <row r="43" spans="1:38" x14ac:dyDescent="0.2">
      <c r="A43" s="15"/>
      <c r="B43" s="16"/>
      <c r="C43" s="5"/>
      <c r="D43" s="5"/>
      <c r="F43" s="5"/>
      <c r="G43" s="5"/>
      <c r="S43" s="59">
        <f t="shared" ref="S43:AC43" si="40">1 - MIN(S$18:S$42) / 12</f>
        <v>0.66666666666666674</v>
      </c>
      <c r="T43" s="59">
        <f t="shared" si="40"/>
        <v>0.91666666666666663</v>
      </c>
      <c r="U43" s="59">
        <f t="shared" si="40"/>
        <v>0.75</v>
      </c>
      <c r="V43" s="59">
        <f t="shared" si="40"/>
        <v>0.41666666666666663</v>
      </c>
      <c r="W43" s="59">
        <f t="shared" si="40"/>
        <v>0.41666666666666663</v>
      </c>
      <c r="X43" s="59">
        <f t="shared" si="40"/>
        <v>0.25</v>
      </c>
      <c r="Y43" s="59">
        <f t="shared" si="40"/>
        <v>0.91666666666666663</v>
      </c>
      <c r="Z43" s="59">
        <f t="shared" si="40"/>
        <v>0.75</v>
      </c>
      <c r="AA43" s="59">
        <f t="shared" si="40"/>
        <v>0.41666666666666663</v>
      </c>
      <c r="AB43" s="59">
        <f t="shared" si="40"/>
        <v>0.25</v>
      </c>
      <c r="AC43" s="59">
        <f t="shared" si="40"/>
        <v>0</v>
      </c>
      <c r="AF43" s="5"/>
    </row>
    <row r="44" spans="1:38" x14ac:dyDescent="0.2">
      <c r="A44" s="16"/>
      <c r="B44" s="16"/>
      <c r="C44" s="5"/>
      <c r="D44" s="5"/>
      <c r="F44" s="5"/>
      <c r="G44" s="5"/>
      <c r="J44" s="3" t="s">
        <v>78</v>
      </c>
      <c r="K44" s="85">
        <f>SUM(K18:K42)</f>
        <v>4456057.4640014172</v>
      </c>
      <c r="M44" s="85">
        <f>SUM(M18:M42)</f>
        <v>4004634.1662742062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F44" s="5"/>
    </row>
    <row r="45" spans="1:38" x14ac:dyDescent="0.2">
      <c r="A45" s="16"/>
      <c r="B45" s="16"/>
      <c r="C45" s="5"/>
      <c r="D45" s="5"/>
      <c r="F45" s="5"/>
      <c r="G45" s="5"/>
      <c r="J45" s="1" t="str">
        <f>"Excl. "&amp;D42</f>
        <v>Excl. 19/20</v>
      </c>
      <c r="K45" s="85">
        <f>K44-K42</f>
        <v>3896630.2405416123</v>
      </c>
      <c r="M45" s="85">
        <f>M44-M42</f>
        <v>3445206.9428144014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E45" s="85"/>
      <c r="AF45" s="687"/>
    </row>
    <row r="46" spans="1:38" x14ac:dyDescent="0.2">
      <c r="A46" s="4" t="s">
        <v>67</v>
      </c>
      <c r="L46" s="1"/>
      <c r="R46" s="1"/>
      <c r="T46" s="3" t="s">
        <v>815</v>
      </c>
    </row>
    <row r="47" spans="1:38" x14ac:dyDescent="0.2">
      <c r="A47" s="74">
        <f t="shared" ref="A47:Q47" si="41">VLOOKUP(curr, $A$18:$Q$42, COLUMN())</f>
        <v>43374</v>
      </c>
      <c r="B47" s="55">
        <f t="shared" si="41"/>
        <v>43738</v>
      </c>
      <c r="C47" s="66">
        <f t="shared" si="41"/>
        <v>2019</v>
      </c>
      <c r="D47" s="66" t="str">
        <f t="shared" si="41"/>
        <v>18/19</v>
      </c>
      <c r="E47" s="75" t="str">
        <f t="shared" si="41"/>
        <v>10/1/18-9/30/19</v>
      </c>
      <c r="F47" s="76">
        <f t="shared" si="41"/>
        <v>43556</v>
      </c>
      <c r="G47" s="77">
        <f t="shared" si="41"/>
        <v>0</v>
      </c>
      <c r="H47" s="62">
        <f t="shared" si="41"/>
        <v>500000</v>
      </c>
      <c r="I47" s="63" t="str">
        <f t="shared" si="41"/>
        <v xml:space="preserve">na </v>
      </c>
      <c r="J47" s="64">
        <f t="shared" si="41"/>
        <v>1</v>
      </c>
      <c r="K47" s="65">
        <f t="shared" si="41"/>
        <v>543133.22666000458</v>
      </c>
      <c r="L47" s="64">
        <f t="shared" si="41"/>
        <v>1</v>
      </c>
      <c r="M47" s="65">
        <f t="shared" si="41"/>
        <v>543133.22666000458</v>
      </c>
      <c r="N47" s="66" t="str">
        <f t="shared" si="41"/>
        <v>Safety National</v>
      </c>
      <c r="O47" s="67" t="str">
        <f t="shared" si="41"/>
        <v>Corvel</v>
      </c>
      <c r="P47" s="55">
        <f t="shared" si="41"/>
        <v>43585</v>
      </c>
      <c r="Q47" s="68">
        <f t="shared" si="41"/>
        <v>7</v>
      </c>
      <c r="R47" s="61"/>
      <c r="T47" s="697" t="b">
        <v>0</v>
      </c>
      <c r="U47" s="32"/>
      <c r="AE47" s="85"/>
    </row>
    <row r="48" spans="1:38" x14ac:dyDescent="0.2">
      <c r="D48" s="3" t="str">
        <f>"20"&amp;D47</f>
        <v>2018/19</v>
      </c>
    </row>
    <row r="49" spans="1:49" x14ac:dyDescent="0.2">
      <c r="AW49" s="85"/>
    </row>
    <row r="50" spans="1:49" x14ac:dyDescent="0.2">
      <c r="A50" s="4" t="s">
        <v>531</v>
      </c>
    </row>
    <row r="51" spans="1:49" x14ac:dyDescent="0.2">
      <c r="A51" s="74">
        <f>B47+1</f>
        <v>43739</v>
      </c>
      <c r="B51" s="569">
        <f t="shared" ref="B51" si="42">EOMONTH(A51, 11)</f>
        <v>44104</v>
      </c>
      <c r="C51" s="66">
        <f t="shared" ref="C51" si="43">YEAR(B51)</f>
        <v>2020</v>
      </c>
      <c r="D51" s="66" t="str">
        <f t="shared" ref="D51" si="44">TEXT(A51, "yy")&amp;"/"&amp;TEXT(B51,"yy")</f>
        <v>19/20</v>
      </c>
      <c r="E51" s="75" t="str">
        <f>TEXT(A51, "m/d/yy")&amp;"-"&amp;TEXT(B51, "m/d/yy")</f>
        <v>10/1/19-9/30/20</v>
      </c>
      <c r="F51" s="76">
        <f t="shared" ref="F51" si="45">AVERAGE(A51:B51)</f>
        <v>43921.5</v>
      </c>
      <c r="G51" s="77">
        <f t="shared" ref="G51" si="46">ROUND(($F$47 - F51) /365.25, 0)</f>
        <v>-1</v>
      </c>
      <c r="H51" s="62">
        <f t="shared" ref="H51:Q51" si="47">VLOOKUP(curr + 365, $A$18:$Q$42, COLUMN())</f>
        <v>500000</v>
      </c>
      <c r="I51" s="63" t="str">
        <f t="shared" si="47"/>
        <v xml:space="preserve">na </v>
      </c>
      <c r="J51" s="64">
        <f>J42</f>
        <v>1</v>
      </c>
      <c r="K51" s="65">
        <f>K42</f>
        <v>559427.22345980478</v>
      </c>
      <c r="L51" s="64">
        <f t="shared" si="47"/>
        <v>1.0000000000000004</v>
      </c>
      <c r="M51" s="65">
        <f t="shared" si="47"/>
        <v>559427.22345980501</v>
      </c>
      <c r="N51" s="66" t="str">
        <f t="shared" si="47"/>
        <v>Safety National</v>
      </c>
      <c r="O51" s="67" t="str">
        <f t="shared" si="47"/>
        <v>Corvel</v>
      </c>
      <c r="P51" s="55">
        <f t="shared" si="47"/>
        <v>43585</v>
      </c>
      <c r="Q51" s="68">
        <f t="shared" si="47"/>
        <v>0</v>
      </c>
    </row>
    <row r="52" spans="1:49" x14ac:dyDescent="0.2">
      <c r="D52" s="3" t="str">
        <f>"20"&amp;D51</f>
        <v>2019/20</v>
      </c>
    </row>
  </sheetData>
  <printOptions horizontalCentered="1"/>
  <pageMargins left="0.7" right="0.7" top="0.75" bottom="0.75" header="0.3" footer="0.3"/>
  <pageSetup scale="26" orientation="portrait" blackAndWhite="1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1">
    <tabColor theme="5" tint="0.79998168889431442"/>
    <pageSetUpPr fitToPage="1"/>
  </sheetPr>
  <dimension ref="A1:M51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9" style="222"/>
    <col min="4" max="4" width="2.625" style="222" customWidth="1"/>
    <col min="5" max="5" width="10.625" style="222" customWidth="1"/>
    <col min="6" max="6" width="2.625" style="222" customWidth="1"/>
    <col min="7" max="7" width="10.625" style="222" customWidth="1"/>
    <col min="8" max="8" width="2.625" style="222" customWidth="1"/>
    <col min="9" max="9" width="10.625" style="222" customWidth="1"/>
    <col min="10" max="10" width="2.625" style="222" customWidth="1"/>
    <col min="11" max="11" width="10.625" style="222" customWidth="1"/>
    <col min="12" max="12" width="2.625" style="222" customWidth="1"/>
    <col min="13" max="13" width="10.625" style="222" customWidth="1"/>
    <col min="14" max="16384" width="9" style="222"/>
  </cols>
  <sheetData>
    <row r="1" spans="1:13" x14ac:dyDescent="0.2">
      <c r="A1" s="1" t="str">
        <f>[1]!getlabels()</f>
        <v>Exhibit 3, Sheet 2C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Paid Development Method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392" t="s">
        <v>473</v>
      </c>
    </row>
    <row r="11" spans="1:13" x14ac:dyDescent="0.2">
      <c r="A11" s="341"/>
    </row>
    <row r="12" spans="1:13" x14ac:dyDescent="0.2">
      <c r="A12" s="341"/>
      <c r="E12" s="493" t="s">
        <v>36</v>
      </c>
    </row>
    <row r="13" spans="1:13" x14ac:dyDescent="0.2">
      <c r="A13" s="148"/>
      <c r="B13" s="148"/>
      <c r="C13" s="148"/>
      <c r="D13" s="148"/>
      <c r="E13" s="151" t="s">
        <v>75</v>
      </c>
      <c r="F13" s="148"/>
      <c r="G13" s="151" t="s">
        <v>36</v>
      </c>
      <c r="H13" s="148"/>
      <c r="I13" s="151" t="s">
        <v>330</v>
      </c>
      <c r="J13" s="148"/>
      <c r="K13" s="151"/>
      <c r="L13" s="148"/>
      <c r="M13" s="151" t="s">
        <v>332</v>
      </c>
    </row>
    <row r="14" spans="1:13" x14ac:dyDescent="0.2">
      <c r="A14" s="181" t="str">
        <f>Intro!M9</f>
        <v>Policy</v>
      </c>
      <c r="B14" s="148"/>
      <c r="C14" s="148"/>
      <c r="D14" s="148"/>
      <c r="E14" s="151" t="s">
        <v>8</v>
      </c>
      <c r="F14" s="148"/>
      <c r="G14" s="151" t="s">
        <v>331</v>
      </c>
      <c r="H14" s="148"/>
      <c r="I14" s="342" t="s">
        <v>36</v>
      </c>
      <c r="J14" s="148"/>
      <c r="K14" s="151"/>
      <c r="L14" s="148"/>
      <c r="M14" s="342" t="s">
        <v>36</v>
      </c>
    </row>
    <row r="15" spans="1:13" x14ac:dyDescent="0.2">
      <c r="A15" s="181" t="str">
        <f>Intro!M10</f>
        <v>Period</v>
      </c>
      <c r="B15" s="148"/>
      <c r="C15" s="148"/>
      <c r="D15" s="148"/>
      <c r="E15" s="151" t="s">
        <v>334</v>
      </c>
      <c r="F15" s="148"/>
      <c r="G15" s="151" t="s">
        <v>245</v>
      </c>
      <c r="H15" s="148"/>
      <c r="I15" s="151" t="s">
        <v>245</v>
      </c>
      <c r="J15" s="148"/>
      <c r="K15" s="276" t="s">
        <v>5</v>
      </c>
      <c r="L15" s="148"/>
      <c r="M15" s="151" t="s">
        <v>8</v>
      </c>
    </row>
    <row r="16" spans="1:13" x14ac:dyDescent="0.2">
      <c r="A16" s="176" t="str">
        <f>Intro!M11</f>
        <v>Ending 9/30</v>
      </c>
      <c r="B16" s="148"/>
      <c r="C16" s="176" t="s">
        <v>90</v>
      </c>
      <c r="D16" s="148"/>
      <c r="E16" s="179" t="str">
        <f>ctxt</f>
        <v>4/30/19</v>
      </c>
      <c r="F16" s="148"/>
      <c r="G16" s="176" t="s">
        <v>338</v>
      </c>
      <c r="H16" s="148"/>
      <c r="I16" s="176" t="s">
        <v>8</v>
      </c>
      <c r="J16" s="148"/>
      <c r="K16" s="277" t="s">
        <v>6</v>
      </c>
      <c r="L16" s="148"/>
      <c r="M16" s="232" t="s">
        <v>349</v>
      </c>
    </row>
    <row r="17" spans="1:13" x14ac:dyDescent="0.2">
      <c r="A17" s="148"/>
      <c r="B17" s="148"/>
      <c r="C17" s="148"/>
      <c r="D17" s="148"/>
      <c r="E17" s="246">
        <v>1</v>
      </c>
      <c r="F17" s="148"/>
      <c r="G17" s="246">
        <f>E17+1</f>
        <v>2</v>
      </c>
      <c r="H17" s="148"/>
      <c r="I17" s="246">
        <f>G17+1</f>
        <v>3</v>
      </c>
      <c r="J17" s="148"/>
      <c r="K17" s="246">
        <f>I17+1</f>
        <v>4</v>
      </c>
      <c r="L17" s="148"/>
      <c r="M17" s="246">
        <f>K17+1</f>
        <v>5</v>
      </c>
    </row>
    <row r="18" spans="1:13" x14ac:dyDescent="0.2">
      <c r="A18" s="148"/>
      <c r="B18" s="148"/>
      <c r="C18" s="148"/>
      <c r="D18" s="148"/>
      <c r="E18" s="357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1">
        <f>Intro!C18</f>
        <v>1996</v>
      </c>
      <c r="B19" s="148"/>
      <c r="C19" s="315">
        <f>Intro!H18</f>
        <v>250000</v>
      </c>
      <c r="D19" s="148"/>
      <c r="E19" s="249">
        <f>'e3.2B'!E18-'e3.2B'!E54</f>
        <v>141454.19999999995</v>
      </c>
      <c r="F19" s="148"/>
      <c r="G19" s="236">
        <f ca="1">[1]!ldfsir(xsldfs, ldf_ages, xsldf_type, xsldf_ret, Intro!$AA18, "Paid XS", $C19, cutoff, 3)</f>
        <v>1.1573204398014947</v>
      </c>
      <c r="H19" s="148"/>
      <c r="I19" s="249">
        <f ca="1">E19*G19</f>
        <v>163707.83695576852</v>
      </c>
      <c r="J19" s="148"/>
      <c r="K19" s="350">
        <f>Intro!K18</f>
        <v>51718.748</v>
      </c>
      <c r="L19" s="148"/>
      <c r="M19" s="316">
        <f ca="1">I19/K19</f>
        <v>3.1653480272911581</v>
      </c>
    </row>
    <row r="20" spans="1:13" x14ac:dyDescent="0.2">
      <c r="A20" s="151">
        <f>Intro!C19</f>
        <v>1997</v>
      </c>
      <c r="B20" s="148"/>
      <c r="C20" s="247">
        <f>Intro!H19</f>
        <v>250000</v>
      </c>
      <c r="D20" s="148"/>
      <c r="E20" s="235">
        <f>'e3.2B'!E19-'e3.2B'!E55</f>
        <v>169167</v>
      </c>
      <c r="F20" s="148"/>
      <c r="G20" s="236">
        <f ca="1">[1]!ldfsir(xsldfs, ldf_ages, xsldf_type, xsldf_ret, Intro!$AA19, "Paid XS", $C20, cutoff, 3)</f>
        <v>1.1765011047952774</v>
      </c>
      <c r="H20" s="148"/>
      <c r="I20" s="235">
        <f t="shared" ref="I20:I42" ca="1" si="0">E20*G20</f>
        <v>199025.1623949027</v>
      </c>
      <c r="J20" s="148"/>
      <c r="K20" s="351">
        <f>Intro!K19</f>
        <v>71279.833180000031</v>
      </c>
      <c r="L20" s="148"/>
      <c r="M20" s="255">
        <f t="shared" ref="M20:M42" ca="1" si="1">I20/K20</f>
        <v>2.7921665008995271</v>
      </c>
    </row>
    <row r="21" spans="1:13" x14ac:dyDescent="0.2">
      <c r="A21" s="151">
        <f>Intro!C20</f>
        <v>1998</v>
      </c>
      <c r="B21" s="148"/>
      <c r="C21" s="247">
        <f>Intro!H20</f>
        <v>250000</v>
      </c>
      <c r="D21" s="148"/>
      <c r="E21" s="235">
        <f>'e3.2B'!E20-'e3.2B'!E56</f>
        <v>149905</v>
      </c>
      <c r="F21" s="148"/>
      <c r="G21" s="236">
        <f ca="1">[1]!ldfsir(xsldfs, ldf_ages, xsldf_type, xsldf_ret, Intro!$AA20, "Paid XS", $C21, cutoff, 3)</f>
        <v>1.1980597849345458</v>
      </c>
      <c r="H21" s="148"/>
      <c r="I21" s="235">
        <f t="shared" ca="1" si="0"/>
        <v>179595.15206061309</v>
      </c>
      <c r="J21" s="148"/>
      <c r="K21" s="351">
        <f>Intro!K20</f>
        <v>90725.935539999991</v>
      </c>
      <c r="L21" s="148"/>
      <c r="M21" s="255">
        <f t="shared" ca="1" si="1"/>
        <v>1.97953485948273</v>
      </c>
    </row>
    <row r="22" spans="1:13" x14ac:dyDescent="0.2">
      <c r="A22" s="151">
        <f>Intro!C21</f>
        <v>1999</v>
      </c>
      <c r="B22" s="148"/>
      <c r="C22" s="247">
        <f>Intro!H21</f>
        <v>250000</v>
      </c>
      <c r="D22" s="148"/>
      <c r="E22" s="235">
        <f>'e3.2B'!E21-'e3.2B'!E57</f>
        <v>1235926.8500000001</v>
      </c>
      <c r="F22" s="148"/>
      <c r="G22" s="236">
        <f ca="1">[1]!ldfsir(xsldfs, ldf_ages, xsldf_type, xsldf_ret, Intro!$AA21, "Paid XS", $C22, cutoff, 3)</f>
        <v>1.2222931396035992</v>
      </c>
      <c r="H22" s="148"/>
      <c r="I22" s="235">
        <f t="shared" ca="1" si="0"/>
        <v>1510664.9098068867</v>
      </c>
      <c r="J22" s="148"/>
      <c r="K22" s="351">
        <f>Intro!K21</f>
        <v>115828.16377000001</v>
      </c>
      <c r="L22" s="148"/>
      <c r="M22" s="255">
        <f t="shared" ca="1" si="1"/>
        <v>13.042293520310086</v>
      </c>
    </row>
    <row r="23" spans="1:13" x14ac:dyDescent="0.2">
      <c r="A23" s="151">
        <f>Intro!C22</f>
        <v>2000</v>
      </c>
      <c r="B23" s="148"/>
      <c r="C23" s="247">
        <f>Intro!H22</f>
        <v>250000</v>
      </c>
      <c r="D23" s="148"/>
      <c r="E23" s="235">
        <f>'e3.2B'!E22-'e3.2B'!E58</f>
        <v>513125.2200000002</v>
      </c>
      <c r="F23" s="148"/>
      <c r="G23" s="236">
        <f ca="1">[1]!ldfsir(xsldfs, ldf_ages, xsldf_type, xsldf_ret, Intro!$AA22, "Paid XS", $C23, cutoff, 3)</f>
        <v>1.2495297620421524</v>
      </c>
      <c r="H23" s="148"/>
      <c r="I23" s="235">
        <f t="shared" ca="1" si="0"/>
        <v>641165.2340444274</v>
      </c>
      <c r="J23" s="148"/>
      <c r="K23" s="351">
        <f>Intro!K22</f>
        <v>86853.122530000022</v>
      </c>
      <c r="L23" s="148"/>
      <c r="M23" s="255">
        <f t="shared" ca="1" si="1"/>
        <v>7.3821782725538956</v>
      </c>
    </row>
    <row r="24" spans="1:13" x14ac:dyDescent="0.2">
      <c r="A24" s="151">
        <f>Intro!C23</f>
        <v>2001</v>
      </c>
      <c r="B24" s="148"/>
      <c r="C24" s="247">
        <f>Intro!H23</f>
        <v>250000</v>
      </c>
      <c r="D24" s="148"/>
      <c r="E24" s="235">
        <f>'e3.2B'!E23-'e3.2B'!E59</f>
        <v>289652</v>
      </c>
      <c r="F24" s="148"/>
      <c r="G24" s="236">
        <f ca="1">[1]!ldfsir(xsldfs, ldf_ages, xsldf_type, xsldf_ret, Intro!$AA23, "Paid XS", $C24, cutoff, 3)</f>
        <v>1.2801293054460907</v>
      </c>
      <c r="H24" s="148"/>
      <c r="I24" s="235">
        <f t="shared" ca="1" si="0"/>
        <v>370792.01358107105</v>
      </c>
      <c r="J24" s="148"/>
      <c r="K24" s="351">
        <f>Intro!K23</f>
        <v>91838.194909999977</v>
      </c>
      <c r="L24" s="148"/>
      <c r="M24" s="255">
        <f t="shared" ca="1" si="1"/>
        <v>4.0374488408057401</v>
      </c>
    </row>
    <row r="25" spans="1:13" x14ac:dyDescent="0.2">
      <c r="A25" s="151">
        <f>Intro!C24</f>
        <v>2002</v>
      </c>
      <c r="B25" s="148"/>
      <c r="C25" s="247">
        <f>Intro!H24</f>
        <v>250000</v>
      </c>
      <c r="D25" s="148"/>
      <c r="E25" s="235">
        <f>'e3.2B'!E24-'e3.2B'!E60</f>
        <v>866577.4700000002</v>
      </c>
      <c r="F25" s="148"/>
      <c r="G25" s="236">
        <f ca="1">[1]!ldfsir(xsldfs, ldf_ages, xsldf_type, xsldf_ret, Intro!$AA24, "Paid XS", $C25, cutoff, 3)</f>
        <v>1.3144783280786818</v>
      </c>
      <c r="H25" s="148"/>
      <c r="I25" s="235">
        <f t="shared" ca="1" si="0"/>
        <v>1139097.3039162543</v>
      </c>
      <c r="J25" s="148"/>
      <c r="K25" s="351">
        <f>Intro!K24</f>
        <v>86098.134999999995</v>
      </c>
      <c r="L25" s="148"/>
      <c r="M25" s="255">
        <f t="shared" ca="1" si="1"/>
        <v>13.230220421339608</v>
      </c>
    </row>
    <row r="26" spans="1:13" x14ac:dyDescent="0.2">
      <c r="A26" s="151">
        <f>Intro!C25</f>
        <v>2003</v>
      </c>
      <c r="B26" s="148"/>
      <c r="C26" s="247">
        <f>Intro!H25</f>
        <v>250000</v>
      </c>
      <c r="D26" s="148"/>
      <c r="E26" s="235">
        <f>'e3.2B'!E25-'e3.2B'!E61</f>
        <v>256580.59999999986</v>
      </c>
      <c r="F26" s="148"/>
      <c r="G26" s="236">
        <f ca="1">[1]!ldfsir(xsldfs, ldf_ages, xsldf_type, xsldf_ret, Intro!$AA25, "Paid XS", $C26, cutoff, 3)</f>
        <v>1.2721384815236427</v>
      </c>
      <c r="H26" s="148"/>
      <c r="I26" s="235">
        <f t="shared" ca="1" si="0"/>
        <v>326406.05487242498</v>
      </c>
      <c r="J26" s="148"/>
      <c r="K26" s="351">
        <f>Intro!K25</f>
        <v>95877.160999999993</v>
      </c>
      <c r="L26" s="148"/>
      <c r="M26" s="255">
        <f t="shared" ca="1" si="1"/>
        <v>3.4044192742881174</v>
      </c>
    </row>
    <row r="27" spans="1:13" x14ac:dyDescent="0.2">
      <c r="A27" s="151">
        <f>Intro!C26</f>
        <v>2004</v>
      </c>
      <c r="B27" s="148"/>
      <c r="C27" s="247">
        <f>Intro!H26</f>
        <v>350000</v>
      </c>
      <c r="D27" s="148"/>
      <c r="E27" s="235">
        <f>'e3.2B'!E26-'e3.2B'!E62</f>
        <v>239360.8600000008</v>
      </c>
      <c r="F27" s="148"/>
      <c r="G27" s="236">
        <f ca="1">[1]!ldfsir(xsldfs, ldf_ages, xsldf_type, xsldf_ret, Intro!$AA26, "Paid XS", $C27, cutoff, 3)</f>
        <v>1.3353186325747148</v>
      </c>
      <c r="H27" s="148"/>
      <c r="I27" s="235">
        <f t="shared" ca="1" si="0"/>
        <v>319623.01626710885</v>
      </c>
      <c r="J27" s="148"/>
      <c r="K27" s="351">
        <f>Intro!K26</f>
        <v>102137.68700000001</v>
      </c>
      <c r="L27" s="148"/>
      <c r="M27" s="255">
        <f t="shared" ca="1" si="1"/>
        <v>3.1293347798947986</v>
      </c>
    </row>
    <row r="28" spans="1:13" x14ac:dyDescent="0.2">
      <c r="A28" s="151">
        <f>Intro!C27</f>
        <v>2005</v>
      </c>
      <c r="B28" s="148"/>
      <c r="C28" s="247">
        <f>Intro!H27</f>
        <v>350000</v>
      </c>
      <c r="D28" s="148"/>
      <c r="E28" s="235">
        <f>'e3.2B'!E27-'e3.2B'!E63</f>
        <v>0</v>
      </c>
      <c r="F28" s="148"/>
      <c r="G28" s="236">
        <f ca="1">[1]!ldfsir(xsldfs, ldf_ages, xsldf_type, xsldf_ret, Intro!$AA27, "Paid XS", $C28, cutoff, 3)</f>
        <v>1.3743267323650667</v>
      </c>
      <c r="H28" s="148"/>
      <c r="I28" s="235">
        <f t="shared" ca="1" si="0"/>
        <v>0</v>
      </c>
      <c r="J28" s="148"/>
      <c r="K28" s="351">
        <f>Intro!K27</f>
        <v>111292.39200000001</v>
      </c>
      <c r="L28" s="148"/>
      <c r="M28" s="255">
        <f t="shared" ca="1" si="1"/>
        <v>0</v>
      </c>
    </row>
    <row r="29" spans="1:13" x14ac:dyDescent="0.2">
      <c r="A29" s="151">
        <f>Intro!C28</f>
        <v>2006</v>
      </c>
      <c r="B29" s="148"/>
      <c r="C29" s="247">
        <f>Intro!H28</f>
        <v>350000</v>
      </c>
      <c r="D29" s="148"/>
      <c r="E29" s="235">
        <f>'e3.2B'!E28-'e3.2B'!E64</f>
        <v>310667.57999999984</v>
      </c>
      <c r="F29" s="148"/>
      <c r="G29" s="236">
        <f ca="1">[1]!ldfsir(xsldfs, ldf_ages, xsldf_type, xsldf_ret, Intro!$AA28, "Paid XS", $C29, cutoff, 3)</f>
        <v>1.4156377411562022</v>
      </c>
      <c r="H29" s="148"/>
      <c r="I29" s="235">
        <f t="shared" ca="1" si="0"/>
        <v>439792.75120166352</v>
      </c>
      <c r="J29" s="148"/>
      <c r="K29" s="351">
        <f>Intro!K28</f>
        <v>107756.82399999999</v>
      </c>
      <c r="L29" s="148"/>
      <c r="M29" s="255">
        <f t="shared" ca="1" si="1"/>
        <v>4.0813447805557406</v>
      </c>
    </row>
    <row r="30" spans="1:13" x14ac:dyDescent="0.2">
      <c r="A30" s="151">
        <f>Intro!C29</f>
        <v>2007</v>
      </c>
      <c r="B30" s="148"/>
      <c r="C30" s="247">
        <f>Intro!H29</f>
        <v>350000</v>
      </c>
      <c r="D30" s="148"/>
      <c r="E30" s="235">
        <f>'e3.2B'!E29-'e3.2B'!E65</f>
        <v>0</v>
      </c>
      <c r="F30" s="148"/>
      <c r="G30" s="236">
        <f ca="1">[1]!ldfsir(xsldfs, ldf_ages, xsldf_type, xsldf_ret, Intro!$AA29, "Paid XS", $C30, cutoff, 3)</f>
        <v>1.4615483944948413</v>
      </c>
      <c r="H30" s="148"/>
      <c r="I30" s="235">
        <f t="shared" ca="1" si="0"/>
        <v>0</v>
      </c>
      <c r="J30" s="148"/>
      <c r="K30" s="351">
        <f>Intro!K29</f>
        <v>104584.102</v>
      </c>
      <c r="L30" s="148"/>
      <c r="M30" s="255">
        <f t="shared" ca="1" si="1"/>
        <v>0</v>
      </c>
    </row>
    <row r="31" spans="1:13" x14ac:dyDescent="0.2">
      <c r="A31" s="151">
        <f>Intro!C30</f>
        <v>2008</v>
      </c>
      <c r="B31" s="148"/>
      <c r="C31" s="247">
        <f>Intro!H30</f>
        <v>500000</v>
      </c>
      <c r="D31" s="148"/>
      <c r="E31" s="235">
        <f>'e3.2B'!E30-'e3.2B'!E66</f>
        <v>0</v>
      </c>
      <c r="F31" s="148"/>
      <c r="G31" s="236">
        <f ca="1">[1]!ldfsir(xsldfs, ldf_ages, xsldf_type, xsldf_ret, Intro!$AA30, "Paid XS", $C31, cutoff, 3)</f>
        <v>1.371216190544589</v>
      </c>
      <c r="H31" s="148"/>
      <c r="I31" s="235">
        <f t="shared" ca="1" si="0"/>
        <v>0</v>
      </c>
      <c r="J31" s="148"/>
      <c r="K31" s="351">
        <f>Intro!K30</f>
        <v>106050.29700000001</v>
      </c>
      <c r="L31" s="148"/>
      <c r="M31" s="255">
        <f t="shared" ca="1" si="1"/>
        <v>0</v>
      </c>
    </row>
    <row r="32" spans="1:13" x14ac:dyDescent="0.2">
      <c r="A32" s="151">
        <f>Intro!C31</f>
        <v>2009</v>
      </c>
      <c r="B32" s="148"/>
      <c r="C32" s="247">
        <f>Intro!H31</f>
        <v>500000</v>
      </c>
      <c r="D32" s="148"/>
      <c r="E32" s="235">
        <f>'e3.2B'!E31-'e3.2B'!E67</f>
        <v>83743.280000000028</v>
      </c>
      <c r="F32" s="148"/>
      <c r="G32" s="236">
        <f ca="1">[1]!ldfsir(xsldfs, ldf_ages, xsldf_type, xsldf_ret, Intro!$AA31, "Paid XS", $C32, cutoff, 3)</f>
        <v>1.4105816981603052</v>
      </c>
      <c r="H32" s="148"/>
      <c r="I32" s="235">
        <f t="shared" ca="1" si="0"/>
        <v>118126.73811191396</v>
      </c>
      <c r="J32" s="148"/>
      <c r="K32" s="351">
        <f>Intro!K31</f>
        <v>110722.705</v>
      </c>
      <c r="L32" s="148"/>
      <c r="M32" s="255">
        <f t="shared" ca="1" si="1"/>
        <v>1.0668700526410908</v>
      </c>
    </row>
    <row r="33" spans="1:13" x14ac:dyDescent="0.2">
      <c r="A33" s="151">
        <f>Intro!C32</f>
        <v>2010</v>
      </c>
      <c r="B33" s="148"/>
      <c r="C33" s="247">
        <f>Intro!H32</f>
        <v>500000</v>
      </c>
      <c r="D33" s="148"/>
      <c r="E33" s="235">
        <f>'e3.2B'!E32-'e3.2B'!E68</f>
        <v>0</v>
      </c>
      <c r="F33" s="148"/>
      <c r="G33" s="236">
        <f ca="1">[1]!ldfsir(xsldfs, ldf_ages, xsldf_type, xsldf_ret, Intro!$AA32, "Paid XS", $C33, cutoff, 3)</f>
        <v>1.4586281800156085</v>
      </c>
      <c r="H33" s="148"/>
      <c r="I33" s="235">
        <f t="shared" ca="1" si="0"/>
        <v>0</v>
      </c>
      <c r="J33" s="148"/>
      <c r="K33" s="351">
        <f>Intro!K32</f>
        <v>128222.10400000001</v>
      </c>
      <c r="L33" s="148"/>
      <c r="M33" s="255">
        <f t="shared" ca="1" si="1"/>
        <v>0</v>
      </c>
    </row>
    <row r="34" spans="1:13" x14ac:dyDescent="0.2">
      <c r="A34" s="151">
        <f>Intro!C33</f>
        <v>2011</v>
      </c>
      <c r="B34" s="148"/>
      <c r="C34" s="247">
        <f>Intro!H33</f>
        <v>500000</v>
      </c>
      <c r="D34" s="148"/>
      <c r="E34" s="235">
        <f>'e3.2B'!E33-'e3.2B'!E69</f>
        <v>0</v>
      </c>
      <c r="F34" s="148"/>
      <c r="G34" s="236">
        <f ca="1">[1]!ldfsir(xsldfs, ldf_ages, xsldf_type, xsldf_ret, Intro!$AA33, "Paid XS", $C34, cutoff, 3)</f>
        <v>1.5173010995851148</v>
      </c>
      <c r="H34" s="148"/>
      <c r="I34" s="235">
        <f t="shared" ca="1" si="0"/>
        <v>0</v>
      </c>
      <c r="J34" s="148"/>
      <c r="K34" s="351">
        <f>Intro!K33</f>
        <v>143214.37400000001</v>
      </c>
      <c r="L34" s="148"/>
      <c r="M34" s="255">
        <f t="shared" ca="1" si="1"/>
        <v>0</v>
      </c>
    </row>
    <row r="35" spans="1:13" x14ac:dyDescent="0.2">
      <c r="A35" s="151">
        <f>Intro!C34</f>
        <v>2012</v>
      </c>
      <c r="B35" s="148"/>
      <c r="C35" s="247">
        <f>Intro!H34</f>
        <v>500000</v>
      </c>
      <c r="D35" s="148"/>
      <c r="E35" s="235">
        <f>'e3.2B'!E34-'e3.2B'!E70</f>
        <v>0</v>
      </c>
      <c r="F35" s="148"/>
      <c r="G35" s="236">
        <f ca="1">[1]!ldfsir(xsldfs, ldf_ages, xsldf_type, xsldf_ret, Intro!$AA34, "Paid XS", $C35, cutoff, 3)</f>
        <v>1.5858217376435522</v>
      </c>
      <c r="H35" s="148"/>
      <c r="I35" s="235">
        <f t="shared" ca="1" si="0"/>
        <v>0</v>
      </c>
      <c r="J35" s="148"/>
      <c r="K35" s="351">
        <f>Intro!K34</f>
        <v>145569.85699999999</v>
      </c>
      <c r="L35" s="148"/>
      <c r="M35" s="255">
        <f t="shared" ca="1" si="1"/>
        <v>0</v>
      </c>
    </row>
    <row r="36" spans="1:13" x14ac:dyDescent="0.2">
      <c r="A36" s="151">
        <f>Intro!C35</f>
        <v>2013</v>
      </c>
      <c r="B36" s="148"/>
      <c r="C36" s="247">
        <f>Intro!H35</f>
        <v>500000</v>
      </c>
      <c r="D36" s="148"/>
      <c r="E36" s="235">
        <f>'e3.2B'!E35-'e3.2B'!E71</f>
        <v>64795.239999999525</v>
      </c>
      <c r="F36" s="148"/>
      <c r="G36" s="236">
        <f ca="1">[1]!ldfsir(xsldfs, ldf_ages, xsldf_type, xsldf_ret, Intro!$AA35, "Paid XS", $C36, cutoff, 3)</f>
        <v>1.6560281256446194</v>
      </c>
      <c r="H36" s="148"/>
      <c r="I36" s="235">
        <f t="shared" ca="1" si="0"/>
        <v>107302.73984789249</v>
      </c>
      <c r="J36" s="148"/>
      <c r="K36" s="351">
        <f>Intro!K35</f>
        <v>157968.50285000002</v>
      </c>
      <c r="L36" s="148"/>
      <c r="M36" s="255">
        <f t="shared" ca="1" si="1"/>
        <v>0.67926667602707158</v>
      </c>
    </row>
    <row r="37" spans="1:13" x14ac:dyDescent="0.2">
      <c r="A37" s="151">
        <f>Intro!C36</f>
        <v>2014</v>
      </c>
      <c r="B37" s="148"/>
      <c r="C37" s="247">
        <f>Intro!H36</f>
        <v>500000</v>
      </c>
      <c r="D37" s="148"/>
      <c r="E37" s="235">
        <f>'e3.2B'!E36-'e3.2B'!E72</f>
        <v>0</v>
      </c>
      <c r="F37" s="148"/>
      <c r="G37" s="236">
        <f ca="1">[1]!ldfsir(xsldfs, ldf_ages, xsldf_type, xsldf_ret, Intro!$AA36, "Paid XS", $C37, cutoff, 3)</f>
        <v>1.7342752198568099</v>
      </c>
      <c r="H37" s="148"/>
      <c r="I37" s="235">
        <f t="shared" ca="1" si="0"/>
        <v>0</v>
      </c>
      <c r="J37" s="148"/>
      <c r="K37" s="351">
        <f>Intro!K36</f>
        <v>182546.24444841431</v>
      </c>
      <c r="L37" s="148"/>
      <c r="M37" s="255">
        <f t="shared" ca="1" si="1"/>
        <v>0</v>
      </c>
    </row>
    <row r="38" spans="1:13" x14ac:dyDescent="0.2">
      <c r="A38" s="151">
        <f>Intro!C37</f>
        <v>2015</v>
      </c>
      <c r="B38" s="148"/>
      <c r="C38" s="247">
        <f>Intro!H37</f>
        <v>500000</v>
      </c>
      <c r="D38" s="148"/>
      <c r="E38" s="235">
        <f>'e3.2B'!E37-'e3.2B'!E73</f>
        <v>0</v>
      </c>
      <c r="F38" s="148"/>
      <c r="G38" s="236">
        <f ca="1">[1]!ldfsir(xsldfs, ldf_ages, xsldf_type, xsldf_ret, Intro!$AA37, "Paid XS", $C38, cutoff, 3)</f>
        <v>1.8344175960978335</v>
      </c>
      <c r="H38" s="148"/>
      <c r="I38" s="235">
        <f t="shared" ca="1" si="0"/>
        <v>0</v>
      </c>
      <c r="J38" s="148"/>
      <c r="K38" s="351">
        <f>Intro!K37</f>
        <v>196912.10476000005</v>
      </c>
      <c r="L38" s="148"/>
      <c r="M38" s="255">
        <f t="shared" ca="1" si="1"/>
        <v>0</v>
      </c>
    </row>
    <row r="39" spans="1:13" x14ac:dyDescent="0.2">
      <c r="A39" s="151">
        <f>Intro!C38</f>
        <v>2016</v>
      </c>
      <c r="B39" s="148"/>
      <c r="C39" s="247">
        <f>Intro!H38</f>
        <v>750000</v>
      </c>
      <c r="D39" s="148"/>
      <c r="E39" s="235">
        <f>'e3.2B'!E38-'e3.2B'!E74</f>
        <v>0</v>
      </c>
      <c r="F39" s="148"/>
      <c r="G39" s="236">
        <f ca="1">[1]!ldfsir(xsldfs, ldf_ages, xsldf_type, xsldf_ret, Intro!$AA38, "Paid XS", $C39, cutoff, 3)</f>
        <v>2.0533797118293182</v>
      </c>
      <c r="H39" s="148"/>
      <c r="I39" s="235">
        <f t="shared" ca="1" si="0"/>
        <v>0</v>
      </c>
      <c r="J39" s="148"/>
      <c r="K39" s="351">
        <f>Intro!K38</f>
        <v>221894.58274919298</v>
      </c>
      <c r="L39" s="148"/>
      <c r="M39" s="255">
        <f t="shared" ca="1" si="1"/>
        <v>0</v>
      </c>
    </row>
    <row r="40" spans="1:13" x14ac:dyDescent="0.2">
      <c r="A40" s="151">
        <f>Intro!C39</f>
        <v>2017</v>
      </c>
      <c r="B40" s="148"/>
      <c r="C40" s="247">
        <f>Intro!H39</f>
        <v>750000</v>
      </c>
      <c r="D40" s="148"/>
      <c r="E40" s="235">
        <f>'e3.2B'!E39-'e3.2B'!E75</f>
        <v>0</v>
      </c>
      <c r="F40" s="148"/>
      <c r="G40" s="236">
        <f ca="1">[1]!ldfsir(xsldfs, ldf_ages, xsldf_type, xsldf_ret, Intro!$AA39, "Paid XS", $C40, cutoff, 3)</f>
        <v>2.5933314444079443</v>
      </c>
      <c r="H40" s="148"/>
      <c r="I40" s="235">
        <f t="shared" ca="1" si="0"/>
        <v>0</v>
      </c>
      <c r="J40" s="148"/>
      <c r="K40" s="351">
        <f>Intro!K39</f>
        <v>307509.66981400014</v>
      </c>
      <c r="L40" s="148"/>
      <c r="M40" s="255">
        <f t="shared" ca="1" si="1"/>
        <v>0</v>
      </c>
    </row>
    <row r="41" spans="1:13" x14ac:dyDescent="0.2">
      <c r="A41" s="151">
        <f>Intro!C40</f>
        <v>2018</v>
      </c>
      <c r="B41" s="148"/>
      <c r="C41" s="247">
        <f>Intro!H40</f>
        <v>500000</v>
      </c>
      <c r="D41" s="148"/>
      <c r="E41" s="235">
        <f>'e3.2B'!E40-'e3.2B'!E76</f>
        <v>0</v>
      </c>
      <c r="F41" s="148"/>
      <c r="G41" s="236">
        <f ca="1">[1]!ldfsir(xsldfs, ldf_ages, xsldf_type, xsldf_ret, Intro!$AA40, "Paid XS", $C41, cutoff, 3)</f>
        <v>3.855455817778966</v>
      </c>
      <c r="H41" s="148"/>
      <c r="I41" s="235">
        <f t="shared" ca="1" si="0"/>
        <v>0</v>
      </c>
      <c r="J41" s="148"/>
      <c r="K41" s="351">
        <f>Intro!K40</f>
        <v>536896.27333</v>
      </c>
      <c r="L41" s="148"/>
      <c r="M41" s="255">
        <f t="shared" ca="1" si="1"/>
        <v>0</v>
      </c>
    </row>
    <row r="42" spans="1:13" x14ac:dyDescent="0.2">
      <c r="A42" s="151">
        <f>Intro!C41</f>
        <v>2019</v>
      </c>
      <c r="B42" s="148"/>
      <c r="C42" s="247">
        <f>Intro!H41</f>
        <v>500000</v>
      </c>
      <c r="D42" s="148"/>
      <c r="E42" s="235">
        <f>'e3.2B'!E41-'e3.2B'!E77</f>
        <v>0</v>
      </c>
      <c r="F42" s="148"/>
      <c r="G42" s="236">
        <f ca="1">[1]!ldfsir(xsldfs, ldf_ages, xsldf_type, xsldf_ret, Intro!$AA41, "Paid XS", $C42, cutoff, 3)</f>
        <v>22.542146145689753</v>
      </c>
      <c r="H42" s="148"/>
      <c r="I42" s="235">
        <f t="shared" ca="1" si="0"/>
        <v>0</v>
      </c>
      <c r="J42" s="148"/>
      <c r="K42" s="271">
        <f>Intro!K41</f>
        <v>543133.22666000458</v>
      </c>
      <c r="L42" s="148"/>
      <c r="M42" s="261">
        <f t="shared" ca="1" si="1"/>
        <v>0</v>
      </c>
    </row>
    <row r="43" spans="1:13" x14ac:dyDescent="0.2">
      <c r="A43" s="148"/>
      <c r="B43" s="148"/>
      <c r="C43" s="148"/>
      <c r="D43" s="148"/>
      <c r="E43" s="234"/>
      <c r="F43" s="228"/>
      <c r="G43" s="228"/>
      <c r="H43" s="228"/>
      <c r="I43" s="234"/>
      <c r="J43" s="228"/>
      <c r="K43" s="234"/>
      <c r="L43" s="228"/>
      <c r="M43" s="281"/>
    </row>
    <row r="44" spans="1:13" x14ac:dyDescent="0.2">
      <c r="A44" s="151" t="s">
        <v>78</v>
      </c>
      <c r="B44" s="148"/>
      <c r="C44" s="148"/>
      <c r="D44" s="148"/>
      <c r="E44" s="358">
        <f>SUM(E19:E42)</f>
        <v>4320955.3000000007</v>
      </c>
      <c r="F44" s="148"/>
      <c r="G44" s="148"/>
      <c r="H44" s="148"/>
      <c r="I44" s="358">
        <f ca="1">SUM(I19:I42)</f>
        <v>5515298.9130609278</v>
      </c>
      <c r="J44" s="148"/>
      <c r="K44" s="358">
        <f>SUM(K19:K42)</f>
        <v>3896630.2405416127</v>
      </c>
      <c r="L44" s="148"/>
      <c r="M44" s="316">
        <f t="shared" ref="M44" ca="1" si="2">I44/K44</f>
        <v>1.4154021738265645</v>
      </c>
    </row>
    <row r="45" spans="1:13" x14ac:dyDescent="0.2">
      <c r="A45" s="151"/>
      <c r="B45" s="148"/>
      <c r="C45" s="148"/>
      <c r="D45" s="148"/>
      <c r="E45" s="235"/>
      <c r="F45" s="148"/>
      <c r="G45" s="148"/>
      <c r="H45" s="148"/>
      <c r="I45" s="235"/>
      <c r="J45" s="148"/>
      <c r="K45" s="355"/>
      <c r="L45" s="148"/>
      <c r="M45" s="255"/>
    </row>
    <row r="46" spans="1:1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239"/>
    </row>
    <row r="48" spans="1:13" x14ac:dyDescent="0.2">
      <c r="A48" s="356" t="str">
        <f>"Columns (1) and (4) provided by "&amp;client&amp;"."</f>
        <v>Columns (1) and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148" t="s">
        <v>695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359" t="s">
        <v>358</v>
      </c>
    </row>
    <row r="51" spans="1:13" x14ac:dyDescent="0.2">
      <c r="A51" s="341" t="s">
        <v>472</v>
      </c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2C
</oddHeader>
    <oddFooter xml:space="preserve">&amp;L&amp;"Arial"&amp;10 Oliver Wyman Actuarial Consulting, Inc.
&amp;C&amp;"Arial"&amp;10 &amp;R&amp;"Arial"&amp;10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2">
    <tabColor theme="5" tint="0.79998168889431442"/>
    <pageSetUpPr fitToPage="1"/>
  </sheetPr>
  <dimension ref="A1:R50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6" width="9" style="222"/>
    <col min="17" max="17" width="10.125" style="222" bestFit="1" customWidth="1"/>
    <col min="18" max="16384" width="9" style="222"/>
  </cols>
  <sheetData>
    <row r="1" spans="1:18" x14ac:dyDescent="0.2">
      <c r="A1" s="1" t="str">
        <f>[1]!getlabels()</f>
        <v>Exhibit 3, Sheet 3A</v>
      </c>
    </row>
    <row r="2" spans="1:18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8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8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8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8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8" s="619" customFormat="1" x14ac:dyDescent="0.2">
      <c r="A7" s="224" t="str">
        <f>VLOOKUP($A$1, index_lkups, 3, FALSE)</f>
        <v>Reported Bornhuetter-Ferguson Method - Loss &amp; ALAE Limited to Retention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</row>
    <row r="10" spans="1:18" x14ac:dyDescent="0.2">
      <c r="A10" s="151"/>
      <c r="B10" s="148"/>
      <c r="C10" s="151" t="s">
        <v>244</v>
      </c>
      <c r="D10" s="148"/>
      <c r="E10" s="148"/>
      <c r="F10" s="148"/>
      <c r="G10" s="151"/>
      <c r="H10" s="148"/>
      <c r="I10" s="151" t="s">
        <v>71</v>
      </c>
      <c r="J10" s="148"/>
      <c r="L10" s="148"/>
      <c r="M10" s="151"/>
    </row>
    <row r="11" spans="1:18" x14ac:dyDescent="0.2">
      <c r="A11" s="181" t="str">
        <f>Intro!M9</f>
        <v>Policy</v>
      </c>
      <c r="B11" s="148"/>
      <c r="C11" s="230" t="s">
        <v>467</v>
      </c>
      <c r="D11" s="148"/>
      <c r="E11" s="230" t="s">
        <v>331</v>
      </c>
      <c r="F11" s="148"/>
      <c r="G11" s="151" t="s">
        <v>332</v>
      </c>
      <c r="H11" s="148"/>
      <c r="I11" s="181" t="s">
        <v>8</v>
      </c>
      <c r="J11" s="148"/>
      <c r="K11" s="181" t="s">
        <v>330</v>
      </c>
      <c r="L11" s="148"/>
      <c r="M11" s="151" t="s">
        <v>332</v>
      </c>
    </row>
    <row r="12" spans="1:18" x14ac:dyDescent="0.2">
      <c r="A12" s="181" t="str">
        <f>Intro!M10</f>
        <v>Period</v>
      </c>
      <c r="B12" s="148"/>
      <c r="C12" s="151" t="s">
        <v>462</v>
      </c>
      <c r="D12" s="148"/>
      <c r="E12" s="230" t="s">
        <v>245</v>
      </c>
      <c r="F12" s="148"/>
      <c r="G12" s="151" t="s">
        <v>494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8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tr">
        <f>ctxt</f>
        <v>4/30/19</v>
      </c>
      <c r="J13" s="148"/>
      <c r="K13" s="176" t="s">
        <v>8</v>
      </c>
      <c r="L13" s="148"/>
      <c r="M13" s="232" t="s">
        <v>349</v>
      </c>
      <c r="Q13" s="631" t="s">
        <v>18</v>
      </c>
      <c r="R13" s="631" t="s">
        <v>505</v>
      </c>
    </row>
    <row r="14" spans="1:18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8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8" x14ac:dyDescent="0.2">
      <c r="A16" s="151">
        <f>'e3.5A'!A17</f>
        <v>1996</v>
      </c>
      <c r="B16" s="148"/>
      <c r="C16" s="354">
        <f ca="1">'e3.4A'!C16</f>
        <v>467835.73549209518</v>
      </c>
      <c r="D16" s="148"/>
      <c r="E16" s="269">
        <f ca="1">'e3.1B'!G54</f>
        <v>1.0039974324262859</v>
      </c>
      <c r="F16" s="148"/>
      <c r="G16" s="354">
        <f ca="1">C16*(1-1/E16)</f>
        <v>1862.6957388845206</v>
      </c>
      <c r="H16" s="148"/>
      <c r="I16" s="249">
        <f>'e3.1B'!E54</f>
        <v>683326</v>
      </c>
      <c r="J16" s="148"/>
      <c r="K16" s="350">
        <f ca="1">G16+I16</f>
        <v>685188.6957388845</v>
      </c>
      <c r="L16" s="148"/>
      <c r="M16" s="316">
        <f ca="1">K16/Intro!K18</f>
        <v>13.248362000930195</v>
      </c>
      <c r="Q16" s="673">
        <v>472649.66643362399</v>
      </c>
      <c r="R16" s="423">
        <f ca="1">C16/Q16-1</f>
        <v>-1.0184987493701891E-2</v>
      </c>
    </row>
    <row r="17" spans="1:18" x14ac:dyDescent="0.2">
      <c r="A17" s="151">
        <f>'e3.5A'!A18</f>
        <v>1997</v>
      </c>
      <c r="B17" s="148"/>
      <c r="C17" s="240">
        <f ca="1">'e3.4A'!C17</f>
        <v>638920.30798147165</v>
      </c>
      <c r="D17" s="148"/>
      <c r="E17" s="269">
        <f ca="1">'e3.1B'!G55</f>
        <v>1.0047068848450238</v>
      </c>
      <c r="F17" s="148"/>
      <c r="G17" s="240">
        <f t="shared" ref="G17:G39" ca="1" si="0">C17*(1-1/E17)</f>
        <v>2993.2355000033494</v>
      </c>
      <c r="H17" s="148"/>
      <c r="I17" s="235">
        <f>'e3.1B'!E55</f>
        <v>1337604</v>
      </c>
      <c r="J17" s="148"/>
      <c r="K17" s="351">
        <f t="shared" ref="K17:K39" ca="1" si="1">G17+I17</f>
        <v>1340597.2355000034</v>
      </c>
      <c r="L17" s="148"/>
      <c r="M17" s="256">
        <f ca="1">K17/Intro!K19</f>
        <v>18.807524873334767</v>
      </c>
      <c r="Q17" s="673">
        <v>646783.72191148112</v>
      </c>
      <c r="R17" s="423">
        <f t="shared" ref="R17:R39" ca="1" si="2">C17/Q17-1</f>
        <v>-1.2157717740282958E-2</v>
      </c>
    </row>
    <row r="18" spans="1:18" x14ac:dyDescent="0.2">
      <c r="A18" s="151">
        <f>'e3.5A'!A19</f>
        <v>1998</v>
      </c>
      <c r="B18" s="148"/>
      <c r="C18" s="240">
        <f ca="1">'e3.4A'!C18</f>
        <v>825033.65669364447</v>
      </c>
      <c r="D18" s="148"/>
      <c r="E18" s="269">
        <f ca="1">'e3.1B'!G56</f>
        <v>1.0055425959161362</v>
      </c>
      <c r="F18" s="148"/>
      <c r="G18" s="240">
        <f t="shared" ca="1" si="0"/>
        <v>4547.6225421349363</v>
      </c>
      <c r="H18" s="148"/>
      <c r="I18" s="235">
        <f>'e3.1B'!E56</f>
        <v>2593680.7199999997</v>
      </c>
      <c r="J18" s="148"/>
      <c r="K18" s="351">
        <f t="shared" ca="1" si="1"/>
        <v>2598228.3425421347</v>
      </c>
      <c r="L18" s="148"/>
      <c r="M18" s="256">
        <f ca="1">K18/Intro!K20</f>
        <v>28.638209427960174</v>
      </c>
      <c r="Q18" s="673">
        <v>835378.19065784907</v>
      </c>
      <c r="R18" s="423">
        <f t="shared" ca="1" si="2"/>
        <v>-1.238305486052782E-2</v>
      </c>
    </row>
    <row r="19" spans="1:18" x14ac:dyDescent="0.2">
      <c r="A19" s="151">
        <f>'e3.5A'!A20</f>
        <v>1999</v>
      </c>
      <c r="B19" s="148"/>
      <c r="C19" s="240">
        <f ca="1">'e3.4A'!C19</f>
        <v>1066282.1970283729</v>
      </c>
      <c r="D19" s="148"/>
      <c r="E19" s="269">
        <f ca="1">'e3.1B'!G57</f>
        <v>1.0065271694685793</v>
      </c>
      <c r="F19" s="148"/>
      <c r="G19" s="240">
        <f t="shared" ca="1" si="0"/>
        <v>6914.6713694851123</v>
      </c>
      <c r="H19" s="148"/>
      <c r="I19" s="235">
        <f>'e3.1B'!E57</f>
        <v>2640381.7999999998</v>
      </c>
      <c r="J19" s="148"/>
      <c r="K19" s="351">
        <f t="shared" ca="1" si="1"/>
        <v>2647296.4713694849</v>
      </c>
      <c r="L19" s="148"/>
      <c r="M19" s="256">
        <f ca="1">K19/Intro!K21</f>
        <v>22.85537804627743</v>
      </c>
      <c r="Q19" s="673">
        <v>1079806.6184282058</v>
      </c>
      <c r="R19" s="423">
        <f t="shared" ca="1" si="2"/>
        <v>-1.2524855070363827E-2</v>
      </c>
    </row>
    <row r="20" spans="1:18" x14ac:dyDescent="0.2">
      <c r="A20" s="151">
        <f>'e3.5A'!A21</f>
        <v>2000</v>
      </c>
      <c r="B20" s="148"/>
      <c r="C20" s="240">
        <f ca="1">'e3.4A'!C20</f>
        <v>810737.22074185079</v>
      </c>
      <c r="D20" s="148"/>
      <c r="E20" s="269">
        <f ca="1">'e3.1B'!G58</f>
        <v>1.00768730779243</v>
      </c>
      <c r="F20" s="148"/>
      <c r="G20" s="240">
        <f t="shared" ca="1" si="0"/>
        <v>6184.8417722709346</v>
      </c>
      <c r="H20" s="148"/>
      <c r="I20" s="235">
        <f>'e3.1B'!E58</f>
        <v>2370485.2200000002</v>
      </c>
      <c r="J20" s="148"/>
      <c r="K20" s="351">
        <f t="shared" ca="1" si="1"/>
        <v>2376670.0617722711</v>
      </c>
      <c r="L20" s="148"/>
      <c r="M20" s="256">
        <f ca="1">K20/Intro!K22</f>
        <v>27.364244284381869</v>
      </c>
      <c r="Q20" s="673">
        <v>821310.18881432049</v>
      </c>
      <c r="R20" s="423">
        <f t="shared" ca="1" si="2"/>
        <v>-1.2873294665604162E-2</v>
      </c>
    </row>
    <row r="21" spans="1:18" x14ac:dyDescent="0.2">
      <c r="A21" s="151">
        <f>'e3.5A'!A22</f>
        <v>2001</v>
      </c>
      <c r="B21" s="148"/>
      <c r="C21" s="240">
        <f ca="1">'e3.4A'!C21</f>
        <v>870310.07360855013</v>
      </c>
      <c r="D21" s="148"/>
      <c r="E21" s="269">
        <f ca="1">'e3.1B'!G59</f>
        <v>1.0090545746999535</v>
      </c>
      <c r="F21" s="148"/>
      <c r="G21" s="240">
        <f t="shared" ca="1" si="0"/>
        <v>7809.575191662846</v>
      </c>
      <c r="H21" s="148"/>
      <c r="I21" s="235">
        <f>'e3.1B'!E59</f>
        <v>1349446.97</v>
      </c>
      <c r="J21" s="148"/>
      <c r="K21" s="351">
        <f t="shared" ca="1" si="1"/>
        <v>1357256.5451916629</v>
      </c>
      <c r="L21" s="353"/>
      <c r="M21" s="256">
        <f ca="1">K21/Intro!K23</f>
        <v>14.778780729757957</v>
      </c>
      <c r="Q21" s="673">
        <v>882029.02962359565</v>
      </c>
      <c r="R21" s="423">
        <f t="shared" ca="1" si="2"/>
        <v>-1.3286360903616234E-2</v>
      </c>
    </row>
    <row r="22" spans="1:18" x14ac:dyDescent="0.2">
      <c r="A22" s="151">
        <f>'e3.5A'!A23</f>
        <v>2002</v>
      </c>
      <c r="B22" s="148"/>
      <c r="C22" s="240">
        <f ca="1">'e3.4A'!C22</f>
        <v>827971.7433405706</v>
      </c>
      <c r="D22" s="148"/>
      <c r="E22" s="269">
        <f ca="1">'e3.1B'!G60</f>
        <v>1.0106853717104405</v>
      </c>
      <c r="F22" s="148"/>
      <c r="G22" s="240">
        <f t="shared" ca="1" si="0"/>
        <v>8753.6498409617288</v>
      </c>
      <c r="H22" s="148"/>
      <c r="I22" s="235">
        <f>'e3.1B'!E60</f>
        <v>2954508.65</v>
      </c>
      <c r="J22" s="148"/>
      <c r="K22" s="351">
        <f t="shared" ca="1" si="1"/>
        <v>2963262.2998409616</v>
      </c>
      <c r="L22" s="353"/>
      <c r="M22" s="256">
        <f ca="1">K22/Intro!K24</f>
        <v>34.417264669449132</v>
      </c>
      <c r="Q22" s="673">
        <v>839721.86708387278</v>
      </c>
      <c r="R22" s="423">
        <f t="shared" ca="1" si="2"/>
        <v>-1.3992875741234645E-2</v>
      </c>
    </row>
    <row r="23" spans="1:18" x14ac:dyDescent="0.2">
      <c r="A23" s="151">
        <f>'e3.5A'!A24</f>
        <v>2003</v>
      </c>
      <c r="B23" s="148"/>
      <c r="C23" s="240">
        <f ca="1">'e3.4A'!C23</f>
        <v>952161.1629595079</v>
      </c>
      <c r="D23" s="148"/>
      <c r="E23" s="269">
        <f ca="1">'e3.1B'!G61</f>
        <v>1.0086914060019649</v>
      </c>
      <c r="F23" s="148"/>
      <c r="G23" s="240">
        <f t="shared" ca="1" si="0"/>
        <v>8204.3122379572069</v>
      </c>
      <c r="H23" s="148"/>
      <c r="I23" s="235">
        <f>'e3.1B'!E61</f>
        <v>1243025.0200000005</v>
      </c>
      <c r="J23" s="148"/>
      <c r="K23" s="351">
        <f t="shared" ca="1" si="1"/>
        <v>1251229.3322379577</v>
      </c>
      <c r="L23" s="353"/>
      <c r="M23" s="256">
        <f ca="1">K23/Intro!K25</f>
        <v>13.050337736199321</v>
      </c>
      <c r="Q23" s="673">
        <v>961699.05528271163</v>
      </c>
      <c r="R23" s="423">
        <f t="shared" ca="1" si="2"/>
        <v>-9.9177515781170289E-3</v>
      </c>
    </row>
    <row r="24" spans="1:18" x14ac:dyDescent="0.2">
      <c r="A24" s="151">
        <f>'e3.5A'!A25</f>
        <v>2004</v>
      </c>
      <c r="B24" s="148"/>
      <c r="C24" s="240">
        <f ca="1">'e3.4A'!C24</f>
        <v>1028199.8306088593</v>
      </c>
      <c r="D24" s="148"/>
      <c r="E24" s="269">
        <f ca="1">'e3.1B'!G62</f>
        <v>1.0155760385555581</v>
      </c>
      <c r="F24" s="148"/>
      <c r="G24" s="240">
        <f t="shared" ca="1" si="0"/>
        <v>15769.651504539457</v>
      </c>
      <c r="H24" s="148"/>
      <c r="I24" s="235">
        <f>'e3.1B'!E62</f>
        <v>2385205.2599999993</v>
      </c>
      <c r="J24" s="148"/>
      <c r="K24" s="351">
        <f t="shared" ca="1" si="1"/>
        <v>2400974.9115045387</v>
      </c>
      <c r="L24" s="353"/>
      <c r="M24" s="256">
        <f ca="1">K24/Intro!K26</f>
        <v>23.507237945426926</v>
      </c>
      <c r="Q24" s="673">
        <v>1040852.9117865651</v>
      </c>
      <c r="R24" s="423">
        <f t="shared" ca="1" si="2"/>
        <v>-1.2156454609890566E-2</v>
      </c>
    </row>
    <row r="25" spans="1:18" x14ac:dyDescent="0.2">
      <c r="A25" s="151">
        <f>'e3.5A'!A26</f>
        <v>2005</v>
      </c>
      <c r="B25" s="148"/>
      <c r="C25" s="240">
        <f ca="1">'e3.4A'!C25</f>
        <v>1137317.5853621054</v>
      </c>
      <c r="D25" s="148"/>
      <c r="E25" s="269">
        <f ca="1">'e3.1B'!G63</f>
        <v>1.0178251829014258</v>
      </c>
      <c r="F25" s="148"/>
      <c r="G25" s="240">
        <f t="shared" ca="1" si="0"/>
        <v>19917.854575279052</v>
      </c>
      <c r="H25" s="148"/>
      <c r="I25" s="235">
        <f>'e3.1B'!E63</f>
        <v>699839.89000000025</v>
      </c>
      <c r="J25" s="148"/>
      <c r="K25" s="351">
        <f t="shared" ca="1" si="1"/>
        <v>719757.7445752793</v>
      </c>
      <c r="L25" s="353"/>
      <c r="M25" s="256">
        <f ca="1">K25/Intro!K27</f>
        <v>6.4672681720712699</v>
      </c>
      <c r="Q25" s="673">
        <v>1149980.3566341456</v>
      </c>
      <c r="R25" s="423">
        <f t="shared" ca="1" si="2"/>
        <v>-1.1011293539919809E-2</v>
      </c>
    </row>
    <row r="26" spans="1:18" x14ac:dyDescent="0.2">
      <c r="A26" s="151">
        <f>'e3.5A'!A27</f>
        <v>2006</v>
      </c>
      <c r="B26" s="148"/>
      <c r="C26" s="240">
        <f ca="1">'e3.4A'!C26</f>
        <v>1145250.7498301363</v>
      </c>
      <c r="D26" s="148"/>
      <c r="E26" s="269">
        <f ca="1">'e3.1B'!G64</f>
        <v>1.0205016212813123</v>
      </c>
      <c r="F26" s="148"/>
      <c r="G26" s="240">
        <f t="shared" ca="1" si="0"/>
        <v>23007.799944184506</v>
      </c>
      <c r="H26" s="148"/>
      <c r="I26" s="235">
        <f>'e3.1B'!E64</f>
        <v>2005481.3700000008</v>
      </c>
      <c r="J26" s="148"/>
      <c r="K26" s="351">
        <f t="shared" ca="1" si="1"/>
        <v>2028489.1699441853</v>
      </c>
      <c r="L26" s="353"/>
      <c r="M26" s="256">
        <f ca="1">K26/Intro!K28</f>
        <v>18.824693366465453</v>
      </c>
      <c r="Q26" s="673">
        <v>1156377.8617050487</v>
      </c>
      <c r="R26" s="423">
        <f t="shared" ca="1" si="2"/>
        <v>-9.6223840350123657E-3</v>
      </c>
    </row>
    <row r="27" spans="1:18" x14ac:dyDescent="0.2">
      <c r="A27" s="151">
        <f>'e3.5A'!A28</f>
        <v>2007</v>
      </c>
      <c r="B27" s="148"/>
      <c r="C27" s="240">
        <f ca="1">'e3.4A'!C27</f>
        <v>1165494.6949859634</v>
      </c>
      <c r="D27" s="148"/>
      <c r="E27" s="269">
        <f ca="1">'e3.1B'!G65</f>
        <v>1.0235775552606274</v>
      </c>
      <c r="F27" s="148"/>
      <c r="G27" s="240">
        <f t="shared" ca="1" si="0"/>
        <v>26846.539801278432</v>
      </c>
      <c r="H27" s="148"/>
      <c r="I27" s="235">
        <f>'e3.1B'!E65</f>
        <v>1099670.4199999997</v>
      </c>
      <c r="J27" s="148"/>
      <c r="K27" s="351">
        <f t="shared" ca="1" si="1"/>
        <v>1126516.9598012781</v>
      </c>
      <c r="L27" s="353"/>
      <c r="M27" s="256">
        <f ca="1">K27/Intro!K29</f>
        <v>10.77139773883872</v>
      </c>
      <c r="Q27" s="673">
        <v>1175372.4384049424</v>
      </c>
      <c r="R27" s="423">
        <f t="shared" ca="1" si="2"/>
        <v>-8.4039263608934878E-3</v>
      </c>
    </row>
    <row r="28" spans="1:18" x14ac:dyDescent="0.2">
      <c r="A28" s="151">
        <f>'e3.5A'!A29</f>
        <v>2008</v>
      </c>
      <c r="B28" s="148"/>
      <c r="C28" s="240">
        <f ca="1">'e3.4A'!C28</f>
        <v>1235007.7084740566</v>
      </c>
      <c r="D28" s="148"/>
      <c r="E28" s="269">
        <f ca="1">'e3.1B'!G66</f>
        <v>1.0388176043763666</v>
      </c>
      <c r="F28" s="148"/>
      <c r="G28" s="240">
        <f t="shared" ca="1" si="0"/>
        <v>46148.660195346718</v>
      </c>
      <c r="H28" s="148"/>
      <c r="I28" s="235">
        <f>'e3.1B'!E66</f>
        <v>766269.99000000011</v>
      </c>
      <c r="J28" s="148"/>
      <c r="K28" s="351">
        <f t="shared" ca="1" si="1"/>
        <v>812418.6501953468</v>
      </c>
      <c r="L28" s="353"/>
      <c r="M28" s="256">
        <f ca="1">K28/Intro!K30</f>
        <v>7.6606918903333838</v>
      </c>
      <c r="Q28" s="673">
        <v>1250273.727515941</v>
      </c>
      <c r="R28" s="423">
        <f t="shared" ca="1" si="2"/>
        <v>-1.2210141432160704E-2</v>
      </c>
    </row>
    <row r="29" spans="1:18" x14ac:dyDescent="0.2">
      <c r="A29" s="151">
        <f>'e3.5A'!A30</f>
        <v>2009</v>
      </c>
      <c r="B29" s="148"/>
      <c r="C29" s="240">
        <f ca="1">'e3.4A'!C29</f>
        <v>1321146.0141608114</v>
      </c>
      <c r="D29" s="148"/>
      <c r="E29" s="269">
        <f ca="1">'e3.1B'!G67</f>
        <v>1.0442914580812708</v>
      </c>
      <c r="F29" s="148"/>
      <c r="G29" s="240">
        <f t="shared" ca="1" si="0"/>
        <v>56033.670344249542</v>
      </c>
      <c r="H29" s="148"/>
      <c r="I29" s="235">
        <f>'e3.1B'!E67</f>
        <v>1882294.4700000004</v>
      </c>
      <c r="J29" s="148"/>
      <c r="K29" s="351">
        <f t="shared" ca="1" si="1"/>
        <v>1938328.14034425</v>
      </c>
      <c r="L29" s="353"/>
      <c r="M29" s="256">
        <f ca="1">K29/Intro!K31</f>
        <v>17.506148719399963</v>
      </c>
      <c r="Q29" s="673">
        <v>1337094.9569663857</v>
      </c>
      <c r="R29" s="423">
        <f t="shared" ca="1" si="2"/>
        <v>-1.1928055462687159E-2</v>
      </c>
    </row>
    <row r="30" spans="1:18" x14ac:dyDescent="0.2">
      <c r="A30" s="151">
        <f>'e3.5A'!A31</f>
        <v>2010</v>
      </c>
      <c r="B30" s="148"/>
      <c r="C30" s="240">
        <f ca="1">'e3.4A'!C30</f>
        <v>1569176.515627261</v>
      </c>
      <c r="D30" s="148"/>
      <c r="E30" s="269">
        <f ca="1">'e3.1B'!G68</f>
        <v>1.0507101496301834</v>
      </c>
      <c r="F30" s="148"/>
      <c r="G30" s="240">
        <f t="shared" ca="1" si="0"/>
        <v>75732.756490108601</v>
      </c>
      <c r="H30" s="148"/>
      <c r="I30" s="235">
        <f>'e3.1B'!E68</f>
        <v>1200315.5200000003</v>
      </c>
      <c r="J30" s="148"/>
      <c r="K30" s="351">
        <f t="shared" ca="1" si="1"/>
        <v>1276048.2764901088</v>
      </c>
      <c r="L30" s="353"/>
      <c r="M30" s="256">
        <f ca="1">K30/Intro!K32</f>
        <v>9.9518588190543866</v>
      </c>
      <c r="Q30" s="673">
        <v>1587654.7521599482</v>
      </c>
      <c r="R30" s="423">
        <f t="shared" ca="1" si="2"/>
        <v>-1.1638699476412162E-2</v>
      </c>
    </row>
    <row r="31" spans="1:18" x14ac:dyDescent="0.2">
      <c r="A31" s="151">
        <f>'e3.5A'!A32</f>
        <v>2011</v>
      </c>
      <c r="B31" s="148"/>
      <c r="C31" s="240">
        <f ca="1">'e3.4A'!C31</f>
        <v>1761647.4596341953</v>
      </c>
      <c r="D31" s="148"/>
      <c r="E31" s="269">
        <f ca="1">'e3.1B'!G69</f>
        <v>1.0582766733856392</v>
      </c>
      <c r="F31" s="148"/>
      <c r="G31" s="240">
        <f t="shared" ca="1" si="0"/>
        <v>97009.559227365186</v>
      </c>
      <c r="H31" s="148"/>
      <c r="I31" s="235">
        <f>'e3.1B'!E69</f>
        <v>1212882.8100000003</v>
      </c>
      <c r="J31" s="148"/>
      <c r="K31" s="351">
        <f t="shared" ca="1" si="1"/>
        <v>1309892.3692273656</v>
      </c>
      <c r="L31" s="353"/>
      <c r="M31" s="256">
        <f ca="1">K31/Intro!K33</f>
        <v>9.146374994645198</v>
      </c>
      <c r="Q31" s="673">
        <v>1784996.1478842942</v>
      </c>
      <c r="R31" s="423">
        <f t="shared" ca="1" si="2"/>
        <v>-1.3080525847505853E-2</v>
      </c>
    </row>
    <row r="32" spans="1:18" x14ac:dyDescent="0.2">
      <c r="A32" s="151">
        <f>'e3.5A'!A33</f>
        <v>2012</v>
      </c>
      <c r="B32" s="148"/>
      <c r="C32" s="240">
        <f ca="1">'e3.4A'!C32</f>
        <v>1771850.764030976</v>
      </c>
      <c r="D32" s="148"/>
      <c r="E32" s="269">
        <f ca="1">'e3.1B'!G70</f>
        <v>1.0672602881575739</v>
      </c>
      <c r="F32" s="148"/>
      <c r="G32" s="240">
        <f t="shared" ca="1" si="0"/>
        <v>111664.59980130495</v>
      </c>
      <c r="H32" s="148"/>
      <c r="I32" s="235">
        <f>'e3.1B'!E70</f>
        <v>1930458.7599999993</v>
      </c>
      <c r="J32" s="148"/>
      <c r="K32" s="351">
        <f t="shared" ca="1" si="1"/>
        <v>2042123.3598013043</v>
      </c>
      <c r="L32" s="353"/>
      <c r="M32" s="256">
        <f ca="1">K32/Intro!K34</f>
        <v>14.028476786930582</v>
      </c>
      <c r="Q32" s="673">
        <v>1792784.4132464088</v>
      </c>
      <c r="R32" s="423">
        <f t="shared" ca="1" si="2"/>
        <v>-1.1676612681792431E-2</v>
      </c>
    </row>
    <row r="33" spans="1:18" x14ac:dyDescent="0.2">
      <c r="A33" s="151">
        <f>'e3.5A'!A34</f>
        <v>2013</v>
      </c>
      <c r="B33" s="148"/>
      <c r="C33" s="240">
        <f ca="1">'e3.4A'!C33</f>
        <v>2093164.981484415</v>
      </c>
      <c r="D33" s="148"/>
      <c r="E33" s="269">
        <f ca="1">'e3.1B'!G71</f>
        <v>1.0784425114522491</v>
      </c>
      <c r="F33" s="148"/>
      <c r="G33" s="240">
        <f t="shared" ca="1" si="0"/>
        <v>152250.22779418511</v>
      </c>
      <c r="H33" s="148"/>
      <c r="I33" s="235">
        <f>'e3.1B'!E71</f>
        <v>2106047.2399999998</v>
      </c>
      <c r="J33" s="148"/>
      <c r="K33" s="351">
        <f t="shared" ca="1" si="1"/>
        <v>2258297.467794185</v>
      </c>
      <c r="L33" s="353"/>
      <c r="M33" s="256">
        <f ca="1">K33/Intro!K35</f>
        <v>14.295871816539057</v>
      </c>
      <c r="Q33" s="673">
        <v>2122045.2902781069</v>
      </c>
      <c r="R33" s="423">
        <f t="shared" ca="1" si="2"/>
        <v>-1.3609657119950991E-2</v>
      </c>
    </row>
    <row r="34" spans="1:18" x14ac:dyDescent="0.2">
      <c r="A34" s="151">
        <f>'e3.5A'!A35</f>
        <v>2014</v>
      </c>
      <c r="B34" s="148"/>
      <c r="C34" s="240">
        <f ca="1">'e3.4A'!C34</f>
        <v>2565030.9846031037</v>
      </c>
      <c r="D34" s="148"/>
      <c r="E34" s="269">
        <f ca="1">'e3.1B'!G72</f>
        <v>1.0928221522207482</v>
      </c>
      <c r="F34" s="148"/>
      <c r="G34" s="240">
        <f t="shared" ca="1" si="0"/>
        <v>217868.65870163194</v>
      </c>
      <c r="H34" s="148"/>
      <c r="I34" s="235">
        <f>'e3.1B'!E72</f>
        <v>2342502.8100000005</v>
      </c>
      <c r="J34" s="148"/>
      <c r="K34" s="351">
        <f t="shared" ca="1" si="1"/>
        <v>2560371.4687016327</v>
      </c>
      <c r="L34" s="353"/>
      <c r="M34" s="256">
        <f ca="1">K34/Intro!K36</f>
        <v>14.025878628388694</v>
      </c>
      <c r="Q34" s="673">
        <v>2602458.9183150069</v>
      </c>
      <c r="R34" s="423">
        <f t="shared" ca="1" si="2"/>
        <v>-1.4381757747836565E-2</v>
      </c>
    </row>
    <row r="35" spans="1:18" x14ac:dyDescent="0.2">
      <c r="A35" s="151">
        <f>'e3.5A'!A36</f>
        <v>2015</v>
      </c>
      <c r="B35" s="148"/>
      <c r="C35" s="240">
        <f ca="1">'e3.4A'!C35</f>
        <v>2730497.9513096032</v>
      </c>
      <c r="D35" s="148"/>
      <c r="E35" s="269">
        <f ca="1">'e3.1B'!G73</f>
        <v>1.1155798265124286</v>
      </c>
      <c r="F35" s="148"/>
      <c r="G35" s="240">
        <f t="shared" ca="1" si="0"/>
        <v>282893.67735477741</v>
      </c>
      <c r="H35" s="148"/>
      <c r="I35" s="235">
        <f>'e3.1B'!E73</f>
        <v>3251678.2500000009</v>
      </c>
      <c r="J35" s="148"/>
      <c r="K35" s="351">
        <f t="shared" ca="1" si="1"/>
        <v>3534571.9273547782</v>
      </c>
      <c r="L35" s="353"/>
      <c r="M35" s="256">
        <f ca="1">K35/Intro!K37</f>
        <v>17.949998206879037</v>
      </c>
      <c r="Q35" s="673">
        <v>2763162.3483344745</v>
      </c>
      <c r="R35" s="423">
        <f t="shared" ca="1" si="2"/>
        <v>-1.1821381774603346E-2</v>
      </c>
    </row>
    <row r="36" spans="1:18" x14ac:dyDescent="0.2">
      <c r="A36" s="151">
        <f>'e3.5A'!A37</f>
        <v>2016</v>
      </c>
      <c r="B36" s="148"/>
      <c r="C36" s="240">
        <f ca="1">'e3.4A'!C36</f>
        <v>3254939.6497910637</v>
      </c>
      <c r="D36" s="148"/>
      <c r="E36" s="269">
        <f ca="1">'e3.1B'!G74</f>
        <v>1.1682424205003876</v>
      </c>
      <c r="F36" s="148"/>
      <c r="G36" s="240">
        <f t="shared" ca="1" si="0"/>
        <v>468754.52872955409</v>
      </c>
      <c r="H36" s="148"/>
      <c r="I36" s="235">
        <f>'e3.1B'!E74</f>
        <v>2628716.9900000021</v>
      </c>
      <c r="J36" s="148"/>
      <c r="K36" s="351">
        <f t="shared" ca="1" si="1"/>
        <v>3097471.5187295564</v>
      </c>
      <c r="L36" s="353"/>
      <c r="M36" s="256">
        <f ca="1">K36/Intro!K38</f>
        <v>13.959202970856762</v>
      </c>
      <c r="Q36" s="673">
        <v>3260923.1676032324</v>
      </c>
      <c r="R36" s="423">
        <f t="shared" ca="1" si="2"/>
        <v>-1.8349152999413976E-3</v>
      </c>
    </row>
    <row r="37" spans="1:18" x14ac:dyDescent="0.2">
      <c r="A37" s="151">
        <f>'e3.5A'!A38</f>
        <v>2017</v>
      </c>
      <c r="B37" s="148"/>
      <c r="C37" s="240">
        <f ca="1">'e3.4A'!C37</f>
        <v>4015616.5488428734</v>
      </c>
      <c r="D37" s="148"/>
      <c r="E37" s="269">
        <f ca="1">'e3.1B'!G75</f>
        <v>1.2735149656149896</v>
      </c>
      <c r="F37" s="148"/>
      <c r="G37" s="240">
        <f t="shared" ca="1" si="0"/>
        <v>862440.76586045406</v>
      </c>
      <c r="H37" s="148"/>
      <c r="I37" s="235">
        <f>'e3.1B'!E75</f>
        <v>2585441.4500000016</v>
      </c>
      <c r="J37" s="148"/>
      <c r="K37" s="351">
        <f t="shared" ca="1" si="1"/>
        <v>3447882.2158604558</v>
      </c>
      <c r="L37" s="353"/>
      <c r="M37" s="256">
        <f ca="1">K37/Intro!K39</f>
        <v>11.212272504945737</v>
      </c>
      <c r="Q37" s="673">
        <v>4060602.005773427</v>
      </c>
      <c r="R37" s="423">
        <f t="shared" ca="1" si="2"/>
        <v>-1.1078519112829199E-2</v>
      </c>
    </row>
    <row r="38" spans="1:18" x14ac:dyDescent="0.2">
      <c r="A38" s="151">
        <f>'e3.5A'!A39</f>
        <v>2018</v>
      </c>
      <c r="B38" s="148"/>
      <c r="C38" s="240">
        <f ca="1">'e3.4A'!C38</f>
        <v>8875557.1798283979</v>
      </c>
      <c r="D38" s="148"/>
      <c r="E38" s="269">
        <f ca="1">'e3.1B'!G76</f>
        <v>1.619653822268273</v>
      </c>
      <c r="F38" s="148"/>
      <c r="G38" s="240">
        <f t="shared" ca="1" si="0"/>
        <v>3395647.1781970207</v>
      </c>
      <c r="H38" s="148"/>
      <c r="I38" s="235">
        <f>'e3.1B'!E76</f>
        <v>5817996.7700000023</v>
      </c>
      <c r="J38" s="148"/>
      <c r="K38" s="351">
        <f t="shared" ca="1" si="1"/>
        <v>9213643.9481970221</v>
      </c>
      <c r="L38" s="353"/>
      <c r="M38" s="256">
        <f ca="1">K38/Intro!K40</f>
        <v>17.160938538558103</v>
      </c>
      <c r="Q38" s="673">
        <v>8762835.9638532978</v>
      </c>
      <c r="R38" s="423">
        <f t="shared" ca="1" si="2"/>
        <v>1.2863554269425537E-2</v>
      </c>
    </row>
    <row r="39" spans="1:18" x14ac:dyDescent="0.2">
      <c r="A39" s="151">
        <f>'e3.5A'!A40</f>
        <v>2019</v>
      </c>
      <c r="B39" s="148"/>
      <c r="C39" s="240">
        <f ca="1">'e3.4A'!C39</f>
        <v>8899767.9917709138</v>
      </c>
      <c r="D39" s="148"/>
      <c r="E39" s="269">
        <f ca="1">'e3.1B'!G77</f>
        <v>4.5884558470269194</v>
      </c>
      <c r="F39" s="148"/>
      <c r="G39" s="271">
        <f t="shared" ca="1" si="0"/>
        <v>6960168.2029797668</v>
      </c>
      <c r="H39" s="148"/>
      <c r="I39" s="235">
        <f>'e3.1B'!E77</f>
        <v>1261811.2200000007</v>
      </c>
      <c r="J39" s="148"/>
      <c r="K39" s="351">
        <f t="shared" ca="1" si="1"/>
        <v>8221979.4229797674</v>
      </c>
      <c r="L39" s="353"/>
      <c r="M39" s="261">
        <f ca="1">K39/Intro!K41</f>
        <v>15.138052727027572</v>
      </c>
      <c r="Q39" s="673">
        <v>9111500.9700589068</v>
      </c>
      <c r="R39" s="423">
        <f t="shared" ca="1" si="2"/>
        <v>-2.3237991082233789E-2</v>
      </c>
    </row>
    <row r="40" spans="1:18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8" x14ac:dyDescent="0.2">
      <c r="A41" s="348" t="s">
        <v>78</v>
      </c>
      <c r="B41" s="148"/>
      <c r="C41" s="249">
        <f ca="1">SUM(C16:C40)</f>
        <v>51028918.708190791</v>
      </c>
      <c r="D41" s="148"/>
      <c r="E41" s="148"/>
      <c r="F41" s="148"/>
      <c r="G41" s="249">
        <f ca="1">SUM(G16:G40)</f>
        <v>12859424.935694408</v>
      </c>
      <c r="H41" s="148"/>
      <c r="I41" s="249">
        <f>SUM(I16:I40)</f>
        <v>48349071.600000001</v>
      </c>
      <c r="J41" s="148"/>
      <c r="K41" s="249">
        <f ca="1">SUM(K16:K40)</f>
        <v>61208496.535694413</v>
      </c>
      <c r="L41" s="148"/>
      <c r="M41" s="316">
        <f ca="1">K41/Intro!K45</f>
        <v>15.708058696168907</v>
      </c>
    </row>
    <row r="42" spans="1:18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8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8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8" x14ac:dyDescent="0.2">
      <c r="A45" s="148" t="s">
        <v>589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8" x14ac:dyDescent="0.2">
      <c r="A46" s="148" t="s">
        <v>474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8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8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3A
</oddHeader>
    <oddFooter xml:space="preserve">&amp;L&amp;"Arial"&amp;10 Oliver Wyman Actuarial Consulting, Inc.
&amp;C&amp;"Arial"&amp;10 &amp;R&amp;"Arial"&amp;10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>
    <tabColor theme="5" tint="0.79998168889431442"/>
    <pageSetUpPr fitToPage="1"/>
  </sheetPr>
  <dimension ref="A1:M50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6384" width="9" style="222"/>
  </cols>
  <sheetData>
    <row r="1" spans="1:13" x14ac:dyDescent="0.2">
      <c r="A1" s="1" t="str">
        <f>[1]!getlabels()</f>
        <v>Exhibit 3, Sheet 3B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Reported Bornhuetter-Ferguson Method - Loss &amp; ALAE Excess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9" spans="1:13" x14ac:dyDescent="0.2">
      <c r="I9" s="342" t="s">
        <v>36</v>
      </c>
    </row>
    <row r="10" spans="1:13" x14ac:dyDescent="0.2">
      <c r="A10" s="151"/>
      <c r="B10" s="148"/>
      <c r="C10" s="151" t="s">
        <v>244</v>
      </c>
      <c r="D10" s="148"/>
      <c r="E10" s="230" t="s">
        <v>36</v>
      </c>
      <c r="F10" s="148"/>
      <c r="G10" s="151" t="s">
        <v>332</v>
      </c>
      <c r="H10" s="148"/>
      <c r="I10" s="151" t="s">
        <v>71</v>
      </c>
      <c r="J10" s="148"/>
      <c r="K10" s="181" t="s">
        <v>330</v>
      </c>
      <c r="L10" s="148"/>
      <c r="M10" s="151" t="s">
        <v>332</v>
      </c>
    </row>
    <row r="11" spans="1:13" x14ac:dyDescent="0.2">
      <c r="A11" s="181" t="str">
        <f>Intro!M9</f>
        <v>Policy</v>
      </c>
      <c r="B11" s="148"/>
      <c r="C11" s="230" t="s">
        <v>36</v>
      </c>
      <c r="D11" s="148"/>
      <c r="E11" s="230" t="s">
        <v>331</v>
      </c>
      <c r="F11" s="148"/>
      <c r="G11" s="230" t="s">
        <v>36</v>
      </c>
      <c r="H11" s="148"/>
      <c r="I11" s="181" t="s">
        <v>8</v>
      </c>
      <c r="J11" s="148"/>
      <c r="K11" s="342" t="s">
        <v>36</v>
      </c>
      <c r="L11" s="148"/>
      <c r="M11" s="342" t="s">
        <v>36</v>
      </c>
    </row>
    <row r="12" spans="1:13" x14ac:dyDescent="0.2">
      <c r="A12" s="181" t="str">
        <f>Intro!M10</f>
        <v>Period</v>
      </c>
      <c r="B12" s="148"/>
      <c r="C12" s="151" t="s">
        <v>245</v>
      </c>
      <c r="D12" s="148"/>
      <c r="E12" s="230" t="s">
        <v>245</v>
      </c>
      <c r="F12" s="148"/>
      <c r="G12" s="151" t="s">
        <v>494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3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">
        <v>492</v>
      </c>
      <c r="J13" s="148"/>
      <c r="K13" s="176" t="s">
        <v>8</v>
      </c>
      <c r="L13" s="148"/>
      <c r="M13" s="232" t="s">
        <v>349</v>
      </c>
    </row>
    <row r="14" spans="1:1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3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3" x14ac:dyDescent="0.2">
      <c r="A16" s="151">
        <f>'e3.5A'!A17</f>
        <v>1996</v>
      </c>
      <c r="B16" s="148"/>
      <c r="C16" s="639" t="str">
        <f>na</f>
        <v xml:space="preserve">n/a </v>
      </c>
      <c r="D16" s="148"/>
      <c r="E16" s="639" t="str">
        <f>na</f>
        <v xml:space="preserve">n/a </v>
      </c>
      <c r="F16" s="148"/>
      <c r="G16" s="639" t="str">
        <f>na</f>
        <v xml:space="preserve">n/a </v>
      </c>
      <c r="H16" s="148"/>
      <c r="I16" s="639" t="str">
        <f>na</f>
        <v xml:space="preserve">n/a </v>
      </c>
      <c r="J16" s="148"/>
      <c r="K16" s="639" t="str">
        <f>na</f>
        <v xml:space="preserve">n/a </v>
      </c>
      <c r="L16" s="148"/>
      <c r="M16" s="639" t="str">
        <f>na</f>
        <v xml:space="preserve">n/a </v>
      </c>
    </row>
    <row r="17" spans="1:13" x14ac:dyDescent="0.2">
      <c r="A17" s="151">
        <f>'e3.5A'!A18</f>
        <v>1997</v>
      </c>
      <c r="B17" s="148"/>
      <c r="C17" s="639" t="str">
        <f>na</f>
        <v xml:space="preserve">n/a </v>
      </c>
      <c r="D17" s="148"/>
      <c r="E17" s="639" t="str">
        <f>na</f>
        <v xml:space="preserve">n/a </v>
      </c>
      <c r="F17" s="148"/>
      <c r="G17" s="639" t="str">
        <f>na</f>
        <v xml:space="preserve">n/a </v>
      </c>
      <c r="H17" s="148"/>
      <c r="I17" s="639" t="str">
        <f>na</f>
        <v xml:space="preserve">n/a </v>
      </c>
      <c r="J17" s="148"/>
      <c r="K17" s="639" t="str">
        <f>na</f>
        <v xml:space="preserve">n/a </v>
      </c>
      <c r="L17" s="148"/>
      <c r="M17" s="639" t="str">
        <f>na</f>
        <v xml:space="preserve">n/a </v>
      </c>
    </row>
    <row r="18" spans="1:13" x14ac:dyDescent="0.2">
      <c r="A18" s="151">
        <f>'e3.5A'!A19</f>
        <v>1998</v>
      </c>
      <c r="B18" s="148"/>
      <c r="C18" s="639" t="str">
        <f>na</f>
        <v xml:space="preserve">n/a </v>
      </c>
      <c r="D18" s="148"/>
      <c r="E18" s="639" t="str">
        <f>na</f>
        <v xml:space="preserve">n/a </v>
      </c>
      <c r="F18" s="148"/>
      <c r="G18" s="639" t="str">
        <f>na</f>
        <v xml:space="preserve">n/a </v>
      </c>
      <c r="H18" s="148"/>
      <c r="I18" s="639" t="str">
        <f>na</f>
        <v xml:space="preserve">n/a </v>
      </c>
      <c r="J18" s="148"/>
      <c r="K18" s="639" t="str">
        <f>na</f>
        <v xml:space="preserve">n/a </v>
      </c>
      <c r="L18" s="148"/>
      <c r="M18" s="639" t="str">
        <f>na</f>
        <v xml:space="preserve">n/a </v>
      </c>
    </row>
    <row r="19" spans="1:13" x14ac:dyDescent="0.2">
      <c r="A19" s="151">
        <f>'e3.5A'!A20</f>
        <v>1999</v>
      </c>
      <c r="B19" s="148"/>
      <c r="C19" s="354">
        <f ca="1">'e3.4B'!C19</f>
        <v>62340.520409837831</v>
      </c>
      <c r="D19" s="148"/>
      <c r="E19" s="269">
        <f ca="1">1/'e3.5B'!G20</f>
        <v>1.1591561409505655</v>
      </c>
      <c r="F19" s="148"/>
      <c r="G19" s="354">
        <f t="shared" ref="G19:G39" ca="1" si="0">C19*(1-1/E19)</f>
        <v>8559.5687265594152</v>
      </c>
      <c r="H19" s="148"/>
      <c r="I19" s="249">
        <f>'e3.5B'!C20+'e3.5B'!E20</f>
        <v>1418211.48</v>
      </c>
      <c r="J19" s="148"/>
      <c r="K19" s="350">
        <f t="shared" ref="K19:K39" ca="1" si="1">G19+I19</f>
        <v>1426771.0487265594</v>
      </c>
      <c r="L19" s="148"/>
      <c r="M19" s="316">
        <f ca="1">K19/Intro!K21</f>
        <v>12.317997646580142</v>
      </c>
    </row>
    <row r="20" spans="1:13" x14ac:dyDescent="0.2">
      <c r="A20" s="151">
        <f>'e3.5A'!A21</f>
        <v>2000</v>
      </c>
      <c r="B20" s="148"/>
      <c r="C20" s="240">
        <f ca="1">'e3.4B'!C20</f>
        <v>53807.200660504401</v>
      </c>
      <c r="D20" s="148"/>
      <c r="E20" s="269">
        <f ca="1">1/'e3.5B'!G21</f>
        <v>1.1749564675408644</v>
      </c>
      <c r="F20" s="148"/>
      <c r="G20" s="240">
        <f t="shared" ca="1" si="0"/>
        <v>8012.1417396231336</v>
      </c>
      <c r="H20" s="148"/>
      <c r="I20" s="235">
        <f>'e3.5B'!C21+'e3.5B'!E21</f>
        <v>1048199.94</v>
      </c>
      <c r="J20" s="148"/>
      <c r="K20" s="351">
        <f t="shared" ca="1" si="1"/>
        <v>1056212.0817396231</v>
      </c>
      <c r="L20" s="148"/>
      <c r="M20" s="256">
        <f ca="1">K20/Intro!K22</f>
        <v>12.160899354825105</v>
      </c>
    </row>
    <row r="21" spans="1:13" x14ac:dyDescent="0.2">
      <c r="A21" s="151">
        <f>'e3.5A'!A22</f>
        <v>2001</v>
      </c>
      <c r="B21" s="148"/>
      <c r="C21" s="240">
        <f ca="1">'e3.4B'!C21</f>
        <v>64690.296495008515</v>
      </c>
      <c r="D21" s="148"/>
      <c r="E21" s="269">
        <f ca="1">1/'e3.5B'!G22</f>
        <v>1.192262852272741</v>
      </c>
      <c r="F21" s="148"/>
      <c r="G21" s="240">
        <f t="shared" ca="1" si="0"/>
        <v>10431.878251335836</v>
      </c>
      <c r="H21" s="148"/>
      <c r="I21" s="235">
        <f>'e3.5B'!C22+'e3.5B'!E22</f>
        <v>289652</v>
      </c>
      <c r="J21" s="148"/>
      <c r="K21" s="351">
        <f t="shared" ca="1" si="1"/>
        <v>300083.87825133582</v>
      </c>
      <c r="L21" s="353"/>
      <c r="M21" s="256">
        <f ca="1">K21/Intro!K23</f>
        <v>3.2675280535011977</v>
      </c>
    </row>
    <row r="22" spans="1:13" x14ac:dyDescent="0.2">
      <c r="A22" s="151">
        <f>'e3.5A'!A23</f>
        <v>2002</v>
      </c>
      <c r="B22" s="148"/>
      <c r="C22" s="240">
        <f ca="1">'e3.4B'!C22</f>
        <v>68184.757212818251</v>
      </c>
      <c r="D22" s="148"/>
      <c r="E22" s="269">
        <f ca="1">1/'e3.5B'!G23</f>
        <v>1.2091372578035926</v>
      </c>
      <c r="F22" s="148"/>
      <c r="G22" s="240">
        <f t="shared" ca="1" si="0"/>
        <v>11793.51066676739</v>
      </c>
      <c r="H22" s="148"/>
      <c r="I22" s="235">
        <f>'e3.5B'!C23+'e3.5B'!E23</f>
        <v>1352212.2399999998</v>
      </c>
      <c r="J22" s="148"/>
      <c r="K22" s="351">
        <f t="shared" ca="1" si="1"/>
        <v>1364005.7506667671</v>
      </c>
      <c r="L22" s="353"/>
      <c r="M22" s="256">
        <f ca="1">K22/Intro!K24</f>
        <v>15.842454086453408</v>
      </c>
    </row>
    <row r="23" spans="1:13" x14ac:dyDescent="0.2">
      <c r="A23" s="151">
        <f>'e3.5A'!A24</f>
        <v>2003</v>
      </c>
      <c r="B23" s="148"/>
      <c r="C23" s="240">
        <f ca="1">'e3.4B'!C23</f>
        <v>86106.620841689757</v>
      </c>
      <c r="D23" s="148"/>
      <c r="E23" s="269">
        <f ca="1">1/'e3.5B'!G24</f>
        <v>1.1877860857678781</v>
      </c>
      <c r="F23" s="148"/>
      <c r="G23" s="240">
        <f t="shared" ca="1" si="0"/>
        <v>13613.246930827954</v>
      </c>
      <c r="H23" s="148"/>
      <c r="I23" s="235">
        <f>'e3.5B'!C24+'e3.5B'!E24</f>
        <v>256580.59999999986</v>
      </c>
      <c r="J23" s="148"/>
      <c r="K23" s="351">
        <f t="shared" ca="1" si="1"/>
        <v>270193.84693082783</v>
      </c>
      <c r="L23" s="353"/>
      <c r="M23" s="256">
        <f ca="1">K23/Intro!K25</f>
        <v>2.8181252355900259</v>
      </c>
    </row>
    <row r="24" spans="1:13" x14ac:dyDescent="0.2">
      <c r="A24" s="151">
        <f>'e3.5A'!A25</f>
        <v>2004</v>
      </c>
      <c r="B24" s="148"/>
      <c r="C24" s="240">
        <f ca="1">'e3.4B'!C24</f>
        <v>72502.774407406221</v>
      </c>
      <c r="D24" s="148"/>
      <c r="E24" s="269">
        <f ca="1">1/'e3.5B'!G25</f>
        <v>1.2503817819865983</v>
      </c>
      <c r="F24" s="148"/>
      <c r="G24" s="240">
        <f t="shared" ca="1" si="0"/>
        <v>14518.26483448659</v>
      </c>
      <c r="H24" s="148"/>
      <c r="I24" s="235">
        <f>'e3.5B'!C25+'e3.5B'!E25</f>
        <v>353506.28000000119</v>
      </c>
      <c r="J24" s="148"/>
      <c r="K24" s="351">
        <f t="shared" ca="1" si="1"/>
        <v>368024.54483448778</v>
      </c>
      <c r="L24" s="353"/>
      <c r="M24" s="256">
        <f ca="1">K24/Intro!K26</f>
        <v>3.6032198852759194</v>
      </c>
    </row>
    <row r="25" spans="1:13" x14ac:dyDescent="0.2">
      <c r="A25" s="151">
        <f>'e3.5A'!A26</f>
        <v>2005</v>
      </c>
      <c r="B25" s="148"/>
      <c r="C25" s="240">
        <f ca="1">'e3.4B'!C25</f>
        <v>86242.39150975761</v>
      </c>
      <c r="D25" s="148"/>
      <c r="E25" s="269">
        <f ca="1">1/'e3.5B'!G26</f>
        <v>1.2711843064678745</v>
      </c>
      <c r="F25" s="148"/>
      <c r="G25" s="240">
        <f t="shared" ca="1" si="0"/>
        <v>18398.262951097549</v>
      </c>
      <c r="H25" s="148"/>
      <c r="I25" s="235">
        <f>'e3.5B'!C26+'e3.5B'!E26</f>
        <v>0</v>
      </c>
      <c r="J25" s="148"/>
      <c r="K25" s="351">
        <f t="shared" ca="1" si="1"/>
        <v>18398.262951097549</v>
      </c>
      <c r="L25" s="353"/>
      <c r="M25" s="256">
        <f ca="1">K25/Intro!K27</f>
        <v>0.16531465107783422</v>
      </c>
    </row>
    <row r="26" spans="1:13" x14ac:dyDescent="0.2">
      <c r="A26" s="151">
        <f>'e3.5A'!A27</f>
        <v>2006</v>
      </c>
      <c r="B26" s="148"/>
      <c r="C26" s="240">
        <f ca="1">'e3.4B'!C26</f>
        <v>92961.610576352105</v>
      </c>
      <c r="D26" s="148"/>
      <c r="E26" s="269">
        <f ca="1">1/'e3.5B'!G27</f>
        <v>1.2935225044691592</v>
      </c>
      <c r="F26" s="148"/>
      <c r="G26" s="240">
        <f t="shared" ca="1" si="0"/>
        <v>21094.588352025163</v>
      </c>
      <c r="H26" s="148"/>
      <c r="I26" s="235">
        <f>'e3.5B'!C27+'e3.5B'!E27</f>
        <v>310667.57999999984</v>
      </c>
      <c r="J26" s="148"/>
      <c r="K26" s="351">
        <f t="shared" ca="1" si="1"/>
        <v>331762.16835202498</v>
      </c>
      <c r="L26" s="353"/>
      <c r="M26" s="256">
        <f ca="1">K26/Intro!K28</f>
        <v>3.0788042560722189</v>
      </c>
    </row>
    <row r="27" spans="1:13" x14ac:dyDescent="0.2">
      <c r="A27" s="151">
        <f>'e3.5A'!A28</f>
        <v>2007</v>
      </c>
      <c r="B27" s="148"/>
      <c r="C27" s="240">
        <f ca="1">'e3.4B'!C27</f>
        <v>100861.54078404768</v>
      </c>
      <c r="D27" s="148"/>
      <c r="E27" s="269">
        <f ca="1">1/'e3.5B'!G28</f>
        <v>1.3185464437728189</v>
      </c>
      <c r="F27" s="148"/>
      <c r="G27" s="240">
        <f t="shared" ca="1" si="0"/>
        <v>24367.048488844332</v>
      </c>
      <c r="H27" s="148"/>
      <c r="I27" s="235">
        <f>'e3.5B'!C28+'e3.5B'!E28</f>
        <v>0</v>
      </c>
      <c r="J27" s="148"/>
      <c r="K27" s="351">
        <f t="shared" ca="1" si="1"/>
        <v>24367.048488844332</v>
      </c>
      <c r="L27" s="353"/>
      <c r="M27" s="256">
        <f ca="1">K27/Intro!K29</f>
        <v>0.23298998626812642</v>
      </c>
    </row>
    <row r="28" spans="1:13" x14ac:dyDescent="0.2">
      <c r="A28" s="151">
        <f>'e3.5A'!A29</f>
        <v>2008</v>
      </c>
      <c r="B28" s="148"/>
      <c r="C28" s="240">
        <f ca="1">'e3.4B'!C28</f>
        <v>100510.07557712356</v>
      </c>
      <c r="D28" s="148"/>
      <c r="E28" s="269">
        <f ca="1">1/'e3.5B'!G29</f>
        <v>1.2911791732873699</v>
      </c>
      <c r="F28" s="148"/>
      <c r="G28" s="240">
        <f t="shared" ca="1" si="0"/>
        <v>22666.444223294679</v>
      </c>
      <c r="H28" s="148"/>
      <c r="I28" s="235">
        <f>'e3.5B'!C29+'e3.5B'!E29</f>
        <v>0</v>
      </c>
      <c r="J28" s="148"/>
      <c r="K28" s="351">
        <f t="shared" ca="1" si="1"/>
        <v>22666.444223294679</v>
      </c>
      <c r="L28" s="353"/>
      <c r="M28" s="256">
        <f ca="1">K28/Intro!K30</f>
        <v>0.21373296317401805</v>
      </c>
    </row>
    <row r="29" spans="1:13" x14ac:dyDescent="0.2">
      <c r="A29" s="151">
        <f>'e3.5A'!A30</f>
        <v>2009</v>
      </c>
      <c r="B29" s="148"/>
      <c r="C29" s="240">
        <f ca="1">'e3.4B'!C29</f>
        <v>111058.42441375507</v>
      </c>
      <c r="D29" s="148"/>
      <c r="E29" s="269">
        <f ca="1">1/'e3.5B'!G30</f>
        <v>1.3119872552074012</v>
      </c>
      <c r="F29" s="148"/>
      <c r="G29" s="240">
        <f t="shared" ca="1" si="0"/>
        <v>26409.41279191674</v>
      </c>
      <c r="H29" s="148"/>
      <c r="I29" s="235">
        <f>'e3.5B'!C30+'e3.5B'!E30</f>
        <v>83743.280000000028</v>
      </c>
      <c r="J29" s="148"/>
      <c r="K29" s="351">
        <f t="shared" ca="1" si="1"/>
        <v>110152.69279191676</v>
      </c>
      <c r="L29" s="353"/>
      <c r="M29" s="256">
        <f ca="1">K29/Intro!K31</f>
        <v>0.99485189412520914</v>
      </c>
    </row>
    <row r="30" spans="1:13" x14ac:dyDescent="0.2">
      <c r="A30" s="151">
        <f>'e3.5A'!A31</f>
        <v>2010</v>
      </c>
      <c r="B30" s="148"/>
      <c r="C30" s="240">
        <f ca="1">'e3.4B'!C30</f>
        <v>136121.1027644868</v>
      </c>
      <c r="D30" s="148"/>
      <c r="E30" s="269">
        <f ca="1">1/'e3.5B'!G31</f>
        <v>1.3350417104652077</v>
      </c>
      <c r="F30" s="148"/>
      <c r="G30" s="240">
        <f t="shared" ca="1" si="0"/>
        <v>34160.915530296086</v>
      </c>
      <c r="H30" s="148"/>
      <c r="I30" s="235">
        <f>'e3.5B'!C31+'e3.5B'!E31</f>
        <v>0</v>
      </c>
      <c r="J30" s="148"/>
      <c r="K30" s="351">
        <f t="shared" ca="1" si="1"/>
        <v>34160.915530296086</v>
      </c>
      <c r="L30" s="353"/>
      <c r="M30" s="256">
        <f ca="1">K30/Intro!K32</f>
        <v>0.26641986416239188</v>
      </c>
    </row>
    <row r="31" spans="1:13" x14ac:dyDescent="0.2">
      <c r="A31" s="151">
        <f>'e3.5A'!A32</f>
        <v>2011</v>
      </c>
      <c r="B31" s="148"/>
      <c r="C31" s="240">
        <f ca="1">'e3.4B'!C31</f>
        <v>157558.47014910355</v>
      </c>
      <c r="D31" s="148"/>
      <c r="E31" s="269">
        <f ca="1">1/'e3.5B'!G32</f>
        <v>1.3607621027653369</v>
      </c>
      <c r="F31" s="148"/>
      <c r="G31" s="240">
        <f t="shared" ca="1" si="0"/>
        <v>41771.537349524784</v>
      </c>
      <c r="H31" s="148"/>
      <c r="I31" s="235">
        <f>'e3.5B'!C32+'e3.5B'!E32</f>
        <v>0</v>
      </c>
      <c r="J31" s="148"/>
      <c r="K31" s="351">
        <f t="shared" ca="1" si="1"/>
        <v>41771.537349524784</v>
      </c>
      <c r="L31" s="353"/>
      <c r="M31" s="256">
        <f ca="1">K31/Intro!K33</f>
        <v>0.29167140268702901</v>
      </c>
    </row>
    <row r="32" spans="1:13" x14ac:dyDescent="0.2">
      <c r="A32" s="151">
        <f>'e3.5A'!A33</f>
        <v>2012</v>
      </c>
      <c r="B32" s="148"/>
      <c r="C32" s="240">
        <f ca="1">'e3.4B'!C32</f>
        <v>163251.42548914673</v>
      </c>
      <c r="D32" s="148"/>
      <c r="E32" s="269">
        <f ca="1">1/'e3.5B'!G33</f>
        <v>1.388828857473533</v>
      </c>
      <c r="F32" s="148"/>
      <c r="G32" s="240">
        <f t="shared" ca="1" si="0"/>
        <v>45705.318486356555</v>
      </c>
      <c r="H32" s="148"/>
      <c r="I32" s="235">
        <f>'e3.5B'!C33+'e3.5B'!E33</f>
        <v>0</v>
      </c>
      <c r="J32" s="148"/>
      <c r="K32" s="351">
        <f t="shared" ca="1" si="1"/>
        <v>45705.318486356555</v>
      </c>
      <c r="L32" s="353"/>
      <c r="M32" s="256">
        <f ca="1">K32/Intro!K34</f>
        <v>0.3139751554908552</v>
      </c>
    </row>
    <row r="33" spans="1:13" x14ac:dyDescent="0.2">
      <c r="A33" s="151">
        <f>'e3.5A'!A34</f>
        <v>2013</v>
      </c>
      <c r="B33" s="148"/>
      <c r="C33" s="240">
        <f ca="1">'e3.4B'!C33</f>
        <v>198517.33605128573</v>
      </c>
      <c r="D33" s="148"/>
      <c r="E33" s="269">
        <f ca="1">1/'e3.5B'!G34</f>
        <v>1.4222755725751506</v>
      </c>
      <c r="F33" s="148"/>
      <c r="G33" s="240">
        <f t="shared" ca="1" si="0"/>
        <v>58940.069958011511</v>
      </c>
      <c r="H33" s="148"/>
      <c r="I33" s="235">
        <f>'e3.5B'!C34+'e3.5B'!E34</f>
        <v>64795.240000000689</v>
      </c>
      <c r="J33" s="148"/>
      <c r="K33" s="351">
        <f t="shared" ca="1" si="1"/>
        <v>123735.30995801219</v>
      </c>
      <c r="L33" s="353"/>
      <c r="M33" s="256">
        <f ca="1">K33/Intro!K35</f>
        <v>0.78329102147347585</v>
      </c>
    </row>
    <row r="34" spans="1:13" x14ac:dyDescent="0.2">
      <c r="A34" s="151">
        <f>'e3.5A'!A35</f>
        <v>2014</v>
      </c>
      <c r="B34" s="148"/>
      <c r="C34" s="240">
        <f ca="1">'e3.4B'!C34</f>
        <v>250224.14317609975</v>
      </c>
      <c r="D34" s="148"/>
      <c r="E34" s="269">
        <f ca="1">1/'e3.5B'!G35</f>
        <v>1.4686046604686986</v>
      </c>
      <c r="F34" s="148"/>
      <c r="G34" s="240">
        <f t="shared" ca="1" si="0"/>
        <v>79841.908997269202</v>
      </c>
      <c r="H34" s="148"/>
      <c r="I34" s="235">
        <f>'e3.5B'!C35+'e3.5B'!E35</f>
        <v>0</v>
      </c>
      <c r="J34" s="148"/>
      <c r="K34" s="351">
        <f t="shared" ca="1" si="1"/>
        <v>79841.908997269202</v>
      </c>
      <c r="L34" s="353"/>
      <c r="M34" s="256">
        <f ca="1">K34/Intro!K36</f>
        <v>0.43737908297440603</v>
      </c>
    </row>
    <row r="35" spans="1:13" x14ac:dyDescent="0.2">
      <c r="A35" s="151">
        <f>'e3.5A'!A36</f>
        <v>2015</v>
      </c>
      <c r="B35" s="148"/>
      <c r="C35" s="240">
        <f ca="1">'e3.4B'!C35</f>
        <v>273787.44588005589</v>
      </c>
      <c r="D35" s="148"/>
      <c r="E35" s="269">
        <f ca="1">1/'e3.5B'!G36</f>
        <v>1.5337450606236416</v>
      </c>
      <c r="F35" s="148"/>
      <c r="G35" s="240">
        <f t="shared" ca="1" si="0"/>
        <v>95278.348827948561</v>
      </c>
      <c r="H35" s="148"/>
      <c r="I35" s="235">
        <f>'e3.5B'!C36+'e3.5B'!E36</f>
        <v>0</v>
      </c>
      <c r="J35" s="148"/>
      <c r="K35" s="351">
        <f t="shared" ca="1" si="1"/>
        <v>95278.348827948561</v>
      </c>
      <c r="L35" s="353"/>
      <c r="M35" s="256">
        <f ca="1">K35/Intro!K37</f>
        <v>0.48386232499051035</v>
      </c>
    </row>
    <row r="36" spans="1:13" x14ac:dyDescent="0.2">
      <c r="A36" s="151">
        <f>'e3.5A'!A37</f>
        <v>2016</v>
      </c>
      <c r="B36" s="148"/>
      <c r="C36" s="240">
        <f ca="1">'e3.4B'!C36</f>
        <v>238893.19856863609</v>
      </c>
      <c r="D36" s="148"/>
      <c r="E36" s="269">
        <f ca="1">1/'e3.5B'!G37</f>
        <v>1.6477317676279923</v>
      </c>
      <c r="F36" s="148"/>
      <c r="G36" s="240">
        <f t="shared" ca="1" si="0"/>
        <v>93910.135632041114</v>
      </c>
      <c r="H36" s="148"/>
      <c r="I36" s="235">
        <f>'e3.5B'!C37+'e3.5B'!E37</f>
        <v>0</v>
      </c>
      <c r="J36" s="148"/>
      <c r="K36" s="351">
        <f t="shared" ca="1" si="1"/>
        <v>93910.135632041114</v>
      </c>
      <c r="L36" s="353"/>
      <c r="M36" s="256">
        <f ca="1">K36/Intro!K38</f>
        <v>0.42321959584830227</v>
      </c>
    </row>
    <row r="37" spans="1:13" x14ac:dyDescent="0.2">
      <c r="A37" s="151">
        <f>'e3.5A'!A38</f>
        <v>2017</v>
      </c>
      <c r="B37" s="148"/>
      <c r="C37" s="240">
        <f ca="1">'e3.4B'!C37</f>
        <v>298985.79685458913</v>
      </c>
      <c r="D37" s="148"/>
      <c r="E37" s="269">
        <f ca="1">1/'e3.5B'!G38</f>
        <v>1.8904657797438222</v>
      </c>
      <c r="F37" s="148"/>
      <c r="G37" s="240">
        <f t="shared" ca="1" si="0"/>
        <v>140831.22983825053</v>
      </c>
      <c r="H37" s="148"/>
      <c r="I37" s="235">
        <f>'e3.5B'!C38+'e3.5B'!E38</f>
        <v>0</v>
      </c>
      <c r="J37" s="148"/>
      <c r="K37" s="351">
        <f t="shared" ca="1" si="1"/>
        <v>140831.22983825053</v>
      </c>
      <c r="L37" s="353"/>
      <c r="M37" s="256">
        <f ca="1">K37/Intro!K39</f>
        <v>0.45797333763010933</v>
      </c>
    </row>
    <row r="38" spans="1:13" x14ac:dyDescent="0.2">
      <c r="A38" s="151">
        <f>'e3.5A'!A39</f>
        <v>2018</v>
      </c>
      <c r="B38" s="148"/>
      <c r="C38" s="240">
        <f ca="1">'e3.4B'!C38</f>
        <v>962685.37833562493</v>
      </c>
      <c r="D38" s="148"/>
      <c r="E38" s="269">
        <f ca="1">1/'e3.5B'!G39</f>
        <v>2.5609155162140933</v>
      </c>
      <c r="F38" s="148"/>
      <c r="G38" s="240">
        <f t="shared" ca="1" si="0"/>
        <v>586770.83830472128</v>
      </c>
      <c r="H38" s="148"/>
      <c r="I38" s="235">
        <f>'e3.5B'!C39+'e3.5B'!E39</f>
        <v>0</v>
      </c>
      <c r="J38" s="148"/>
      <c r="K38" s="351">
        <f t="shared" ca="1" si="1"/>
        <v>586770.83830472128</v>
      </c>
      <c r="L38" s="353"/>
      <c r="M38" s="256">
        <f ca="1">K38/Intro!K40</f>
        <v>1.0928942282750138</v>
      </c>
    </row>
    <row r="39" spans="1:13" x14ac:dyDescent="0.2">
      <c r="A39" s="151">
        <f>'e3.5A'!A40</f>
        <v>2019</v>
      </c>
      <c r="B39" s="148"/>
      <c r="C39" s="240">
        <f ca="1">'e3.4B'!C39</f>
        <v>989742.00648830645</v>
      </c>
      <c r="D39" s="148"/>
      <c r="E39" s="269">
        <f ca="1">1/'e3.5B'!G40</f>
        <v>7.2550366087848639</v>
      </c>
      <c r="F39" s="148"/>
      <c r="G39" s="271">
        <f t="shared" ca="1" si="0"/>
        <v>853320.64022119995</v>
      </c>
      <c r="H39" s="148"/>
      <c r="I39" s="235">
        <f>'e3.5B'!C40+'e3.5B'!E40</f>
        <v>0</v>
      </c>
      <c r="J39" s="148"/>
      <c r="K39" s="351">
        <f t="shared" ca="1" si="1"/>
        <v>853320.64022119995</v>
      </c>
      <c r="L39" s="353"/>
      <c r="M39" s="261">
        <f ca="1">K39/Intro!K41</f>
        <v>1.5711074158888998</v>
      </c>
    </row>
    <row r="40" spans="1:13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3" x14ac:dyDescent="0.2">
      <c r="A41" s="348" t="s">
        <v>78</v>
      </c>
      <c r="B41" s="148"/>
      <c r="C41" s="249">
        <f ca="1">SUM(C16:C40)</f>
        <v>4569032.5166456364</v>
      </c>
      <c r="D41" s="148"/>
      <c r="E41" s="148"/>
      <c r="F41" s="148"/>
      <c r="G41" s="249">
        <f ca="1">SUM(G16:G40)</f>
        <v>2210395.3111023987</v>
      </c>
      <c r="H41" s="148"/>
      <c r="I41" s="249">
        <f>SUM(I16:I40)</f>
        <v>5177568.6400000025</v>
      </c>
      <c r="J41" s="148"/>
      <c r="K41" s="249">
        <f ca="1">SUM(K16:K40)</f>
        <v>7387963.9511023993</v>
      </c>
      <c r="L41" s="148"/>
      <c r="M41" s="316">
        <f ca="1">K41/(Intro!K45-SUM(Intro!K18:K20))</f>
        <v>2.0060149526271851</v>
      </c>
    </row>
    <row r="42" spans="1:13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3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3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3" x14ac:dyDescent="0.2">
      <c r="A45" s="148" t="s">
        <v>589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3" x14ac:dyDescent="0.2">
      <c r="A46" s="148" t="s">
        <v>695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3B
</oddHeader>
    <oddFooter xml:space="preserve">&amp;L&amp;"Arial"&amp;10 Oliver Wyman Actuarial Consulting, Inc.
&amp;C&amp;"Arial"&amp;10 &amp;R&amp;"Arial"&amp;10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4">
    <tabColor theme="5" tint="0.79998168889431442"/>
    <pageSetUpPr fitToPage="1"/>
  </sheetPr>
  <dimension ref="A1:M50"/>
  <sheetViews>
    <sheetView zoomScale="85" zoomScaleNormal="85" workbookViewId="0"/>
  </sheetViews>
  <sheetFormatPr defaultColWidth="9" defaultRowHeight="12.75" x14ac:dyDescent="0.2"/>
  <cols>
    <col min="1" max="1" width="9" style="222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6384" width="9" style="222"/>
  </cols>
  <sheetData>
    <row r="1" spans="1:13" x14ac:dyDescent="0.2">
      <c r="A1" s="1" t="str">
        <f>[1]!getlabels()</f>
        <v>Exhibit 3, Sheet 3C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Reported Bornhuetter-Ferguson Method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151"/>
      <c r="B10" s="148"/>
      <c r="C10" s="151" t="s">
        <v>244</v>
      </c>
      <c r="D10" s="148"/>
      <c r="E10" s="148"/>
      <c r="F10" s="148"/>
      <c r="G10" s="151"/>
      <c r="H10" s="148"/>
      <c r="I10" s="151" t="s">
        <v>71</v>
      </c>
      <c r="J10" s="148"/>
      <c r="L10" s="148"/>
      <c r="M10" s="151"/>
    </row>
    <row r="11" spans="1:13" x14ac:dyDescent="0.2">
      <c r="A11" s="181" t="str">
        <f>Intro!M9</f>
        <v>Policy</v>
      </c>
      <c r="B11" s="148"/>
      <c r="C11" s="230" t="s">
        <v>467</v>
      </c>
      <c r="D11" s="148"/>
      <c r="E11" s="230" t="s">
        <v>331</v>
      </c>
      <c r="F11" s="148"/>
      <c r="G11" s="151" t="s">
        <v>332</v>
      </c>
      <c r="H11" s="148"/>
      <c r="I11" s="181" t="s">
        <v>8</v>
      </c>
      <c r="J11" s="148"/>
      <c r="K11" s="181" t="s">
        <v>330</v>
      </c>
      <c r="L11" s="148"/>
      <c r="M11" s="151" t="s">
        <v>332</v>
      </c>
    </row>
    <row r="12" spans="1:13" x14ac:dyDescent="0.2">
      <c r="A12" s="181" t="str">
        <f>Intro!M10</f>
        <v>Period</v>
      </c>
      <c r="B12" s="148"/>
      <c r="C12" s="151" t="s">
        <v>462</v>
      </c>
      <c r="D12" s="148"/>
      <c r="E12" s="230" t="s">
        <v>245</v>
      </c>
      <c r="F12" s="148"/>
      <c r="G12" s="151" t="s">
        <v>494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3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tr">
        <f>ctxt</f>
        <v>4/30/19</v>
      </c>
      <c r="J13" s="148"/>
      <c r="K13" s="176" t="s">
        <v>8</v>
      </c>
      <c r="L13" s="148"/>
      <c r="M13" s="232" t="s">
        <v>349</v>
      </c>
    </row>
    <row r="14" spans="1:1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3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3" x14ac:dyDescent="0.2">
      <c r="A16" s="151">
        <f>'e3.5A'!A17</f>
        <v>1996</v>
      </c>
      <c r="B16" s="148"/>
      <c r="C16" s="354">
        <f ca="1">'e3.4C'!C16</f>
        <v>467835.73549209518</v>
      </c>
      <c r="D16" s="148"/>
      <c r="E16" s="269">
        <f ca="1">'e3.1A'!G18</f>
        <v>1.0039974324262859</v>
      </c>
      <c r="F16" s="148"/>
      <c r="G16" s="354">
        <f ca="1">C16*(1-1/E16)</f>
        <v>1862.6957388845206</v>
      </c>
      <c r="H16" s="148"/>
      <c r="I16" s="249">
        <f>'e3.1A'!E18</f>
        <v>683326</v>
      </c>
      <c r="J16" s="148"/>
      <c r="K16" s="350">
        <f ca="1">G16+I16</f>
        <v>685188.6957388845</v>
      </c>
      <c r="L16" s="148"/>
      <c r="M16" s="316">
        <f ca="1">K16/Intro!K18</f>
        <v>13.248362000930195</v>
      </c>
    </row>
    <row r="17" spans="1:13" x14ac:dyDescent="0.2">
      <c r="A17" s="151">
        <f>'e3.5A'!A18</f>
        <v>1997</v>
      </c>
      <c r="B17" s="148"/>
      <c r="C17" s="240">
        <f ca="1">'e3.4C'!C17</f>
        <v>638920.30798147165</v>
      </c>
      <c r="D17" s="148"/>
      <c r="E17" s="269">
        <f ca="1">'e3.1A'!G19</f>
        <v>1.0047068848450238</v>
      </c>
      <c r="F17" s="148"/>
      <c r="G17" s="240">
        <f t="shared" ref="G17:G39" ca="1" si="0">C17*(1-1/E17)</f>
        <v>2993.2355000033494</v>
      </c>
      <c r="H17" s="148"/>
      <c r="I17" s="235">
        <f>'e3.1A'!E19</f>
        <v>1337604</v>
      </c>
      <c r="J17" s="148"/>
      <c r="K17" s="351">
        <f t="shared" ref="K17:K39" ca="1" si="1">G17+I17</f>
        <v>1340597.2355000034</v>
      </c>
      <c r="L17" s="148"/>
      <c r="M17" s="255">
        <f ca="1">K17/Intro!K19</f>
        <v>18.807524873334767</v>
      </c>
    </row>
    <row r="18" spans="1:13" x14ac:dyDescent="0.2">
      <c r="A18" s="151">
        <f>'e3.5A'!A19</f>
        <v>1998</v>
      </c>
      <c r="B18" s="148"/>
      <c r="C18" s="240">
        <f ca="1">'e3.4C'!C18</f>
        <v>825033.65669364447</v>
      </c>
      <c r="D18" s="148"/>
      <c r="E18" s="269">
        <f ca="1">'e3.1A'!G20</f>
        <v>1.0055425959161362</v>
      </c>
      <c r="F18" s="148"/>
      <c r="G18" s="240">
        <f t="shared" ca="1" si="0"/>
        <v>4547.6225421349363</v>
      </c>
      <c r="H18" s="148"/>
      <c r="I18" s="235">
        <f>'e3.1A'!E20</f>
        <v>2593680.7199999997</v>
      </c>
      <c r="J18" s="148"/>
      <c r="K18" s="351">
        <f t="shared" ca="1" si="1"/>
        <v>2598228.3425421347</v>
      </c>
      <c r="L18" s="148"/>
      <c r="M18" s="255">
        <f ca="1">K18/Intro!K20</f>
        <v>28.638209427960174</v>
      </c>
    </row>
    <row r="19" spans="1:13" x14ac:dyDescent="0.2">
      <c r="A19" s="151">
        <f>'e3.5A'!A20</f>
        <v>1999</v>
      </c>
      <c r="B19" s="148"/>
      <c r="C19" s="240">
        <f ca="1">'e3.4C'!C19</f>
        <v>1066282.1970283729</v>
      </c>
      <c r="D19" s="148"/>
      <c r="E19" s="269">
        <f ca="1">'e3.1A'!G21</f>
        <v>1.0065271694685793</v>
      </c>
      <c r="F19" s="148"/>
      <c r="G19" s="240">
        <f t="shared" ca="1" si="0"/>
        <v>6914.6713694851123</v>
      </c>
      <c r="H19" s="148"/>
      <c r="I19" s="235">
        <f>'e3.1A'!E21</f>
        <v>2640381.7999999998</v>
      </c>
      <c r="J19" s="148"/>
      <c r="K19" s="351">
        <f t="shared" ca="1" si="1"/>
        <v>2647296.4713694849</v>
      </c>
      <c r="L19" s="148"/>
      <c r="M19" s="255">
        <f ca="1">K19/Intro!K21</f>
        <v>22.85537804627743</v>
      </c>
    </row>
    <row r="20" spans="1:13" x14ac:dyDescent="0.2">
      <c r="A20" s="151">
        <f>'e3.5A'!A21</f>
        <v>2000</v>
      </c>
      <c r="B20" s="148"/>
      <c r="C20" s="240">
        <f ca="1">'e3.4C'!C20</f>
        <v>810737.22074185079</v>
      </c>
      <c r="D20" s="148"/>
      <c r="E20" s="269">
        <f ca="1">'e3.1A'!G22</f>
        <v>1.00768730779243</v>
      </c>
      <c r="F20" s="148"/>
      <c r="G20" s="240">
        <f t="shared" ca="1" si="0"/>
        <v>6184.8417722709346</v>
      </c>
      <c r="H20" s="148"/>
      <c r="I20" s="235">
        <f>'e3.1A'!E22</f>
        <v>2370485.2200000002</v>
      </c>
      <c r="J20" s="148"/>
      <c r="K20" s="351">
        <f t="shared" ca="1" si="1"/>
        <v>2376670.0617722711</v>
      </c>
      <c r="L20" s="148"/>
      <c r="M20" s="255">
        <f ca="1">K20/Intro!K22</f>
        <v>27.364244284381869</v>
      </c>
    </row>
    <row r="21" spans="1:13" x14ac:dyDescent="0.2">
      <c r="A21" s="151">
        <f>'e3.5A'!A22</f>
        <v>2001</v>
      </c>
      <c r="B21" s="148"/>
      <c r="C21" s="240">
        <f ca="1">'e3.4C'!C21</f>
        <v>870310.07360855013</v>
      </c>
      <c r="D21" s="148"/>
      <c r="E21" s="269">
        <f ca="1">'e3.1A'!G23</f>
        <v>1.0090545746999535</v>
      </c>
      <c r="F21" s="148"/>
      <c r="G21" s="240">
        <f t="shared" ca="1" si="0"/>
        <v>7809.575191662846</v>
      </c>
      <c r="H21" s="148"/>
      <c r="I21" s="235">
        <f>'e3.1A'!E23</f>
        <v>1349446.97</v>
      </c>
      <c r="J21" s="148"/>
      <c r="K21" s="351">
        <f t="shared" ca="1" si="1"/>
        <v>1357256.5451916629</v>
      </c>
      <c r="L21" s="353"/>
      <c r="M21" s="255">
        <f ca="1">K21/Intro!K23</f>
        <v>14.778780729757957</v>
      </c>
    </row>
    <row r="22" spans="1:13" x14ac:dyDescent="0.2">
      <c r="A22" s="151">
        <f>'e3.5A'!A23</f>
        <v>2002</v>
      </c>
      <c r="B22" s="148"/>
      <c r="C22" s="240">
        <f ca="1">'e3.4C'!C22</f>
        <v>827971.7433405706</v>
      </c>
      <c r="D22" s="148"/>
      <c r="E22" s="269">
        <f ca="1">'e3.1A'!G24</f>
        <v>1.0106853717104405</v>
      </c>
      <c r="F22" s="148"/>
      <c r="G22" s="240">
        <f t="shared" ca="1" si="0"/>
        <v>8753.6498409617288</v>
      </c>
      <c r="H22" s="148"/>
      <c r="I22" s="235">
        <f>'e3.1A'!E24</f>
        <v>2954508.65</v>
      </c>
      <c r="J22" s="148"/>
      <c r="K22" s="351">
        <f t="shared" ca="1" si="1"/>
        <v>2963262.2998409616</v>
      </c>
      <c r="L22" s="353"/>
      <c r="M22" s="255">
        <f ca="1">K22/Intro!K24</f>
        <v>34.417264669449132</v>
      </c>
    </row>
    <row r="23" spans="1:13" x14ac:dyDescent="0.2">
      <c r="A23" s="151">
        <f>'e3.5A'!A24</f>
        <v>2003</v>
      </c>
      <c r="B23" s="148"/>
      <c r="C23" s="240">
        <f ca="1">'e3.4C'!C23</f>
        <v>952161.1629595079</v>
      </c>
      <c r="D23" s="148"/>
      <c r="E23" s="269">
        <f ca="1">'e3.1A'!G25</f>
        <v>1.0086914060019649</v>
      </c>
      <c r="F23" s="148"/>
      <c r="G23" s="240">
        <f t="shared" ca="1" si="0"/>
        <v>8204.3122379572069</v>
      </c>
      <c r="H23" s="148"/>
      <c r="I23" s="235">
        <f>'e3.1A'!E25</f>
        <v>1243025.0200000005</v>
      </c>
      <c r="J23" s="148"/>
      <c r="K23" s="351">
        <f t="shared" ca="1" si="1"/>
        <v>1251229.3322379577</v>
      </c>
      <c r="L23" s="353"/>
      <c r="M23" s="255">
        <f ca="1">K23/Intro!K25</f>
        <v>13.050337736199321</v>
      </c>
    </row>
    <row r="24" spans="1:13" x14ac:dyDescent="0.2">
      <c r="A24" s="151">
        <f>'e3.5A'!A25</f>
        <v>2004</v>
      </c>
      <c r="B24" s="148"/>
      <c r="C24" s="240">
        <f ca="1">'e3.4C'!C24</f>
        <v>1001937.2144139605</v>
      </c>
      <c r="D24" s="148"/>
      <c r="E24" s="269">
        <f ca="1">'e3.1A'!G26</f>
        <v>1.0102495975830834</v>
      </c>
      <c r="F24" s="148"/>
      <c r="G24" s="240">
        <f t="shared" ca="1" si="0"/>
        <v>10165.263392162915</v>
      </c>
      <c r="H24" s="148"/>
      <c r="I24" s="235">
        <f>'e3.1A'!E26</f>
        <v>1985205.2599999991</v>
      </c>
      <c r="J24" s="148"/>
      <c r="K24" s="351">
        <f t="shared" ca="1" si="1"/>
        <v>1995370.5233921621</v>
      </c>
      <c r="L24" s="353"/>
      <c r="M24" s="255">
        <f ca="1">K24/Intro!K26</f>
        <v>19.536084886983605</v>
      </c>
    </row>
    <row r="25" spans="1:13" x14ac:dyDescent="0.2">
      <c r="A25" s="151">
        <f>'e3.5A'!A26</f>
        <v>2005</v>
      </c>
      <c r="B25" s="148"/>
      <c r="C25" s="240">
        <f ca="1">'e3.4C'!C25</f>
        <v>1105516.4380531388</v>
      </c>
      <c r="D25" s="148"/>
      <c r="E25" s="269">
        <f ca="1">'e3.1A'!G27</f>
        <v>1.0120891037816013</v>
      </c>
      <c r="F25" s="148"/>
      <c r="G25" s="240">
        <f t="shared" ca="1" si="0"/>
        <v>13205.065544085366</v>
      </c>
      <c r="H25" s="148"/>
      <c r="I25" s="235">
        <f>'e3.1A'!E27</f>
        <v>699839.89000000025</v>
      </c>
      <c r="J25" s="148"/>
      <c r="K25" s="351">
        <f t="shared" ca="1" si="1"/>
        <v>713044.95554408559</v>
      </c>
      <c r="L25" s="353"/>
      <c r="M25" s="255">
        <f ca="1">K25/Intro!K27</f>
        <v>6.4069514791638724</v>
      </c>
    </row>
    <row r="26" spans="1:13" x14ac:dyDescent="0.2">
      <c r="A26" s="151">
        <f>'e3.5A'!A27</f>
        <v>2006</v>
      </c>
      <c r="B26" s="148"/>
      <c r="C26" s="240">
        <f ca="1">'e3.4C'!C26</f>
        <v>1110464.05566846</v>
      </c>
      <c r="D26" s="148"/>
      <c r="E26" s="269">
        <f ca="1">'e3.1A'!G28</f>
        <v>1.0142108086540567</v>
      </c>
      <c r="F26" s="148"/>
      <c r="G26" s="240">
        <f t="shared" ca="1" si="0"/>
        <v>15559.479427412543</v>
      </c>
      <c r="H26" s="148"/>
      <c r="I26" s="235">
        <f>'e3.1A'!E28</f>
        <v>1775477.7400000007</v>
      </c>
      <c r="J26" s="148"/>
      <c r="K26" s="351">
        <f t="shared" ca="1" si="1"/>
        <v>1791037.2194274133</v>
      </c>
      <c r="L26" s="353"/>
      <c r="M26" s="255">
        <f ca="1">K26/Intro!K28</f>
        <v>16.621102524582696</v>
      </c>
    </row>
    <row r="27" spans="1:13" x14ac:dyDescent="0.2">
      <c r="A27" s="151">
        <f>'e3.5A'!A28</f>
        <v>2007</v>
      </c>
      <c r="B27" s="148"/>
      <c r="C27" s="240">
        <f ca="1">'e3.4C'!C27</f>
        <v>1127287.5026610023</v>
      </c>
      <c r="D27" s="148"/>
      <c r="E27" s="269">
        <f ca="1">'e3.1A'!G29</f>
        <v>1.0166610063334716</v>
      </c>
      <c r="F27" s="148"/>
      <c r="G27" s="240">
        <f t="shared" ca="1" si="0"/>
        <v>18473.949629693707</v>
      </c>
      <c r="H27" s="148"/>
      <c r="I27" s="235">
        <f>'e3.1A'!E29</f>
        <v>1099670.4199999997</v>
      </c>
      <c r="J27" s="148"/>
      <c r="K27" s="351">
        <f t="shared" ca="1" si="1"/>
        <v>1118144.3696296935</v>
      </c>
      <c r="L27" s="353"/>
      <c r="M27" s="255">
        <f ca="1">K27/Intro!K29</f>
        <v>10.691341688143897</v>
      </c>
    </row>
    <row r="28" spans="1:13" x14ac:dyDescent="0.2">
      <c r="A28" s="151">
        <f>'e3.5A'!A29</f>
        <v>2008</v>
      </c>
      <c r="B28" s="148"/>
      <c r="C28" s="240">
        <f ca="1">'e3.4C'!C28</f>
        <v>1180043.1908320393</v>
      </c>
      <c r="D28" s="148"/>
      <c r="E28" s="269">
        <f ca="1">'e3.1A'!G30</f>
        <v>1.0195117919293868</v>
      </c>
      <c r="F28" s="148"/>
      <c r="G28" s="240">
        <f t="shared" ca="1" si="0"/>
        <v>22584.100928966178</v>
      </c>
      <c r="H28" s="148"/>
      <c r="I28" s="235">
        <f>'e3.1A'!E30</f>
        <v>766269.99000000011</v>
      </c>
      <c r="J28" s="148"/>
      <c r="K28" s="351">
        <f t="shared" ca="1" si="1"/>
        <v>788854.0909289663</v>
      </c>
      <c r="L28" s="353"/>
      <c r="M28" s="255">
        <f ca="1">K28/Intro!K30</f>
        <v>7.4384901621630179</v>
      </c>
    </row>
    <row r="29" spans="1:13" x14ac:dyDescent="0.2">
      <c r="A29" s="151">
        <f>'e3.5A'!A30</f>
        <v>2009</v>
      </c>
      <c r="B29" s="148"/>
      <c r="C29" s="240">
        <f ca="1">'e3.4C'!C29</f>
        <v>1256095.5342485108</v>
      </c>
      <c r="D29" s="148"/>
      <c r="E29" s="269">
        <f ca="1">'e3.1A'!G31</f>
        <v>1.0228535537342478</v>
      </c>
      <c r="F29" s="148"/>
      <c r="G29" s="240">
        <f t="shared" ca="1" si="0"/>
        <v>28064.864889500463</v>
      </c>
      <c r="H29" s="148"/>
      <c r="I29" s="235">
        <f>'e3.1A'!E31</f>
        <v>1590221.4700000002</v>
      </c>
      <c r="J29" s="148"/>
      <c r="K29" s="351">
        <f t="shared" ca="1" si="1"/>
        <v>1618286.3348895006</v>
      </c>
      <c r="L29" s="353"/>
      <c r="M29" s="255">
        <f ca="1">K29/Intro!K31</f>
        <v>14.615668348145041</v>
      </c>
    </row>
    <row r="30" spans="1:13" x14ac:dyDescent="0.2">
      <c r="A30" s="151">
        <f>'e3.5A'!A31</f>
        <v>2010</v>
      </c>
      <c r="B30" s="148"/>
      <c r="C30" s="240">
        <f ca="1">'e3.4C'!C30</f>
        <v>1484524.1614236715</v>
      </c>
      <c r="D30" s="148"/>
      <c r="E30" s="269">
        <f ca="1">'e3.1A'!G32</f>
        <v>1.0267846356758481</v>
      </c>
      <c r="F30" s="148"/>
      <c r="G30" s="240">
        <f t="shared" ca="1" si="0"/>
        <v>38725.198482887914</v>
      </c>
      <c r="H30" s="148"/>
      <c r="I30" s="235">
        <f>'e3.1A'!E32</f>
        <v>1200315.5200000003</v>
      </c>
      <c r="J30" s="148"/>
      <c r="K30" s="351">
        <f t="shared" ca="1" si="1"/>
        <v>1239040.7184828881</v>
      </c>
      <c r="L30" s="353"/>
      <c r="M30" s="255">
        <f ca="1">K30/Intro!K32</f>
        <v>9.6632380832160418</v>
      </c>
    </row>
    <row r="31" spans="1:13" x14ac:dyDescent="0.2">
      <c r="A31" s="151">
        <f>'e3.5A'!A32</f>
        <v>2011</v>
      </c>
      <c r="B31" s="148"/>
      <c r="C31" s="240">
        <f ca="1">'e3.4C'!C31</f>
        <v>1658357.2364973139</v>
      </c>
      <c r="D31" s="148"/>
      <c r="E31" s="269">
        <f ca="1">'e3.1A'!G33</f>
        <v>1.0318747146730831</v>
      </c>
      <c r="F31" s="148"/>
      <c r="G31" s="240">
        <f t="shared" ca="1" si="0"/>
        <v>51226.823361149363</v>
      </c>
      <c r="H31" s="148"/>
      <c r="I31" s="235">
        <f>'e3.1A'!E33</f>
        <v>1212882.8100000003</v>
      </c>
      <c r="J31" s="148"/>
      <c r="K31" s="351">
        <f t="shared" ca="1" si="1"/>
        <v>1264109.6333611496</v>
      </c>
      <c r="L31" s="353"/>
      <c r="M31" s="255">
        <f ca="1">K31/Intro!K33</f>
        <v>8.826695240529066</v>
      </c>
    </row>
    <row r="32" spans="1:13" x14ac:dyDescent="0.2">
      <c r="A32" s="151">
        <f>'e3.5A'!A33</f>
        <v>2012</v>
      </c>
      <c r="B32" s="148"/>
      <c r="C32" s="240">
        <f ca="1">'e3.4C'!C32</f>
        <v>1659700.9643256087</v>
      </c>
      <c r="D32" s="148"/>
      <c r="E32" s="269">
        <f ca="1">'e3.1A'!G34</f>
        <v>1.0387408217631124</v>
      </c>
      <c r="F32" s="148"/>
      <c r="G32" s="240">
        <f t="shared" ca="1" si="0"/>
        <v>61900.117807892944</v>
      </c>
      <c r="H32" s="148"/>
      <c r="I32" s="235">
        <f>'e3.1A'!E34</f>
        <v>1828733.7599999993</v>
      </c>
      <c r="J32" s="148"/>
      <c r="K32" s="351">
        <f t="shared" ca="1" si="1"/>
        <v>1890633.8778078922</v>
      </c>
      <c r="L32" s="353"/>
      <c r="M32" s="255">
        <f ca="1">K32/Intro!K34</f>
        <v>12.987811603111572</v>
      </c>
    </row>
    <row r="33" spans="1:13" x14ac:dyDescent="0.2">
      <c r="A33" s="151">
        <f>'e3.5A'!A34</f>
        <v>2013</v>
      </c>
      <c r="B33" s="148"/>
      <c r="C33" s="240">
        <f ca="1">'e3.4C'!C33</f>
        <v>1950966.3749170403</v>
      </c>
      <c r="D33" s="148"/>
      <c r="E33" s="269">
        <f ca="1">'e3.1A'!G35</f>
        <v>1.0472905621991944</v>
      </c>
      <c r="F33" s="148"/>
      <c r="G33" s="240">
        <f t="shared" ca="1" si="0"/>
        <v>88096.178874953664</v>
      </c>
      <c r="H33" s="148"/>
      <c r="I33" s="235">
        <f>'e3.1A'!E35</f>
        <v>1856047.24</v>
      </c>
      <c r="J33" s="148"/>
      <c r="K33" s="351">
        <f t="shared" ca="1" si="1"/>
        <v>1944143.4188749536</v>
      </c>
      <c r="L33" s="353"/>
      <c r="M33" s="255">
        <f ca="1">K33/Intro!K35</f>
        <v>12.307158603136394</v>
      </c>
    </row>
    <row r="34" spans="1:13" x14ac:dyDescent="0.2">
      <c r="A34" s="151">
        <f>'e3.5A'!A35</f>
        <v>2014</v>
      </c>
      <c r="B34" s="148"/>
      <c r="C34" s="240">
        <f ca="1">'e3.4C'!C34</f>
        <v>2378934.8983108932</v>
      </c>
      <c r="D34" s="148"/>
      <c r="E34" s="269">
        <f ca="1">'e3.1A'!G36</f>
        <v>1.0583444233328505</v>
      </c>
      <c r="F34" s="148"/>
      <c r="G34" s="240">
        <f t="shared" ca="1" si="0"/>
        <v>131145.94996518485</v>
      </c>
      <c r="H34" s="148"/>
      <c r="I34" s="235">
        <f>'e3.1A'!E36</f>
        <v>2173195.9299999997</v>
      </c>
      <c r="J34" s="148"/>
      <c r="K34" s="351">
        <f t="shared" ca="1" si="1"/>
        <v>2304341.8799651847</v>
      </c>
      <c r="L34" s="353"/>
      <c r="M34" s="255">
        <f ca="1">K34/Intro!K36</f>
        <v>12.623332169489622</v>
      </c>
    </row>
    <row r="35" spans="1:13" x14ac:dyDescent="0.2">
      <c r="A35" s="151">
        <f>'e3.5A'!A36</f>
        <v>2015</v>
      </c>
      <c r="B35" s="148"/>
      <c r="C35" s="240">
        <f ca="1">'e3.4C'!C35</f>
        <v>2519854.2090388471</v>
      </c>
      <c r="D35" s="148"/>
      <c r="E35" s="269">
        <f ca="1">'e3.1A'!G37</f>
        <v>1.076256935322756</v>
      </c>
      <c r="F35" s="148"/>
      <c r="G35" s="240">
        <f t="shared" ca="1" si="0"/>
        <v>178541.34373947102</v>
      </c>
      <c r="H35" s="148"/>
      <c r="I35" s="235">
        <f>'e3.1A'!E37</f>
        <v>3055006.9300000016</v>
      </c>
      <c r="J35" s="148"/>
      <c r="K35" s="351">
        <f t="shared" ca="1" si="1"/>
        <v>3233548.2737394725</v>
      </c>
      <c r="L35" s="353"/>
      <c r="M35" s="255">
        <f ca="1">K35/Intro!K37</f>
        <v>16.421277288567801</v>
      </c>
    </row>
    <row r="36" spans="1:13" x14ac:dyDescent="0.2">
      <c r="A36" s="151">
        <f>'e3.5A'!A37</f>
        <v>2016</v>
      </c>
      <c r="B36" s="148"/>
      <c r="C36" s="240">
        <f ca="1">'e3.4C'!C36</f>
        <v>2908745.8721980779</v>
      </c>
      <c r="D36" s="148"/>
      <c r="E36" s="269">
        <f ca="1">'e3.1A'!G38</f>
        <v>1.114551899305904</v>
      </c>
      <c r="F36" s="148"/>
      <c r="G36" s="240">
        <f t="shared" ca="1" si="0"/>
        <v>298956.34691036167</v>
      </c>
      <c r="H36" s="148"/>
      <c r="I36" s="235">
        <f>'e3.1A'!E38</f>
        <v>2481681.0000000019</v>
      </c>
      <c r="J36" s="148"/>
      <c r="K36" s="351">
        <f t="shared" ca="1" si="1"/>
        <v>2780637.3469103635</v>
      </c>
      <c r="L36" s="353"/>
      <c r="M36" s="255">
        <f ca="1">K36/Intro!K38</f>
        <v>12.531343994338576</v>
      </c>
    </row>
    <row r="37" spans="1:13" x14ac:dyDescent="0.2">
      <c r="A37" s="151">
        <f>'e3.5A'!A38</f>
        <v>2017</v>
      </c>
      <c r="B37" s="148"/>
      <c r="C37" s="240">
        <f ca="1">'e3.4C'!C37</f>
        <v>3565445.9742796985</v>
      </c>
      <c r="D37" s="148"/>
      <c r="E37" s="269">
        <f ca="1">'e3.1A'!G39</f>
        <v>1.2066840632692555</v>
      </c>
      <c r="F37" s="148"/>
      <c r="G37" s="240">
        <f t="shared" ca="1" si="0"/>
        <v>610699.09163680009</v>
      </c>
      <c r="H37" s="148"/>
      <c r="I37" s="235">
        <f>'e3.1A'!E39</f>
        <v>2585441.4500000016</v>
      </c>
      <c r="J37" s="148"/>
      <c r="K37" s="351">
        <f t="shared" ca="1" si="1"/>
        <v>3196140.5416368018</v>
      </c>
      <c r="L37" s="353"/>
      <c r="M37" s="255">
        <f ca="1">K37/Intro!K39</f>
        <v>10.393626137252904</v>
      </c>
    </row>
    <row r="38" spans="1:13" x14ac:dyDescent="0.2">
      <c r="A38" s="151">
        <f>'e3.5A'!A39</f>
        <v>2018</v>
      </c>
      <c r="B38" s="148"/>
      <c r="C38" s="240">
        <f ca="1">'e3.4C'!C38</f>
        <v>8069749.2320646197</v>
      </c>
      <c r="D38" s="148"/>
      <c r="E38" s="269">
        <f ca="1">'e3.1A'!G40</f>
        <v>1.5056111249551818</v>
      </c>
      <c r="F38" s="148"/>
      <c r="G38" s="240">
        <f t="shared" ca="1" si="0"/>
        <v>2709966.019580164</v>
      </c>
      <c r="H38" s="148"/>
      <c r="I38" s="235">
        <f>'e3.1A'!E40</f>
        <v>5793621.7700000023</v>
      </c>
      <c r="J38" s="148"/>
      <c r="K38" s="351">
        <f t="shared" ca="1" si="1"/>
        <v>8503587.7895801663</v>
      </c>
      <c r="L38" s="353"/>
      <c r="M38" s="255">
        <f ca="1">K38/Intro!K40</f>
        <v>15.838418353769217</v>
      </c>
    </row>
    <row r="39" spans="1:13" x14ac:dyDescent="0.2">
      <c r="A39" s="151">
        <f>'e3.5A'!A40</f>
        <v>2019</v>
      </c>
      <c r="B39" s="148"/>
      <c r="C39" s="240">
        <f ca="1">'e3.4C'!C39</f>
        <v>8051683.8868704299</v>
      </c>
      <c r="D39" s="148"/>
      <c r="E39" s="269">
        <f ca="1">'e3.1A'!G41</f>
        <v>4.0355186273536834</v>
      </c>
      <c r="F39" s="148"/>
      <c r="G39" s="271">
        <f t="shared" ca="1" si="0"/>
        <v>6056479.6441507349</v>
      </c>
      <c r="H39" s="148"/>
      <c r="I39" s="235">
        <f>'e3.1A'!E41</f>
        <v>1261811.2200000007</v>
      </c>
      <c r="J39" s="148"/>
      <c r="K39" s="351">
        <f t="shared" ca="1" si="1"/>
        <v>7318290.8641507355</v>
      </c>
      <c r="L39" s="353"/>
      <c r="M39" s="261">
        <f ca="1">K39/Intro!K41</f>
        <v>13.474209466348677</v>
      </c>
    </row>
    <row r="40" spans="1:13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3" x14ac:dyDescent="0.2">
      <c r="A41" s="348" t="s">
        <v>78</v>
      </c>
      <c r="B41" s="148"/>
      <c r="C41" s="249">
        <f ca="1">SUM(C16:C40)</f>
        <v>47488558.843649372</v>
      </c>
      <c r="D41" s="148"/>
      <c r="E41" s="148"/>
      <c r="F41" s="148"/>
      <c r="G41" s="249">
        <f ca="1">SUM(G16:G40)</f>
        <v>10381060.042514782</v>
      </c>
      <c r="H41" s="148"/>
      <c r="I41" s="249">
        <f>SUM(I16:I40)</f>
        <v>46537880.780000001</v>
      </c>
      <c r="J41" s="148"/>
      <c r="K41" s="249">
        <f ca="1">SUM(K16:K40)</f>
        <v>56918940.822514795</v>
      </c>
      <c r="L41" s="148"/>
      <c r="M41" s="316">
        <f ca="1">K41/Intro!K45</f>
        <v>14.607221447473894</v>
      </c>
    </row>
    <row r="42" spans="1:13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3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3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3" x14ac:dyDescent="0.2">
      <c r="A45" s="148" t="s">
        <v>590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3" x14ac:dyDescent="0.2">
      <c r="A46" s="148" t="s">
        <v>474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3C
</oddHeader>
    <oddFooter xml:space="preserve">&amp;L&amp;"Arial"&amp;10 Oliver Wyman Actuarial Consulting, Inc.
&amp;C&amp;"Arial"&amp;10 &amp;R&amp;"Arial"&amp;10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>
    <tabColor theme="5" tint="0.79998168889431442"/>
    <pageSetUpPr fitToPage="1"/>
  </sheetPr>
  <dimension ref="A1:R50"/>
  <sheetViews>
    <sheetView zoomScale="85" zoomScaleNormal="85" workbookViewId="0"/>
  </sheetViews>
  <sheetFormatPr defaultColWidth="9" defaultRowHeight="12.75" x14ac:dyDescent="0.2"/>
  <cols>
    <col min="1" max="1" width="9" style="222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6384" width="9" style="222"/>
  </cols>
  <sheetData>
    <row r="1" spans="1:13" x14ac:dyDescent="0.2">
      <c r="A1" s="1" t="str">
        <f>[1]!getlabels()</f>
        <v>Exhibit 3, Sheet 4A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Paid Bornhuetter-Ferguson Method - Loss &amp; ALAE Limited to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151"/>
      <c r="B10" s="148"/>
      <c r="C10" s="151" t="s">
        <v>244</v>
      </c>
      <c r="D10" s="148"/>
      <c r="E10" s="148"/>
      <c r="F10" s="148"/>
      <c r="G10" s="151"/>
      <c r="H10" s="148"/>
      <c r="I10" s="151" t="s">
        <v>75</v>
      </c>
      <c r="J10" s="148"/>
      <c r="L10" s="148"/>
      <c r="M10" s="151"/>
    </row>
    <row r="11" spans="1:13" x14ac:dyDescent="0.2">
      <c r="A11" s="181" t="str">
        <f>Intro!M9</f>
        <v>Policy</v>
      </c>
      <c r="B11" s="148"/>
      <c r="C11" s="230" t="s">
        <v>467</v>
      </c>
      <c r="D11" s="148"/>
      <c r="E11" s="230" t="s">
        <v>331</v>
      </c>
      <c r="F11" s="148"/>
      <c r="G11" s="151" t="s">
        <v>332</v>
      </c>
      <c r="H11" s="148"/>
      <c r="I11" s="181" t="s">
        <v>8</v>
      </c>
      <c r="J11" s="148"/>
      <c r="K11" s="181" t="s">
        <v>330</v>
      </c>
      <c r="L11" s="148"/>
      <c r="M11" s="151" t="s">
        <v>332</v>
      </c>
    </row>
    <row r="12" spans="1:13" x14ac:dyDescent="0.2">
      <c r="A12" s="181" t="str">
        <f>Intro!M10</f>
        <v>Period</v>
      </c>
      <c r="B12" s="148"/>
      <c r="C12" s="151" t="s">
        <v>462</v>
      </c>
      <c r="D12" s="148"/>
      <c r="E12" s="230" t="s">
        <v>245</v>
      </c>
      <c r="F12" s="148"/>
      <c r="G12" s="151" t="s">
        <v>468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3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tr">
        <f>ctxt</f>
        <v>4/30/19</v>
      </c>
      <c r="J13" s="148"/>
      <c r="K13" s="176" t="s">
        <v>8</v>
      </c>
      <c r="L13" s="148"/>
      <c r="M13" s="232" t="s">
        <v>349</v>
      </c>
    </row>
    <row r="14" spans="1:1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3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3" x14ac:dyDescent="0.2">
      <c r="A16" s="151">
        <f>'e3.5A'!A17</f>
        <v>1996</v>
      </c>
      <c r="B16" s="148"/>
      <c r="C16" s="354">
        <f ca="1">'e4.2'!Q15</f>
        <v>467835.73549209518</v>
      </c>
      <c r="D16" s="148"/>
      <c r="E16" s="269">
        <f ca="1">'e3.2B'!G54</f>
        <v>1.0083718713251526</v>
      </c>
      <c r="F16" s="148"/>
      <c r="G16" s="354">
        <f ca="1">C16*(1-1/E16)</f>
        <v>3884.1430331657816</v>
      </c>
      <c r="H16" s="148"/>
      <c r="I16" s="249">
        <f>'e3.2B'!E54</f>
        <v>683326</v>
      </c>
      <c r="J16" s="148"/>
      <c r="K16" s="350">
        <f ca="1">G16+I16</f>
        <v>687210.14303316583</v>
      </c>
      <c r="L16" s="148"/>
      <c r="M16" s="316">
        <f ca="1">K16/Intro!K18</f>
        <v>13.287447388192108</v>
      </c>
    </row>
    <row r="17" spans="1:13" x14ac:dyDescent="0.2">
      <c r="A17" s="151">
        <f>'e3.5A'!A18</f>
        <v>1997</v>
      </c>
      <c r="B17" s="148"/>
      <c r="C17" s="240">
        <f ca="1">'e4.2'!Q16</f>
        <v>638920.30798147165</v>
      </c>
      <c r="D17" s="148"/>
      <c r="E17" s="269">
        <f ca="1">'e3.2B'!G55</f>
        <v>1.0099642143752063</v>
      </c>
      <c r="F17" s="148"/>
      <c r="G17" s="240">
        <f t="shared" ref="G17:G39" ca="1" si="0">C17*(1-1/E17)</f>
        <v>6303.5292011199044</v>
      </c>
      <c r="H17" s="148"/>
      <c r="I17" s="235">
        <f>'e3.2B'!E55</f>
        <v>1337604</v>
      </c>
      <c r="J17" s="148"/>
      <c r="K17" s="351">
        <f t="shared" ref="K17:K39" ca="1" si="1">G17+I17</f>
        <v>1343907.5292011199</v>
      </c>
      <c r="L17" s="148"/>
      <c r="M17" s="255">
        <f ca="1">K17/Intro!K19</f>
        <v>18.853965690511725</v>
      </c>
    </row>
    <row r="18" spans="1:13" x14ac:dyDescent="0.2">
      <c r="A18" s="151">
        <f>'e3.5A'!A19</f>
        <v>1998</v>
      </c>
      <c r="B18" s="148"/>
      <c r="C18" s="240">
        <f ca="1">'e4.2'!Q17</f>
        <v>825033.65669364447</v>
      </c>
      <c r="D18" s="148"/>
      <c r="E18" s="269">
        <f ca="1">'e3.2B'!G56</f>
        <v>1.0118612003976113</v>
      </c>
      <c r="F18" s="148"/>
      <c r="G18" s="240">
        <f t="shared" ca="1" si="0"/>
        <v>9671.1777593329898</v>
      </c>
      <c r="H18" s="148"/>
      <c r="I18" s="235">
        <f>'e3.2B'!E56</f>
        <v>2584955.17</v>
      </c>
      <c r="J18" s="148"/>
      <c r="K18" s="351">
        <f t="shared" ca="1" si="1"/>
        <v>2594626.347759333</v>
      </c>
      <c r="L18" s="148"/>
      <c r="M18" s="255">
        <f ca="1">K18/Intro!K20</f>
        <v>28.598507497510379</v>
      </c>
    </row>
    <row r="19" spans="1:13" x14ac:dyDescent="0.2">
      <c r="A19" s="151">
        <f>'e3.5A'!A20</f>
        <v>1999</v>
      </c>
      <c r="B19" s="148"/>
      <c r="C19" s="240">
        <f ca="1">'e4.2'!Q18</f>
        <v>1066282.1970283729</v>
      </c>
      <c r="D19" s="148"/>
      <c r="E19" s="269">
        <f ca="1">'e3.2B'!G57</f>
        <v>1.0141218518079127</v>
      </c>
      <c r="F19" s="148"/>
      <c r="G19" s="240">
        <f t="shared" ca="1" si="0"/>
        <v>14848.195160183146</v>
      </c>
      <c r="H19" s="148"/>
      <c r="I19" s="235">
        <f>'e3.2B'!E57</f>
        <v>2548851.29</v>
      </c>
      <c r="J19" s="148"/>
      <c r="K19" s="351">
        <f t="shared" ca="1" si="1"/>
        <v>2563699.4851601832</v>
      </c>
      <c r="L19" s="148"/>
      <c r="M19" s="255">
        <f ca="1">K19/Intro!K21</f>
        <v>22.133645235462087</v>
      </c>
    </row>
    <row r="20" spans="1:13" x14ac:dyDescent="0.2">
      <c r="A20" s="151">
        <f>'e3.5A'!A21</f>
        <v>2000</v>
      </c>
      <c r="B20" s="148"/>
      <c r="C20" s="240">
        <f ca="1">'e4.2'!Q19</f>
        <v>810737.22074185079</v>
      </c>
      <c r="D20" s="148"/>
      <c r="E20" s="269">
        <f ca="1">'e3.2B'!G58</f>
        <v>1.0168169333869523</v>
      </c>
      <c r="F20" s="148"/>
      <c r="G20" s="240">
        <f t="shared" ca="1" si="0"/>
        <v>13408.621933669259</v>
      </c>
      <c r="H20" s="148"/>
      <c r="I20" s="235">
        <f>'e3.2B'!E58</f>
        <v>2314287.94</v>
      </c>
      <c r="J20" s="148"/>
      <c r="K20" s="351">
        <f t="shared" ca="1" si="1"/>
        <v>2327696.5619336693</v>
      </c>
      <c r="L20" s="148"/>
      <c r="M20" s="255">
        <f ca="1">K20/Intro!K22</f>
        <v>26.800378548619911</v>
      </c>
    </row>
    <row r="21" spans="1:13" x14ac:dyDescent="0.2">
      <c r="A21" s="151">
        <f>'e3.5A'!A22</f>
        <v>2001</v>
      </c>
      <c r="B21" s="148"/>
      <c r="C21" s="240">
        <f ca="1">'e4.2'!Q20</f>
        <v>870310.07360855013</v>
      </c>
      <c r="D21" s="148"/>
      <c r="E21" s="269">
        <f ca="1">'e3.2B'!G59</f>
        <v>1.0200314156741195</v>
      </c>
      <c r="F21" s="148"/>
      <c r="G21" s="240">
        <f t="shared" ca="1" si="0"/>
        <v>17091.182273346796</v>
      </c>
      <c r="H21" s="148"/>
      <c r="I21" s="235">
        <f>'e3.2B'!E59</f>
        <v>1349346.97</v>
      </c>
      <c r="J21" s="148"/>
      <c r="K21" s="351">
        <f t="shared" ca="1" si="1"/>
        <v>1366438.1522733467</v>
      </c>
      <c r="L21" s="353"/>
      <c r="M21" s="255">
        <f ca="1">K21/Intro!K23</f>
        <v>14.878756639461773</v>
      </c>
    </row>
    <row r="22" spans="1:13" x14ac:dyDescent="0.2">
      <c r="A22" s="151">
        <f>'e3.5A'!A23</f>
        <v>2002</v>
      </c>
      <c r="B22" s="148"/>
      <c r="C22" s="240">
        <f ca="1">'e4.2'!Q21</f>
        <v>827971.7433405706</v>
      </c>
      <c r="D22" s="148"/>
      <c r="E22" s="269">
        <f ca="1">'e3.2B'!G60</f>
        <v>1.0238675073027417</v>
      </c>
      <c r="F22" s="148"/>
      <c r="G22" s="240">
        <f t="shared" ca="1" si="0"/>
        <v>19300.955924174694</v>
      </c>
      <c r="H22" s="148"/>
      <c r="I22" s="235">
        <f>'e3.2B'!E60</f>
        <v>2761132.9899999998</v>
      </c>
      <c r="J22" s="148"/>
      <c r="K22" s="351">
        <f t="shared" ca="1" si="1"/>
        <v>2780433.9459241745</v>
      </c>
      <c r="L22" s="353"/>
      <c r="M22" s="255">
        <f ca="1">K22/Intro!K24</f>
        <v>32.293776699392787</v>
      </c>
    </row>
    <row r="23" spans="1:13" x14ac:dyDescent="0.2">
      <c r="A23" s="151">
        <f>'e3.5A'!A24</f>
        <v>2003</v>
      </c>
      <c r="B23" s="148"/>
      <c r="C23" s="240">
        <f ca="1">'e4.2'!Q22</f>
        <v>952161.1629595079</v>
      </c>
      <c r="D23" s="148"/>
      <c r="E23" s="269">
        <f ca="1">'e3.2B'!G61</f>
        <v>1.0191738387507183</v>
      </c>
      <c r="F23" s="148"/>
      <c r="G23" s="240">
        <f t="shared" ca="1" si="0"/>
        <v>17913.121303879398</v>
      </c>
      <c r="H23" s="148"/>
      <c r="I23" s="235">
        <f>'e3.2B'!E61</f>
        <v>1243025.0200000005</v>
      </c>
      <c r="J23" s="148"/>
      <c r="K23" s="351">
        <f t="shared" ca="1" si="1"/>
        <v>1260938.1413038799</v>
      </c>
      <c r="L23" s="353"/>
      <c r="M23" s="255">
        <f ca="1">K23/Intro!K25</f>
        <v>13.151600737363093</v>
      </c>
    </row>
    <row r="24" spans="1:13" x14ac:dyDescent="0.2">
      <c r="A24" s="151">
        <f>'e3.5A'!A25</f>
        <v>2004</v>
      </c>
      <c r="B24" s="148"/>
      <c r="C24" s="240">
        <f ca="1">'e4.2'!Q23</f>
        <v>1028199.8306088593</v>
      </c>
      <c r="D24" s="148"/>
      <c r="E24" s="269">
        <f ca="1">'e3.2B'!G62</f>
        <v>1.0337801829481874</v>
      </c>
      <c r="F24" s="148"/>
      <c r="G24" s="240">
        <f t="shared" ca="1" si="0"/>
        <v>33597.83729478137</v>
      </c>
      <c r="H24" s="148"/>
      <c r="I24" s="235">
        <f>'e3.2B'!E62</f>
        <v>2359249.2899999996</v>
      </c>
      <c r="J24" s="148"/>
      <c r="K24" s="351">
        <f t="shared" ca="1" si="1"/>
        <v>2392847.1272947812</v>
      </c>
      <c r="L24" s="353"/>
      <c r="M24" s="255">
        <f ca="1">K24/Intro!K26</f>
        <v>23.427661204965226</v>
      </c>
    </row>
    <row r="25" spans="1:13" x14ac:dyDescent="0.2">
      <c r="A25" s="151">
        <f>'e3.5A'!A26</f>
        <v>2005</v>
      </c>
      <c r="B25" s="148"/>
      <c r="C25" s="240">
        <f ca="1">'e4.2'!Q24</f>
        <v>1137317.5853621054</v>
      </c>
      <c r="D25" s="148"/>
      <c r="E25" s="269">
        <f ca="1">'e3.2B'!G63</f>
        <v>1.039355679259929</v>
      </c>
      <c r="F25" s="148"/>
      <c r="G25" s="240">
        <f t="shared" ca="1" si="0"/>
        <v>43065.051742497963</v>
      </c>
      <c r="H25" s="148"/>
      <c r="I25" s="235">
        <f>'e3.2B'!E63</f>
        <v>699839.89000000025</v>
      </c>
      <c r="J25" s="148"/>
      <c r="K25" s="351">
        <f t="shared" ca="1" si="1"/>
        <v>742904.94174249819</v>
      </c>
      <c r="L25" s="353"/>
      <c r="M25" s="255">
        <f ca="1">K25/Intro!K27</f>
        <v>6.6752536125065776</v>
      </c>
    </row>
    <row r="26" spans="1:13" x14ac:dyDescent="0.2">
      <c r="A26" s="151">
        <f>'e3.5A'!A27</f>
        <v>2006</v>
      </c>
      <c r="B26" s="148"/>
      <c r="C26" s="240">
        <f ca="1">'e4.2'!Q25</f>
        <v>1145250.7498301363</v>
      </c>
      <c r="D26" s="148"/>
      <c r="E26" s="269">
        <f ca="1">'e3.2B'!G64</f>
        <v>1.0459565234336667</v>
      </c>
      <c r="F26" s="148"/>
      <c r="G26" s="240">
        <f t="shared" ca="1" si="0"/>
        <v>50319.245344169351</v>
      </c>
      <c r="H26" s="148"/>
      <c r="I26" s="235">
        <f>'e3.2B'!E64</f>
        <v>2005481.3700000008</v>
      </c>
      <c r="J26" s="148"/>
      <c r="K26" s="351">
        <f t="shared" ca="1" si="1"/>
        <v>2055800.6153441702</v>
      </c>
      <c r="L26" s="353"/>
      <c r="M26" s="255">
        <f ca="1">K26/Intro!K28</f>
        <v>19.078147805694147</v>
      </c>
    </row>
    <row r="27" spans="1:13" x14ac:dyDescent="0.2">
      <c r="A27" s="151">
        <f>'e3.5A'!A28</f>
        <v>2007</v>
      </c>
      <c r="B27" s="148"/>
      <c r="C27" s="240">
        <f ca="1">'e4.2'!Q26</f>
        <v>1165494.6949859634</v>
      </c>
      <c r="D27" s="148"/>
      <c r="E27" s="269">
        <f ca="1">'e3.2B'!G65</f>
        <v>1.0534252697949491</v>
      </c>
      <c r="F27" s="148"/>
      <c r="G27" s="240">
        <f t="shared" ca="1" si="0"/>
        <v>59108.95657204742</v>
      </c>
      <c r="H27" s="148"/>
      <c r="I27" s="235">
        <f>'e3.2B'!E65</f>
        <v>1099670.4199999997</v>
      </c>
      <c r="J27" s="148"/>
      <c r="K27" s="351">
        <f t="shared" ca="1" si="1"/>
        <v>1158779.3765720471</v>
      </c>
      <c r="L27" s="353"/>
      <c r="M27" s="255">
        <f ca="1">K27/Intro!K29</f>
        <v>11.07988073150972</v>
      </c>
    </row>
    <row r="28" spans="1:13" x14ac:dyDescent="0.2">
      <c r="A28" s="151">
        <f>'e3.5A'!A29</f>
        <v>2008</v>
      </c>
      <c r="B28" s="148"/>
      <c r="C28" s="240">
        <f ca="1">'e4.2'!Q27</f>
        <v>1235007.7084740566</v>
      </c>
      <c r="D28" s="148"/>
      <c r="E28" s="269">
        <f ca="1">'e3.2B'!G66</f>
        <v>1.0821968349367919</v>
      </c>
      <c r="F28" s="148"/>
      <c r="G28" s="240">
        <f t="shared" ca="1" si="0"/>
        <v>93803.383526839403</v>
      </c>
      <c r="H28" s="148"/>
      <c r="I28" s="235">
        <f>'e3.2B'!E66</f>
        <v>766269.99000000011</v>
      </c>
      <c r="J28" s="148"/>
      <c r="K28" s="351">
        <f t="shared" ca="1" si="1"/>
        <v>860073.37352683954</v>
      </c>
      <c r="L28" s="353"/>
      <c r="M28" s="255">
        <f ca="1">K28/Intro!K30</f>
        <v>8.1100515308018366</v>
      </c>
    </row>
    <row r="29" spans="1:13" x14ac:dyDescent="0.2">
      <c r="A29" s="151">
        <f>'e3.5A'!A30</f>
        <v>2009</v>
      </c>
      <c r="B29" s="148"/>
      <c r="C29" s="240">
        <f ca="1">'e4.2'!Q28</f>
        <v>1321146.0141608114</v>
      </c>
      <c r="D29" s="148"/>
      <c r="E29" s="269">
        <f ca="1">'e3.2B'!G67</f>
        <v>1.0937155045515625</v>
      </c>
      <c r="F29" s="148"/>
      <c r="G29" s="240">
        <f t="shared" ca="1" si="0"/>
        <v>113202.98998058982</v>
      </c>
      <c r="H29" s="148"/>
      <c r="I29" s="235">
        <f>'e3.2B'!E67</f>
        <v>1764381.6700000004</v>
      </c>
      <c r="J29" s="148"/>
      <c r="K29" s="351">
        <f t="shared" ca="1" si="1"/>
        <v>1877584.6599805902</v>
      </c>
      <c r="L29" s="353"/>
      <c r="M29" s="255">
        <f ca="1">K29/Intro!K31</f>
        <v>16.957539648083834</v>
      </c>
    </row>
    <row r="30" spans="1:13" x14ac:dyDescent="0.2">
      <c r="A30" s="151">
        <f>'e3.5A'!A31</f>
        <v>2010</v>
      </c>
      <c r="B30" s="148"/>
      <c r="C30" s="240">
        <f ca="1">'e4.2'!Q29</f>
        <v>1569176.515627261</v>
      </c>
      <c r="D30" s="148"/>
      <c r="E30" s="269">
        <f ca="1">'e3.2B'!G68</f>
        <v>1.1074603223895392</v>
      </c>
      <c r="F30" s="148"/>
      <c r="G30" s="240">
        <f t="shared" ca="1" si="0"/>
        <v>152262.08185189255</v>
      </c>
      <c r="H30" s="148"/>
      <c r="I30" s="235">
        <f>'e3.2B'!E68</f>
        <v>1183179.1900000002</v>
      </c>
      <c r="J30" s="148"/>
      <c r="K30" s="351">
        <f t="shared" ca="1" si="1"/>
        <v>1335441.2718518928</v>
      </c>
      <c r="L30" s="353"/>
      <c r="M30" s="255">
        <f ca="1">K30/Intro!K32</f>
        <v>10.41506284947479</v>
      </c>
    </row>
    <row r="31" spans="1:13" x14ac:dyDescent="0.2">
      <c r="A31" s="151">
        <f>'e3.5A'!A32</f>
        <v>2011</v>
      </c>
      <c r="B31" s="148"/>
      <c r="C31" s="240">
        <f ca="1">'e4.2'!Q30</f>
        <v>1761647.4596341953</v>
      </c>
      <c r="D31" s="148"/>
      <c r="E31" s="269">
        <f ca="1">'e3.2B'!G69</f>
        <v>1.1238871900342311</v>
      </c>
      <c r="F31" s="148"/>
      <c r="G31" s="240">
        <f t="shared" ca="1" si="0"/>
        <v>194188.13163834959</v>
      </c>
      <c r="H31" s="148"/>
      <c r="I31" s="235">
        <f>'e3.2B'!E69</f>
        <v>1212882.8100000003</v>
      </c>
      <c r="J31" s="148"/>
      <c r="K31" s="351">
        <f t="shared" ca="1" si="1"/>
        <v>1407070.9416383498</v>
      </c>
      <c r="L31" s="353"/>
      <c r="M31" s="255">
        <f ca="1">K31/Intro!K33</f>
        <v>9.8249281991649084</v>
      </c>
    </row>
    <row r="32" spans="1:13" x14ac:dyDescent="0.2">
      <c r="A32" s="151">
        <f>'e3.5A'!A33</f>
        <v>2012</v>
      </c>
      <c r="B32" s="148"/>
      <c r="C32" s="240">
        <f ca="1">'e4.2'!Q31</f>
        <v>1771850.764030976</v>
      </c>
      <c r="D32" s="148"/>
      <c r="E32" s="269">
        <f ca="1">'e3.2B'!G70</f>
        <v>1.1447535919563931</v>
      </c>
      <c r="F32" s="148"/>
      <c r="G32" s="240">
        <f t="shared" ca="1" si="0"/>
        <v>224049.75560359139</v>
      </c>
      <c r="H32" s="148"/>
      <c r="I32" s="235">
        <f>'e3.2B'!E70</f>
        <v>1925803.2599999993</v>
      </c>
      <c r="J32" s="148"/>
      <c r="K32" s="351">
        <f t="shared" ca="1" si="1"/>
        <v>2149853.0156035908</v>
      </c>
      <c r="L32" s="353"/>
      <c r="M32" s="255">
        <f ca="1">K32/Intro!K34</f>
        <v>14.768531479725167</v>
      </c>
    </row>
    <row r="33" spans="1:18" x14ac:dyDescent="0.2">
      <c r="A33" s="151">
        <f>'e3.5A'!A34</f>
        <v>2013</v>
      </c>
      <c r="B33" s="148"/>
      <c r="C33" s="240">
        <f ca="1">'e4.2'!Q32</f>
        <v>2093164.981484415</v>
      </c>
      <c r="D33" s="148"/>
      <c r="E33" s="269">
        <f ca="1">'e3.2B'!G71</f>
        <v>1.1727407242287986</v>
      </c>
      <c r="F33" s="148"/>
      <c r="G33" s="240">
        <f t="shared" ca="1" si="0"/>
        <v>308316.09013130452</v>
      </c>
      <c r="H33" s="148"/>
      <c r="I33" s="235">
        <f>'e3.2B'!E71</f>
        <v>2061366.5999999999</v>
      </c>
      <c r="J33" s="148"/>
      <c r="K33" s="351">
        <f t="shared" ca="1" si="1"/>
        <v>2369682.6901313043</v>
      </c>
      <c r="L33" s="353"/>
      <c r="M33" s="255">
        <f ca="1">K33/Intro!K35</f>
        <v>15.000982141240215</v>
      </c>
    </row>
    <row r="34" spans="1:18" x14ac:dyDescent="0.2">
      <c r="A34" s="151">
        <f>'e3.5A'!A35</f>
        <v>2014</v>
      </c>
      <c r="B34" s="148"/>
      <c r="C34" s="240">
        <f ca="1">'e4.2'!Q33</f>
        <v>2565030.9846031037</v>
      </c>
      <c r="D34" s="148"/>
      <c r="E34" s="269">
        <f ca="1">'e3.2B'!G72</f>
        <v>1.2108214635833114</v>
      </c>
      <c r="F34" s="148"/>
      <c r="G34" s="240">
        <f t="shared" ca="1" si="0"/>
        <v>446608.85405039816</v>
      </c>
      <c r="H34" s="148"/>
      <c r="I34" s="235">
        <f>'e3.2B'!E72</f>
        <v>2342502.8100000005</v>
      </c>
      <c r="J34" s="148"/>
      <c r="K34" s="351">
        <f t="shared" ca="1" si="1"/>
        <v>2789111.6640503989</v>
      </c>
      <c r="L34" s="353"/>
      <c r="M34" s="255">
        <f ca="1">K34/Intro!K36</f>
        <v>15.278932045290984</v>
      </c>
    </row>
    <row r="35" spans="1:18" x14ac:dyDescent="0.2">
      <c r="A35" s="151">
        <f>'e3.5A'!A36</f>
        <v>2015</v>
      </c>
      <c r="B35" s="148"/>
      <c r="C35" s="240">
        <f ca="1">'e4.2'!Q34</f>
        <v>2730497.9513096032</v>
      </c>
      <c r="D35" s="148"/>
      <c r="E35" s="269">
        <f ca="1">'e3.2B'!G73</f>
        <v>1.2696167444604285</v>
      </c>
      <c r="F35" s="148"/>
      <c r="G35" s="240">
        <f t="shared" ca="1" si="0"/>
        <v>579850.55064852326</v>
      </c>
      <c r="H35" s="148"/>
      <c r="I35" s="235">
        <f>'e3.2B'!E73</f>
        <v>2810502.1600000011</v>
      </c>
      <c r="J35" s="148"/>
      <c r="K35" s="351">
        <f t="shared" ca="1" si="1"/>
        <v>3390352.7106485246</v>
      </c>
      <c r="L35" s="353"/>
      <c r="M35" s="255">
        <f ca="1">K35/Intro!K37</f>
        <v>17.21759418894408</v>
      </c>
    </row>
    <row r="36" spans="1:18" x14ac:dyDescent="0.2">
      <c r="A36" s="151">
        <f>'e3.5A'!A37</f>
        <v>2016</v>
      </c>
      <c r="B36" s="148"/>
      <c r="C36" s="240">
        <f ca="1">'e4.2'!Q35</f>
        <v>3254939.6497910637</v>
      </c>
      <c r="D36" s="148"/>
      <c r="E36" s="269">
        <f ca="1">'e3.2B'!G74</f>
        <v>1.3876448101933256</v>
      </c>
      <c r="F36" s="148"/>
      <c r="G36" s="240">
        <f t="shared" ca="1" si="0"/>
        <v>909282.01040019677</v>
      </c>
      <c r="H36" s="148"/>
      <c r="I36" s="235">
        <f>'e3.2B'!E74</f>
        <v>2449912.0500000017</v>
      </c>
      <c r="J36" s="148"/>
      <c r="K36" s="351">
        <f t="shared" ca="1" si="1"/>
        <v>3359194.0604001982</v>
      </c>
      <c r="L36" s="353"/>
      <c r="M36" s="255">
        <f ca="1">K36/Intro!K38</f>
        <v>15.138693422710048</v>
      </c>
    </row>
    <row r="37" spans="1:18" x14ac:dyDescent="0.2">
      <c r="A37" s="151">
        <f>'e3.5A'!A38</f>
        <v>2017</v>
      </c>
      <c r="B37" s="148"/>
      <c r="C37" s="240">
        <f ca="1">'e4.2'!Q36</f>
        <v>4015616.5488428734</v>
      </c>
      <c r="D37" s="148"/>
      <c r="E37" s="269">
        <f ca="1">'e3.2B'!G75</f>
        <v>1.6470076758647596</v>
      </c>
      <c r="F37" s="148"/>
      <c r="G37" s="240">
        <f t="shared" ca="1" si="0"/>
        <v>1577487.9306902722</v>
      </c>
      <c r="H37" s="148"/>
      <c r="I37" s="235">
        <f>'e3.2B'!E75</f>
        <v>2258070.4400000018</v>
      </c>
      <c r="J37" s="148"/>
      <c r="K37" s="351">
        <f t="shared" ca="1" si="1"/>
        <v>3835558.3706902741</v>
      </c>
      <c r="L37" s="353"/>
      <c r="M37" s="255">
        <f ca="1">K37/Intro!K39</f>
        <v>12.47296832327336</v>
      </c>
    </row>
    <row r="38" spans="1:18" x14ac:dyDescent="0.2">
      <c r="A38" s="151">
        <f>'e3.5A'!A39</f>
        <v>2018</v>
      </c>
      <c r="B38" s="148"/>
      <c r="C38" s="240">
        <f ca="1">'e4.2'!Q37</f>
        <v>8875557.1798283979</v>
      </c>
      <c r="D38" s="148"/>
      <c r="E38" s="269">
        <f ca="1">'e3.2B'!G76</f>
        <v>2.4888729842878132</v>
      </c>
      <c r="F38" s="148"/>
      <c r="G38" s="240">
        <f t="shared" ca="1" si="0"/>
        <v>5309462.3104399052</v>
      </c>
      <c r="H38" s="148"/>
      <c r="I38" s="235">
        <f>'e3.2B'!E76</f>
        <v>4199295.1499999976</v>
      </c>
      <c r="J38" s="148"/>
      <c r="K38" s="351">
        <f t="shared" ca="1" si="1"/>
        <v>9508757.4604399018</v>
      </c>
      <c r="L38" s="353"/>
      <c r="M38" s="255">
        <f ca="1">K38/Intro!K40</f>
        <v>17.710604324860721</v>
      </c>
      <c r="R38" s="423"/>
    </row>
    <row r="39" spans="1:18" x14ac:dyDescent="0.2">
      <c r="A39" s="151">
        <f>'e3.5A'!A40</f>
        <v>2019</v>
      </c>
      <c r="B39" s="148"/>
      <c r="C39" s="240">
        <f ca="1">'e4.2'!Q38</f>
        <v>8899767.9917709138</v>
      </c>
      <c r="D39" s="148"/>
      <c r="E39" s="269">
        <f ca="1">'e3.2B'!G77</f>
        <v>13.873497614166341</v>
      </c>
      <c r="F39" s="148"/>
      <c r="G39" s="271">
        <f t="shared" ca="1" si="0"/>
        <v>8258273.8106148019</v>
      </c>
      <c r="H39" s="148"/>
      <c r="I39" s="235">
        <f>'e3.2B'!E77</f>
        <v>619309.30000000005</v>
      </c>
      <c r="J39" s="148"/>
      <c r="K39" s="351">
        <f t="shared" ca="1" si="1"/>
        <v>8877583.1106148027</v>
      </c>
      <c r="L39" s="353"/>
      <c r="M39" s="261">
        <f ca="1">K39/Intro!K41</f>
        <v>16.345129840808049</v>
      </c>
      <c r="R39" s="423"/>
    </row>
    <row r="40" spans="1:18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8" x14ac:dyDescent="0.2">
      <c r="A41" s="348" t="s">
        <v>78</v>
      </c>
      <c r="B41" s="148"/>
      <c r="C41" s="249">
        <f ca="1">SUM(C16:C40)</f>
        <v>51028918.708190791</v>
      </c>
      <c r="D41" s="148"/>
      <c r="E41" s="148"/>
      <c r="F41" s="148"/>
      <c r="G41" s="249">
        <f ca="1">SUM(G16:G40)</f>
        <v>18455299.917119034</v>
      </c>
      <c r="H41" s="148"/>
      <c r="I41" s="249">
        <f>SUM(I16:I40)</f>
        <v>44580245.780000009</v>
      </c>
      <c r="J41" s="148"/>
      <c r="K41" s="249">
        <f ca="1">SUM(K16:K40)</f>
        <v>63035545.697119027</v>
      </c>
      <c r="L41" s="148"/>
      <c r="M41" s="316">
        <f ca="1">K41/Intro!K45</f>
        <v>16.176937970988337</v>
      </c>
    </row>
    <row r="42" spans="1:18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8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8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8" x14ac:dyDescent="0.2">
      <c r="A45" s="148" t="s">
        <v>589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8" x14ac:dyDescent="0.2">
      <c r="A46" s="148" t="s">
        <v>474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8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8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4A
</oddHeader>
    <oddFooter xml:space="preserve">&amp;L&amp;"Arial"&amp;10 Oliver Wyman Actuarial Consulting, Inc.
&amp;C&amp;"Arial"&amp;10 &amp;R&amp;"Arial"&amp;10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6">
    <tabColor theme="5" tint="0.79998168889431442"/>
    <pageSetUpPr fitToPage="1"/>
  </sheetPr>
  <dimension ref="A1:M50"/>
  <sheetViews>
    <sheetView zoomScale="85" zoomScaleNormal="85" workbookViewId="0"/>
  </sheetViews>
  <sheetFormatPr defaultColWidth="9" defaultRowHeight="12.75" x14ac:dyDescent="0.2"/>
  <cols>
    <col min="1" max="1" width="9" style="222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6384" width="9" style="222"/>
  </cols>
  <sheetData>
    <row r="1" spans="1:13" x14ac:dyDescent="0.2">
      <c r="A1" s="1" t="str">
        <f>[1]!getlabels()</f>
        <v>Exhibit 3, Sheet 4B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Paid Bornhuetter-Ferguson Method - Loss &amp; ALAE Excess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151"/>
      <c r="B10" s="148"/>
      <c r="C10" s="151" t="s">
        <v>244</v>
      </c>
      <c r="D10" s="148"/>
      <c r="E10" s="230" t="s">
        <v>36</v>
      </c>
      <c r="F10" s="148"/>
      <c r="G10" s="151" t="s">
        <v>332</v>
      </c>
      <c r="H10" s="148"/>
      <c r="I10" s="151" t="s">
        <v>493</v>
      </c>
      <c r="J10" s="148"/>
      <c r="K10" s="181" t="s">
        <v>330</v>
      </c>
      <c r="L10" s="148"/>
      <c r="M10" s="151" t="s">
        <v>332</v>
      </c>
    </row>
    <row r="11" spans="1:13" x14ac:dyDescent="0.2">
      <c r="A11" s="181" t="str">
        <f>Intro!M9</f>
        <v>Policy</v>
      </c>
      <c r="B11" s="148"/>
      <c r="C11" s="230" t="s">
        <v>36</v>
      </c>
      <c r="D11" s="148"/>
      <c r="E11" s="230" t="s">
        <v>331</v>
      </c>
      <c r="F11" s="148"/>
      <c r="G11" s="230" t="s">
        <v>36</v>
      </c>
      <c r="H11" s="148"/>
      <c r="I11" s="181" t="s">
        <v>8</v>
      </c>
      <c r="J11" s="148"/>
      <c r="K11" s="342" t="s">
        <v>36</v>
      </c>
      <c r="L11" s="148"/>
      <c r="M11" s="342" t="s">
        <v>36</v>
      </c>
    </row>
    <row r="12" spans="1:13" x14ac:dyDescent="0.2">
      <c r="A12" s="181" t="str">
        <f>Intro!M10</f>
        <v>Period</v>
      </c>
      <c r="B12" s="148"/>
      <c r="C12" s="151" t="s">
        <v>245</v>
      </c>
      <c r="D12" s="148"/>
      <c r="E12" s="230" t="s">
        <v>245</v>
      </c>
      <c r="F12" s="148"/>
      <c r="G12" s="151" t="s">
        <v>468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3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tr">
        <f>ctxt</f>
        <v>4/30/19</v>
      </c>
      <c r="J13" s="148"/>
      <c r="K13" s="176" t="s">
        <v>8</v>
      </c>
      <c r="L13" s="148"/>
      <c r="M13" s="232" t="s">
        <v>349</v>
      </c>
    </row>
    <row r="14" spans="1:1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3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3" x14ac:dyDescent="0.2">
      <c r="A16" s="151">
        <f>'e3.5A'!A17</f>
        <v>1996</v>
      </c>
      <c r="B16" s="148"/>
      <c r="C16" s="639" t="str">
        <f>na</f>
        <v xml:space="preserve">n/a </v>
      </c>
      <c r="D16" s="148"/>
      <c r="E16" s="639" t="str">
        <f>na</f>
        <v xml:space="preserve">n/a </v>
      </c>
      <c r="F16" s="148"/>
      <c r="G16" s="639" t="str">
        <f>na</f>
        <v xml:space="preserve">n/a </v>
      </c>
      <c r="H16" s="148"/>
      <c r="I16" s="639" t="str">
        <f>na</f>
        <v xml:space="preserve">n/a </v>
      </c>
      <c r="J16" s="148"/>
      <c r="K16" s="639" t="str">
        <f>na</f>
        <v xml:space="preserve">n/a </v>
      </c>
      <c r="L16" s="148"/>
      <c r="M16" s="639" t="str">
        <f>na</f>
        <v xml:space="preserve">n/a </v>
      </c>
    </row>
    <row r="17" spans="1:13" x14ac:dyDescent="0.2">
      <c r="A17" s="151">
        <f>'e3.5A'!A18</f>
        <v>1997</v>
      </c>
      <c r="B17" s="148"/>
      <c r="C17" s="639" t="str">
        <f>na</f>
        <v xml:space="preserve">n/a </v>
      </c>
      <c r="D17" s="148"/>
      <c r="E17" s="639" t="str">
        <f>na</f>
        <v xml:space="preserve">n/a </v>
      </c>
      <c r="F17" s="148"/>
      <c r="G17" s="639" t="str">
        <f>na</f>
        <v xml:space="preserve">n/a </v>
      </c>
      <c r="H17" s="148"/>
      <c r="I17" s="639" t="str">
        <f>na</f>
        <v xml:space="preserve">n/a </v>
      </c>
      <c r="J17" s="148"/>
      <c r="K17" s="639" t="str">
        <f>na</f>
        <v xml:space="preserve">n/a </v>
      </c>
      <c r="L17" s="148"/>
      <c r="M17" s="639" t="str">
        <f>na</f>
        <v xml:space="preserve">n/a </v>
      </c>
    </row>
    <row r="18" spans="1:13" x14ac:dyDescent="0.2">
      <c r="A18" s="151">
        <f>'e3.5A'!A19</f>
        <v>1998</v>
      </c>
      <c r="B18" s="148"/>
      <c r="C18" s="639" t="str">
        <f>na</f>
        <v xml:space="preserve">n/a </v>
      </c>
      <c r="D18" s="148"/>
      <c r="E18" s="639" t="str">
        <f>na</f>
        <v xml:space="preserve">n/a </v>
      </c>
      <c r="F18" s="148"/>
      <c r="G18" s="639" t="str">
        <f>na</f>
        <v xml:space="preserve">n/a </v>
      </c>
      <c r="H18" s="148"/>
      <c r="I18" s="639" t="str">
        <f>na</f>
        <v xml:space="preserve">n/a </v>
      </c>
      <c r="J18" s="148"/>
      <c r="K18" s="639" t="str">
        <f>na</f>
        <v xml:space="preserve">n/a </v>
      </c>
      <c r="L18" s="148"/>
      <c r="M18" s="639" t="str">
        <f>na</f>
        <v xml:space="preserve">n/a </v>
      </c>
    </row>
    <row r="19" spans="1:13" x14ac:dyDescent="0.2">
      <c r="A19" s="151">
        <f>'e3.5A'!A20</f>
        <v>1999</v>
      </c>
      <c r="B19" s="148"/>
      <c r="C19" s="354">
        <f ca="1">'e4.2'!Z18</f>
        <v>62340.520409837831</v>
      </c>
      <c r="D19" s="148"/>
      <c r="E19" s="269">
        <f ca="1">1/'e3.5B'!I20</f>
        <v>1.2222931396035992</v>
      </c>
      <c r="F19" s="148"/>
      <c r="G19" s="354">
        <f t="shared" ref="G19:G39" ca="1" si="0">C19*(1-1/E19)</f>
        <v>11337.599432914549</v>
      </c>
      <c r="H19" s="148"/>
      <c r="I19" s="249">
        <f>'e3.5B'!C20</f>
        <v>1235926.8500000001</v>
      </c>
      <c r="J19" s="148"/>
      <c r="K19" s="350">
        <f t="shared" ref="K19:K39" ca="1" si="1">G19+I19</f>
        <v>1247264.4494329146</v>
      </c>
      <c r="L19" s="148"/>
      <c r="M19" s="316">
        <f ca="1">K19/Intro!K21</f>
        <v>10.768231221463612</v>
      </c>
    </row>
    <row r="20" spans="1:13" x14ac:dyDescent="0.2">
      <c r="A20" s="151">
        <f>'e3.5A'!A21</f>
        <v>2000</v>
      </c>
      <c r="B20" s="148"/>
      <c r="C20" s="240">
        <f ca="1">'e4.2'!Z19</f>
        <v>53807.200660504401</v>
      </c>
      <c r="D20" s="148"/>
      <c r="E20" s="269">
        <f ca="1">1/'e3.5B'!I21</f>
        <v>1.2495297620421524</v>
      </c>
      <c r="F20" s="148"/>
      <c r="G20" s="240">
        <f t="shared" ca="1" si="0"/>
        <v>10745.240637587207</v>
      </c>
      <c r="H20" s="148"/>
      <c r="I20" s="235">
        <f>'e3.5B'!C21</f>
        <v>513125.2200000002</v>
      </c>
      <c r="J20" s="148"/>
      <c r="K20" s="351">
        <f t="shared" ca="1" si="1"/>
        <v>523870.46063758741</v>
      </c>
      <c r="L20" s="148"/>
      <c r="M20" s="256">
        <f ca="1">K20/Intro!K22</f>
        <v>6.0316825161540599</v>
      </c>
    </row>
    <row r="21" spans="1:13" x14ac:dyDescent="0.2">
      <c r="A21" s="151">
        <f>'e3.5A'!A22</f>
        <v>2001</v>
      </c>
      <c r="B21" s="148"/>
      <c r="C21" s="240">
        <f ca="1">'e4.2'!Z20</f>
        <v>64690.296495008515</v>
      </c>
      <c r="D21" s="148"/>
      <c r="E21" s="269">
        <f ca="1">1/'e3.5B'!I22</f>
        <v>1.2801293054460907</v>
      </c>
      <c r="F21" s="148"/>
      <c r="G21" s="240">
        <f t="shared" ca="1" si="0"/>
        <v>14156.10731599766</v>
      </c>
      <c r="H21" s="148"/>
      <c r="I21" s="235">
        <f>'e3.5B'!C22</f>
        <v>289652</v>
      </c>
      <c r="J21" s="148"/>
      <c r="K21" s="351">
        <f t="shared" ca="1" si="1"/>
        <v>303808.10731599765</v>
      </c>
      <c r="L21" s="353"/>
      <c r="M21" s="256">
        <f ca="1">K21/Intro!K23</f>
        <v>3.308080125199814</v>
      </c>
    </row>
    <row r="22" spans="1:13" x14ac:dyDescent="0.2">
      <c r="A22" s="151">
        <f>'e3.5A'!A23</f>
        <v>2002</v>
      </c>
      <c r="B22" s="148"/>
      <c r="C22" s="240">
        <f ca="1">'e4.2'!Z21</f>
        <v>68184.757212818251</v>
      </c>
      <c r="D22" s="148"/>
      <c r="E22" s="269">
        <f ca="1">1/'e3.5B'!I23</f>
        <v>1.3144783280786818</v>
      </c>
      <c r="F22" s="148"/>
      <c r="G22" s="240">
        <f t="shared" ca="1" si="0"/>
        <v>16312.652700847279</v>
      </c>
      <c r="H22" s="148"/>
      <c r="I22" s="235">
        <f>'e3.5B'!C23</f>
        <v>866577.4700000002</v>
      </c>
      <c r="J22" s="148"/>
      <c r="K22" s="351">
        <f t="shared" ca="1" si="1"/>
        <v>882890.12270084745</v>
      </c>
      <c r="L22" s="353"/>
      <c r="M22" s="256">
        <f ca="1">K22/Intro!K24</f>
        <v>10.254462802252888</v>
      </c>
    </row>
    <row r="23" spans="1:13" x14ac:dyDescent="0.2">
      <c r="A23" s="151">
        <f>'e3.5A'!A24</f>
        <v>2003</v>
      </c>
      <c r="B23" s="148"/>
      <c r="C23" s="240">
        <f ca="1">'e4.2'!Z22</f>
        <v>86106.620841689757</v>
      </c>
      <c r="D23" s="148"/>
      <c r="E23" s="269">
        <f ca="1">1/'e3.5B'!I24</f>
        <v>1.2721384815236427</v>
      </c>
      <c r="F23" s="148"/>
      <c r="G23" s="240">
        <f t="shared" ca="1" si="0"/>
        <v>18420.10550370573</v>
      </c>
      <c r="H23" s="148"/>
      <c r="I23" s="235">
        <f>'e3.5B'!C24</f>
        <v>256580.59999999986</v>
      </c>
      <c r="J23" s="148"/>
      <c r="K23" s="351">
        <f t="shared" ca="1" si="1"/>
        <v>275000.7055037056</v>
      </c>
      <c r="L23" s="353"/>
      <c r="M23" s="256">
        <f ca="1">K23/Intro!K25</f>
        <v>2.8682608312078162</v>
      </c>
    </row>
    <row r="24" spans="1:13" x14ac:dyDescent="0.2">
      <c r="A24" s="151">
        <f>'e3.5A'!A25</f>
        <v>2004</v>
      </c>
      <c r="B24" s="148"/>
      <c r="C24" s="240">
        <f ca="1">'e4.2'!Z23</f>
        <v>72502.774407406221</v>
      </c>
      <c r="D24" s="148"/>
      <c r="E24" s="269">
        <f ca="1">1/'e3.5B'!I25</f>
        <v>1.3353186325747148</v>
      </c>
      <c r="F24" s="148"/>
      <c r="G24" s="240">
        <f t="shared" ca="1" si="0"/>
        <v>18206.539307616673</v>
      </c>
      <c r="H24" s="148"/>
      <c r="I24" s="235">
        <f>'e3.5B'!C25</f>
        <v>239360.8600000008</v>
      </c>
      <c r="J24" s="148"/>
      <c r="K24" s="351">
        <f t="shared" ca="1" si="1"/>
        <v>257567.39930761748</v>
      </c>
      <c r="L24" s="353"/>
      <c r="M24" s="256">
        <f ca="1">K24/Intro!K26</f>
        <v>2.5217665180494784</v>
      </c>
    </row>
    <row r="25" spans="1:13" x14ac:dyDescent="0.2">
      <c r="A25" s="151">
        <f>'e3.5A'!A26</f>
        <v>2005</v>
      </c>
      <c r="B25" s="148"/>
      <c r="C25" s="240">
        <f ca="1">'e4.2'!Z24</f>
        <v>86242.39150975761</v>
      </c>
      <c r="D25" s="148"/>
      <c r="E25" s="269">
        <f ca="1">1/'e3.5B'!I26</f>
        <v>1.3743267323650667</v>
      </c>
      <c r="F25" s="148"/>
      <c r="G25" s="240">
        <f t="shared" ca="1" si="0"/>
        <v>23489.925535859362</v>
      </c>
      <c r="H25" s="148"/>
      <c r="I25" s="235">
        <f>'e3.5B'!C26</f>
        <v>0</v>
      </c>
      <c r="J25" s="148"/>
      <c r="K25" s="351">
        <f t="shared" ca="1" si="1"/>
        <v>23489.925535859362</v>
      </c>
      <c r="L25" s="353"/>
      <c r="M25" s="256">
        <f ca="1">K25/Intro!K27</f>
        <v>0.21106497141205627</v>
      </c>
    </row>
    <row r="26" spans="1:13" x14ac:dyDescent="0.2">
      <c r="A26" s="151">
        <f>'e3.5A'!A27</f>
        <v>2006</v>
      </c>
      <c r="B26" s="148"/>
      <c r="C26" s="240">
        <f ca="1">'e4.2'!Z25</f>
        <v>92961.610576352105</v>
      </c>
      <c r="D26" s="148"/>
      <c r="E26" s="269">
        <f ca="1">1/'e3.5B'!I27</f>
        <v>1.4156377411562022</v>
      </c>
      <c r="F26" s="148"/>
      <c r="G26" s="240">
        <f t="shared" ca="1" si="0"/>
        <v>27293.955728137182</v>
      </c>
      <c r="H26" s="148"/>
      <c r="I26" s="235">
        <f>'e3.5B'!C27</f>
        <v>310667.57999999984</v>
      </c>
      <c r="J26" s="148"/>
      <c r="K26" s="351">
        <f t="shared" ca="1" si="1"/>
        <v>337961.53572813701</v>
      </c>
      <c r="L26" s="353"/>
      <c r="M26" s="256">
        <f ca="1">K26/Intro!K28</f>
        <v>3.1363353445544853</v>
      </c>
    </row>
    <row r="27" spans="1:13" x14ac:dyDescent="0.2">
      <c r="A27" s="151">
        <f>'e3.5A'!A28</f>
        <v>2007</v>
      </c>
      <c r="B27" s="148"/>
      <c r="C27" s="240">
        <f ca="1">'e4.2'!Z26</f>
        <v>100861.54078404768</v>
      </c>
      <c r="D27" s="148"/>
      <c r="E27" s="269">
        <f ca="1">1/'e3.5B'!I28</f>
        <v>1.4615483944948413</v>
      </c>
      <c r="F27" s="148"/>
      <c r="G27" s="240">
        <f t="shared" ca="1" si="0"/>
        <v>31851.48188763412</v>
      </c>
      <c r="H27" s="148"/>
      <c r="I27" s="235">
        <f>'e3.5B'!C28</f>
        <v>0</v>
      </c>
      <c r="J27" s="148"/>
      <c r="K27" s="351">
        <f t="shared" ca="1" si="1"/>
        <v>31851.48188763412</v>
      </c>
      <c r="L27" s="353"/>
      <c r="M27" s="256">
        <f ca="1">K27/Intro!K29</f>
        <v>0.30455376370334108</v>
      </c>
    </row>
    <row r="28" spans="1:13" x14ac:dyDescent="0.2">
      <c r="A28" s="151">
        <f>'e3.5A'!A29</f>
        <v>2008</v>
      </c>
      <c r="B28" s="148"/>
      <c r="C28" s="240">
        <f ca="1">'e4.2'!Z27</f>
        <v>100510.07557712356</v>
      </c>
      <c r="D28" s="148"/>
      <c r="E28" s="269">
        <f ca="1">1/'e3.5B'!I29</f>
        <v>1.371216190544589</v>
      </c>
      <c r="F28" s="148"/>
      <c r="G28" s="240">
        <f t="shared" ca="1" si="0"/>
        <v>27210.127494388908</v>
      </c>
      <c r="H28" s="148"/>
      <c r="I28" s="235">
        <f>'e3.5B'!C29</f>
        <v>0</v>
      </c>
      <c r="J28" s="148"/>
      <c r="K28" s="351">
        <f t="shared" ca="1" si="1"/>
        <v>27210.127494388908</v>
      </c>
      <c r="L28" s="353"/>
      <c r="M28" s="256">
        <f ca="1">K28/Intro!K30</f>
        <v>0.25657756992787023</v>
      </c>
    </row>
    <row r="29" spans="1:13" x14ac:dyDescent="0.2">
      <c r="A29" s="151">
        <f>'e3.5A'!A30</f>
        <v>2009</v>
      </c>
      <c r="B29" s="148"/>
      <c r="C29" s="240">
        <f ca="1">'e4.2'!Z28</f>
        <v>111058.42441375507</v>
      </c>
      <c r="D29" s="148"/>
      <c r="E29" s="269">
        <f ca="1">1/'e3.5B'!I30</f>
        <v>1.4105816981603052</v>
      </c>
      <c r="F29" s="148"/>
      <c r="G29" s="240">
        <f t="shared" ca="1" si="0"/>
        <v>32326.065587181198</v>
      </c>
      <c r="H29" s="148"/>
      <c r="I29" s="235">
        <f>'e3.5B'!C30</f>
        <v>83743.280000000028</v>
      </c>
      <c r="J29" s="148"/>
      <c r="K29" s="351">
        <f t="shared" ca="1" si="1"/>
        <v>116069.34558718122</v>
      </c>
      <c r="L29" s="353"/>
      <c r="M29" s="256">
        <f ca="1">K29/Intro!K31</f>
        <v>1.0482885654498886</v>
      </c>
    </row>
    <row r="30" spans="1:13" x14ac:dyDescent="0.2">
      <c r="A30" s="151">
        <f>'e3.5A'!A31</f>
        <v>2010</v>
      </c>
      <c r="B30" s="148"/>
      <c r="C30" s="240">
        <f ca="1">'e4.2'!Z29</f>
        <v>136121.1027644868</v>
      </c>
      <c r="D30" s="148"/>
      <c r="E30" s="269">
        <f ca="1">1/'e3.5B'!I31</f>
        <v>1.4586281800156085</v>
      </c>
      <c r="F30" s="148"/>
      <c r="G30" s="240">
        <f t="shared" ca="1" si="0"/>
        <v>42799.785769891103</v>
      </c>
      <c r="H30" s="148"/>
      <c r="I30" s="235">
        <f>'e3.5B'!C31</f>
        <v>0</v>
      </c>
      <c r="J30" s="148"/>
      <c r="K30" s="351">
        <f t="shared" ca="1" si="1"/>
        <v>42799.785769891103</v>
      </c>
      <c r="L30" s="353"/>
      <c r="M30" s="256">
        <f ca="1">K30/Intro!K32</f>
        <v>0.33379413092372201</v>
      </c>
    </row>
    <row r="31" spans="1:13" x14ac:dyDescent="0.2">
      <c r="A31" s="151">
        <f>'e3.5A'!A32</f>
        <v>2011</v>
      </c>
      <c r="B31" s="148"/>
      <c r="C31" s="240">
        <f ca="1">'e4.2'!Z30</f>
        <v>157558.47014910355</v>
      </c>
      <c r="D31" s="148"/>
      <c r="E31" s="269">
        <f ca="1">1/'e3.5B'!I32</f>
        <v>1.5173010995851148</v>
      </c>
      <c r="F31" s="148"/>
      <c r="G31" s="240">
        <f t="shared" ca="1" si="0"/>
        <v>53717.202129073936</v>
      </c>
      <c r="H31" s="148"/>
      <c r="I31" s="235">
        <f>'e3.5B'!C32</f>
        <v>0</v>
      </c>
      <c r="J31" s="148"/>
      <c r="K31" s="351">
        <f t="shared" ca="1" si="1"/>
        <v>53717.202129073936</v>
      </c>
      <c r="L31" s="353"/>
      <c r="M31" s="256">
        <f ca="1">K31/Intro!K33</f>
        <v>0.37508247691027113</v>
      </c>
    </row>
    <row r="32" spans="1:13" x14ac:dyDescent="0.2">
      <c r="A32" s="151">
        <f>'e3.5A'!A33</f>
        <v>2012</v>
      </c>
      <c r="B32" s="148"/>
      <c r="C32" s="240">
        <f ca="1">'e4.2'!Z31</f>
        <v>163251.42548914673</v>
      </c>
      <c r="D32" s="148"/>
      <c r="E32" s="269">
        <f ca="1">1/'e3.5B'!I33</f>
        <v>1.5858217376435522</v>
      </c>
      <c r="F32" s="148"/>
      <c r="G32" s="240">
        <f t="shared" ca="1" si="0"/>
        <v>60307.051847422168</v>
      </c>
      <c r="H32" s="148"/>
      <c r="I32" s="235">
        <f>'e3.5B'!C33</f>
        <v>0</v>
      </c>
      <c r="J32" s="148"/>
      <c r="K32" s="351">
        <f t="shared" ca="1" si="1"/>
        <v>60307.051847422168</v>
      </c>
      <c r="L32" s="353"/>
      <c r="M32" s="256">
        <f ca="1">K32/Intro!K34</f>
        <v>0.41428255196693758</v>
      </c>
    </row>
    <row r="33" spans="1:13" x14ac:dyDescent="0.2">
      <c r="A33" s="151">
        <f>'e3.5A'!A34</f>
        <v>2013</v>
      </c>
      <c r="B33" s="148"/>
      <c r="C33" s="240">
        <f ca="1">'e4.2'!Z32</f>
        <v>198517.33605128573</v>
      </c>
      <c r="D33" s="148"/>
      <c r="E33" s="269">
        <f ca="1">1/'e3.5B'!I34</f>
        <v>1.6560281256446194</v>
      </c>
      <c r="F33" s="148"/>
      <c r="G33" s="240">
        <f t="shared" ca="1" si="0"/>
        <v>78641.753639899078</v>
      </c>
      <c r="H33" s="148"/>
      <c r="I33" s="235">
        <f>'e3.5B'!C34</f>
        <v>64795.239999999525</v>
      </c>
      <c r="J33" s="148"/>
      <c r="K33" s="351">
        <f t="shared" ca="1" si="1"/>
        <v>143436.9936398986</v>
      </c>
      <c r="L33" s="353"/>
      <c r="M33" s="256">
        <f ca="1">K33/Intro!K35</f>
        <v>0.90801008461857802</v>
      </c>
    </row>
    <row r="34" spans="1:13" x14ac:dyDescent="0.2">
      <c r="A34" s="151">
        <f>'e3.5A'!A35</f>
        <v>2014</v>
      </c>
      <c r="B34" s="148"/>
      <c r="C34" s="240">
        <f ca="1">'e4.2'!Z33</f>
        <v>250224.14317609975</v>
      </c>
      <c r="D34" s="148"/>
      <c r="E34" s="269">
        <f ca="1">1/'e3.5B'!I35</f>
        <v>1.7342752198568099</v>
      </c>
      <c r="F34" s="148"/>
      <c r="G34" s="240">
        <f t="shared" ca="1" si="0"/>
        <v>105942.4626728406</v>
      </c>
      <c r="H34" s="148"/>
      <c r="I34" s="235">
        <f>'e3.5B'!C35</f>
        <v>0</v>
      </c>
      <c r="J34" s="148"/>
      <c r="K34" s="351">
        <f t="shared" ca="1" si="1"/>
        <v>105942.4626728406</v>
      </c>
      <c r="L34" s="353"/>
      <c r="M34" s="256">
        <f ca="1">K34/Intro!K36</f>
        <v>0.58035958500794493</v>
      </c>
    </row>
    <row r="35" spans="1:13" x14ac:dyDescent="0.2">
      <c r="A35" s="151">
        <f>'e3.5A'!A36</f>
        <v>2015</v>
      </c>
      <c r="B35" s="148"/>
      <c r="C35" s="240">
        <f ca="1">'e4.2'!Z34</f>
        <v>273787.44588005589</v>
      </c>
      <c r="D35" s="148"/>
      <c r="E35" s="269">
        <f ca="1">1/'e3.5B'!I36</f>
        <v>1.8344175960978335</v>
      </c>
      <c r="F35" s="148"/>
      <c r="G35" s="240">
        <f t="shared" ca="1" si="0"/>
        <v>124537.10808213269</v>
      </c>
      <c r="H35" s="148"/>
      <c r="I35" s="235">
        <f>'e3.5B'!C36</f>
        <v>0</v>
      </c>
      <c r="J35" s="148"/>
      <c r="K35" s="351">
        <f t="shared" ca="1" si="1"/>
        <v>124537.10808213269</v>
      </c>
      <c r="L35" s="353"/>
      <c r="M35" s="256">
        <f ca="1">K35/Intro!K37</f>
        <v>0.63245024085198176</v>
      </c>
    </row>
    <row r="36" spans="1:13" x14ac:dyDescent="0.2">
      <c r="A36" s="151">
        <f>'e3.5A'!A37</f>
        <v>2016</v>
      </c>
      <c r="B36" s="148"/>
      <c r="C36" s="240">
        <f ca="1">'e4.2'!Z35</f>
        <v>238893.19856863609</v>
      </c>
      <c r="D36" s="148"/>
      <c r="E36" s="269">
        <f ca="1">1/'e3.5B'!I37</f>
        <v>2.0533797118293182</v>
      </c>
      <c r="F36" s="148"/>
      <c r="G36" s="240">
        <f t="shared" ca="1" si="0"/>
        <v>122551.7361530897</v>
      </c>
      <c r="H36" s="148"/>
      <c r="I36" s="235">
        <f>'e3.5B'!C37</f>
        <v>0</v>
      </c>
      <c r="J36" s="148"/>
      <c r="K36" s="351">
        <f t="shared" ca="1" si="1"/>
        <v>122551.7361530897</v>
      </c>
      <c r="L36" s="353"/>
      <c r="M36" s="256">
        <f ca="1">K36/Intro!K38</f>
        <v>0.55229710718809977</v>
      </c>
    </row>
    <row r="37" spans="1:13" x14ac:dyDescent="0.2">
      <c r="A37" s="151">
        <f>'e3.5A'!A38</f>
        <v>2017</v>
      </c>
      <c r="B37" s="148"/>
      <c r="C37" s="240">
        <f ca="1">'e4.2'!Z36</f>
        <v>298985.79685458913</v>
      </c>
      <c r="D37" s="148"/>
      <c r="E37" s="269">
        <f ca="1">1/'e3.5B'!I38</f>
        <v>2.5933314444079443</v>
      </c>
      <c r="F37" s="148"/>
      <c r="G37" s="240">
        <f t="shared" ca="1" si="0"/>
        <v>183695.55985102427</v>
      </c>
      <c r="H37" s="148"/>
      <c r="I37" s="235">
        <f>'e3.5B'!C38</f>
        <v>0</v>
      </c>
      <c r="J37" s="148"/>
      <c r="K37" s="351">
        <f t="shared" ca="1" si="1"/>
        <v>183695.55985102427</v>
      </c>
      <c r="L37" s="353"/>
      <c r="M37" s="256">
        <f ca="1">K37/Intro!K39</f>
        <v>0.5973651494020793</v>
      </c>
    </row>
    <row r="38" spans="1:13" x14ac:dyDescent="0.2">
      <c r="A38" s="151">
        <f>'e3.5A'!A39</f>
        <v>2018</v>
      </c>
      <c r="B38" s="148"/>
      <c r="C38" s="240">
        <f ca="1">'e4.2'!Z37</f>
        <v>962685.37833562493</v>
      </c>
      <c r="D38" s="148"/>
      <c r="E38" s="269">
        <f ca="1">1/'e3.5B'!I39</f>
        <v>3.855455817778966</v>
      </c>
      <c r="F38" s="148"/>
      <c r="G38" s="240">
        <f t="shared" ca="1" si="0"/>
        <v>712991.06880772987</v>
      </c>
      <c r="H38" s="148"/>
      <c r="I38" s="235">
        <f>'e3.5B'!C39</f>
        <v>0</v>
      </c>
      <c r="J38" s="148"/>
      <c r="K38" s="351">
        <f t="shared" ca="1" si="1"/>
        <v>712991.06880772987</v>
      </c>
      <c r="L38" s="353"/>
      <c r="M38" s="256">
        <f ca="1">K38/Intro!K40</f>
        <v>1.3279866227894159</v>
      </c>
    </row>
    <row r="39" spans="1:13" x14ac:dyDescent="0.2">
      <c r="A39" s="151">
        <f>'e3.5A'!A40</f>
        <v>2019</v>
      </c>
      <c r="B39" s="148"/>
      <c r="C39" s="271">
        <f ca="1">'e4.2'!Z38</f>
        <v>989742.00648830645</v>
      </c>
      <c r="D39" s="148"/>
      <c r="E39" s="269">
        <f ca="1">1/'e3.5B'!I40</f>
        <v>22.542146145689753</v>
      </c>
      <c r="F39" s="148"/>
      <c r="G39" s="271">
        <f t="shared" ca="1" si="0"/>
        <v>945835.71646198817</v>
      </c>
      <c r="H39" s="148"/>
      <c r="I39" s="235">
        <f>'e3.5B'!C40</f>
        <v>0</v>
      </c>
      <c r="J39" s="148"/>
      <c r="K39" s="351">
        <f t="shared" ca="1" si="1"/>
        <v>945835.71646198817</v>
      </c>
      <c r="L39" s="353"/>
      <c r="M39" s="261">
        <f ca="1">K39/Intro!K41</f>
        <v>1.7414432961106077</v>
      </c>
    </row>
    <row r="40" spans="1:13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3" x14ac:dyDescent="0.2">
      <c r="A41" s="348" t="s">
        <v>78</v>
      </c>
      <c r="B41" s="148"/>
      <c r="C41" s="249">
        <f ca="1">SUM(C15:C40)</f>
        <v>4569032.5166456364</v>
      </c>
      <c r="D41" s="148"/>
      <c r="E41" s="148"/>
      <c r="F41" s="148"/>
      <c r="G41" s="249">
        <f ca="1">SUM(G15:G40)</f>
        <v>2662369.2465469614</v>
      </c>
      <c r="H41" s="148"/>
      <c r="I41" s="249">
        <f>SUM(I15:I40)</f>
        <v>3860429.1000000006</v>
      </c>
      <c r="J41" s="148"/>
      <c r="K41" s="249">
        <f ca="1">SUM(K15:K40)</f>
        <v>6522798.346546961</v>
      </c>
      <c r="L41" s="148"/>
      <c r="M41" s="316">
        <f ca="1">K41/(Intro!K45-SUM(Intro!K18:K20))</f>
        <v>1.7711010912813971</v>
      </c>
    </row>
    <row r="42" spans="1:13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3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3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3" x14ac:dyDescent="0.2">
      <c r="A45" s="148" t="s">
        <v>590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3" x14ac:dyDescent="0.2">
      <c r="A46" s="148" t="s">
        <v>474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4B
</oddHeader>
    <oddFooter xml:space="preserve">&amp;L&amp;"Arial"&amp;10 Oliver Wyman Actuarial Consulting, Inc.
&amp;C&amp;"Arial"&amp;10 &amp;R&amp;"Arial"&amp;10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7">
    <tabColor theme="5" tint="0.79998168889431442"/>
    <pageSetUpPr fitToPage="1"/>
  </sheetPr>
  <dimension ref="A1:M50"/>
  <sheetViews>
    <sheetView zoomScale="85" zoomScaleNormal="85" zoomScaleSheetLayoutView="85" workbookViewId="0"/>
  </sheetViews>
  <sheetFormatPr defaultColWidth="9" defaultRowHeight="12.75" x14ac:dyDescent="0.2"/>
  <cols>
    <col min="1" max="1" width="9" style="222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bestFit="1" customWidth="1"/>
    <col min="14" max="14" width="2.625" style="222" customWidth="1"/>
    <col min="15" max="16384" width="9" style="222"/>
  </cols>
  <sheetData>
    <row r="1" spans="1:13" x14ac:dyDescent="0.2">
      <c r="A1" s="1" t="str">
        <f>[1]!getlabels()</f>
        <v>Exhibit 3, Sheet 4C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</row>
    <row r="6" spans="1:13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</row>
    <row r="7" spans="1:13" x14ac:dyDescent="0.2">
      <c r="A7" s="224" t="str">
        <f>VLOOKUP($A$1, index_lkups, 3, FALSE)</f>
        <v>Paid Bornhuetter-Ferguson Method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</row>
    <row r="10" spans="1:13" x14ac:dyDescent="0.2">
      <c r="A10" s="151"/>
      <c r="B10" s="148"/>
      <c r="C10" s="151" t="s">
        <v>244</v>
      </c>
      <c r="D10" s="148"/>
      <c r="E10" s="148"/>
      <c r="F10" s="148"/>
      <c r="G10" s="151"/>
      <c r="H10" s="148"/>
      <c r="I10" s="151" t="s">
        <v>75</v>
      </c>
      <c r="J10" s="148"/>
      <c r="L10" s="148"/>
      <c r="M10" s="151"/>
    </row>
    <row r="11" spans="1:13" x14ac:dyDescent="0.2">
      <c r="A11" s="181" t="str">
        <f>Intro!M9</f>
        <v>Policy</v>
      </c>
      <c r="B11" s="148"/>
      <c r="C11" s="230" t="s">
        <v>467</v>
      </c>
      <c r="D11" s="148"/>
      <c r="E11" s="230" t="s">
        <v>331</v>
      </c>
      <c r="F11" s="148"/>
      <c r="G11" s="151" t="s">
        <v>332</v>
      </c>
      <c r="H11" s="148"/>
      <c r="I11" s="181" t="s">
        <v>8</v>
      </c>
      <c r="J11" s="148"/>
      <c r="K11" s="181" t="s">
        <v>330</v>
      </c>
      <c r="L11" s="148"/>
      <c r="M11" s="151" t="s">
        <v>332</v>
      </c>
    </row>
    <row r="12" spans="1:13" x14ac:dyDescent="0.2">
      <c r="A12" s="181" t="str">
        <f>Intro!M10</f>
        <v>Period</v>
      </c>
      <c r="B12" s="148"/>
      <c r="C12" s="151" t="s">
        <v>462</v>
      </c>
      <c r="D12" s="148"/>
      <c r="E12" s="230" t="s">
        <v>245</v>
      </c>
      <c r="F12" s="148"/>
      <c r="G12" s="151" t="s">
        <v>468</v>
      </c>
      <c r="H12" s="148"/>
      <c r="I12" s="151" t="s">
        <v>334</v>
      </c>
      <c r="J12" s="148"/>
      <c r="K12" s="181" t="s">
        <v>245</v>
      </c>
      <c r="L12" s="148"/>
      <c r="M12" s="181" t="s">
        <v>8</v>
      </c>
    </row>
    <row r="13" spans="1:13" x14ac:dyDescent="0.2">
      <c r="A13" s="176" t="str">
        <f>Intro!M11</f>
        <v>Ending 9/30</v>
      </c>
      <c r="B13" s="148"/>
      <c r="C13" s="176" t="s">
        <v>8</v>
      </c>
      <c r="D13" s="148"/>
      <c r="E13" s="176" t="s">
        <v>338</v>
      </c>
      <c r="F13" s="148"/>
      <c r="G13" s="176" t="s">
        <v>8</v>
      </c>
      <c r="H13" s="148"/>
      <c r="I13" s="179" t="str">
        <f>ctxt</f>
        <v>4/30/19</v>
      </c>
      <c r="J13" s="148"/>
      <c r="K13" s="176" t="s">
        <v>8</v>
      </c>
      <c r="L13" s="148"/>
      <c r="M13" s="232" t="s">
        <v>349</v>
      </c>
    </row>
    <row r="14" spans="1:1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</row>
    <row r="15" spans="1:13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3" x14ac:dyDescent="0.2">
      <c r="A16" s="151">
        <f>'e3.5A'!A17</f>
        <v>1996</v>
      </c>
      <c r="B16" s="148"/>
      <c r="C16" s="354">
        <f ca="1">'e4.2'!Y15</f>
        <v>467835.73549209518</v>
      </c>
      <c r="D16" s="148"/>
      <c r="E16" s="269">
        <f ca="1">'e3.2A'!G18</f>
        <v>1.0083718713251526</v>
      </c>
      <c r="F16" s="148"/>
      <c r="G16" s="354">
        <f ca="1">C16*(1-1/E16)</f>
        <v>3884.1430331657816</v>
      </c>
      <c r="H16" s="148"/>
      <c r="I16" s="249">
        <f>'e3.2A'!E18</f>
        <v>683326</v>
      </c>
      <c r="J16" s="148"/>
      <c r="K16" s="350">
        <f ca="1">G16+I16</f>
        <v>687210.14303316583</v>
      </c>
      <c r="L16" s="148"/>
      <c r="M16" s="316">
        <f ca="1">K16/Intro!K18</f>
        <v>13.287447388192108</v>
      </c>
    </row>
    <row r="17" spans="1:13" x14ac:dyDescent="0.2">
      <c r="A17" s="151">
        <f>'e3.5A'!A18</f>
        <v>1997</v>
      </c>
      <c r="B17" s="148"/>
      <c r="C17" s="240">
        <f ca="1">'e4.2'!Y16</f>
        <v>638920.30798147165</v>
      </c>
      <c r="D17" s="148"/>
      <c r="E17" s="269">
        <f ca="1">'e3.2A'!G19</f>
        <v>1.0099642143752063</v>
      </c>
      <c r="F17" s="148"/>
      <c r="G17" s="240">
        <f t="shared" ref="G17:G39" ca="1" si="0">C17*(1-1/E17)</f>
        <v>6303.5292011199044</v>
      </c>
      <c r="H17" s="148"/>
      <c r="I17" s="235">
        <f>'e3.2A'!E19</f>
        <v>1337604</v>
      </c>
      <c r="J17" s="148"/>
      <c r="K17" s="351">
        <f t="shared" ref="K17:K39" ca="1" si="1">G17+I17</f>
        <v>1343907.5292011199</v>
      </c>
      <c r="L17" s="148"/>
      <c r="M17" s="256">
        <f ca="1">K17/Intro!K19</f>
        <v>18.853965690511725</v>
      </c>
    </row>
    <row r="18" spans="1:13" x14ac:dyDescent="0.2">
      <c r="A18" s="151">
        <f>'e3.5A'!A19</f>
        <v>1998</v>
      </c>
      <c r="B18" s="148"/>
      <c r="C18" s="240">
        <f ca="1">'e4.2'!Y17</f>
        <v>825033.65669364447</v>
      </c>
      <c r="D18" s="148"/>
      <c r="E18" s="269">
        <f ca="1">'e3.2A'!G20</f>
        <v>1.0118612003976113</v>
      </c>
      <c r="F18" s="148"/>
      <c r="G18" s="240">
        <f t="shared" ca="1" si="0"/>
        <v>9671.1777593329898</v>
      </c>
      <c r="H18" s="148"/>
      <c r="I18" s="235">
        <f>'e3.2A'!E20</f>
        <v>2584955.17</v>
      </c>
      <c r="J18" s="148"/>
      <c r="K18" s="351">
        <f t="shared" ca="1" si="1"/>
        <v>2594626.347759333</v>
      </c>
      <c r="L18" s="148"/>
      <c r="M18" s="256">
        <f ca="1">K18/Intro!K20</f>
        <v>28.598507497510379</v>
      </c>
    </row>
    <row r="19" spans="1:13" x14ac:dyDescent="0.2">
      <c r="A19" s="151">
        <f>'e3.5A'!A20</f>
        <v>1999</v>
      </c>
      <c r="B19" s="148"/>
      <c r="C19" s="240">
        <f ca="1">'e4.2'!Y18</f>
        <v>1066282.1970283729</v>
      </c>
      <c r="D19" s="148"/>
      <c r="E19" s="269">
        <f ca="1">'e3.2A'!G21</f>
        <v>1.0141218518079127</v>
      </c>
      <c r="F19" s="148"/>
      <c r="G19" s="240">
        <f t="shared" ca="1" si="0"/>
        <v>14848.195160183146</v>
      </c>
      <c r="H19" s="148"/>
      <c r="I19" s="235">
        <f>'e3.2A'!E21</f>
        <v>2548851.29</v>
      </c>
      <c r="J19" s="148"/>
      <c r="K19" s="351">
        <f t="shared" ca="1" si="1"/>
        <v>2563699.4851601832</v>
      </c>
      <c r="L19" s="148"/>
      <c r="M19" s="256">
        <f ca="1">K19/Intro!K21</f>
        <v>22.133645235462087</v>
      </c>
    </row>
    <row r="20" spans="1:13" x14ac:dyDescent="0.2">
      <c r="A20" s="151">
        <f>'e3.5A'!A21</f>
        <v>2000</v>
      </c>
      <c r="B20" s="148"/>
      <c r="C20" s="240">
        <f ca="1">'e4.2'!Y19</f>
        <v>810737.22074185079</v>
      </c>
      <c r="D20" s="148"/>
      <c r="E20" s="269">
        <f ca="1">'e3.2A'!G22</f>
        <v>1.0168169333869523</v>
      </c>
      <c r="F20" s="148"/>
      <c r="G20" s="240">
        <f t="shared" ca="1" si="0"/>
        <v>13408.621933669259</v>
      </c>
      <c r="H20" s="148"/>
      <c r="I20" s="235">
        <f>'e3.2A'!E22</f>
        <v>2314287.94</v>
      </c>
      <c r="J20" s="148"/>
      <c r="K20" s="351">
        <f t="shared" ca="1" si="1"/>
        <v>2327696.5619336693</v>
      </c>
      <c r="L20" s="148"/>
      <c r="M20" s="256">
        <f ca="1">K20/Intro!K22</f>
        <v>26.800378548619911</v>
      </c>
    </row>
    <row r="21" spans="1:13" x14ac:dyDescent="0.2">
      <c r="A21" s="151">
        <f>'e3.5A'!A22</f>
        <v>2001</v>
      </c>
      <c r="B21" s="148"/>
      <c r="C21" s="240">
        <f ca="1">'e4.2'!Y20</f>
        <v>870310.07360855013</v>
      </c>
      <c r="D21" s="148"/>
      <c r="E21" s="269">
        <f ca="1">'e3.2A'!G23</f>
        <v>1.0200314156741195</v>
      </c>
      <c r="F21" s="148"/>
      <c r="G21" s="240">
        <f t="shared" ca="1" si="0"/>
        <v>17091.182273346796</v>
      </c>
      <c r="H21" s="148"/>
      <c r="I21" s="235">
        <f>'e3.2A'!E23</f>
        <v>1349346.97</v>
      </c>
      <c r="J21" s="148"/>
      <c r="K21" s="351">
        <f t="shared" ca="1" si="1"/>
        <v>1366438.1522733467</v>
      </c>
      <c r="L21" s="353"/>
      <c r="M21" s="256">
        <f ca="1">K21/Intro!K23</f>
        <v>14.878756639461773</v>
      </c>
    </row>
    <row r="22" spans="1:13" x14ac:dyDescent="0.2">
      <c r="A22" s="151">
        <f>'e3.5A'!A23</f>
        <v>2002</v>
      </c>
      <c r="B22" s="148"/>
      <c r="C22" s="240">
        <f ca="1">'e4.2'!Y21</f>
        <v>827971.7433405706</v>
      </c>
      <c r="D22" s="148"/>
      <c r="E22" s="269">
        <f ca="1">'e3.2A'!G24</f>
        <v>1.0238675073027417</v>
      </c>
      <c r="F22" s="148"/>
      <c r="G22" s="240">
        <f t="shared" ca="1" si="0"/>
        <v>19300.955924174694</v>
      </c>
      <c r="H22" s="148"/>
      <c r="I22" s="235">
        <f>'e3.2A'!E24</f>
        <v>2761132.9899999998</v>
      </c>
      <c r="J22" s="148"/>
      <c r="K22" s="351">
        <f t="shared" ca="1" si="1"/>
        <v>2780433.9459241745</v>
      </c>
      <c r="L22" s="353"/>
      <c r="M22" s="256">
        <f ca="1">K22/Intro!K24</f>
        <v>32.293776699392787</v>
      </c>
    </row>
    <row r="23" spans="1:13" x14ac:dyDescent="0.2">
      <c r="A23" s="151">
        <f>'e3.5A'!A24</f>
        <v>2003</v>
      </c>
      <c r="B23" s="148"/>
      <c r="C23" s="240">
        <f ca="1">'e4.2'!Y22</f>
        <v>952161.1629595079</v>
      </c>
      <c r="D23" s="148"/>
      <c r="E23" s="269">
        <f ca="1">'e3.2A'!G25</f>
        <v>1.0191738387507183</v>
      </c>
      <c r="F23" s="148"/>
      <c r="G23" s="240">
        <f t="shared" ca="1" si="0"/>
        <v>17913.121303879398</v>
      </c>
      <c r="H23" s="148"/>
      <c r="I23" s="235">
        <f>'e3.2A'!E25</f>
        <v>1243025.0200000005</v>
      </c>
      <c r="J23" s="148"/>
      <c r="K23" s="351">
        <f t="shared" ca="1" si="1"/>
        <v>1260938.1413038799</v>
      </c>
      <c r="L23" s="353"/>
      <c r="M23" s="256">
        <f ca="1">K23/Intro!K25</f>
        <v>13.151600737363093</v>
      </c>
    </row>
    <row r="24" spans="1:13" x14ac:dyDescent="0.2">
      <c r="A24" s="151">
        <f>'e3.5A'!A25</f>
        <v>2004</v>
      </c>
      <c r="B24" s="148"/>
      <c r="C24" s="240">
        <f ca="1">'e4.2'!Y23</f>
        <v>1001937.2144139605</v>
      </c>
      <c r="D24" s="148"/>
      <c r="E24" s="269">
        <f ca="1">'e3.2A'!G26</f>
        <v>1.0228438700024272</v>
      </c>
      <c r="F24" s="148"/>
      <c r="G24" s="240">
        <f t="shared" ca="1" si="0"/>
        <v>22376.94739922744</v>
      </c>
      <c r="H24" s="148"/>
      <c r="I24" s="235">
        <f>'e3.2A'!E26</f>
        <v>1971339.2299999993</v>
      </c>
      <c r="J24" s="148"/>
      <c r="K24" s="351">
        <f t="shared" ca="1" si="1"/>
        <v>1993716.1773992267</v>
      </c>
      <c r="L24" s="353"/>
      <c r="M24" s="256">
        <f ca="1">K24/Intro!K26</f>
        <v>19.519887672796298</v>
      </c>
    </row>
    <row r="25" spans="1:13" x14ac:dyDescent="0.2">
      <c r="A25" s="151">
        <f>'e3.5A'!A26</f>
        <v>2005</v>
      </c>
      <c r="B25" s="148"/>
      <c r="C25" s="240">
        <f ca="1">'e4.2'!Y24</f>
        <v>1105516.4380531388</v>
      </c>
      <c r="D25" s="148"/>
      <c r="E25" s="269">
        <f ca="1">'e3.2A'!G27</f>
        <v>1.0274340986706185</v>
      </c>
      <c r="F25" s="148"/>
      <c r="G25" s="240">
        <f t="shared" ca="1" si="0"/>
        <v>29519.019353925014</v>
      </c>
      <c r="H25" s="148"/>
      <c r="I25" s="235">
        <f>'e3.2A'!E27</f>
        <v>699839.89000000025</v>
      </c>
      <c r="J25" s="148"/>
      <c r="K25" s="351">
        <f t="shared" ca="1" si="1"/>
        <v>729358.90935392526</v>
      </c>
      <c r="L25" s="353"/>
      <c r="M25" s="256">
        <f ca="1">K25/Intro!K27</f>
        <v>6.5535379035965482</v>
      </c>
    </row>
    <row r="26" spans="1:13" x14ac:dyDescent="0.2">
      <c r="A26" s="151">
        <f>'e3.5A'!A27</f>
        <v>2006</v>
      </c>
      <c r="B26" s="148"/>
      <c r="C26" s="240">
        <f ca="1">'e4.2'!Y25</f>
        <v>1110464.05566846</v>
      </c>
      <c r="D26" s="148"/>
      <c r="E26" s="269">
        <f ca="1">'e3.2A'!G28</f>
        <v>1.0331775282486453</v>
      </c>
      <c r="F26" s="148"/>
      <c r="G26" s="240">
        <f t="shared" ca="1" si="0"/>
        <v>35659.363051089298</v>
      </c>
      <c r="H26" s="148"/>
      <c r="I26" s="235">
        <f>'e3.2A'!E28</f>
        <v>1775477.7400000007</v>
      </c>
      <c r="J26" s="148"/>
      <c r="K26" s="351">
        <f t="shared" ca="1" si="1"/>
        <v>1811137.1030510899</v>
      </c>
      <c r="L26" s="353"/>
      <c r="M26" s="256">
        <f ca="1">K26/Intro!K28</f>
        <v>16.807632554677838</v>
      </c>
    </row>
    <row r="27" spans="1:13" x14ac:dyDescent="0.2">
      <c r="A27" s="151">
        <f>'e3.5A'!A28</f>
        <v>2007</v>
      </c>
      <c r="B27" s="148"/>
      <c r="C27" s="240">
        <f ca="1">'e4.2'!Y26</f>
        <v>1127287.5026610023</v>
      </c>
      <c r="D27" s="148"/>
      <c r="E27" s="269">
        <f ca="1">'e3.2A'!G29</f>
        <v>1.0397335496546645</v>
      </c>
      <c r="F27" s="148"/>
      <c r="G27" s="240">
        <f t="shared" ca="1" si="0"/>
        <v>43079.435088865277</v>
      </c>
      <c r="H27" s="148"/>
      <c r="I27" s="235">
        <f>'e3.2A'!E29</f>
        <v>1099670.4199999997</v>
      </c>
      <c r="J27" s="148"/>
      <c r="K27" s="351">
        <f t="shared" ca="1" si="1"/>
        <v>1142749.8550888649</v>
      </c>
      <c r="L27" s="353"/>
      <c r="M27" s="256">
        <f ca="1">K27/Intro!K29</f>
        <v>10.926611533069002</v>
      </c>
    </row>
    <row r="28" spans="1:13" x14ac:dyDescent="0.2">
      <c r="A28" s="151">
        <f>'e3.5A'!A29</f>
        <v>2008</v>
      </c>
      <c r="B28" s="148"/>
      <c r="C28" s="240">
        <f ca="1">'e4.2'!Y27</f>
        <v>1180043.1908320393</v>
      </c>
      <c r="D28" s="148"/>
      <c r="E28" s="269">
        <f ca="1">'e3.2A'!G30</f>
        <v>1.0471776383007039</v>
      </c>
      <c r="F28" s="148"/>
      <c r="G28" s="240">
        <f t="shared" ca="1" si="0"/>
        <v>53163.521450499073</v>
      </c>
      <c r="H28" s="148"/>
      <c r="I28" s="235">
        <f>'e3.2A'!E30</f>
        <v>766269.99000000011</v>
      </c>
      <c r="J28" s="148"/>
      <c r="K28" s="351">
        <f t="shared" ca="1" si="1"/>
        <v>819433.51145049918</v>
      </c>
      <c r="L28" s="353"/>
      <c r="M28" s="256">
        <f ca="1">K28/Intro!K30</f>
        <v>7.7268384401648502</v>
      </c>
    </row>
    <row r="29" spans="1:13" x14ac:dyDescent="0.2">
      <c r="A29" s="151">
        <f>'e3.5A'!A30</f>
        <v>2009</v>
      </c>
      <c r="B29" s="148"/>
      <c r="C29" s="240">
        <f ca="1">'e4.2'!Y28</f>
        <v>1256095.5342485108</v>
      </c>
      <c r="D29" s="148"/>
      <c r="E29" s="269">
        <f ca="1">'e3.2A'!G31</f>
        <v>1.055880260199161</v>
      </c>
      <c r="F29" s="148"/>
      <c r="G29" s="240">
        <f t="shared" ca="1" si="0"/>
        <v>66476.235928088528</v>
      </c>
      <c r="H29" s="148"/>
      <c r="I29" s="235">
        <f>'e3.2A'!E31</f>
        <v>1514381.6700000002</v>
      </c>
      <c r="J29" s="148"/>
      <c r="K29" s="351">
        <f t="shared" ca="1" si="1"/>
        <v>1580857.9059280886</v>
      </c>
      <c r="L29" s="353"/>
      <c r="M29" s="256">
        <f ca="1">K29/Intro!K31</f>
        <v>14.277630824934132</v>
      </c>
    </row>
    <row r="30" spans="1:13" x14ac:dyDescent="0.2">
      <c r="A30" s="151">
        <f>'e3.5A'!A31</f>
        <v>2010</v>
      </c>
      <c r="B30" s="148"/>
      <c r="C30" s="240">
        <f ca="1">'e4.2'!Y29</f>
        <v>1484524.1614236715</v>
      </c>
      <c r="D30" s="148"/>
      <c r="E30" s="269">
        <f ca="1">'e3.2A'!G32</f>
        <v>1.0662753278199539</v>
      </c>
      <c r="F30" s="148"/>
      <c r="G30" s="240">
        <f t="shared" ca="1" si="0"/>
        <v>92271.970370123032</v>
      </c>
      <c r="H30" s="148"/>
      <c r="I30" s="235">
        <f>'e3.2A'!E32</f>
        <v>1183179.1900000002</v>
      </c>
      <c r="J30" s="148"/>
      <c r="K30" s="351">
        <f t="shared" ca="1" si="1"/>
        <v>1275451.1603701231</v>
      </c>
      <c r="L30" s="353"/>
      <c r="M30" s="256">
        <f ca="1">K30/Intro!K32</f>
        <v>9.9472019299427732</v>
      </c>
    </row>
    <row r="31" spans="1:13" x14ac:dyDescent="0.2">
      <c r="A31" s="151">
        <f>'e3.5A'!A32</f>
        <v>2011</v>
      </c>
      <c r="B31" s="148"/>
      <c r="C31" s="240">
        <f ca="1">'e4.2'!Y30</f>
        <v>1658357.2364973139</v>
      </c>
      <c r="D31" s="148"/>
      <c r="E31" s="269">
        <f ca="1">'e3.2A'!G33</f>
        <v>1.0789241704621788</v>
      </c>
      <c r="F31" s="148"/>
      <c r="G31" s="240">
        <f t="shared" ca="1" si="0"/>
        <v>121310.16507344975</v>
      </c>
      <c r="H31" s="148"/>
      <c r="I31" s="235">
        <f>'e3.2A'!E33</f>
        <v>1212882.8100000003</v>
      </c>
      <c r="J31" s="148"/>
      <c r="K31" s="351">
        <f t="shared" ca="1" si="1"/>
        <v>1334192.97507345</v>
      </c>
      <c r="L31" s="353"/>
      <c r="M31" s="256">
        <f ca="1">K31/Intro!K33</f>
        <v>9.3160549308650396</v>
      </c>
    </row>
    <row r="32" spans="1:13" x14ac:dyDescent="0.2">
      <c r="A32" s="151">
        <f>'e3.5A'!A33</f>
        <v>2012</v>
      </c>
      <c r="B32" s="148"/>
      <c r="C32" s="240">
        <f ca="1">'e4.2'!Y31</f>
        <v>1659700.9643256087</v>
      </c>
      <c r="D32" s="148"/>
      <c r="E32" s="269">
        <f ca="1">'e3.2A'!G34</f>
        <v>1.0951246421749394</v>
      </c>
      <c r="F32" s="148"/>
      <c r="G32" s="240">
        <f t="shared" ca="1" si="0"/>
        <v>144164.83226541747</v>
      </c>
      <c r="H32" s="148"/>
      <c r="I32" s="235">
        <f>'e3.2A'!E34</f>
        <v>1828733.7599999993</v>
      </c>
      <c r="J32" s="148"/>
      <c r="K32" s="351">
        <f t="shared" ca="1" si="1"/>
        <v>1972898.5922654169</v>
      </c>
      <c r="L32" s="353"/>
      <c r="M32" s="256">
        <f ca="1">K32/Intro!K34</f>
        <v>13.552933505082835</v>
      </c>
    </row>
    <row r="33" spans="1:13" x14ac:dyDescent="0.2">
      <c r="A33" s="151">
        <f>'e3.5A'!A34</f>
        <v>2013</v>
      </c>
      <c r="B33" s="148"/>
      <c r="C33" s="240">
        <f ca="1">'e4.2'!Y32</f>
        <v>1950966.3749170403</v>
      </c>
      <c r="D33" s="148"/>
      <c r="E33" s="269">
        <f ca="1">'e3.2A'!G35</f>
        <v>1.1181881757125443</v>
      </c>
      <c r="F33" s="148"/>
      <c r="G33" s="240">
        <f t="shared" ca="1" si="0"/>
        <v>206209.61814502033</v>
      </c>
      <c r="H33" s="148"/>
      <c r="I33" s="235">
        <f>'e3.2A'!E35</f>
        <v>1811366.5999999999</v>
      </c>
      <c r="J33" s="148"/>
      <c r="K33" s="351">
        <f t="shared" ca="1" si="1"/>
        <v>2017576.2181450203</v>
      </c>
      <c r="L33" s="353"/>
      <c r="M33" s="256">
        <f ca="1">K33/Intro!K35</f>
        <v>12.772015824324312</v>
      </c>
    </row>
    <row r="34" spans="1:13" x14ac:dyDescent="0.2">
      <c r="A34" s="151">
        <f>'e3.5A'!A35</f>
        <v>2014</v>
      </c>
      <c r="B34" s="148"/>
      <c r="C34" s="240">
        <f ca="1">'e4.2'!Y33</f>
        <v>2378934.8983108932</v>
      </c>
      <c r="D34" s="148"/>
      <c r="E34" s="269">
        <f ca="1">'e3.2A'!G36</f>
        <v>1.1520401229664605</v>
      </c>
      <c r="F34" s="148"/>
      <c r="G34" s="240">
        <f t="shared" ca="1" si="0"/>
        <v>313959.16449250473</v>
      </c>
      <c r="H34" s="148"/>
      <c r="I34" s="235">
        <f>'e3.2A'!E36</f>
        <v>2173195.9299999997</v>
      </c>
      <c r="J34" s="148"/>
      <c r="K34" s="351">
        <f t="shared" ca="1" si="1"/>
        <v>2487155.0944925044</v>
      </c>
      <c r="L34" s="353"/>
      <c r="M34" s="256">
        <f ca="1">K34/Intro!K36</f>
        <v>13.624794648653255</v>
      </c>
    </row>
    <row r="35" spans="1:13" x14ac:dyDescent="0.2">
      <c r="A35" s="151">
        <f>'e3.5A'!A36</f>
        <v>2015</v>
      </c>
      <c r="B35" s="148"/>
      <c r="C35" s="240">
        <f ca="1">'e4.2'!Y34</f>
        <v>2519854.2090388471</v>
      </c>
      <c r="D35" s="148"/>
      <c r="E35" s="269">
        <f ca="1">'e3.2A'!G37</f>
        <v>1.2040751389319559</v>
      </c>
      <c r="F35" s="148"/>
      <c r="G35" s="240">
        <f t="shared" ca="1" si="0"/>
        <v>427082.64722915849</v>
      </c>
      <c r="H35" s="148"/>
      <c r="I35" s="235">
        <f>'e3.2A'!E37</f>
        <v>2776114.1900000009</v>
      </c>
      <c r="J35" s="148"/>
      <c r="K35" s="351">
        <f t="shared" ca="1" si="1"/>
        <v>3203196.8372291592</v>
      </c>
      <c r="L35" s="353"/>
      <c r="M35" s="256">
        <f ca="1">K35/Intro!K37</f>
        <v>16.267140311832389</v>
      </c>
    </row>
    <row r="36" spans="1:13" x14ac:dyDescent="0.2">
      <c r="A36" s="151">
        <f>'e3.5A'!A37</f>
        <v>2016</v>
      </c>
      <c r="B36" s="148"/>
      <c r="C36" s="240">
        <f ca="1">'e4.2'!Y35</f>
        <v>2908745.8721980779</v>
      </c>
      <c r="D36" s="148"/>
      <c r="E36" s="269">
        <f ca="1">'e3.2A'!G38</f>
        <v>1.2970691265442551</v>
      </c>
      <c r="F36" s="148"/>
      <c r="G36" s="240">
        <f t="shared" ca="1" si="0"/>
        <v>666193.17190540489</v>
      </c>
      <c r="H36" s="148"/>
      <c r="I36" s="235">
        <f>'e3.2A'!E38</f>
        <v>2347544.3600000013</v>
      </c>
      <c r="J36" s="148"/>
      <c r="K36" s="351">
        <f t="shared" ca="1" si="1"/>
        <v>3013737.5319054062</v>
      </c>
      <c r="L36" s="353"/>
      <c r="M36" s="256">
        <f ca="1">K36/Intro!K38</f>
        <v>13.581843660022237</v>
      </c>
    </row>
    <row r="37" spans="1:13" x14ac:dyDescent="0.2">
      <c r="A37" s="151">
        <f>'e3.5A'!A38</f>
        <v>2017</v>
      </c>
      <c r="B37" s="148"/>
      <c r="C37" s="240">
        <f ca="1">'e4.2'!Y36</f>
        <v>3565445.9742796985</v>
      </c>
      <c r="D37" s="148"/>
      <c r="E37" s="269">
        <f ca="1">'e3.2A'!G39</f>
        <v>1.5196616633140005</v>
      </c>
      <c r="F37" s="148"/>
      <c r="G37" s="240">
        <f t="shared" ca="1" si="0"/>
        <v>1219235.5905128566</v>
      </c>
      <c r="H37" s="148"/>
      <c r="I37" s="235">
        <f>'e3.2A'!E39</f>
        <v>2258070.4400000018</v>
      </c>
      <c r="J37" s="148"/>
      <c r="K37" s="351">
        <f t="shared" ca="1" si="1"/>
        <v>3477306.0305128582</v>
      </c>
      <c r="L37" s="353"/>
      <c r="M37" s="256">
        <f ca="1">K37/Intro!K39</f>
        <v>11.307956698129644</v>
      </c>
    </row>
    <row r="38" spans="1:13" x14ac:dyDescent="0.2">
      <c r="A38" s="151">
        <f>'e3.5A'!A39</f>
        <v>2018</v>
      </c>
      <c r="B38" s="148"/>
      <c r="C38" s="240">
        <f ca="1">'e4.2'!Y37</f>
        <v>8069749.2320646197</v>
      </c>
      <c r="D38" s="148"/>
      <c r="E38" s="269">
        <f ca="1">'e3.2A'!G40</f>
        <v>2.2885387762769192</v>
      </c>
      <c r="F38" s="148"/>
      <c r="G38" s="240">
        <f t="shared" ca="1" si="0"/>
        <v>4543591.2679890487</v>
      </c>
      <c r="H38" s="148"/>
      <c r="I38" s="235">
        <f>'e3.2A'!E40</f>
        <v>4199295.1499999976</v>
      </c>
      <c r="J38" s="148"/>
      <c r="K38" s="351">
        <f t="shared" ca="1" si="1"/>
        <v>8742886.4179890454</v>
      </c>
      <c r="L38" s="353"/>
      <c r="M38" s="256">
        <f ca="1">K38/Intro!K40</f>
        <v>16.284125728351412</v>
      </c>
    </row>
    <row r="39" spans="1:13" x14ac:dyDescent="0.2">
      <c r="A39" s="151">
        <f>'e3.5A'!A40</f>
        <v>2019</v>
      </c>
      <c r="B39" s="148"/>
      <c r="C39" s="240">
        <f ca="1">'e4.2'!Y38</f>
        <v>8051683.8868704299</v>
      </c>
      <c r="D39" s="148"/>
      <c r="E39" s="269">
        <f ca="1">'e3.2A'!G41</f>
        <v>12.636897805557163</v>
      </c>
      <c r="F39" s="148"/>
      <c r="G39" s="271">
        <f t="shared" ca="1" si="0"/>
        <v>7414527.2040546797</v>
      </c>
      <c r="H39" s="148"/>
      <c r="I39" s="235">
        <f>'e3.2A'!E41</f>
        <v>619309.30000000005</v>
      </c>
      <c r="J39" s="148"/>
      <c r="K39" s="351">
        <f t="shared" ca="1" si="1"/>
        <v>8033836.5040546795</v>
      </c>
      <c r="L39" s="353"/>
      <c r="M39" s="261">
        <f ca="1">K39/Intro!K41</f>
        <v>14.791649837846824</v>
      </c>
    </row>
    <row r="40" spans="1:13" x14ac:dyDescent="0.2">
      <c r="A40" s="151"/>
      <c r="B40" s="148"/>
      <c r="C40" s="234"/>
      <c r="D40" s="148"/>
      <c r="E40" s="148"/>
      <c r="F40" s="148"/>
      <c r="G40" s="234"/>
      <c r="H40" s="148"/>
      <c r="I40" s="234"/>
      <c r="J40" s="148"/>
      <c r="K40" s="234"/>
      <c r="L40" s="148"/>
      <c r="M40" s="239"/>
    </row>
    <row r="41" spans="1:13" x14ac:dyDescent="0.2">
      <c r="A41" s="348" t="s">
        <v>78</v>
      </c>
      <c r="B41" s="148"/>
      <c r="C41" s="249">
        <f ca="1">SUM(C15:C40)</f>
        <v>47488558.843649372</v>
      </c>
      <c r="D41" s="148"/>
      <c r="E41" s="148"/>
      <c r="F41" s="148"/>
      <c r="G41" s="249">
        <f ca="1">SUM(G15:G40)</f>
        <v>15501241.080898231</v>
      </c>
      <c r="H41" s="148"/>
      <c r="I41" s="249">
        <f>SUM(I15:I40)</f>
        <v>43059200.050000004</v>
      </c>
      <c r="J41" s="148"/>
      <c r="K41" s="249">
        <f ca="1">SUM(K15:K40)</f>
        <v>58560441.130898237</v>
      </c>
      <c r="L41" s="148"/>
      <c r="M41" s="316">
        <f ca="1">K41/Intro!K45</f>
        <v>15.02848294960587</v>
      </c>
    </row>
    <row r="42" spans="1:13" x14ac:dyDescent="0.2">
      <c r="A42" s="151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1:13" x14ac:dyDescent="0.2">
      <c r="A43" s="151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1:13" x14ac:dyDescent="0.2">
      <c r="A44" s="245" t="s">
        <v>83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 spans="1:13" x14ac:dyDescent="0.2">
      <c r="A45" s="148" t="s">
        <v>590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 spans="1:13" x14ac:dyDescent="0.2">
      <c r="A46" s="148" t="s">
        <v>474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x14ac:dyDescent="0.2">
      <c r="A47" s="283" t="s">
        <v>469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x14ac:dyDescent="0.2">
      <c r="A48" s="148" t="str">
        <f>"Column (4) provided by "&amp;client&amp;"."</f>
        <v>Column (4) provided by CLIENT XYZ.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x14ac:dyDescent="0.2">
      <c r="A49" s="257" t="s">
        <v>471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 spans="1:13" x14ac:dyDescent="0.2">
      <c r="A50" s="283" t="s">
        <v>470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</sheetData>
  <printOptions horizontalCentered="1"/>
  <pageMargins left="0.7" right="0.7" top="0.75" bottom="0.75" header="0.3" footer="0.3"/>
  <pageSetup scale="95" orientation="portrait" blackAndWhite="1" r:id="rId1"/>
  <headerFooter>
    <oddHeader xml:space="preserve">&amp;L&amp;"Arial"&amp;10  
  &amp;R&amp;"Arial"&amp;10  Exhibit 3
Sheet 4C
</oddHeader>
    <oddFooter xml:space="preserve">&amp;L&amp;"Arial"&amp;10 Oliver Wyman Actuarial Consulting, Inc.
&amp;C&amp;"Arial"&amp;10 &amp;R&amp;"Arial"&amp;10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8">
    <tabColor theme="5" tint="0.79998168889431442"/>
    <pageSetUpPr fitToPage="1"/>
  </sheetPr>
  <dimension ref="A1:U50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10.75" style="222" customWidth="1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5" width="10.75" style="222" customWidth="1"/>
    <col min="16" max="16384" width="9" style="222"/>
  </cols>
  <sheetData>
    <row r="1" spans="1:21" x14ac:dyDescent="0.2">
      <c r="A1" s="1" t="str">
        <f>[1]!getlabels()</f>
        <v>Exhibit 3, Sheet 5A</v>
      </c>
    </row>
    <row r="2" spans="1:21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21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1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1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21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21" x14ac:dyDescent="0.2">
      <c r="A7" s="224" t="str">
        <f>VLOOKUP($A$1, index_lkups, 3, FALSE)</f>
        <v>Case Development Method - Loss &amp; ALAE Limited to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10" spans="1:21" x14ac:dyDescent="0.2">
      <c r="A10" s="148"/>
      <c r="B10" s="148"/>
      <c r="C10" s="230"/>
      <c r="D10" s="148"/>
      <c r="E10" s="151" t="s">
        <v>74</v>
      </c>
      <c r="F10" s="148"/>
      <c r="G10" s="230"/>
      <c r="H10" s="148"/>
      <c r="I10" s="230"/>
      <c r="J10" s="148"/>
      <c r="K10" s="230"/>
      <c r="L10" s="148"/>
      <c r="M10" s="230"/>
      <c r="N10" s="148"/>
      <c r="O10" s="230"/>
    </row>
    <row r="11" spans="1:21" x14ac:dyDescent="0.2">
      <c r="A11" s="151"/>
      <c r="B11" s="148"/>
      <c r="C11" s="151" t="s">
        <v>75</v>
      </c>
      <c r="D11" s="148"/>
      <c r="E11" s="151" t="s">
        <v>460</v>
      </c>
      <c r="F11" s="148"/>
      <c r="G11" s="151" t="s">
        <v>222</v>
      </c>
      <c r="H11" s="148"/>
      <c r="I11" s="151" t="s">
        <v>222</v>
      </c>
      <c r="J11" s="148"/>
      <c r="K11" s="151" t="s">
        <v>461</v>
      </c>
      <c r="L11" s="148"/>
      <c r="M11" s="151"/>
      <c r="N11" s="148"/>
      <c r="O11" s="148"/>
    </row>
    <row r="12" spans="1:21" x14ac:dyDescent="0.2">
      <c r="A12" s="181" t="str">
        <f>Intro!M9</f>
        <v>Policy</v>
      </c>
      <c r="B12" s="148"/>
      <c r="C12" s="151" t="s">
        <v>8</v>
      </c>
      <c r="D12" s="148"/>
      <c r="E12" s="151" t="s">
        <v>8</v>
      </c>
      <c r="F12" s="148"/>
      <c r="G12" s="151" t="s">
        <v>462</v>
      </c>
      <c r="H12" s="148"/>
      <c r="I12" s="151" t="s">
        <v>462</v>
      </c>
      <c r="J12" s="148"/>
      <c r="K12" s="151" t="s">
        <v>463</v>
      </c>
      <c r="L12" s="148"/>
      <c r="M12" s="151" t="s">
        <v>330</v>
      </c>
      <c r="N12" s="148"/>
      <c r="O12" s="151" t="s">
        <v>332</v>
      </c>
    </row>
    <row r="13" spans="1:21" x14ac:dyDescent="0.2">
      <c r="A13" s="181" t="str">
        <f>Intro!M10</f>
        <v>Period</v>
      </c>
      <c r="B13" s="148"/>
      <c r="C13" s="151" t="s">
        <v>334</v>
      </c>
      <c r="D13" s="148"/>
      <c r="E13" s="151" t="s">
        <v>334</v>
      </c>
      <c r="F13" s="148"/>
      <c r="G13" s="151" t="s">
        <v>8</v>
      </c>
      <c r="H13" s="148"/>
      <c r="I13" s="151" t="s">
        <v>8</v>
      </c>
      <c r="J13" s="148"/>
      <c r="K13" s="151" t="s">
        <v>71</v>
      </c>
      <c r="L13" s="148"/>
      <c r="M13" s="151" t="s">
        <v>245</v>
      </c>
      <c r="N13" s="148"/>
      <c r="O13" s="151" t="s">
        <v>8</v>
      </c>
      <c r="Q13" s="694" t="s">
        <v>93</v>
      </c>
      <c r="T13" s="694" t="s">
        <v>75</v>
      </c>
    </row>
    <row r="14" spans="1:21" x14ac:dyDescent="0.2">
      <c r="A14" s="176" t="str">
        <f>Intro!M11</f>
        <v>Ending 9/30</v>
      </c>
      <c r="B14" s="148"/>
      <c r="C14" s="179" t="str">
        <f>ctxt</f>
        <v>4/30/19</v>
      </c>
      <c r="D14" s="148"/>
      <c r="E14" s="179" t="str">
        <f>C14</f>
        <v>4/30/19</v>
      </c>
      <c r="F14" s="148"/>
      <c r="G14" s="176" t="s">
        <v>71</v>
      </c>
      <c r="H14" s="148"/>
      <c r="I14" s="176" t="s">
        <v>75</v>
      </c>
      <c r="J14" s="148"/>
      <c r="K14" s="176" t="s">
        <v>8</v>
      </c>
      <c r="L14" s="148"/>
      <c r="M14" s="176" t="s">
        <v>8</v>
      </c>
      <c r="N14" s="148"/>
      <c r="O14" s="176" t="s">
        <v>349</v>
      </c>
      <c r="Q14" s="695" t="s">
        <v>814</v>
      </c>
      <c r="R14" s="695" t="s">
        <v>475</v>
      </c>
      <c r="T14" s="695" t="s">
        <v>814</v>
      </c>
      <c r="U14" s="695" t="s">
        <v>475</v>
      </c>
    </row>
    <row r="15" spans="1:21" x14ac:dyDescent="0.2">
      <c r="A15" s="148"/>
      <c r="B15" s="148"/>
      <c r="C15" s="246">
        <v>1</v>
      </c>
      <c r="D15" s="148"/>
      <c r="E15" s="246">
        <f>C15+1</f>
        <v>2</v>
      </c>
      <c r="F15" s="148"/>
      <c r="G15" s="246">
        <f>E15+1</f>
        <v>3</v>
      </c>
      <c r="H15" s="148"/>
      <c r="I15" s="246">
        <f>G15+1</f>
        <v>4</v>
      </c>
      <c r="J15" s="148"/>
      <c r="K15" s="246">
        <f>I15+1</f>
        <v>5</v>
      </c>
      <c r="L15" s="148"/>
      <c r="M15" s="246">
        <f>K15+1</f>
        <v>6</v>
      </c>
      <c r="N15" s="148"/>
      <c r="O15" s="246">
        <f>M15+1</f>
        <v>7</v>
      </c>
    </row>
    <row r="16" spans="1:21" x14ac:dyDescent="0.2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</row>
    <row r="17" spans="1:21" x14ac:dyDescent="0.2">
      <c r="A17" s="151">
        <f>Intro!C18</f>
        <v>1996</v>
      </c>
      <c r="B17" s="148"/>
      <c r="C17" s="249">
        <f>'e7'!K16</f>
        <v>683326</v>
      </c>
      <c r="D17" s="148"/>
      <c r="E17" s="249">
        <f>'e7'!M16</f>
        <v>0</v>
      </c>
      <c r="F17" s="148"/>
      <c r="G17" s="182">
        <f ca="1">1 / 'e3.1B'!G54</f>
        <v>0.99601848341720789</v>
      </c>
      <c r="H17" s="345"/>
      <c r="I17" s="182">
        <f ca="1">1 / 'e3.2B'!G54</f>
        <v>0.9916976350062694</v>
      </c>
      <c r="J17" s="148"/>
      <c r="K17" s="249">
        <f ca="1">E17*((1-G17)/(G17-I17))</f>
        <v>0</v>
      </c>
      <c r="L17" s="148"/>
      <c r="M17" s="249">
        <f t="shared" ref="M17" ca="1" si="0">C17+E17+K17</f>
        <v>683326</v>
      </c>
      <c r="N17" s="148"/>
      <c r="O17" s="316">
        <f ca="1">M17/Intro!K18</f>
        <v>13.212346130265953</v>
      </c>
      <c r="Q17" s="688">
        <f>'e10.1'!K19</f>
        <v>0.99601848341720789</v>
      </c>
      <c r="R17" s="689">
        <f ca="1">Q17-G17</f>
        <v>0</v>
      </c>
      <c r="T17" s="688">
        <f>'e10.1'!K55</f>
        <v>0.9916976350062694</v>
      </c>
      <c r="U17" s="689">
        <f ca="1">T17-I17</f>
        <v>0</v>
      </c>
    </row>
    <row r="18" spans="1:21" x14ac:dyDescent="0.2">
      <c r="A18" s="151">
        <f>Intro!C19</f>
        <v>1997</v>
      </c>
      <c r="B18" s="148"/>
      <c r="C18" s="235">
        <f>'e7'!K17</f>
        <v>1337604</v>
      </c>
      <c r="D18" s="148"/>
      <c r="E18" s="235">
        <f>'e7'!M17</f>
        <v>0</v>
      </c>
      <c r="F18" s="148"/>
      <c r="G18" s="182">
        <f ca="1">1 / 'e3.1B'!G55</f>
        <v>0.99531516612852733</v>
      </c>
      <c r="H18" s="345"/>
      <c r="I18" s="182">
        <f ca="1">1 / 'e3.2B'!G55</f>
        <v>0.9901340916505933</v>
      </c>
      <c r="J18" s="148"/>
      <c r="K18" s="235">
        <f t="shared" ref="K18:K40" ca="1" si="1">E18*((1-G18)/(G18-I18))</f>
        <v>0</v>
      </c>
      <c r="L18" s="148"/>
      <c r="M18" s="235">
        <f t="shared" ref="M18:M40" ca="1" si="2">C18+E18+K18</f>
        <v>1337604</v>
      </c>
      <c r="N18" s="148"/>
      <c r="O18" s="255">
        <f ca="1">M18/Intro!K19</f>
        <v>18.765532133362374</v>
      </c>
      <c r="Q18" s="688">
        <f>'e10.1'!K20</f>
        <v>0.99531516612852733</v>
      </c>
      <c r="R18" s="689">
        <f t="shared" ref="R18:R40" ca="1" si="3">Q18-G18</f>
        <v>0</v>
      </c>
      <c r="T18" s="688">
        <f>'e10.1'!K56</f>
        <v>0.9901340916505933</v>
      </c>
      <c r="U18" s="689">
        <f t="shared" ref="U18:U40" ca="1" si="4">T18-I18</f>
        <v>0</v>
      </c>
    </row>
    <row r="19" spans="1:21" x14ac:dyDescent="0.2">
      <c r="A19" s="151">
        <f>Intro!C20</f>
        <v>1998</v>
      </c>
      <c r="B19" s="148"/>
      <c r="C19" s="235">
        <f>'e7'!K18</f>
        <v>2584955.17</v>
      </c>
      <c r="D19" s="148"/>
      <c r="E19" s="235">
        <f>'e7'!M18</f>
        <v>8725.5499999998137</v>
      </c>
      <c r="F19" s="148"/>
      <c r="G19" s="182">
        <f ca="1">1 / 'e3.1B'!G56</f>
        <v>0.99448795512129806</v>
      </c>
      <c r="H19" s="345"/>
      <c r="I19" s="182">
        <f ca="1">1 / 'e3.2B'!G56</f>
        <v>0.98827783850892748</v>
      </c>
      <c r="J19" s="148"/>
      <c r="K19" s="235">
        <f t="shared" ca="1" si="1"/>
        <v>7744.7214268971902</v>
      </c>
      <c r="L19" s="148"/>
      <c r="M19" s="235">
        <f t="shared" ca="1" si="2"/>
        <v>2601425.441426897</v>
      </c>
      <c r="N19" s="148"/>
      <c r="O19" s="255">
        <f ca="1">M19/Intro!K20</f>
        <v>28.673448512194831</v>
      </c>
      <c r="Q19" s="688">
        <f>'e10.1'!K21</f>
        <v>0.99448795512129806</v>
      </c>
      <c r="R19" s="689">
        <f t="shared" ca="1" si="3"/>
        <v>0</v>
      </c>
      <c r="T19" s="688">
        <f>'e10.1'!K57</f>
        <v>0.98827783850892748</v>
      </c>
      <c r="U19" s="689">
        <f t="shared" ca="1" si="4"/>
        <v>0</v>
      </c>
    </row>
    <row r="20" spans="1:21" x14ac:dyDescent="0.2">
      <c r="A20" s="151">
        <f>Intro!C21</f>
        <v>1999</v>
      </c>
      <c r="B20" s="148"/>
      <c r="C20" s="235">
        <f>'e7'!K19</f>
        <v>2548851.29</v>
      </c>
      <c r="D20" s="148"/>
      <c r="E20" s="235">
        <f>'e7'!M19</f>
        <v>91530.509999999776</v>
      </c>
      <c r="F20" s="148"/>
      <c r="G20" s="182">
        <f ca="1">1 / 'e3.1B'!G57</f>
        <v>0.99351515819287273</v>
      </c>
      <c r="H20" s="345"/>
      <c r="I20" s="182">
        <f ca="1">1 / 'e3.2B'!G57</f>
        <v>0.98607479783347818</v>
      </c>
      <c r="J20" s="148"/>
      <c r="K20" s="235">
        <f t="shared" ca="1" si="1"/>
        <v>79775.823912375636</v>
      </c>
      <c r="L20" s="148"/>
      <c r="M20" s="235">
        <f t="shared" ca="1" si="2"/>
        <v>2720157.6239123754</v>
      </c>
      <c r="N20" s="148"/>
      <c r="O20" s="255">
        <f ca="1">M20/Intro!K21</f>
        <v>23.484423264395286</v>
      </c>
      <c r="Q20" s="688">
        <f>'e10.1'!K22</f>
        <v>0.99351515819287273</v>
      </c>
      <c r="R20" s="689">
        <f t="shared" ca="1" si="3"/>
        <v>0</v>
      </c>
      <c r="T20" s="688">
        <f>'e10.1'!K58</f>
        <v>0.98607479783347818</v>
      </c>
      <c r="U20" s="689">
        <f t="shared" ca="1" si="4"/>
        <v>0</v>
      </c>
    </row>
    <row r="21" spans="1:21" x14ac:dyDescent="0.2">
      <c r="A21" s="151">
        <f>Intro!C22</f>
        <v>2000</v>
      </c>
      <c r="B21" s="148"/>
      <c r="C21" s="235">
        <f>'e7'!K20</f>
        <v>2314287.94</v>
      </c>
      <c r="D21" s="148"/>
      <c r="E21" s="235">
        <f>'e7'!M20</f>
        <v>56197.280000000261</v>
      </c>
      <c r="F21" s="148"/>
      <c r="G21" s="182">
        <f ca="1">1 / 'e3.1B'!G58</f>
        <v>0.99237133609505235</v>
      </c>
      <c r="H21" s="345"/>
      <c r="I21" s="182">
        <f ca="1">1 / 'e3.2B'!G58</f>
        <v>0.9834611985355749</v>
      </c>
      <c r="J21" s="148"/>
      <c r="K21" s="235">
        <f t="shared" ca="1" si="1"/>
        <v>48114.875739065588</v>
      </c>
      <c r="L21" s="148"/>
      <c r="M21" s="235">
        <f t="shared" ca="1" si="2"/>
        <v>2418600.0957390657</v>
      </c>
      <c r="N21" s="148"/>
      <c r="O21" s="255">
        <f ca="1">M21/Intro!K22</f>
        <v>27.847013731759091</v>
      </c>
      <c r="Q21" s="688">
        <f>'e10.1'!K23</f>
        <v>0.99237133609505235</v>
      </c>
      <c r="R21" s="689">
        <f t="shared" ca="1" si="3"/>
        <v>0</v>
      </c>
      <c r="T21" s="688">
        <f>'e10.1'!K59</f>
        <v>0.9834611985355749</v>
      </c>
      <c r="U21" s="689">
        <f t="shared" ca="1" si="4"/>
        <v>0</v>
      </c>
    </row>
    <row r="22" spans="1:21" x14ac:dyDescent="0.2">
      <c r="A22" s="151">
        <f>Intro!C23</f>
        <v>2001</v>
      </c>
      <c r="B22" s="148"/>
      <c r="C22" s="235">
        <f>'e7'!K21</f>
        <v>1349346.97</v>
      </c>
      <c r="D22" s="148"/>
      <c r="E22" s="235">
        <f>'e7'!M21</f>
        <v>100</v>
      </c>
      <c r="F22" s="148"/>
      <c r="G22" s="182">
        <f ca="1">1 / 'e3.1B'!G59</f>
        <v>0.99102667494209029</v>
      </c>
      <c r="H22" s="345"/>
      <c r="I22" s="182">
        <f ca="1">1 / 'e3.2B'!G59</f>
        <v>0.98036196202753123</v>
      </c>
      <c r="J22" s="148"/>
      <c r="K22" s="235">
        <f t="shared" ca="1" si="1"/>
        <v>84.140333919909523</v>
      </c>
      <c r="L22" s="148"/>
      <c r="M22" s="235">
        <f t="shared" ca="1" si="2"/>
        <v>1349531.11033392</v>
      </c>
      <c r="N22" s="148"/>
      <c r="O22" s="255">
        <f ca="1">M22/Intro!K23</f>
        <v>14.694660665493696</v>
      </c>
      <c r="Q22" s="688">
        <f>'e10.1'!K24</f>
        <v>0.99102667494209029</v>
      </c>
      <c r="R22" s="689">
        <f t="shared" ca="1" si="3"/>
        <v>0</v>
      </c>
      <c r="T22" s="688">
        <f>'e10.1'!K60</f>
        <v>0.98036196202753123</v>
      </c>
      <c r="U22" s="689">
        <f t="shared" ca="1" si="4"/>
        <v>0</v>
      </c>
    </row>
    <row r="23" spans="1:21" x14ac:dyDescent="0.2">
      <c r="A23" s="151">
        <f>Intro!C24</f>
        <v>2002</v>
      </c>
      <c r="B23" s="148"/>
      <c r="C23" s="235">
        <f>'e7'!K22</f>
        <v>2761132.9899999998</v>
      </c>
      <c r="D23" s="148"/>
      <c r="E23" s="235">
        <f>'e7'!M22</f>
        <v>193375.66000000015</v>
      </c>
      <c r="F23" s="148"/>
      <c r="G23" s="182">
        <f ca="1">1 / 'e3.1B'!G60</f>
        <v>0.98942759833126204</v>
      </c>
      <c r="H23" s="345"/>
      <c r="I23" s="182">
        <f ca="1">1 / 'e3.2B'!G60</f>
        <v>0.97668887123333192</v>
      </c>
      <c r="J23" s="148"/>
      <c r="K23" s="235">
        <f t="shared" ca="1" si="1"/>
        <v>160490.53682997133</v>
      </c>
      <c r="L23" s="148"/>
      <c r="M23" s="235">
        <f t="shared" ca="1" si="2"/>
        <v>3114999.1868299711</v>
      </c>
      <c r="N23" s="148"/>
      <c r="O23" s="255">
        <f ca="1">M23/Intro!K24</f>
        <v>36.179636026145879</v>
      </c>
      <c r="Q23" s="688">
        <f>'e10.1'!K25</f>
        <v>0.98942759833126204</v>
      </c>
      <c r="R23" s="689">
        <f t="shared" ca="1" si="3"/>
        <v>0</v>
      </c>
      <c r="T23" s="688">
        <f>'e10.1'!K61</f>
        <v>0.97668887123333192</v>
      </c>
      <c r="U23" s="689">
        <f t="shared" ca="1" si="4"/>
        <v>0</v>
      </c>
    </row>
    <row r="24" spans="1:21" x14ac:dyDescent="0.2">
      <c r="A24" s="151">
        <f>Intro!C25</f>
        <v>2003</v>
      </c>
      <c r="B24" s="148"/>
      <c r="C24" s="235">
        <f>'e7'!K23</f>
        <v>1243025.0200000005</v>
      </c>
      <c r="D24" s="148"/>
      <c r="E24" s="235">
        <f>'e7'!M23</f>
        <v>0</v>
      </c>
      <c r="F24" s="148"/>
      <c r="G24" s="182">
        <f ca="1">1 / 'e3.1B'!G61</f>
        <v>0.99138348364004203</v>
      </c>
      <c r="H24" s="345"/>
      <c r="I24" s="182">
        <f ca="1">1 / 'e3.2B'!G61</f>
        <v>0.98118688096014983</v>
      </c>
      <c r="J24" s="148"/>
      <c r="K24" s="235">
        <f t="shared" ca="1" si="1"/>
        <v>0</v>
      </c>
      <c r="L24" s="148"/>
      <c r="M24" s="235">
        <f t="shared" ca="1" si="2"/>
        <v>1243025.0200000005</v>
      </c>
      <c r="N24" s="148"/>
      <c r="O24" s="255">
        <f ca="1">M24/Intro!K25</f>
        <v>12.96476665595053</v>
      </c>
      <c r="Q24" s="688">
        <f>'e10.1'!K26</f>
        <v>0.99138348364004203</v>
      </c>
      <c r="R24" s="689">
        <f t="shared" ca="1" si="3"/>
        <v>0</v>
      </c>
      <c r="T24" s="688">
        <f>'e10.1'!K62</f>
        <v>0.98118688096014983</v>
      </c>
      <c r="U24" s="689">
        <f t="shared" ca="1" si="4"/>
        <v>0</v>
      </c>
    </row>
    <row r="25" spans="1:21" x14ac:dyDescent="0.2">
      <c r="A25" s="151">
        <f>Intro!C26</f>
        <v>2004</v>
      </c>
      <c r="B25" s="148"/>
      <c r="C25" s="235">
        <f>'e7'!K24</f>
        <v>2359249.2899999996</v>
      </c>
      <c r="D25" s="148"/>
      <c r="E25" s="235">
        <f>'e7'!M24</f>
        <v>25955.969999999739</v>
      </c>
      <c r="F25" s="148"/>
      <c r="G25" s="182">
        <f ca="1">1 / 'e3.1B'!G62</f>
        <v>0.98466285343073701</v>
      </c>
      <c r="H25" s="345"/>
      <c r="I25" s="182">
        <f ca="1">1 / 'e3.2B'!G62</f>
        <v>0.96732363078207662</v>
      </c>
      <c r="J25" s="148"/>
      <c r="K25" s="235">
        <f t="shared" ca="1" si="1"/>
        <v>22958.959827887396</v>
      </c>
      <c r="L25" s="148"/>
      <c r="M25" s="235">
        <f t="shared" ca="1" si="2"/>
        <v>2408164.2198278867</v>
      </c>
      <c r="N25" s="148"/>
      <c r="O25" s="255">
        <f ca="1">M25/Intro!K26</f>
        <v>23.577626344993366</v>
      </c>
      <c r="Q25" s="688">
        <f>'e10.1'!K27</f>
        <v>0.98466285343073678</v>
      </c>
      <c r="R25" s="689">
        <f t="shared" ca="1" si="3"/>
        <v>0</v>
      </c>
      <c r="T25" s="688">
        <f>'e10.1'!K63</f>
        <v>0.96732363078207662</v>
      </c>
      <c r="U25" s="689">
        <f t="shared" ca="1" si="4"/>
        <v>0</v>
      </c>
    </row>
    <row r="26" spans="1:21" x14ac:dyDescent="0.2">
      <c r="A26" s="151">
        <f>Intro!C27</f>
        <v>2005</v>
      </c>
      <c r="B26" s="148"/>
      <c r="C26" s="235">
        <f>'e7'!K25</f>
        <v>699839.89000000025</v>
      </c>
      <c r="D26" s="148"/>
      <c r="E26" s="235">
        <f>'e7'!M25</f>
        <v>0</v>
      </c>
      <c r="F26" s="148"/>
      <c r="G26" s="182">
        <f ca="1">1 / 'e3.1B'!G63</f>
        <v>0.98248698971014548</v>
      </c>
      <c r="H26" s="345"/>
      <c r="I26" s="182">
        <f ca="1">1 / 'e3.2B'!G63</f>
        <v>0.96213454157680445</v>
      </c>
      <c r="J26" s="148"/>
      <c r="K26" s="235">
        <f t="shared" ca="1" si="1"/>
        <v>0</v>
      </c>
      <c r="L26" s="148"/>
      <c r="M26" s="235">
        <f t="shared" ca="1" si="2"/>
        <v>699839.89000000025</v>
      </c>
      <c r="N26" s="148"/>
      <c r="O26" s="255">
        <f ca="1">M26/Intro!K27</f>
        <v>6.2882994733368678</v>
      </c>
      <c r="Q26" s="688">
        <f>'e10.1'!K28</f>
        <v>0.98248698971014525</v>
      </c>
      <c r="R26" s="689">
        <f t="shared" ca="1" si="3"/>
        <v>0</v>
      </c>
      <c r="T26" s="688">
        <f>'e10.1'!K64</f>
        <v>0.96213454157680445</v>
      </c>
      <c r="U26" s="689">
        <f t="shared" ca="1" si="4"/>
        <v>0</v>
      </c>
    </row>
    <row r="27" spans="1:21" x14ac:dyDescent="0.2">
      <c r="A27" s="151">
        <f>Intro!C28</f>
        <v>2006</v>
      </c>
      <c r="B27" s="148"/>
      <c r="C27" s="235">
        <f>'e7'!K26</f>
        <v>2005481.3700000008</v>
      </c>
      <c r="D27" s="148"/>
      <c r="E27" s="235">
        <f>'e7'!M26</f>
        <v>0</v>
      </c>
      <c r="F27" s="148"/>
      <c r="G27" s="182">
        <f ca="1">1 / 'e3.1B'!G64</f>
        <v>0.97991025114142294</v>
      </c>
      <c r="H27" s="345"/>
      <c r="I27" s="182">
        <f ca="1">1 / 'e3.2B'!G64</f>
        <v>0.95606268290884533</v>
      </c>
      <c r="J27" s="148"/>
      <c r="K27" s="235">
        <f t="shared" ca="1" si="1"/>
        <v>0</v>
      </c>
      <c r="L27" s="148"/>
      <c r="M27" s="235">
        <f t="shared" ca="1" si="2"/>
        <v>2005481.3700000008</v>
      </c>
      <c r="N27" s="148"/>
      <c r="O27" s="255">
        <f ca="1">M27/Intro!K28</f>
        <v>18.611177422972311</v>
      </c>
      <c r="Q27" s="688">
        <f>'e10.1'!K29</f>
        <v>0.97991025114142272</v>
      </c>
      <c r="R27" s="689">
        <f t="shared" ca="1" si="3"/>
        <v>0</v>
      </c>
      <c r="T27" s="688">
        <f>'e10.1'!K65</f>
        <v>0.956062682908845</v>
      </c>
      <c r="U27" s="689">
        <f t="shared" ca="1" si="4"/>
        <v>0</v>
      </c>
    </row>
    <row r="28" spans="1:21" x14ac:dyDescent="0.2">
      <c r="A28" s="151">
        <f>Intro!C29</f>
        <v>2007</v>
      </c>
      <c r="B28" s="148"/>
      <c r="C28" s="235">
        <f>'e7'!K27</f>
        <v>1099670.4199999997</v>
      </c>
      <c r="D28" s="148"/>
      <c r="E28" s="235">
        <f>'e7'!M27</f>
        <v>0</v>
      </c>
      <c r="F28" s="148"/>
      <c r="G28" s="182">
        <f ca="1">1 / 'e3.1B'!G65</f>
        <v>0.97696554097004984</v>
      </c>
      <c r="H28" s="345"/>
      <c r="I28" s="182">
        <f ca="1">1 / 'e3.2B'!G65</f>
        <v>0.94928423370235993</v>
      </c>
      <c r="J28" s="148"/>
      <c r="K28" s="235">
        <f t="shared" ca="1" si="1"/>
        <v>0</v>
      </c>
      <c r="L28" s="148"/>
      <c r="M28" s="235">
        <f t="shared" ca="1" si="2"/>
        <v>1099670.4199999997</v>
      </c>
      <c r="N28" s="148"/>
      <c r="O28" s="255">
        <f ca="1">M28/Intro!K29</f>
        <v>10.51469964335497</v>
      </c>
      <c r="Q28" s="688">
        <f>'e10.1'!K30</f>
        <v>0.97696554097004962</v>
      </c>
      <c r="R28" s="689">
        <f t="shared" ca="1" si="3"/>
        <v>0</v>
      </c>
      <c r="T28" s="688">
        <f>'e10.1'!K66</f>
        <v>0.9492842337023597</v>
      </c>
      <c r="U28" s="689">
        <f t="shared" ca="1" si="4"/>
        <v>0</v>
      </c>
    </row>
    <row r="29" spans="1:21" x14ac:dyDescent="0.2">
      <c r="A29" s="151">
        <f>Intro!C30</f>
        <v>2008</v>
      </c>
      <c r="B29" s="148"/>
      <c r="C29" s="235">
        <f>'e7'!K28</f>
        <v>766269.99000000011</v>
      </c>
      <c r="D29" s="148"/>
      <c r="E29" s="235">
        <f>'e7'!M28</f>
        <v>0</v>
      </c>
      <c r="F29" s="148"/>
      <c r="G29" s="182">
        <f ca="1">1 / 'e3.1B'!G66</f>
        <v>0.96263289704291255</v>
      </c>
      <c r="H29" s="345"/>
      <c r="I29" s="182">
        <f ca="1">1 / 'e3.2B'!G66</f>
        <v>0.92404631737664178</v>
      </c>
      <c r="J29" s="148"/>
      <c r="K29" s="235">
        <f t="shared" ca="1" si="1"/>
        <v>0</v>
      </c>
      <c r="L29" s="148"/>
      <c r="M29" s="235">
        <f t="shared" ca="1" si="2"/>
        <v>766269.99000000011</v>
      </c>
      <c r="N29" s="148"/>
      <c r="O29" s="255">
        <f ca="1">M29/Intro!K30</f>
        <v>7.2255336540924544</v>
      </c>
      <c r="Q29" s="688">
        <f>'e10.1'!K31</f>
        <v>0.96263289704291233</v>
      </c>
      <c r="R29" s="689">
        <f t="shared" ca="1" si="3"/>
        <v>0</v>
      </c>
      <c r="T29" s="688">
        <f>'e10.1'!K67</f>
        <v>0.92404631737664178</v>
      </c>
      <c r="U29" s="689">
        <f t="shared" ca="1" si="4"/>
        <v>0</v>
      </c>
    </row>
    <row r="30" spans="1:21" x14ac:dyDescent="0.2">
      <c r="A30" s="151">
        <f>Intro!C31</f>
        <v>2009</v>
      </c>
      <c r="B30" s="148"/>
      <c r="C30" s="235">
        <f>'e7'!K29</f>
        <v>1764381.6700000004</v>
      </c>
      <c r="D30" s="148"/>
      <c r="E30" s="235">
        <f>'e7'!M29</f>
        <v>117912.80000000005</v>
      </c>
      <c r="F30" s="148"/>
      <c r="G30" s="182">
        <f ca="1">1 / 'e3.1B'!G67</f>
        <v>0.95758707232686768</v>
      </c>
      <c r="H30" s="345"/>
      <c r="I30" s="182">
        <f ca="1">1 / 'e3.2B'!G67</f>
        <v>0.91431455057411193</v>
      </c>
      <c r="J30" s="148"/>
      <c r="K30" s="235">
        <f t="shared" ca="1" si="1"/>
        <v>115570.50191598861</v>
      </c>
      <c r="L30" s="148"/>
      <c r="M30" s="235">
        <f t="shared" ca="1" si="2"/>
        <v>1997864.971915989</v>
      </c>
      <c r="N30" s="148"/>
      <c r="O30" s="255">
        <f ca="1">M30/Intro!K31</f>
        <v>18.043859856169419</v>
      </c>
      <c r="Q30" s="688">
        <f>'e10.1'!K32</f>
        <v>0.95758707232686757</v>
      </c>
      <c r="R30" s="689">
        <f t="shared" ca="1" si="3"/>
        <v>0</v>
      </c>
      <c r="T30" s="688">
        <f>'e10.1'!K68</f>
        <v>0.91431455057411237</v>
      </c>
      <c r="U30" s="689">
        <f t="shared" ca="1" si="4"/>
        <v>0</v>
      </c>
    </row>
    <row r="31" spans="1:21" x14ac:dyDescent="0.2">
      <c r="A31" s="151">
        <f>Intro!C32</f>
        <v>2010</v>
      </c>
      <c r="B31" s="148"/>
      <c r="C31" s="235">
        <f>'e7'!K30</f>
        <v>1183179.1900000002</v>
      </c>
      <c r="D31" s="148"/>
      <c r="E31" s="235">
        <f>'e7'!M30</f>
        <v>17136.330000000075</v>
      </c>
      <c r="F31" s="148"/>
      <c r="G31" s="182">
        <f ca="1">1 / 'e3.1B'!G68</f>
        <v>0.95173726108191514</v>
      </c>
      <c r="H31" s="345"/>
      <c r="I31" s="182">
        <f ca="1">1 / 'e3.2B'!G68</f>
        <v>0.90296688719495177</v>
      </c>
      <c r="J31" s="148"/>
      <c r="K31" s="235">
        <f t="shared" ca="1" si="1"/>
        <v>16957.96351122958</v>
      </c>
      <c r="L31" s="148"/>
      <c r="M31" s="235">
        <f t="shared" ca="1" si="2"/>
        <v>1217273.4835112297</v>
      </c>
      <c r="N31" s="148"/>
      <c r="O31" s="255">
        <f ca="1">M31/Intro!K32</f>
        <v>9.4934761288212037</v>
      </c>
      <c r="Q31" s="688">
        <f>'e10.1'!K33</f>
        <v>0.95173726108191492</v>
      </c>
      <c r="R31" s="689">
        <f t="shared" ca="1" si="3"/>
        <v>0</v>
      </c>
      <c r="T31" s="688">
        <f>'e10.1'!K69</f>
        <v>0.90296688719495199</v>
      </c>
      <c r="U31" s="689">
        <f t="shared" ca="1" si="4"/>
        <v>0</v>
      </c>
    </row>
    <row r="32" spans="1:21" x14ac:dyDescent="0.2">
      <c r="A32" s="151">
        <f>Intro!C33</f>
        <v>2011</v>
      </c>
      <c r="B32" s="148"/>
      <c r="C32" s="235">
        <f>'e7'!K31</f>
        <v>1212882.8100000003</v>
      </c>
      <c r="D32" s="148"/>
      <c r="E32" s="235">
        <f>'e7'!M31</f>
        <v>0</v>
      </c>
      <c r="F32" s="148"/>
      <c r="G32" s="182">
        <f ca="1">1 / 'e3.1B'!G69</f>
        <v>0.94493247857462404</v>
      </c>
      <c r="H32" s="345"/>
      <c r="I32" s="182">
        <f ca="1">1 / 'e3.2B'!G69</f>
        <v>0.88976901673693976</v>
      </c>
      <c r="J32" s="148"/>
      <c r="K32" s="235">
        <f t="shared" ca="1" si="1"/>
        <v>0</v>
      </c>
      <c r="L32" s="148"/>
      <c r="M32" s="235">
        <f t="shared" ca="1" si="2"/>
        <v>1212882.8100000003</v>
      </c>
      <c r="N32" s="148"/>
      <c r="O32" s="255">
        <f ca="1">M32/Intro!K33</f>
        <v>8.4690019313284868</v>
      </c>
      <c r="Q32" s="688">
        <f>'e10.1'!K34</f>
        <v>0.94493247857462404</v>
      </c>
      <c r="R32" s="689">
        <f t="shared" ca="1" si="3"/>
        <v>0</v>
      </c>
      <c r="T32" s="688">
        <f>'e10.1'!K70</f>
        <v>0.88976901673693964</v>
      </c>
      <c r="U32" s="689">
        <f t="shared" ca="1" si="4"/>
        <v>0</v>
      </c>
    </row>
    <row r="33" spans="1:21" x14ac:dyDescent="0.2">
      <c r="A33" s="151">
        <f>Intro!C34</f>
        <v>2012</v>
      </c>
      <c r="B33" s="148"/>
      <c r="C33" s="235">
        <f>'e7'!K32</f>
        <v>1925803.2599999993</v>
      </c>
      <c r="D33" s="148"/>
      <c r="E33" s="235">
        <f>'e7'!M32</f>
        <v>4655.5</v>
      </c>
      <c r="F33" s="148"/>
      <c r="G33" s="182">
        <f ca="1">1 / 'e3.1B'!G70</f>
        <v>0.93697855255751505</v>
      </c>
      <c r="H33" s="345"/>
      <c r="I33" s="182">
        <f ca="1">1 / 'e3.2B'!G70</f>
        <v>0.87355043655376696</v>
      </c>
      <c r="J33" s="148"/>
      <c r="K33" s="235">
        <f t="shared" ca="1" si="1"/>
        <v>4625.6513207983553</v>
      </c>
      <c r="L33" s="148"/>
      <c r="M33" s="235">
        <f t="shared" ca="1" si="2"/>
        <v>1935084.4113207976</v>
      </c>
      <c r="N33" s="148"/>
      <c r="O33" s="255">
        <f ca="1">M33/Intro!K34</f>
        <v>13.293166945412317</v>
      </c>
      <c r="Q33" s="688">
        <f>'e10.1'!K35</f>
        <v>0.93697855255751528</v>
      </c>
      <c r="R33" s="689">
        <f t="shared" ca="1" si="3"/>
        <v>0</v>
      </c>
      <c r="T33" s="688">
        <f>'e10.1'!K71</f>
        <v>0.87355043655376674</v>
      </c>
      <c r="U33" s="689">
        <f t="shared" ca="1" si="4"/>
        <v>0</v>
      </c>
    </row>
    <row r="34" spans="1:21" x14ac:dyDescent="0.2">
      <c r="A34" s="151">
        <f>Intro!C35</f>
        <v>2013</v>
      </c>
      <c r="B34" s="148"/>
      <c r="C34" s="235">
        <f>'e7'!K33</f>
        <v>2061366.5999999999</v>
      </c>
      <c r="D34" s="148"/>
      <c r="E34" s="235">
        <f>'e7'!M33</f>
        <v>44680.639999999898</v>
      </c>
      <c r="F34" s="148"/>
      <c r="G34" s="182">
        <f ca="1">1 / 'e3.1B'!G71</f>
        <v>0.9272631497560152</v>
      </c>
      <c r="H34" s="345"/>
      <c r="I34" s="182">
        <f ca="1">1 / 'e3.2B'!G71</f>
        <v>0.8527033975541406</v>
      </c>
      <c r="J34" s="148"/>
      <c r="K34" s="235">
        <f t="shared" ca="1" si="1"/>
        <v>43588.248679877972</v>
      </c>
      <c r="L34" s="148"/>
      <c r="M34" s="235">
        <f t="shared" ca="1" si="2"/>
        <v>2149635.4886798779</v>
      </c>
      <c r="N34" s="148"/>
      <c r="O34" s="255">
        <f ca="1">M34/Intro!K35</f>
        <v>13.608000645046802</v>
      </c>
      <c r="Q34" s="688">
        <f>'e10.1'!K36</f>
        <v>0.9272631497560152</v>
      </c>
      <c r="R34" s="689">
        <f t="shared" ca="1" si="3"/>
        <v>0</v>
      </c>
      <c r="T34" s="688">
        <f>'e10.1'!K72</f>
        <v>0.85270339755414037</v>
      </c>
      <c r="U34" s="689">
        <f t="shared" ca="1" si="4"/>
        <v>0</v>
      </c>
    </row>
    <row r="35" spans="1:21" x14ac:dyDescent="0.2">
      <c r="A35" s="151">
        <f>Intro!C36</f>
        <v>2014</v>
      </c>
      <c r="B35" s="148"/>
      <c r="C35" s="235">
        <f>'e7'!K34</f>
        <v>2342502.8100000005</v>
      </c>
      <c r="D35" s="148"/>
      <c r="E35" s="235">
        <f>'e7'!M34</f>
        <v>0</v>
      </c>
      <c r="F35" s="148"/>
      <c r="G35" s="182">
        <f ca="1">1 / 'e3.1B'!G72</f>
        <v>0.91506197780478526</v>
      </c>
      <c r="H35" s="345"/>
      <c r="I35" s="182">
        <f ca="1">1 / 'e3.2B'!G72</f>
        <v>0.82588559096119318</v>
      </c>
      <c r="J35" s="148"/>
      <c r="K35" s="235">
        <f t="shared" ca="1" si="1"/>
        <v>0</v>
      </c>
      <c r="L35" s="148"/>
      <c r="M35" s="235">
        <f t="shared" ca="1" si="2"/>
        <v>2342502.8100000005</v>
      </c>
      <c r="N35" s="148"/>
      <c r="O35" s="255">
        <f ca="1">M35/Intro!K36</f>
        <v>12.832380184419339</v>
      </c>
      <c r="Q35" s="688">
        <f>'e10.1'!K37</f>
        <v>0.91506197780478549</v>
      </c>
      <c r="R35" s="689">
        <f t="shared" ca="1" si="3"/>
        <v>0</v>
      </c>
      <c r="T35" s="688">
        <f>'e10.1'!K73</f>
        <v>0.82588559096119318</v>
      </c>
      <c r="U35" s="689">
        <f t="shared" ca="1" si="4"/>
        <v>0</v>
      </c>
    </row>
    <row r="36" spans="1:21" x14ac:dyDescent="0.2">
      <c r="A36" s="151">
        <f>Intro!C37</f>
        <v>2015</v>
      </c>
      <c r="B36" s="148"/>
      <c r="C36" s="235">
        <f>'e7'!K35</f>
        <v>2810502.1600000011</v>
      </c>
      <c r="D36" s="148"/>
      <c r="E36" s="235">
        <f>'e7'!M35</f>
        <v>441176.08999999985</v>
      </c>
      <c r="F36" s="148"/>
      <c r="G36" s="182">
        <f ca="1">1 / 'e3.1B'!G73</f>
        <v>0.89639483991588575</v>
      </c>
      <c r="H36" s="345"/>
      <c r="I36" s="182">
        <f ca="1">1 / 'e3.2B'!G73</f>
        <v>0.78763926544225571</v>
      </c>
      <c r="J36" s="148"/>
      <c r="K36" s="235">
        <f t="shared" ca="1" si="1"/>
        <v>420283.00297210435</v>
      </c>
      <c r="L36" s="148"/>
      <c r="M36" s="235">
        <f t="shared" ca="1" si="2"/>
        <v>3671961.2529721055</v>
      </c>
      <c r="N36" s="148"/>
      <c r="O36" s="255">
        <f ca="1">M36/Intro!K37</f>
        <v>18.647717251550162</v>
      </c>
      <c r="Q36" s="688">
        <f>'e10.1'!K38</f>
        <v>0.89499243417990171</v>
      </c>
      <c r="R36" s="689">
        <f t="shared" ca="1" si="3"/>
        <v>-1.4024057359840469E-3</v>
      </c>
      <c r="T36" s="688">
        <f>'e10.1'!K74</f>
        <v>0.78763926544225582</v>
      </c>
      <c r="U36" s="689">
        <f t="shared" ca="1" si="4"/>
        <v>0</v>
      </c>
    </row>
    <row r="37" spans="1:21" x14ac:dyDescent="0.2">
      <c r="A37" s="151">
        <f>Intro!C38</f>
        <v>2016</v>
      </c>
      <c r="B37" s="148"/>
      <c r="C37" s="235">
        <f>'e7'!K36</f>
        <v>2449912.0500000017</v>
      </c>
      <c r="D37" s="148"/>
      <c r="E37" s="235">
        <f>'e7'!M36</f>
        <v>178804.94000000041</v>
      </c>
      <c r="F37" s="148"/>
      <c r="G37" s="182">
        <f ca="1">1 / 'e3.1B'!G74</f>
        <v>0.85598672197819592</v>
      </c>
      <c r="H37" s="345"/>
      <c r="I37" s="182">
        <f ca="1">1 / 'e3.2B'!G74</f>
        <v>0.72064550860149923</v>
      </c>
      <c r="J37" s="148"/>
      <c r="K37" s="235">
        <f t="shared" ca="1" si="1"/>
        <v>190261.96746308904</v>
      </c>
      <c r="L37" s="148"/>
      <c r="M37" s="235">
        <f t="shared" ca="1" si="2"/>
        <v>2818978.9574630912</v>
      </c>
      <c r="N37" s="148"/>
      <c r="O37" s="255">
        <f ca="1">M37/Intro!K38</f>
        <v>12.704136002497085</v>
      </c>
      <c r="Q37" s="688">
        <f>'e10.1'!K39</f>
        <v>0.85186014392457765</v>
      </c>
      <c r="R37" s="689">
        <f t="shared" ca="1" si="3"/>
        <v>-4.1265780536182683E-3</v>
      </c>
      <c r="T37" s="688">
        <f>'e10.1'!K75</f>
        <v>0.72058237020538229</v>
      </c>
      <c r="U37" s="689">
        <f t="shared" ca="1" si="4"/>
        <v>-6.3138396116935169E-5</v>
      </c>
    </row>
    <row r="38" spans="1:21" x14ac:dyDescent="0.2">
      <c r="A38" s="151">
        <f>Intro!C39</f>
        <v>2017</v>
      </c>
      <c r="B38" s="148"/>
      <c r="C38" s="235">
        <f>'e7'!K37</f>
        <v>2258070.4400000018</v>
      </c>
      <c r="D38" s="148"/>
      <c r="E38" s="235">
        <f>'e7'!M37</f>
        <v>327371.00999999978</v>
      </c>
      <c r="F38" s="148"/>
      <c r="G38" s="182">
        <f ca="1">1 / 'e3.1B'!G75</f>
        <v>0.78522830669452937</v>
      </c>
      <c r="H38" s="345"/>
      <c r="I38" s="182">
        <f ca="1">1 / 'e3.2B'!G75</f>
        <v>0.6071617119057755</v>
      </c>
      <c r="J38" s="148"/>
      <c r="K38" s="235">
        <f t="shared" ca="1" si="1"/>
        <v>394852.42159110843</v>
      </c>
      <c r="L38" s="148"/>
      <c r="M38" s="235">
        <f t="shared" ca="1" si="2"/>
        <v>2980293.8715911098</v>
      </c>
      <c r="N38" s="148"/>
      <c r="O38" s="255">
        <f ca="1">M38/Intro!K39</f>
        <v>9.6917078197695901</v>
      </c>
      <c r="Q38" s="688">
        <f>'e10.1'!K40</f>
        <v>0.78564859899580386</v>
      </c>
      <c r="R38" s="689">
        <f t="shared" ca="1" si="3"/>
        <v>4.2029230127449413E-4</v>
      </c>
      <c r="T38" s="688">
        <f>'e10.1'!K76</f>
        <v>0.60702504758601061</v>
      </c>
      <c r="U38" s="689">
        <f t="shared" ca="1" si="4"/>
        <v>-1.366643197648898E-4</v>
      </c>
    </row>
    <row r="39" spans="1:21" x14ac:dyDescent="0.2">
      <c r="A39" s="151">
        <f>Intro!C40</f>
        <v>2018</v>
      </c>
      <c r="B39" s="148"/>
      <c r="C39" s="235">
        <f>'e7'!K38</f>
        <v>4199295.1499999976</v>
      </c>
      <c r="D39" s="148"/>
      <c r="E39" s="235">
        <f>'e7'!M38</f>
        <v>1618701.6200000048</v>
      </c>
      <c r="F39" s="148"/>
      <c r="G39" s="182">
        <f ca="1">1 / 'e3.1B'!G76</f>
        <v>0.61741588619198406</v>
      </c>
      <c r="H39" s="345"/>
      <c r="I39" s="182">
        <f ca="1">1 / 'e3.2B'!G76</f>
        <v>0.40178828180986836</v>
      </c>
      <c r="J39" s="148"/>
      <c r="K39" s="235">
        <f t="shared" ca="1" si="1"/>
        <v>2872032.6721705482</v>
      </c>
      <c r="L39" s="148"/>
      <c r="M39" s="235">
        <f t="shared" ca="1" si="2"/>
        <v>8690029.442170551</v>
      </c>
      <c r="N39" s="148"/>
      <c r="O39" s="255">
        <f ca="1">M39/Intro!K40</f>
        <v>16.185676589394536</v>
      </c>
      <c r="Q39" s="688">
        <f>'e10.1'!K41</f>
        <v>0.62547302783606418</v>
      </c>
      <c r="R39" s="689">
        <f t="shared" ca="1" si="3"/>
        <v>8.0571416440801125E-3</v>
      </c>
      <c r="T39" s="688">
        <f>'e10.1'!K77</f>
        <v>0.40178828180986825</v>
      </c>
      <c r="U39" s="689">
        <f t="shared" ca="1" si="4"/>
        <v>0</v>
      </c>
    </row>
    <row r="40" spans="1:21" x14ac:dyDescent="0.2">
      <c r="A40" s="151">
        <f>Intro!C41</f>
        <v>2019</v>
      </c>
      <c r="B40" s="148"/>
      <c r="C40" s="235">
        <f>'e7'!K39</f>
        <v>619309.30000000005</v>
      </c>
      <c r="D40" s="148"/>
      <c r="E40" s="235">
        <f>'e7'!M39</f>
        <v>642501.92000000062</v>
      </c>
      <c r="F40" s="148"/>
      <c r="G40" s="182">
        <f ca="1">1 / 'e3.1B'!G77</f>
        <v>0.21793824182659358</v>
      </c>
      <c r="H40" s="345"/>
      <c r="I40" s="182">
        <f ca="1">1 / 'e3.2B'!G77</f>
        <v>7.2079876885472044E-2</v>
      </c>
      <c r="J40" s="148"/>
      <c r="K40" s="235">
        <f t="shared" ca="1" si="1"/>
        <v>3444959.6455288921</v>
      </c>
      <c r="L40" s="148"/>
      <c r="M40" s="235">
        <f t="shared" ca="1" si="2"/>
        <v>4706770.8655288927</v>
      </c>
      <c r="N40" s="148"/>
      <c r="O40" s="261">
        <f ca="1">M40/Intro!K41</f>
        <v>8.6659600895219757</v>
      </c>
      <c r="Q40" s="688">
        <f>'e10.1'!K42</f>
        <v>0.22078228799276661</v>
      </c>
      <c r="R40" s="689">
        <f t="shared" ca="1" si="3"/>
        <v>2.8440461661730365E-3</v>
      </c>
      <c r="T40" s="688">
        <f>'e10.1'!K78</f>
        <v>7.2079876885472044E-2</v>
      </c>
      <c r="U40" s="689">
        <f t="shared" ca="1" si="4"/>
        <v>0</v>
      </c>
    </row>
    <row r="41" spans="1:21" x14ac:dyDescent="0.2">
      <c r="A41" s="151"/>
      <c r="B41" s="148"/>
      <c r="C41" s="346"/>
      <c r="D41" s="148"/>
      <c r="E41" s="346"/>
      <c r="F41" s="148"/>
      <c r="G41" s="347"/>
      <c r="H41" s="148"/>
      <c r="I41" s="347"/>
      <c r="J41" s="148"/>
      <c r="K41" s="346"/>
      <c r="L41" s="148"/>
      <c r="M41" s="346"/>
      <c r="N41" s="148"/>
      <c r="O41" s="238"/>
    </row>
    <row r="42" spans="1:21" x14ac:dyDescent="0.2">
      <c r="A42" s="348" t="s">
        <v>78</v>
      </c>
      <c r="B42" s="148"/>
      <c r="C42" s="249">
        <f>SUM(C16:C41)</f>
        <v>44580245.780000009</v>
      </c>
      <c r="D42" s="148"/>
      <c r="E42" s="249">
        <f>SUM(E16:E41)</f>
        <v>3768825.820000005</v>
      </c>
      <c r="F42" s="148"/>
      <c r="G42" s="347"/>
      <c r="H42" s="148"/>
      <c r="I42" s="347"/>
      <c r="J42" s="148"/>
      <c r="K42" s="249">
        <f ca="1">SUM(K16:K41)</f>
        <v>7822301.1332237534</v>
      </c>
      <c r="L42" s="148"/>
      <c r="M42" s="249">
        <f ca="1">SUM(M16:M41)</f>
        <v>56171372.733223751</v>
      </c>
      <c r="N42" s="148"/>
      <c r="O42" s="316">
        <f ca="1">M42 / Intro!K45</f>
        <v>14.415371555864178</v>
      </c>
      <c r="R42" s="689">
        <f ca="1">SUM(R17:R40)</f>
        <v>5.7924963219253278E-3</v>
      </c>
      <c r="U42" s="689">
        <f ca="1">SUM(U17:U40)</f>
        <v>-1.9980271588182497E-4</v>
      </c>
    </row>
    <row r="43" spans="1:21" x14ac:dyDescent="0.2">
      <c r="A43" s="151"/>
      <c r="B43" s="148"/>
      <c r="C43" s="235"/>
      <c r="D43" s="148"/>
      <c r="E43" s="235"/>
      <c r="F43" s="148"/>
      <c r="G43" s="347"/>
      <c r="H43" s="148"/>
      <c r="I43" s="347"/>
      <c r="J43" s="148"/>
      <c r="K43" s="235"/>
      <c r="L43" s="148"/>
      <c r="M43" s="235"/>
      <c r="N43" s="148"/>
      <c r="O43" s="255"/>
    </row>
    <row r="44" spans="1:21" x14ac:dyDescent="0.2">
      <c r="A44" s="151"/>
      <c r="B44" s="148"/>
      <c r="C44" s="235"/>
      <c r="D44" s="148"/>
      <c r="E44" s="235"/>
      <c r="F44" s="148"/>
      <c r="G44" s="347"/>
      <c r="H44" s="148"/>
      <c r="I44" s="347"/>
      <c r="J44" s="148"/>
      <c r="K44" s="235"/>
      <c r="L44" s="148"/>
      <c r="M44" s="235"/>
      <c r="N44" s="148"/>
      <c r="O44" s="255"/>
    </row>
    <row r="45" spans="1:21" x14ac:dyDescent="0.2">
      <c r="A45" s="245" t="s">
        <v>83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1:21" x14ac:dyDescent="0.2">
      <c r="A46" s="227" t="str">
        <f>"Columns (1) and (2) provided by "&amp;client&amp;"."</f>
        <v>Columns (1) and (2) provided by CLIENT XYZ.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</row>
    <row r="47" spans="1:21" x14ac:dyDescent="0.2">
      <c r="A47" s="148" t="str">
        <f>"Columns (3) and (4) derived from Exhibit 8."</f>
        <v>Columns (3) and (4) derived from Exhibit 8.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</row>
    <row r="48" spans="1:21" x14ac:dyDescent="0.2">
      <c r="A48" s="349" t="s">
        <v>465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</row>
    <row r="49" spans="1:15" x14ac:dyDescent="0.2">
      <c r="A49" s="349" t="s">
        <v>466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</row>
    <row r="50" spans="1:15" x14ac:dyDescent="0.2">
      <c r="A50" s="352" t="s">
        <v>464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</row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3
Sheet 5A
</oddHeader>
    <oddFooter xml:space="preserve">&amp;L&amp;"Arial"&amp;10 Oliver Wyman Actuarial Consulting, Inc.
&amp;C&amp;"Arial"&amp;10 &amp;R&amp;"Arial"&amp;10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9">
    <tabColor theme="5" tint="0.79998168889431442"/>
    <pageSetUpPr fitToPage="1"/>
  </sheetPr>
  <dimension ref="A1:T50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10.75" style="222" customWidth="1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5" width="10.75" style="222" customWidth="1"/>
    <col min="16" max="16384" width="9" style="222"/>
  </cols>
  <sheetData>
    <row r="1" spans="1:15" x14ac:dyDescent="0.2">
      <c r="A1" s="1" t="str">
        <f>[1]!getlabels()</f>
        <v>Exhibit 3, Sheet 5B</v>
      </c>
    </row>
    <row r="2" spans="1:15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15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15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15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15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15" x14ac:dyDescent="0.2">
      <c r="A7" s="224" t="str">
        <f>VLOOKUP($A$1, index_lkups, 3, FALSE)</f>
        <v>Case Development Method - Loss &amp; ALAE Excess Retention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10" spans="1:15" x14ac:dyDescent="0.2">
      <c r="A10" s="148"/>
      <c r="B10" s="148"/>
      <c r="C10" s="230" t="s">
        <v>36</v>
      </c>
      <c r="D10" s="148"/>
      <c r="E10" s="151" t="s">
        <v>74</v>
      </c>
      <c r="F10" s="148"/>
      <c r="G10" s="230" t="s">
        <v>36</v>
      </c>
      <c r="H10" s="148"/>
      <c r="I10" s="230" t="s">
        <v>36</v>
      </c>
      <c r="J10" s="148"/>
      <c r="K10" s="230" t="s">
        <v>36</v>
      </c>
      <c r="L10" s="148"/>
      <c r="M10" s="230"/>
      <c r="N10" s="148"/>
      <c r="O10" s="230"/>
    </row>
    <row r="11" spans="1:15" x14ac:dyDescent="0.2">
      <c r="A11" s="151"/>
      <c r="B11" s="148"/>
      <c r="C11" s="151" t="s">
        <v>75</v>
      </c>
      <c r="D11" s="148"/>
      <c r="E11" s="151" t="s">
        <v>460</v>
      </c>
      <c r="F11" s="148"/>
      <c r="G11" s="151" t="s">
        <v>222</v>
      </c>
      <c r="H11" s="148"/>
      <c r="I11" s="151" t="s">
        <v>222</v>
      </c>
      <c r="J11" s="148"/>
      <c r="K11" s="151" t="s">
        <v>461</v>
      </c>
      <c r="L11" s="148"/>
      <c r="M11" s="151" t="s">
        <v>330</v>
      </c>
      <c r="N11" s="148"/>
      <c r="O11" s="151" t="s">
        <v>332</v>
      </c>
    </row>
    <row r="12" spans="1:15" x14ac:dyDescent="0.2">
      <c r="A12" s="181" t="str">
        <f>Intro!M9</f>
        <v>Policy</v>
      </c>
      <c r="B12" s="148"/>
      <c r="C12" s="151" t="s">
        <v>8</v>
      </c>
      <c r="D12" s="148"/>
      <c r="E12" s="151" t="s">
        <v>8</v>
      </c>
      <c r="F12" s="148"/>
      <c r="G12" s="151" t="s">
        <v>462</v>
      </c>
      <c r="H12" s="148"/>
      <c r="I12" s="151" t="s">
        <v>462</v>
      </c>
      <c r="J12" s="148"/>
      <c r="K12" s="151" t="s">
        <v>463</v>
      </c>
      <c r="L12" s="148"/>
      <c r="M12" s="342" t="s">
        <v>36</v>
      </c>
      <c r="N12" s="148"/>
      <c r="O12" s="342" t="s">
        <v>36</v>
      </c>
    </row>
    <row r="13" spans="1:15" x14ac:dyDescent="0.2">
      <c r="A13" s="181" t="str">
        <f>Intro!M10</f>
        <v>Period</v>
      </c>
      <c r="B13" s="148"/>
      <c r="C13" s="151" t="s">
        <v>334</v>
      </c>
      <c r="D13" s="148"/>
      <c r="E13" s="151" t="s">
        <v>334</v>
      </c>
      <c r="F13" s="148"/>
      <c r="G13" s="151" t="s">
        <v>8</v>
      </c>
      <c r="H13" s="148"/>
      <c r="I13" s="151" t="s">
        <v>8</v>
      </c>
      <c r="J13" s="148"/>
      <c r="K13" s="151" t="s">
        <v>71</v>
      </c>
      <c r="L13" s="148"/>
      <c r="M13" s="151" t="s">
        <v>245</v>
      </c>
      <c r="N13" s="148"/>
      <c r="O13" s="151" t="s">
        <v>8</v>
      </c>
    </row>
    <row r="14" spans="1:15" x14ac:dyDescent="0.2">
      <c r="A14" s="176" t="str">
        <f>Intro!M11</f>
        <v>Ending 9/30</v>
      </c>
      <c r="B14" s="148"/>
      <c r="C14" s="179" t="str">
        <f>ctxt</f>
        <v>4/30/19</v>
      </c>
      <c r="D14" s="148"/>
      <c r="E14" s="179" t="str">
        <f>C14</f>
        <v>4/30/19</v>
      </c>
      <c r="F14" s="148"/>
      <c r="G14" s="176" t="s">
        <v>71</v>
      </c>
      <c r="H14" s="148"/>
      <c r="I14" s="176" t="s">
        <v>75</v>
      </c>
      <c r="J14" s="148"/>
      <c r="K14" s="176" t="s">
        <v>8</v>
      </c>
      <c r="L14" s="148"/>
      <c r="M14" s="176" t="s">
        <v>8</v>
      </c>
      <c r="N14" s="148"/>
      <c r="O14" s="176" t="s">
        <v>349</v>
      </c>
    </row>
    <row r="15" spans="1:15" x14ac:dyDescent="0.2">
      <c r="A15" s="148"/>
      <c r="B15" s="148"/>
      <c r="C15" s="246">
        <v>1</v>
      </c>
      <c r="D15" s="148"/>
      <c r="E15" s="246">
        <f>C15+1</f>
        <v>2</v>
      </c>
      <c r="F15" s="148"/>
      <c r="G15" s="246">
        <f>E15+1</f>
        <v>3</v>
      </c>
      <c r="H15" s="148"/>
      <c r="I15" s="246">
        <f>G15+1</f>
        <v>4</v>
      </c>
      <c r="J15" s="148"/>
      <c r="K15" s="246">
        <f>I15+1</f>
        <v>5</v>
      </c>
      <c r="L15" s="148"/>
      <c r="M15" s="246">
        <f>K15+1</f>
        <v>6</v>
      </c>
      <c r="N15" s="148"/>
      <c r="O15" s="246">
        <f>M15+1</f>
        <v>7</v>
      </c>
    </row>
    <row r="16" spans="1:15" x14ac:dyDescent="0.2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</row>
    <row r="17" spans="1:20" x14ac:dyDescent="0.2">
      <c r="A17" s="151">
        <f>Intro!C18</f>
        <v>1996</v>
      </c>
      <c r="B17" s="148"/>
      <c r="C17" s="249">
        <f>'e3.2B'!E18-'e3.2B'!E54</f>
        <v>141454.19999999995</v>
      </c>
      <c r="D17" s="148"/>
      <c r="E17" s="249">
        <f>'e3.1B'!R18 - 'e3.1B'!R54</f>
        <v>0</v>
      </c>
      <c r="F17" s="148"/>
      <c r="G17" s="182">
        <f ca="1">1 / [1]!ldfsir(xsldfs, ldf_ages, xsldf_type, xsldf_ret, Intro!$AA18, "Rept XS", Intro!$H18, cutoff, 3)</f>
        <v>0.89312697808387942</v>
      </c>
      <c r="H17" s="672"/>
      <c r="I17" s="182">
        <f ca="1">1 / [1]!ldfsir(xsldfs, ldf_ages, xsldf_type, xsldf_ret, Intro!$AA18, "Paid XS", Intro!$H18, cutoff, 3)</f>
        <v>0.86406492584847239</v>
      </c>
      <c r="J17" s="148"/>
      <c r="K17" s="249">
        <f t="shared" ref="K17" ca="1" si="0">IF(G17=I17,0,E17*((1-G17)/(G17-I17)))</f>
        <v>0</v>
      </c>
      <c r="L17" s="148"/>
      <c r="M17" s="249">
        <f t="shared" ref="M17" ca="1" si="1">C17+E17+K17</f>
        <v>141454.19999999995</v>
      </c>
      <c r="N17" s="148"/>
      <c r="O17" s="316">
        <f ca="1">M17/Intro!K18</f>
        <v>2.735066208485943</v>
      </c>
      <c r="S17" s="423"/>
      <c r="T17" s="423"/>
    </row>
    <row r="18" spans="1:20" x14ac:dyDescent="0.2">
      <c r="A18" s="151">
        <f>Intro!C19</f>
        <v>1997</v>
      </c>
      <c r="B18" s="148"/>
      <c r="C18" s="235">
        <f>'e3.2B'!E19-'e3.2B'!E55</f>
        <v>169167</v>
      </c>
      <c r="D18" s="148"/>
      <c r="E18" s="235">
        <f>'e3.1B'!R19 - 'e3.1B'!R55</f>
        <v>0</v>
      </c>
      <c r="F18" s="148"/>
      <c r="G18" s="182">
        <f ca="1">1 / [1]!ldfsir(xsldfs, ldf_ages, xsldf_type, xsldf_ret, Intro!$AA19, "Rept XS", Intro!$H19, cutoff, 3)</f>
        <v>0.88369092242195113</v>
      </c>
      <c r="H18" s="672"/>
      <c r="I18" s="182">
        <f ca="1">1 / [1]!ldfsir(xsldfs, ldf_ages, xsldf_type, xsldf_ret, Intro!$AA19, "Paid XS", Intro!$H19, cutoff, 3)</f>
        <v>0.84997795235730755</v>
      </c>
      <c r="J18" s="148"/>
      <c r="K18" s="235">
        <f t="shared" ref="K18:K40" ca="1" si="2">IF(G18=I18,0,E18*((1-G18)/(G18-I18)))</f>
        <v>0</v>
      </c>
      <c r="L18" s="148"/>
      <c r="M18" s="235">
        <f t="shared" ref="M18:M40" ca="1" si="3">C18+E18+K18</f>
        <v>169167</v>
      </c>
      <c r="N18" s="148"/>
      <c r="O18" s="256">
        <f ca="1">M18/Intro!K19</f>
        <v>2.3732799650752483</v>
      </c>
      <c r="S18" s="423"/>
      <c r="T18" s="423"/>
    </row>
    <row r="19" spans="1:20" x14ac:dyDescent="0.2">
      <c r="A19" s="151">
        <f>Intro!C20</f>
        <v>1998</v>
      </c>
      <c r="B19" s="148"/>
      <c r="C19" s="235">
        <f>'e3.2B'!E20-'e3.2B'!E56</f>
        <v>149905</v>
      </c>
      <c r="D19" s="148"/>
      <c r="E19" s="235">
        <f>'e3.1B'!R20 - 'e3.1B'!R56</f>
        <v>0</v>
      </c>
      <c r="F19" s="148"/>
      <c r="G19" s="182">
        <f ca="1">1 / [1]!ldfsir(xsldfs, ldf_ages, xsldf_type, xsldf_ret, Intro!$AA20, "Rept XS", Intro!$H20, cutoff, 3)</f>
        <v>0.8735555529690161</v>
      </c>
      <c r="H19" s="672"/>
      <c r="I19" s="182">
        <f ca="1">1 / [1]!ldfsir(xsldfs, ldf_ages, xsldf_type, xsldf_ret, Intro!$AA20, "Paid XS", Intro!$H20, cutoff, 3)</f>
        <v>0.83468288692674342</v>
      </c>
      <c r="J19" s="148"/>
      <c r="K19" s="235">
        <f t="shared" ca="1" si="2"/>
        <v>0</v>
      </c>
      <c r="L19" s="148"/>
      <c r="M19" s="235">
        <f t="shared" ca="1" si="3"/>
        <v>149905</v>
      </c>
      <c r="N19" s="148"/>
      <c r="O19" s="256">
        <f ca="1">M19/Intro!K20</f>
        <v>1.6522838712851702</v>
      </c>
      <c r="S19" s="423"/>
      <c r="T19" s="423"/>
    </row>
    <row r="20" spans="1:20" x14ac:dyDescent="0.2">
      <c r="A20" s="151">
        <f>Intro!C21</f>
        <v>1999</v>
      </c>
      <c r="B20" s="148"/>
      <c r="C20" s="235">
        <f>'e3.2B'!E21-'e3.2B'!E57</f>
        <v>1235926.8500000001</v>
      </c>
      <c r="D20" s="148"/>
      <c r="E20" s="235">
        <f>'e3.1B'!R21 - 'e3.1B'!R57</f>
        <v>182284.62999999989</v>
      </c>
      <c r="F20" s="148"/>
      <c r="G20" s="182">
        <f ca="1">1 / [1]!ldfsir(xsldfs, ldf_ages, xsldf_type, xsldf_ret, Intro!$AA21, "Rept XS", Intro!$H21, cutoff, 3)</f>
        <v>0.86269654679994223</v>
      </c>
      <c r="H20" s="672"/>
      <c r="I20" s="182">
        <f ca="1">1 / [1]!ldfsir(xsldfs, ldf_ages, xsldf_type, xsldf_ret, Intro!$AA21, "Paid XS", Intro!$H21, cutoff, 3)</f>
        <v>0.81813434731729662</v>
      </c>
      <c r="J20" s="148"/>
      <c r="K20" s="235">
        <f t="shared" ca="1" si="2"/>
        <v>561648.87404271646</v>
      </c>
      <c r="L20" s="148"/>
      <c r="M20" s="235">
        <f t="shared" ca="1" si="3"/>
        <v>1979860.3540427163</v>
      </c>
      <c r="N20" s="148"/>
      <c r="O20" s="256">
        <f ca="1">M20/Intro!K21</f>
        <v>17.093082455957127</v>
      </c>
      <c r="S20" s="423"/>
      <c r="T20" s="423"/>
    </row>
    <row r="21" spans="1:20" x14ac:dyDescent="0.2">
      <c r="A21" s="151">
        <f>Intro!C22</f>
        <v>2000</v>
      </c>
      <c r="B21" s="148"/>
      <c r="C21" s="235">
        <f>'e3.2B'!E22-'e3.2B'!E58</f>
        <v>513125.2200000002</v>
      </c>
      <c r="D21" s="148"/>
      <c r="E21" s="235">
        <f>'e3.1B'!R22 - 'e3.1B'!R58</f>
        <v>535074.71999999974</v>
      </c>
      <c r="F21" s="148"/>
      <c r="G21" s="182">
        <f ca="1">1 / [1]!ldfsir(xsldfs, ldf_ages, xsldf_type, xsldf_ret, Intro!$AA22, "Rept XS", Intro!$H22, cutoff, 3)</f>
        <v>0.85109536193537361</v>
      </c>
      <c r="H21" s="672"/>
      <c r="I21" s="182">
        <f ca="1">1 / [1]!ldfsir(xsldfs, ldf_ages, xsldf_type, xsldf_ret, Intro!$AA22, "Paid XS", Intro!$H22, cutoff, 3)</f>
        <v>0.80030106555098235</v>
      </c>
      <c r="J21" s="148"/>
      <c r="K21" s="235">
        <f t="shared" ca="1" si="2"/>
        <v>1568583.7424773322</v>
      </c>
      <c r="L21" s="148"/>
      <c r="M21" s="235">
        <f t="shared" ca="1" si="3"/>
        <v>2616783.6824773322</v>
      </c>
      <c r="N21" s="148"/>
      <c r="O21" s="256">
        <f ca="1">M21/Intro!K22</f>
        <v>30.128838276061593</v>
      </c>
      <c r="S21" s="423"/>
      <c r="T21" s="423"/>
    </row>
    <row r="22" spans="1:20" x14ac:dyDescent="0.2">
      <c r="A22" s="151">
        <f>Intro!C23</f>
        <v>2001</v>
      </c>
      <c r="B22" s="148"/>
      <c r="C22" s="235">
        <f>'e3.2B'!E23-'e3.2B'!E59</f>
        <v>289652</v>
      </c>
      <c r="D22" s="148"/>
      <c r="E22" s="235">
        <f>'e3.1B'!R23 - 'e3.1B'!R59</f>
        <v>0</v>
      </c>
      <c r="F22" s="148"/>
      <c r="G22" s="182">
        <f ca="1">1 / [1]!ldfsir(xsldfs, ldf_ages, xsldf_type, xsldf_ret, Intro!$AA23, "Rept XS", Intro!$H23, cutoff, 3)</f>
        <v>0.83874122060731693</v>
      </c>
      <c r="H22" s="672"/>
      <c r="I22" s="182">
        <f ca="1">1 / [1]!ldfsir(xsldfs, ldf_ages, xsldf_type, xsldf_ret, Intro!$AA23, "Paid XS", Intro!$H23, cutoff, 3)</f>
        <v>0.78117108619080233</v>
      </c>
      <c r="J22" s="148"/>
      <c r="K22" s="235">
        <f t="shared" ca="1" si="2"/>
        <v>0</v>
      </c>
      <c r="L22" s="148"/>
      <c r="M22" s="235">
        <f t="shared" ca="1" si="3"/>
        <v>289652</v>
      </c>
      <c r="N22" s="148"/>
      <c r="O22" s="256">
        <f ca="1">M22/Intro!K23</f>
        <v>3.153938296412016</v>
      </c>
      <c r="S22" s="423"/>
      <c r="T22" s="423"/>
    </row>
    <row r="23" spans="1:20" x14ac:dyDescent="0.2">
      <c r="A23" s="151">
        <f>Intro!C24</f>
        <v>2002</v>
      </c>
      <c r="B23" s="148"/>
      <c r="C23" s="235">
        <f>'e3.2B'!E24-'e3.2B'!E60</f>
        <v>866577.4700000002</v>
      </c>
      <c r="D23" s="148"/>
      <c r="E23" s="235">
        <f>'e3.1B'!R24 - 'e3.1B'!R60</f>
        <v>485634.76999999955</v>
      </c>
      <c r="F23" s="148"/>
      <c r="G23" s="182">
        <f ca="1">1 / [1]!ldfsir(xsldfs, ldf_ages, xsldf_type, xsldf_ret, Intro!$AA24, "Rept XS", Intro!$H24, cutoff, 3)</f>
        <v>0.82703596597172757</v>
      </c>
      <c r="H23" s="672"/>
      <c r="I23" s="182">
        <f ca="1">1 / [1]!ldfsir(xsldfs, ldf_ages, xsldf_type, xsldf_ret, Intro!$AA24, "Paid XS", Intro!$H24, cutoff, 3)</f>
        <v>0.76075807309935517</v>
      </c>
      <c r="J23" s="148"/>
      <c r="K23" s="235">
        <f t="shared" ca="1" si="2"/>
        <v>1267350.925675038</v>
      </c>
      <c r="L23" s="148"/>
      <c r="M23" s="235">
        <f t="shared" ca="1" si="3"/>
        <v>2619563.1656750375</v>
      </c>
      <c r="N23" s="148"/>
      <c r="O23" s="256">
        <f ca="1">M23/Intro!K24</f>
        <v>30.425318337906365</v>
      </c>
      <c r="S23" s="423"/>
      <c r="T23" s="423"/>
    </row>
    <row r="24" spans="1:20" x14ac:dyDescent="0.2">
      <c r="A24" s="151">
        <f>Intro!C25</f>
        <v>2003</v>
      </c>
      <c r="B24" s="148"/>
      <c r="C24" s="235">
        <f>'e3.2B'!E25-'e3.2B'!E61</f>
        <v>256580.59999999986</v>
      </c>
      <c r="D24" s="148"/>
      <c r="E24" s="235">
        <f>'e3.1B'!R25 - 'e3.1B'!R61</f>
        <v>0</v>
      </c>
      <c r="F24" s="148"/>
      <c r="G24" s="182">
        <f ca="1">1 / [1]!ldfsir(xsldfs, ldf_ages, xsldf_type, xsldf_ret, Intro!$AA25, "Rept XS", Intro!$H25, cutoff, 3)</f>
        <v>0.84190243679569754</v>
      </c>
      <c r="H24" s="672"/>
      <c r="I24" s="182">
        <f ca="1">1 / [1]!ldfsir(xsldfs, ldf_ages, xsldf_type, xsldf_ret, Intro!$AA25, "Paid XS", Intro!$H25, cutoff, 3)</f>
        <v>0.78607794239688278</v>
      </c>
      <c r="J24" s="148"/>
      <c r="K24" s="235">
        <f t="shared" ca="1" si="2"/>
        <v>0</v>
      </c>
      <c r="L24" s="148"/>
      <c r="M24" s="235">
        <f t="shared" ca="1" si="3"/>
        <v>256580.59999999986</v>
      </c>
      <c r="N24" s="148"/>
      <c r="O24" s="256">
        <f ca="1">M24/Intro!K25</f>
        <v>2.6761388981886927</v>
      </c>
      <c r="S24" s="423"/>
      <c r="T24" s="423"/>
    </row>
    <row r="25" spans="1:20" x14ac:dyDescent="0.2">
      <c r="A25" s="151">
        <f>Intro!C26</f>
        <v>2004</v>
      </c>
      <c r="B25" s="148"/>
      <c r="C25" s="235">
        <f>'e3.2B'!E26-'e3.2B'!E62</f>
        <v>239360.8600000008</v>
      </c>
      <c r="D25" s="148"/>
      <c r="E25" s="235">
        <f>'e3.1B'!R26 - 'e3.1B'!R62</f>
        <v>114145.42000000039</v>
      </c>
      <c r="F25" s="148"/>
      <c r="G25" s="182">
        <f ca="1">1 / [1]!ldfsir(xsldfs, ldf_ages, xsldf_type, xsldf_ret, Intro!$AA26, "Rept XS", Intro!$H26, cutoff, 3)</f>
        <v>0.79975573413362322</v>
      </c>
      <c r="H25" s="672"/>
      <c r="I25" s="182">
        <f ca="1">1 / [1]!ldfsir(xsldfs, ldf_ages, xsldf_type, xsldf_ret, Intro!$AA26, "Paid XS", Intro!$H26, cutoff, 3)</f>
        <v>0.74888492948820373</v>
      </c>
      <c r="J25" s="148"/>
      <c r="K25" s="235">
        <f t="shared" ca="1" si="2"/>
        <v>449314.02184862841</v>
      </c>
      <c r="L25" s="148"/>
      <c r="M25" s="235">
        <f t="shared" ca="1" si="3"/>
        <v>802820.30184862961</v>
      </c>
      <c r="N25" s="148"/>
      <c r="O25" s="256">
        <f ca="1">M25/Intro!K26</f>
        <v>7.8601770358146998</v>
      </c>
      <c r="S25" s="423"/>
      <c r="T25" s="423"/>
    </row>
    <row r="26" spans="1:20" x14ac:dyDescent="0.2">
      <c r="A26" s="151">
        <f>Intro!C27</f>
        <v>2005</v>
      </c>
      <c r="B26" s="148"/>
      <c r="C26" s="235">
        <f>'e3.2B'!E27-'e3.2B'!E63</f>
        <v>0</v>
      </c>
      <c r="D26" s="148"/>
      <c r="E26" s="235">
        <f>'e3.1B'!R27 - 'e3.1B'!R63</f>
        <v>0</v>
      </c>
      <c r="F26" s="148"/>
      <c r="G26" s="182">
        <f ca="1">1 / [1]!ldfsir(xsldfs, ldf_ages, xsldf_type, xsldf_ret, Intro!$AA27, "Rept XS", Intro!$H27, cutoff, 3)</f>
        <v>0.78666798741294253</v>
      </c>
      <c r="H26" s="672"/>
      <c r="I26" s="182">
        <f ca="1">1 / [1]!ldfsir(xsldfs, ldf_ages, xsldf_type, xsldf_ret, Intro!$AA27, "Paid XS", Intro!$H27, cutoff, 3)</f>
        <v>0.72762901022750892</v>
      </c>
      <c r="J26" s="148"/>
      <c r="K26" s="235">
        <f t="shared" ca="1" si="2"/>
        <v>0</v>
      </c>
      <c r="L26" s="148"/>
      <c r="M26" s="235">
        <f t="shared" ca="1" si="3"/>
        <v>0</v>
      </c>
      <c r="N26" s="148"/>
      <c r="O26" s="256">
        <f ca="1">M26/Intro!K27</f>
        <v>0</v>
      </c>
      <c r="S26" s="423"/>
      <c r="T26" s="423"/>
    </row>
    <row r="27" spans="1:20" x14ac:dyDescent="0.2">
      <c r="A27" s="151">
        <f>Intro!C28</f>
        <v>2006</v>
      </c>
      <c r="B27" s="148"/>
      <c r="C27" s="235">
        <f>'e3.2B'!E28-'e3.2B'!E64</f>
        <v>310667.57999999984</v>
      </c>
      <c r="D27" s="148"/>
      <c r="E27" s="235">
        <f>'e3.1B'!R28 - 'e3.1B'!R64</f>
        <v>0</v>
      </c>
      <c r="F27" s="148"/>
      <c r="G27" s="182">
        <f ca="1">1 / [1]!ldfsir(xsldfs, ldf_ages, xsldf_type, xsldf_ret, Intro!$AA28, "Rept XS", Intro!$H28, cutoff, 3)</f>
        <v>0.77308280029529441</v>
      </c>
      <c r="H27" s="672"/>
      <c r="I27" s="182">
        <f ca="1">1 / [1]!ldfsir(xsldfs, ldf_ages, xsldf_type, xsldf_ret, Intro!$AA28, "Paid XS", Intro!$H28, cutoff, 3)</f>
        <v>0.70639540818067204</v>
      </c>
      <c r="J27" s="148"/>
      <c r="K27" s="235">
        <f t="shared" ca="1" si="2"/>
        <v>0</v>
      </c>
      <c r="L27" s="148"/>
      <c r="M27" s="235">
        <f t="shared" ca="1" si="3"/>
        <v>310667.57999999984</v>
      </c>
      <c r="N27" s="148"/>
      <c r="O27" s="256">
        <f ca="1">M27/Intro!K28</f>
        <v>2.8830432121867275</v>
      </c>
      <c r="S27" s="423"/>
      <c r="T27" s="423"/>
    </row>
    <row r="28" spans="1:20" x14ac:dyDescent="0.2">
      <c r="A28" s="151">
        <f>Intro!C29</f>
        <v>2007</v>
      </c>
      <c r="B28" s="148"/>
      <c r="C28" s="235">
        <f>'e3.2B'!E29-'e3.2B'!E65</f>
        <v>0</v>
      </c>
      <c r="D28" s="148"/>
      <c r="E28" s="235">
        <f>'e3.1B'!R29 - 'e3.1B'!R65</f>
        <v>0</v>
      </c>
      <c r="F28" s="148"/>
      <c r="G28" s="182">
        <f ca="1">1 / [1]!ldfsir(xsldfs, ldf_ages, xsldf_type, xsldf_ret, Intro!$AA29, "Rept XS", Intro!$H29, cutoff, 3)</f>
        <v>0.75841090370594222</v>
      </c>
      <c r="H28" s="672"/>
      <c r="I28" s="182">
        <f ca="1">1 / [1]!ldfsir(xsldfs, ldf_ages, xsldf_type, xsldf_ret, Intro!$AA29, "Paid XS", Intro!$H29, cutoff, 3)</f>
        <v>0.68420587629302043</v>
      </c>
      <c r="J28" s="148"/>
      <c r="K28" s="235">
        <f t="shared" ca="1" si="2"/>
        <v>0</v>
      </c>
      <c r="L28" s="148"/>
      <c r="M28" s="235">
        <f t="shared" ca="1" si="3"/>
        <v>0</v>
      </c>
      <c r="N28" s="148"/>
      <c r="O28" s="256">
        <f ca="1">M28/Intro!K29</f>
        <v>0</v>
      </c>
      <c r="S28" s="423"/>
      <c r="T28" s="423"/>
    </row>
    <row r="29" spans="1:20" x14ac:dyDescent="0.2">
      <c r="A29" s="151">
        <f>Intro!C30</f>
        <v>2008</v>
      </c>
      <c r="B29" s="148"/>
      <c r="C29" s="235">
        <f>'e3.2B'!E30-'e3.2B'!E66</f>
        <v>0</v>
      </c>
      <c r="D29" s="148"/>
      <c r="E29" s="235">
        <f>'e3.1B'!R30 - 'e3.1B'!R66</f>
        <v>0</v>
      </c>
      <c r="F29" s="148"/>
      <c r="G29" s="182">
        <f ca="1">1 / [1]!ldfsir(xsldfs, ldf_ages, xsldf_type, xsldf_ret, Intro!$AA30, "Rept XS", Intro!$H30, cutoff, 3)</f>
        <v>0.77448585036728756</v>
      </c>
      <c r="H29" s="672"/>
      <c r="I29" s="182">
        <f ca="1">1 / [1]!ldfsir(xsldfs, ldf_ages, xsldf_type, xsldf_ret, Intro!$AA30, "Paid XS", Intro!$H30, cutoff, 3)</f>
        <v>0.7292796036800312</v>
      </c>
      <c r="J29" s="148"/>
      <c r="K29" s="235">
        <f t="shared" ca="1" si="2"/>
        <v>0</v>
      </c>
      <c r="L29" s="148"/>
      <c r="M29" s="235">
        <f t="shared" ca="1" si="3"/>
        <v>0</v>
      </c>
      <c r="N29" s="148"/>
      <c r="O29" s="256">
        <f ca="1">M29/Intro!K30</f>
        <v>0</v>
      </c>
      <c r="S29" s="423"/>
      <c r="T29" s="423"/>
    </row>
    <row r="30" spans="1:20" x14ac:dyDescent="0.2">
      <c r="A30" s="151">
        <f>Intro!C31</f>
        <v>2009</v>
      </c>
      <c r="B30" s="148"/>
      <c r="C30" s="235">
        <f>'e3.2B'!E31-'e3.2B'!E67</f>
        <v>83743.280000000028</v>
      </c>
      <c r="D30" s="148"/>
      <c r="E30" s="235">
        <f>'e3.1B'!R31 - 'e3.1B'!R67</f>
        <v>0</v>
      </c>
      <c r="F30" s="148"/>
      <c r="G30" s="182">
        <f ca="1">1 / [1]!ldfsir(xsldfs, ldf_ages, xsldf_type, xsldf_ret, Intro!$AA31, "Rept XS", Intro!$H31, cutoff, 3)</f>
        <v>0.7622025260008477</v>
      </c>
      <c r="H30" s="672"/>
      <c r="I30" s="182">
        <f ca="1">1 / [1]!ldfsir(xsldfs, ldf_ages, xsldf_type, xsldf_ret, Intro!$AA31, "Paid XS", Intro!$H31, cutoff, 3)</f>
        <v>0.70892738882420636</v>
      </c>
      <c r="J30" s="148"/>
      <c r="K30" s="235">
        <f t="shared" ca="1" si="2"/>
        <v>0</v>
      </c>
      <c r="L30" s="148"/>
      <c r="M30" s="235">
        <f t="shared" ca="1" si="3"/>
        <v>83743.280000000028</v>
      </c>
      <c r="N30" s="148"/>
      <c r="O30" s="256">
        <f ca="1">M30/Intro!K31</f>
        <v>0.75633340063359211</v>
      </c>
      <c r="S30" s="423"/>
      <c r="T30" s="423"/>
    </row>
    <row r="31" spans="1:20" x14ac:dyDescent="0.2">
      <c r="A31" s="151">
        <f>Intro!C32</f>
        <v>2010</v>
      </c>
      <c r="B31" s="148"/>
      <c r="C31" s="235">
        <f>'e3.2B'!E32-'e3.2B'!E68</f>
        <v>0</v>
      </c>
      <c r="D31" s="148"/>
      <c r="E31" s="235">
        <f>'e3.1B'!R32 - 'e3.1B'!R68</f>
        <v>0</v>
      </c>
      <c r="F31" s="148"/>
      <c r="G31" s="182">
        <f ca="1">1 / [1]!ldfsir(xsldfs, ldf_ages, xsldf_type, xsldf_ret, Intro!$AA32, "Rept XS", Intro!$H32, cutoff, 3)</f>
        <v>0.74904026755204578</v>
      </c>
      <c r="H31" s="672"/>
      <c r="I31" s="182">
        <f ca="1">1 / [1]!ldfsir(xsldfs, ldf_ages, xsldf_type, xsldf_ret, Intro!$AA32, "Paid XS", Intro!$H32, cutoff, 3)</f>
        <v>0.68557567562509258</v>
      </c>
      <c r="J31" s="148"/>
      <c r="K31" s="235">
        <f t="shared" ca="1" si="2"/>
        <v>0</v>
      </c>
      <c r="L31" s="148"/>
      <c r="M31" s="235">
        <f t="shared" ca="1" si="3"/>
        <v>0</v>
      </c>
      <c r="N31" s="148"/>
      <c r="O31" s="256">
        <f ca="1">M31/Intro!K32</f>
        <v>0</v>
      </c>
      <c r="S31" s="423"/>
      <c r="T31" s="423"/>
    </row>
    <row r="32" spans="1:20" x14ac:dyDescent="0.2">
      <c r="A32" s="151">
        <f>Intro!C33</f>
        <v>2011</v>
      </c>
      <c r="B32" s="148"/>
      <c r="C32" s="235">
        <f>'e3.2B'!E33-'e3.2B'!E69</f>
        <v>0</v>
      </c>
      <c r="D32" s="148"/>
      <c r="E32" s="235">
        <f>'e3.1B'!R33 - 'e3.1B'!R69</f>
        <v>0</v>
      </c>
      <c r="F32" s="148"/>
      <c r="G32" s="182">
        <f ca="1">1 / [1]!ldfsir(xsldfs, ldf_ages, xsldf_type, xsldf_ret, Intro!$AA33, "Rept XS", Intro!$H33, cutoff, 3)</f>
        <v>0.73488231188082243</v>
      </c>
      <c r="H32" s="672"/>
      <c r="I32" s="182">
        <f ca="1">1 / [1]!ldfsir(xsldfs, ldf_ages, xsldf_type, xsldf_ret, Intro!$AA33, "Paid XS", Intro!$H33, cutoff, 3)</f>
        <v>0.65906496757527977</v>
      </c>
      <c r="J32" s="148"/>
      <c r="K32" s="235">
        <f t="shared" ca="1" si="2"/>
        <v>0</v>
      </c>
      <c r="L32" s="148"/>
      <c r="M32" s="235">
        <f t="shared" ca="1" si="3"/>
        <v>0</v>
      </c>
      <c r="N32" s="148"/>
      <c r="O32" s="256">
        <f ca="1">M32/Intro!K33</f>
        <v>0</v>
      </c>
      <c r="S32" s="423"/>
      <c r="T32" s="423"/>
    </row>
    <row r="33" spans="1:20" x14ac:dyDescent="0.2">
      <c r="A33" s="151">
        <f>Intro!C34</f>
        <v>2012</v>
      </c>
      <c r="B33" s="148"/>
      <c r="C33" s="235">
        <f>'e3.2B'!E34-'e3.2B'!E70</f>
        <v>0</v>
      </c>
      <c r="D33" s="148"/>
      <c r="E33" s="235">
        <f>'e3.1B'!R34 - 'e3.1B'!R70</f>
        <v>0</v>
      </c>
      <c r="F33" s="148"/>
      <c r="G33" s="182">
        <f ca="1">1 / [1]!ldfsir(xsldfs, ldf_ages, xsldf_type, xsldf_ret, Intro!$AA34, "Rept XS", Intro!$H34, cutoff, 3)</f>
        <v>0.7200311216308789</v>
      </c>
      <c r="H33" s="672"/>
      <c r="I33" s="182">
        <f ca="1">1 / [1]!ldfsir(xsldfs, ldf_ages, xsldf_type, xsldf_ret, Intro!$AA34, "Paid XS", Intro!$H34, cutoff, 3)</f>
        <v>0.63058790043195367</v>
      </c>
      <c r="J33" s="148"/>
      <c r="K33" s="235">
        <f t="shared" ca="1" si="2"/>
        <v>0</v>
      </c>
      <c r="L33" s="148"/>
      <c r="M33" s="235">
        <f t="shared" ca="1" si="3"/>
        <v>0</v>
      </c>
      <c r="N33" s="148"/>
      <c r="O33" s="256">
        <f ca="1">M33/Intro!K34</f>
        <v>0</v>
      </c>
      <c r="S33" s="423"/>
      <c r="T33" s="423"/>
    </row>
    <row r="34" spans="1:20" x14ac:dyDescent="0.2">
      <c r="A34" s="151">
        <f>Intro!C35</f>
        <v>2013</v>
      </c>
      <c r="B34" s="148"/>
      <c r="C34" s="235">
        <f>'e3.2B'!E35-'e3.2B'!E71</f>
        <v>64795.239999999525</v>
      </c>
      <c r="D34" s="148"/>
      <c r="E34" s="235">
        <f>'e3.1B'!R35 - 'e3.1B'!R71</f>
        <v>1.1641532182693481E-9</v>
      </c>
      <c r="F34" s="148"/>
      <c r="G34" s="182">
        <f ca="1">1 / [1]!ldfsir(xsldfs, ldf_ages, xsldf_type, xsldf_ret, Intro!$AA35, "Rept XS", Intro!$H35, cutoff, 3)</f>
        <v>0.70309862538763512</v>
      </c>
      <c r="H34" s="672"/>
      <c r="I34" s="182">
        <f ca="1">1 / [1]!ldfsir(xsldfs, ldf_ages, xsldf_type, xsldf_ret, Intro!$AA35, "Paid XS", Intro!$H35, cutoff, 3)</f>
        <v>0.6038544783837797</v>
      </c>
      <c r="J34" s="148"/>
      <c r="K34" s="235">
        <f t="shared" ca="1" si="2"/>
        <v>3.4827110837090532E-9</v>
      </c>
      <c r="L34" s="148"/>
      <c r="M34" s="235">
        <f t="shared" ca="1" si="3"/>
        <v>64795.240000004174</v>
      </c>
      <c r="N34" s="148"/>
      <c r="O34" s="256">
        <f ca="1">M34/Intro!K35</f>
        <v>0.41017822433584056</v>
      </c>
      <c r="S34" s="423"/>
      <c r="T34" s="423"/>
    </row>
    <row r="35" spans="1:20" x14ac:dyDescent="0.2">
      <c r="A35" s="151">
        <f>Intro!C36</f>
        <v>2014</v>
      </c>
      <c r="B35" s="148"/>
      <c r="C35" s="235">
        <f>'e3.2B'!E36-'e3.2B'!E72</f>
        <v>0</v>
      </c>
      <c r="D35" s="148"/>
      <c r="E35" s="235">
        <f>'e3.1B'!R36 - 'e3.1B'!R72</f>
        <v>0</v>
      </c>
      <c r="F35" s="148"/>
      <c r="G35" s="182">
        <f ca="1">1 / [1]!ldfsir(xsldfs, ldf_ages, xsldf_type, xsldf_ret, Intro!$AA36, "Rept XS", Intro!$H36, cutoff, 3)</f>
        <v>0.68091844382466715</v>
      </c>
      <c r="H35" s="672"/>
      <c r="I35" s="182">
        <f ca="1">1 / [1]!ldfsir(xsldfs, ldf_ages, xsldf_type, xsldf_ret, Intro!$AA36, "Paid XS", Intro!$H36, cutoff, 3)</f>
        <v>0.57660974945058885</v>
      </c>
      <c r="J35" s="148"/>
      <c r="K35" s="235">
        <f t="shared" ca="1" si="2"/>
        <v>0</v>
      </c>
      <c r="L35" s="148"/>
      <c r="M35" s="235">
        <f t="shared" ca="1" si="3"/>
        <v>0</v>
      </c>
      <c r="N35" s="148"/>
      <c r="O35" s="256">
        <f ca="1">M35/Intro!K36</f>
        <v>0</v>
      </c>
      <c r="S35" s="423"/>
      <c r="T35" s="423"/>
    </row>
    <row r="36" spans="1:20" x14ac:dyDescent="0.2">
      <c r="A36" s="151">
        <f>Intro!C37</f>
        <v>2015</v>
      </c>
      <c r="B36" s="148"/>
      <c r="C36" s="235">
        <f>'e3.2B'!E37-'e3.2B'!E73</f>
        <v>0</v>
      </c>
      <c r="D36" s="148"/>
      <c r="E36" s="235">
        <f>'e3.1B'!R37 - 'e3.1B'!R73</f>
        <v>0</v>
      </c>
      <c r="F36" s="148"/>
      <c r="G36" s="182">
        <f ca="1">1 / [1]!ldfsir(xsldfs, ldf_ages, xsldf_type, xsldf_ret, Intro!$AA37, "Rept XS", Intro!$H37, cutoff, 3)</f>
        <v>0.65199883975071216</v>
      </c>
      <c r="H36" s="672"/>
      <c r="I36" s="182">
        <f ca="1">1 / [1]!ldfsir(xsldfs, ldf_ages, xsldf_type, xsldf_ret, Intro!$AA37, "Paid XS", Intro!$H37, cutoff, 3)</f>
        <v>0.54513214555246114</v>
      </c>
      <c r="J36" s="148"/>
      <c r="K36" s="235">
        <f t="shared" ca="1" si="2"/>
        <v>0</v>
      </c>
      <c r="L36" s="148"/>
      <c r="M36" s="235">
        <f t="shared" ca="1" si="3"/>
        <v>0</v>
      </c>
      <c r="N36" s="148"/>
      <c r="O36" s="256">
        <f ca="1">M36/Intro!K37</f>
        <v>0</v>
      </c>
      <c r="S36" s="423"/>
      <c r="T36" s="423"/>
    </row>
    <row r="37" spans="1:20" x14ac:dyDescent="0.2">
      <c r="A37" s="151">
        <f>Intro!C38</f>
        <v>2016</v>
      </c>
      <c r="B37" s="148"/>
      <c r="C37" s="235">
        <f>'e3.2B'!E38-'e3.2B'!E74</f>
        <v>0</v>
      </c>
      <c r="D37" s="148"/>
      <c r="E37" s="235">
        <f>'e3.1B'!R38 - 'e3.1B'!R74</f>
        <v>0</v>
      </c>
      <c r="F37" s="148"/>
      <c r="G37" s="182">
        <f ca="1">1 / [1]!ldfsir(xsldfs, ldf_ages, xsldf_type, xsldf_ret, Intro!$AA38, "Rept XS", Intro!$H38, cutoff, 3)</f>
        <v>0.60689489615142844</v>
      </c>
      <c r="H37" s="672"/>
      <c r="I37" s="182">
        <f ca="1">1 / [1]!ldfsir(xsldfs, ldf_ages, xsldf_type, xsldf_ret, Intro!$AA38, "Paid XS", Intro!$H38, cutoff, 3)</f>
        <v>0.48700198713326059</v>
      </c>
      <c r="J37" s="148"/>
      <c r="K37" s="235">
        <f t="shared" ca="1" si="2"/>
        <v>0</v>
      </c>
      <c r="L37" s="148"/>
      <c r="M37" s="235">
        <f t="shared" ca="1" si="3"/>
        <v>0</v>
      </c>
      <c r="N37" s="148"/>
      <c r="O37" s="256">
        <f ca="1">M37/Intro!K38</f>
        <v>0</v>
      </c>
      <c r="S37" s="423"/>
      <c r="T37" s="423"/>
    </row>
    <row r="38" spans="1:20" x14ac:dyDescent="0.2">
      <c r="A38" s="151">
        <f>Intro!C39</f>
        <v>2017</v>
      </c>
      <c r="B38" s="148"/>
      <c r="C38" s="235">
        <f>'e3.2B'!E39-'e3.2B'!E75</f>
        <v>0</v>
      </c>
      <c r="D38" s="148"/>
      <c r="E38" s="235">
        <f>'e3.1B'!R39 - 'e3.1B'!R75</f>
        <v>0</v>
      </c>
      <c r="F38" s="148"/>
      <c r="G38" s="182">
        <f ca="1">1 / [1]!ldfsir(xsldfs, ldf_ages, xsldf_type, xsldf_ret, Intro!$AA39, "Rept XS", Intro!$H39, cutoff, 3)</f>
        <v>0.52897016741319192</v>
      </c>
      <c r="H38" s="672"/>
      <c r="I38" s="182">
        <f ca="1">1 / [1]!ldfsir(xsldfs, ldf_ages, xsldf_type, xsldf_ret, Intro!$AA39, "Paid XS", Intro!$H39, cutoff, 3)</f>
        <v>0.3856043939760655</v>
      </c>
      <c r="J38" s="148"/>
      <c r="K38" s="235">
        <f t="shared" ca="1" si="2"/>
        <v>0</v>
      </c>
      <c r="L38" s="148"/>
      <c r="M38" s="235">
        <f t="shared" ca="1" si="3"/>
        <v>0</v>
      </c>
      <c r="N38" s="148"/>
      <c r="O38" s="256">
        <f ca="1">M38/Intro!K39</f>
        <v>0</v>
      </c>
      <c r="S38" s="423"/>
      <c r="T38" s="423"/>
    </row>
    <row r="39" spans="1:20" x14ac:dyDescent="0.2">
      <c r="A39" s="151">
        <f>Intro!C40</f>
        <v>2018</v>
      </c>
      <c r="B39" s="148"/>
      <c r="C39" s="235">
        <f>'e3.2B'!E40-'e3.2B'!E76</f>
        <v>0</v>
      </c>
      <c r="D39" s="148"/>
      <c r="E39" s="235">
        <f>'e3.1B'!R40 - 'e3.1B'!R76</f>
        <v>0</v>
      </c>
      <c r="F39" s="148"/>
      <c r="G39" s="182">
        <f ca="1">1 / [1]!ldfsir(xsldfs, ldf_ages, xsldf_type, xsldf_ret, Intro!$AA40, "Rept XS", Intro!$H40, cutoff, 3)</f>
        <v>0.39048535325301986</v>
      </c>
      <c r="H39" s="672"/>
      <c r="I39" s="182">
        <f ca="1">1 / [1]!ldfsir(xsldfs, ldf_ages, xsldf_type, xsldf_ret, Intro!$AA40, "Paid XS", Intro!$H40, cutoff, 3)</f>
        <v>0.25937270384181854</v>
      </c>
      <c r="J39" s="148"/>
      <c r="K39" s="235">
        <f t="shared" ca="1" si="2"/>
        <v>0</v>
      </c>
      <c r="L39" s="148"/>
      <c r="M39" s="235">
        <f t="shared" ca="1" si="3"/>
        <v>0</v>
      </c>
      <c r="N39" s="148"/>
      <c r="O39" s="256">
        <f ca="1">M39/Intro!K40</f>
        <v>0</v>
      </c>
      <c r="S39" s="423"/>
      <c r="T39" s="423"/>
    </row>
    <row r="40" spans="1:20" x14ac:dyDescent="0.2">
      <c r="A40" s="151">
        <f>Intro!C41</f>
        <v>2019</v>
      </c>
      <c r="B40" s="148"/>
      <c r="C40" s="235">
        <f>'e3.2B'!E41-'e3.2B'!E77</f>
        <v>0</v>
      </c>
      <c r="D40" s="148"/>
      <c r="E40" s="235">
        <f>'e3.1B'!R41 - 'e3.1B'!R77</f>
        <v>0</v>
      </c>
      <c r="F40" s="148"/>
      <c r="G40" s="182">
        <f ca="1">1 / [1]!ldfsir(xsldfs, ldf_ages, xsldf_type, xsldf_ret, Intro!$AA41, "Rept XS", Intro!$H41, cutoff, 3)</f>
        <v>0.1378352796716609</v>
      </c>
      <c r="H40" s="672"/>
      <c r="I40" s="182">
        <f ca="1">1 / [1]!ldfsir(xsldfs, ldf_ages, xsldf_type, xsldf_ret, Intro!$AA41, "Paid XS", Intro!$H41, cutoff, 3)</f>
        <v>4.4361348450897536E-2</v>
      </c>
      <c r="J40" s="148"/>
      <c r="K40" s="235">
        <f t="shared" ca="1" si="2"/>
        <v>0</v>
      </c>
      <c r="L40" s="148"/>
      <c r="M40" s="235">
        <f t="shared" ca="1" si="3"/>
        <v>0</v>
      </c>
      <c r="N40" s="148"/>
      <c r="O40" s="261">
        <f ca="1">M40/Intro!K41</f>
        <v>0</v>
      </c>
      <c r="S40" s="423"/>
      <c r="T40" s="423"/>
    </row>
    <row r="41" spans="1:20" x14ac:dyDescent="0.2">
      <c r="A41" s="151"/>
      <c r="B41" s="148"/>
      <c r="C41" s="346"/>
      <c r="D41" s="148"/>
      <c r="E41" s="346"/>
      <c r="F41" s="148"/>
      <c r="G41" s="347"/>
      <c r="H41" s="148"/>
      <c r="I41" s="347"/>
      <c r="J41" s="148"/>
      <c r="K41" s="346"/>
      <c r="L41" s="148"/>
      <c r="M41" s="346"/>
      <c r="N41" s="148"/>
      <c r="O41" s="238"/>
    </row>
    <row r="42" spans="1:20" x14ac:dyDescent="0.2">
      <c r="A42" s="348" t="s">
        <v>78</v>
      </c>
      <c r="B42" s="148"/>
      <c r="C42" s="249">
        <f>SUM(C16:C41)</f>
        <v>4320955.3000000007</v>
      </c>
      <c r="D42" s="148"/>
      <c r="E42" s="249">
        <f>SUM(E16:E41)</f>
        <v>1317139.5400000007</v>
      </c>
      <c r="F42" s="148"/>
      <c r="G42" s="347"/>
      <c r="H42" s="148"/>
      <c r="I42" s="347"/>
      <c r="J42" s="148"/>
      <c r="K42" s="249">
        <f ca="1">SUM(K16:K41)</f>
        <v>3846897.5640437179</v>
      </c>
      <c r="L42" s="148"/>
      <c r="M42" s="249">
        <f ca="1">SUM(M16:M41)</f>
        <v>9484992.4040437192</v>
      </c>
      <c r="N42" s="148"/>
      <c r="O42" s="316">
        <f ca="1">M42 / Intro!K45</f>
        <v>2.434152541690831</v>
      </c>
    </row>
    <row r="43" spans="1:20" x14ac:dyDescent="0.2">
      <c r="A43" s="151"/>
      <c r="B43" s="148"/>
      <c r="C43" s="235"/>
      <c r="D43" s="148"/>
      <c r="E43" s="235"/>
      <c r="F43" s="148"/>
      <c r="G43" s="347"/>
      <c r="H43" s="148"/>
      <c r="I43" s="347"/>
      <c r="J43" s="148"/>
      <c r="K43" s="235"/>
      <c r="L43" s="148"/>
      <c r="M43" s="235"/>
      <c r="N43" s="148"/>
      <c r="O43" s="255"/>
    </row>
    <row r="44" spans="1:20" x14ac:dyDescent="0.2">
      <c r="A44" s="151"/>
      <c r="B44" s="148"/>
      <c r="C44" s="235"/>
      <c r="D44" s="148"/>
      <c r="E44" s="235"/>
      <c r="F44" s="148"/>
      <c r="G44" s="347"/>
      <c r="H44" s="148"/>
      <c r="I44" s="347"/>
      <c r="J44" s="148"/>
      <c r="K44" s="235"/>
      <c r="L44" s="148"/>
      <c r="M44" s="235"/>
      <c r="N44" s="148"/>
      <c r="O44" s="255"/>
    </row>
    <row r="45" spans="1:20" x14ac:dyDescent="0.2">
      <c r="A45" s="245" t="s">
        <v>83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1:20" x14ac:dyDescent="0.2">
      <c r="A46" s="227" t="str">
        <f>"Columns (1) and (2) provided by "&amp;client&amp;"."</f>
        <v>Columns (1) and (2) provided by CLIENT XYZ.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</row>
    <row r="47" spans="1:20" x14ac:dyDescent="0.2">
      <c r="A47" s="148" t="str">
        <f>"Columns (3) and (4) derived from Exhibit 8."</f>
        <v>Columns (3) and (4) derived from Exhibit 8.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</row>
    <row r="48" spans="1:20" x14ac:dyDescent="0.2">
      <c r="A48" s="349" t="s">
        <v>465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</row>
    <row r="49" spans="1:15" x14ac:dyDescent="0.2">
      <c r="A49" s="349" t="s">
        <v>466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</row>
    <row r="50" spans="1:15" x14ac:dyDescent="0.2">
      <c r="A50" s="352" t="s">
        <v>464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</row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3
Sheet 5B
</oddHeader>
    <oddFooter xml:space="preserve">&amp;L&amp;"Arial"&amp;10 Oliver Wyman Actuarial Consulting, Inc.
&amp;C&amp;"Arial"&amp;10 &amp;R&amp;"Arial"&amp;10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0">
    <tabColor theme="5" tint="0.79998168889431442"/>
    <pageSetUpPr fitToPage="1"/>
  </sheetPr>
  <dimension ref="A1:O50"/>
  <sheetViews>
    <sheetView zoomScale="85" zoomScaleNormal="85" zoomScaleSheetLayoutView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10.75" style="222" customWidth="1"/>
    <col min="6" max="6" width="2.625" style="222" customWidth="1"/>
    <col min="7" max="7" width="10.75" style="222" customWidth="1"/>
    <col min="8" max="8" width="2.625" style="222" customWidth="1"/>
    <col min="9" max="9" width="10.75" style="222" customWidth="1"/>
    <col min="10" max="10" width="2.625" style="222" customWidth="1"/>
    <col min="11" max="11" width="10.75" style="222" customWidth="1"/>
    <col min="12" max="12" width="2.625" style="222" customWidth="1"/>
    <col min="13" max="13" width="10.75" style="222" customWidth="1"/>
    <col min="14" max="14" width="2.625" style="222" customWidth="1"/>
    <col min="15" max="15" width="10.75" style="222" customWidth="1"/>
    <col min="16" max="16384" width="9" style="222"/>
  </cols>
  <sheetData>
    <row r="1" spans="1:15" x14ac:dyDescent="0.2">
      <c r="A1" s="1" t="str">
        <f>[1]!getlabels()</f>
        <v>Exhibit 3, Sheet 5C</v>
      </c>
    </row>
    <row r="2" spans="1:15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15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15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15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15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15" x14ac:dyDescent="0.2">
      <c r="A7" s="224" t="str">
        <f>VLOOKUP($A$1, index_lkups, 3, FALSE)</f>
        <v>Case Development Method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10" spans="1:15" x14ac:dyDescent="0.2">
      <c r="A10" s="148"/>
      <c r="B10" s="148"/>
      <c r="C10" s="230"/>
      <c r="D10" s="148"/>
      <c r="E10" s="151" t="s">
        <v>74</v>
      </c>
      <c r="F10" s="148"/>
      <c r="G10" s="230"/>
      <c r="H10" s="148"/>
      <c r="I10" s="230"/>
      <c r="J10" s="148"/>
      <c r="K10" s="230"/>
      <c r="L10" s="148"/>
      <c r="M10" s="230"/>
      <c r="N10" s="148"/>
      <c r="O10" s="230"/>
    </row>
    <row r="11" spans="1:15" x14ac:dyDescent="0.2">
      <c r="A11" s="151"/>
      <c r="B11" s="148"/>
      <c r="C11" s="151" t="s">
        <v>75</v>
      </c>
      <c r="D11" s="148"/>
      <c r="E11" s="151" t="s">
        <v>460</v>
      </c>
      <c r="F11" s="148"/>
      <c r="G11" s="151" t="s">
        <v>222</v>
      </c>
      <c r="H11" s="148"/>
      <c r="I11" s="151" t="s">
        <v>222</v>
      </c>
      <c r="J11" s="148"/>
      <c r="K11" s="151" t="s">
        <v>461</v>
      </c>
      <c r="L11" s="148"/>
      <c r="M11" s="151"/>
      <c r="N11" s="148"/>
      <c r="O11" s="148"/>
    </row>
    <row r="12" spans="1:15" x14ac:dyDescent="0.2">
      <c r="A12" s="181" t="str">
        <f>Intro!M9</f>
        <v>Policy</v>
      </c>
      <c r="B12" s="148"/>
      <c r="C12" s="151" t="s">
        <v>8</v>
      </c>
      <c r="D12" s="148"/>
      <c r="E12" s="151" t="s">
        <v>8</v>
      </c>
      <c r="F12" s="148"/>
      <c r="G12" s="151" t="s">
        <v>462</v>
      </c>
      <c r="H12" s="148"/>
      <c r="I12" s="151" t="s">
        <v>462</v>
      </c>
      <c r="J12" s="148"/>
      <c r="K12" s="151" t="s">
        <v>463</v>
      </c>
      <c r="L12" s="148"/>
      <c r="M12" s="151" t="s">
        <v>330</v>
      </c>
      <c r="N12" s="148"/>
      <c r="O12" s="151" t="s">
        <v>332</v>
      </c>
    </row>
    <row r="13" spans="1:15" x14ac:dyDescent="0.2">
      <c r="A13" s="181" t="str">
        <f>Intro!M10</f>
        <v>Period</v>
      </c>
      <c r="B13" s="148"/>
      <c r="C13" s="151" t="s">
        <v>334</v>
      </c>
      <c r="D13" s="148"/>
      <c r="E13" s="151" t="s">
        <v>334</v>
      </c>
      <c r="F13" s="148"/>
      <c r="G13" s="151" t="s">
        <v>8</v>
      </c>
      <c r="H13" s="148"/>
      <c r="I13" s="151" t="s">
        <v>8</v>
      </c>
      <c r="J13" s="148"/>
      <c r="K13" s="151" t="s">
        <v>71</v>
      </c>
      <c r="L13" s="148"/>
      <c r="M13" s="151" t="s">
        <v>245</v>
      </c>
      <c r="N13" s="148"/>
      <c r="O13" s="151" t="s">
        <v>8</v>
      </c>
    </row>
    <row r="14" spans="1:15" x14ac:dyDescent="0.2">
      <c r="A14" s="176" t="str">
        <f>Intro!M11</f>
        <v>Ending 9/30</v>
      </c>
      <c r="B14" s="148"/>
      <c r="C14" s="179" t="str">
        <f>ctxt</f>
        <v>4/30/19</v>
      </c>
      <c r="D14" s="148"/>
      <c r="E14" s="179" t="str">
        <f>C14</f>
        <v>4/30/19</v>
      </c>
      <c r="F14" s="148"/>
      <c r="G14" s="176" t="s">
        <v>71</v>
      </c>
      <c r="H14" s="148"/>
      <c r="I14" s="176" t="s">
        <v>75</v>
      </c>
      <c r="J14" s="148"/>
      <c r="K14" s="176" t="s">
        <v>8</v>
      </c>
      <c r="L14" s="148"/>
      <c r="M14" s="176" t="s">
        <v>8</v>
      </c>
      <c r="N14" s="148"/>
      <c r="O14" s="176" t="s">
        <v>349</v>
      </c>
    </row>
    <row r="15" spans="1:15" x14ac:dyDescent="0.2">
      <c r="A15" s="148"/>
      <c r="B15" s="148"/>
      <c r="C15" s="246">
        <v>1</v>
      </c>
      <c r="D15" s="148"/>
      <c r="E15" s="246">
        <f>C15+1</f>
        <v>2</v>
      </c>
      <c r="F15" s="148"/>
      <c r="G15" s="246">
        <f>E15+1</f>
        <v>3</v>
      </c>
      <c r="H15" s="148"/>
      <c r="I15" s="246">
        <f>G15+1</f>
        <v>4</v>
      </c>
      <c r="J15" s="148"/>
      <c r="K15" s="246">
        <f>I15+1</f>
        <v>5</v>
      </c>
      <c r="L15" s="148"/>
      <c r="M15" s="246">
        <f>K15+1</f>
        <v>6</v>
      </c>
      <c r="N15" s="148"/>
      <c r="O15" s="246">
        <f>M15+1</f>
        <v>7</v>
      </c>
    </row>
    <row r="16" spans="1:15" x14ac:dyDescent="0.2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</row>
    <row r="17" spans="1:15" x14ac:dyDescent="0.2">
      <c r="A17" s="151">
        <f>Intro!C18</f>
        <v>1996</v>
      </c>
      <c r="B17" s="148"/>
      <c r="C17" s="249">
        <f>'e7'!C49</f>
        <v>683326</v>
      </c>
      <c r="D17" s="148"/>
      <c r="E17" s="249">
        <f>'e7'!E49</f>
        <v>0</v>
      </c>
      <c r="F17" s="148"/>
      <c r="G17" s="182">
        <f ca="1">1 / 'e3.1A'!G18</f>
        <v>0.99601848341720789</v>
      </c>
      <c r="H17" s="345"/>
      <c r="I17" s="182">
        <f ca="1">1 / 'e3.2A'!G18</f>
        <v>0.9916976350062694</v>
      </c>
      <c r="J17" s="148"/>
      <c r="K17" s="249">
        <f t="shared" ref="K17" ca="1" si="0">IF(G17=I17,0,E17*((1-G17)/(G17-I17)))</f>
        <v>0</v>
      </c>
      <c r="L17" s="148"/>
      <c r="M17" s="249">
        <f t="shared" ref="M17" ca="1" si="1">C17+E17+K17</f>
        <v>683326</v>
      </c>
      <c r="N17" s="148"/>
      <c r="O17" s="316">
        <f ca="1">M17/Intro!K18</f>
        <v>13.212346130265953</v>
      </c>
    </row>
    <row r="18" spans="1:15" x14ac:dyDescent="0.2">
      <c r="A18" s="151">
        <f>Intro!C19</f>
        <v>1997</v>
      </c>
      <c r="B18" s="148"/>
      <c r="C18" s="235">
        <f>'e7'!C50</f>
        <v>1337604</v>
      </c>
      <c r="D18" s="148"/>
      <c r="E18" s="235">
        <f>'e7'!E50</f>
        <v>0</v>
      </c>
      <c r="F18" s="148"/>
      <c r="G18" s="182">
        <f ca="1">1 / 'e3.1A'!G19</f>
        <v>0.99531516612852733</v>
      </c>
      <c r="H18" s="345"/>
      <c r="I18" s="182">
        <f ca="1">1 / 'e3.2A'!G19</f>
        <v>0.9901340916505933</v>
      </c>
      <c r="J18" s="148"/>
      <c r="K18" s="235">
        <f t="shared" ref="K18:K40" ca="1" si="2">IF(G18=I18,0,E18*((1-G18)/(G18-I18)))</f>
        <v>0</v>
      </c>
      <c r="L18" s="148"/>
      <c r="M18" s="235">
        <f t="shared" ref="M18:M40" ca="1" si="3">C18+E18+K18</f>
        <v>1337604</v>
      </c>
      <c r="N18" s="148"/>
      <c r="O18" s="255">
        <f ca="1">M18/Intro!K19</f>
        <v>18.765532133362374</v>
      </c>
    </row>
    <row r="19" spans="1:15" x14ac:dyDescent="0.2">
      <c r="A19" s="151">
        <f>Intro!C20</f>
        <v>1998</v>
      </c>
      <c r="B19" s="148"/>
      <c r="C19" s="235">
        <f>'e7'!C51</f>
        <v>2584955.17</v>
      </c>
      <c r="D19" s="148"/>
      <c r="E19" s="235">
        <f>'e7'!E51</f>
        <v>8725.5499999998137</v>
      </c>
      <c r="F19" s="148"/>
      <c r="G19" s="182">
        <f ca="1">1 / 'e3.1A'!G20</f>
        <v>0.99448795512129806</v>
      </c>
      <c r="H19" s="345"/>
      <c r="I19" s="182">
        <f ca="1">1 / 'e3.2A'!G20</f>
        <v>0.98827783850892748</v>
      </c>
      <c r="J19" s="148"/>
      <c r="K19" s="235">
        <f t="shared" ca="1" si="2"/>
        <v>7744.7214268971902</v>
      </c>
      <c r="L19" s="148"/>
      <c r="M19" s="235">
        <f t="shared" ca="1" si="3"/>
        <v>2601425.441426897</v>
      </c>
      <c r="N19" s="148"/>
      <c r="O19" s="255">
        <f ca="1">M19/Intro!K20</f>
        <v>28.673448512194831</v>
      </c>
    </row>
    <row r="20" spans="1:15" x14ac:dyDescent="0.2">
      <c r="A20" s="151">
        <f>Intro!C21</f>
        <v>1999</v>
      </c>
      <c r="B20" s="148"/>
      <c r="C20" s="235">
        <f>'e7'!C52</f>
        <v>2548851.29</v>
      </c>
      <c r="D20" s="148"/>
      <c r="E20" s="235">
        <f>'e7'!E52</f>
        <v>91530.509999999776</v>
      </c>
      <c r="F20" s="148"/>
      <c r="G20" s="182">
        <f ca="1">1 / 'e3.1A'!G21</f>
        <v>0.99351515819287273</v>
      </c>
      <c r="H20" s="345"/>
      <c r="I20" s="182">
        <f ca="1">1 / 'e3.2A'!G21</f>
        <v>0.98607479783347818</v>
      </c>
      <c r="J20" s="148"/>
      <c r="K20" s="235">
        <f t="shared" ca="1" si="2"/>
        <v>79775.823912375636</v>
      </c>
      <c r="L20" s="148"/>
      <c r="M20" s="235">
        <f t="shared" ca="1" si="3"/>
        <v>2720157.6239123754</v>
      </c>
      <c r="N20" s="148"/>
      <c r="O20" s="255">
        <f ca="1">M20/Intro!K21</f>
        <v>23.484423264395286</v>
      </c>
    </row>
    <row r="21" spans="1:15" x14ac:dyDescent="0.2">
      <c r="A21" s="151">
        <f>Intro!C22</f>
        <v>2000</v>
      </c>
      <c r="B21" s="148"/>
      <c r="C21" s="235">
        <f>'e7'!C53</f>
        <v>2314287.94</v>
      </c>
      <c r="D21" s="148"/>
      <c r="E21" s="235">
        <f>'e7'!E53</f>
        <v>56197.280000000261</v>
      </c>
      <c r="F21" s="148"/>
      <c r="G21" s="182">
        <f ca="1">1 / 'e3.1A'!G22</f>
        <v>0.99237133609505235</v>
      </c>
      <c r="H21" s="345"/>
      <c r="I21" s="182">
        <f ca="1">1 / 'e3.2A'!G22</f>
        <v>0.9834611985355749</v>
      </c>
      <c r="J21" s="148"/>
      <c r="K21" s="235">
        <f t="shared" ca="1" si="2"/>
        <v>48114.875739065588</v>
      </c>
      <c r="L21" s="148"/>
      <c r="M21" s="235">
        <f t="shared" ca="1" si="3"/>
        <v>2418600.0957390657</v>
      </c>
      <c r="N21" s="148"/>
      <c r="O21" s="255">
        <f ca="1">M21/Intro!K22</f>
        <v>27.847013731759091</v>
      </c>
    </row>
    <row r="22" spans="1:15" x14ac:dyDescent="0.2">
      <c r="A22" s="151">
        <f>Intro!C23</f>
        <v>2001</v>
      </c>
      <c r="B22" s="148"/>
      <c r="C22" s="235">
        <f>'e7'!C54</f>
        <v>1349346.97</v>
      </c>
      <c r="D22" s="148"/>
      <c r="E22" s="235">
        <f>'e7'!E54</f>
        <v>100</v>
      </c>
      <c r="F22" s="148"/>
      <c r="G22" s="182">
        <f ca="1">1 / 'e3.1A'!G23</f>
        <v>0.99102667494209029</v>
      </c>
      <c r="H22" s="345"/>
      <c r="I22" s="182">
        <f ca="1">1 / 'e3.2A'!G23</f>
        <v>0.98036196202753123</v>
      </c>
      <c r="J22" s="148"/>
      <c r="K22" s="235">
        <f t="shared" ca="1" si="2"/>
        <v>84.140333919909523</v>
      </c>
      <c r="L22" s="148"/>
      <c r="M22" s="235">
        <f t="shared" ca="1" si="3"/>
        <v>1349531.11033392</v>
      </c>
      <c r="N22" s="148"/>
      <c r="O22" s="255">
        <f ca="1">M22/Intro!K23</f>
        <v>14.694660665493696</v>
      </c>
    </row>
    <row r="23" spans="1:15" x14ac:dyDescent="0.2">
      <c r="A23" s="151">
        <f>Intro!C24</f>
        <v>2002</v>
      </c>
      <c r="B23" s="148"/>
      <c r="C23" s="235">
        <f>'e7'!C55</f>
        <v>2761132.9899999998</v>
      </c>
      <c r="D23" s="148"/>
      <c r="E23" s="235">
        <f>'e7'!E55</f>
        <v>193375.66000000015</v>
      </c>
      <c r="F23" s="148"/>
      <c r="G23" s="182">
        <f ca="1">1 / 'e3.1A'!G24</f>
        <v>0.98942759833126204</v>
      </c>
      <c r="H23" s="345"/>
      <c r="I23" s="182">
        <f ca="1">1 / 'e3.2A'!G24</f>
        <v>0.97668887123333192</v>
      </c>
      <c r="J23" s="148"/>
      <c r="K23" s="235">
        <f t="shared" ca="1" si="2"/>
        <v>160490.53682997133</v>
      </c>
      <c r="L23" s="148"/>
      <c r="M23" s="235">
        <f t="shared" ca="1" si="3"/>
        <v>3114999.1868299711</v>
      </c>
      <c r="N23" s="148"/>
      <c r="O23" s="255">
        <f ca="1">M23/Intro!K24</f>
        <v>36.179636026145879</v>
      </c>
    </row>
    <row r="24" spans="1:15" x14ac:dyDescent="0.2">
      <c r="A24" s="151">
        <f>Intro!C25</f>
        <v>2003</v>
      </c>
      <c r="B24" s="148"/>
      <c r="C24" s="235">
        <f>'e7'!C56</f>
        <v>1243025.0200000005</v>
      </c>
      <c r="D24" s="148"/>
      <c r="E24" s="235">
        <f>'e7'!E56</f>
        <v>0</v>
      </c>
      <c r="F24" s="148"/>
      <c r="G24" s="182">
        <f ca="1">1 / 'e3.1A'!G25</f>
        <v>0.99138348364004203</v>
      </c>
      <c r="H24" s="345"/>
      <c r="I24" s="182">
        <f ca="1">1 / 'e3.2A'!G25</f>
        <v>0.98118688096014983</v>
      </c>
      <c r="J24" s="148"/>
      <c r="K24" s="235">
        <f t="shared" ca="1" si="2"/>
        <v>0</v>
      </c>
      <c r="L24" s="148"/>
      <c r="M24" s="235">
        <f t="shared" ca="1" si="3"/>
        <v>1243025.0200000005</v>
      </c>
      <c r="N24" s="148"/>
      <c r="O24" s="255">
        <f ca="1">M24/Intro!K25</f>
        <v>12.96476665595053</v>
      </c>
    </row>
    <row r="25" spans="1:15" x14ac:dyDescent="0.2">
      <c r="A25" s="151">
        <f>Intro!C26</f>
        <v>2004</v>
      </c>
      <c r="B25" s="148"/>
      <c r="C25" s="235">
        <f>'e7'!C57</f>
        <v>1971339.2299999993</v>
      </c>
      <c r="D25" s="148"/>
      <c r="E25" s="235">
        <f>'e7'!E57</f>
        <v>13866.029999999795</v>
      </c>
      <c r="F25" s="148"/>
      <c r="G25" s="182">
        <f ca="1">1 / 'e3.1A'!G26</f>
        <v>0.98985439082816318</v>
      </c>
      <c r="H25" s="345"/>
      <c r="I25" s="182">
        <f ca="1">1 / 'e3.2A'!G26</f>
        <v>0.97766631773197898</v>
      </c>
      <c r="J25" s="148"/>
      <c r="K25" s="235">
        <f t="shared" ca="1" si="2"/>
        <v>11542.375897713144</v>
      </c>
      <c r="L25" s="148"/>
      <c r="M25" s="235">
        <f t="shared" ca="1" si="3"/>
        <v>1996747.6358977123</v>
      </c>
      <c r="N25" s="148"/>
      <c r="O25" s="255">
        <f ca="1">M25/Intro!K26</f>
        <v>19.549567789778834</v>
      </c>
    </row>
    <row r="26" spans="1:15" x14ac:dyDescent="0.2">
      <c r="A26" s="151">
        <f>Intro!C27</f>
        <v>2005</v>
      </c>
      <c r="B26" s="148"/>
      <c r="C26" s="235">
        <f>'e7'!C58</f>
        <v>699839.89000000025</v>
      </c>
      <c r="D26" s="148"/>
      <c r="E26" s="235">
        <f>'e7'!E58</f>
        <v>0</v>
      </c>
      <c r="F26" s="148"/>
      <c r="G26" s="182">
        <f ca="1">1 / 'e3.1A'!G27</f>
        <v>0.98805529697293326</v>
      </c>
      <c r="H26" s="345"/>
      <c r="I26" s="182">
        <f ca="1">1 / 'e3.2A'!G27</f>
        <v>0.97329843470630861</v>
      </c>
      <c r="J26" s="148"/>
      <c r="K26" s="235">
        <f t="shared" ca="1" si="2"/>
        <v>0</v>
      </c>
      <c r="L26" s="148"/>
      <c r="M26" s="235">
        <f t="shared" ca="1" si="3"/>
        <v>699839.89000000025</v>
      </c>
      <c r="N26" s="148"/>
      <c r="O26" s="255">
        <f ca="1">M26/Intro!K27</f>
        <v>6.2882994733368678</v>
      </c>
    </row>
    <row r="27" spans="1:15" x14ac:dyDescent="0.2">
      <c r="A27" s="151">
        <f>Intro!C28</f>
        <v>2006</v>
      </c>
      <c r="B27" s="148"/>
      <c r="C27" s="235">
        <f>'e7'!C59</f>
        <v>1775477.7400000007</v>
      </c>
      <c r="D27" s="148"/>
      <c r="E27" s="235">
        <f>'e7'!E59</f>
        <v>0</v>
      </c>
      <c r="F27" s="148"/>
      <c r="G27" s="182">
        <f ca="1">1 / 'e3.1A'!G28</f>
        <v>0.98598830880838706</v>
      </c>
      <c r="H27" s="345"/>
      <c r="I27" s="182">
        <f ca="1">1 / 'e3.2A'!G28</f>
        <v>0.96788787275998445</v>
      </c>
      <c r="J27" s="148"/>
      <c r="K27" s="235">
        <f t="shared" ca="1" si="2"/>
        <v>0</v>
      </c>
      <c r="L27" s="148"/>
      <c r="M27" s="235">
        <f t="shared" ca="1" si="3"/>
        <v>1775477.7400000007</v>
      </c>
      <c r="N27" s="148"/>
      <c r="O27" s="255">
        <f ca="1">M27/Intro!K28</f>
        <v>16.476708147968438</v>
      </c>
    </row>
    <row r="28" spans="1:15" x14ac:dyDescent="0.2">
      <c r="A28" s="151">
        <f>Intro!C29</f>
        <v>2007</v>
      </c>
      <c r="B28" s="148"/>
      <c r="C28" s="235">
        <f>'e7'!C60</f>
        <v>1099670.4199999997</v>
      </c>
      <c r="D28" s="148"/>
      <c r="E28" s="235">
        <f>'e7'!E60</f>
        <v>0</v>
      </c>
      <c r="F28" s="148"/>
      <c r="G28" s="182">
        <f ca="1">1 / 'e3.1A'!G29</f>
        <v>0.98361203367722494</v>
      </c>
      <c r="H28" s="345"/>
      <c r="I28" s="182">
        <f ca="1">1 / 'e3.2A'!G29</f>
        <v>0.96178487299187232</v>
      </c>
      <c r="J28" s="148"/>
      <c r="K28" s="235">
        <f t="shared" ca="1" si="2"/>
        <v>0</v>
      </c>
      <c r="L28" s="148"/>
      <c r="M28" s="235">
        <f t="shared" ca="1" si="3"/>
        <v>1099670.4199999997</v>
      </c>
      <c r="N28" s="148"/>
      <c r="O28" s="255">
        <f ca="1">M28/Intro!K29</f>
        <v>10.51469964335497</v>
      </c>
    </row>
    <row r="29" spans="1:15" x14ac:dyDescent="0.2">
      <c r="A29" s="151">
        <f>Intro!C30</f>
        <v>2008</v>
      </c>
      <c r="B29" s="148"/>
      <c r="C29" s="235">
        <f>'e7'!C61</f>
        <v>766269.99000000011</v>
      </c>
      <c r="D29" s="148"/>
      <c r="E29" s="235">
        <f>'e7'!E61</f>
        <v>0</v>
      </c>
      <c r="F29" s="148"/>
      <c r="G29" s="182">
        <f ca="1">1 / 'e3.1A'!G30</f>
        <v>0.98086163192633458</v>
      </c>
      <c r="H29" s="345"/>
      <c r="I29" s="182">
        <f ca="1">1 / 'e3.2A'!G30</f>
        <v>0.9549478172803032</v>
      </c>
      <c r="J29" s="148"/>
      <c r="K29" s="235">
        <f t="shared" ca="1" si="2"/>
        <v>0</v>
      </c>
      <c r="L29" s="148"/>
      <c r="M29" s="235">
        <f t="shared" ca="1" si="3"/>
        <v>766269.99000000011</v>
      </c>
      <c r="N29" s="148"/>
      <c r="O29" s="255">
        <f ca="1">M29/Intro!K30</f>
        <v>7.2255336540924544</v>
      </c>
    </row>
    <row r="30" spans="1:15" x14ac:dyDescent="0.2">
      <c r="A30" s="151">
        <f>Intro!C31</f>
        <v>2009</v>
      </c>
      <c r="B30" s="148"/>
      <c r="C30" s="235">
        <f>'e7'!C62</f>
        <v>1514381.6700000002</v>
      </c>
      <c r="D30" s="148"/>
      <c r="E30" s="235">
        <f>'e7'!E62</f>
        <v>75839.800000000047</v>
      </c>
      <c r="F30" s="148"/>
      <c r="G30" s="182">
        <f ca="1">1 / 'e3.1A'!G31</f>
        <v>0.97765706180438661</v>
      </c>
      <c r="H30" s="345"/>
      <c r="I30" s="182">
        <f ca="1">1 / 'e3.2A'!G31</f>
        <v>0.94707708600535745</v>
      </c>
      <c r="J30" s="148"/>
      <c r="K30" s="235">
        <f t="shared" ca="1" si="2"/>
        <v>55411.553472239095</v>
      </c>
      <c r="L30" s="148"/>
      <c r="M30" s="235">
        <f t="shared" ca="1" si="3"/>
        <v>1645633.0234722393</v>
      </c>
      <c r="N30" s="148"/>
      <c r="O30" s="255">
        <f ca="1">M30/Intro!K31</f>
        <v>14.862651914729136</v>
      </c>
    </row>
    <row r="31" spans="1:15" x14ac:dyDescent="0.2">
      <c r="A31" s="151">
        <f>Intro!C32</f>
        <v>2010</v>
      </c>
      <c r="B31" s="148"/>
      <c r="C31" s="235">
        <f>'e7'!C63</f>
        <v>1183179.1900000002</v>
      </c>
      <c r="D31" s="148"/>
      <c r="E31" s="235">
        <f>'e7'!E63</f>
        <v>17136.330000000075</v>
      </c>
      <c r="F31" s="148"/>
      <c r="G31" s="182">
        <f ca="1">1 / 'e3.1A'!G32</f>
        <v>0.97391406654793</v>
      </c>
      <c r="H31" s="345"/>
      <c r="I31" s="182">
        <f ca="1">1 / 'e3.2A'!G32</f>
        <v>0.93784407639304879</v>
      </c>
      <c r="J31" s="148"/>
      <c r="K31" s="235">
        <f t="shared" ca="1" si="2"/>
        <v>12393.049237697656</v>
      </c>
      <c r="L31" s="148"/>
      <c r="M31" s="235">
        <f t="shared" ca="1" si="3"/>
        <v>1212708.5692376979</v>
      </c>
      <c r="N31" s="148"/>
      <c r="O31" s="255">
        <f ca="1">M31/Intro!K32</f>
        <v>9.4578745115405205</v>
      </c>
    </row>
    <row r="32" spans="1:15" x14ac:dyDescent="0.2">
      <c r="A32" s="151">
        <f>Intro!C33</f>
        <v>2011</v>
      </c>
      <c r="B32" s="148"/>
      <c r="C32" s="235">
        <f>'e7'!C64</f>
        <v>1212882.8100000003</v>
      </c>
      <c r="D32" s="148"/>
      <c r="E32" s="235">
        <f>'e7'!E64</f>
        <v>0</v>
      </c>
      <c r="F32" s="148"/>
      <c r="G32" s="182">
        <f ca="1">1 / 'e3.1A'!G33</f>
        <v>0.96910989849849982</v>
      </c>
      <c r="H32" s="345"/>
      <c r="I32" s="182">
        <f ca="1">1 / 'e3.2A'!G33</f>
        <v>0.9268491960576154</v>
      </c>
      <c r="J32" s="148"/>
      <c r="K32" s="235">
        <f t="shared" ca="1" si="2"/>
        <v>0</v>
      </c>
      <c r="L32" s="148"/>
      <c r="M32" s="235">
        <f t="shared" ca="1" si="3"/>
        <v>1212882.8100000003</v>
      </c>
      <c r="N32" s="148"/>
      <c r="O32" s="255">
        <f ca="1">M32/Intro!K33</f>
        <v>8.4690019313284868</v>
      </c>
    </row>
    <row r="33" spans="1:15" x14ac:dyDescent="0.2">
      <c r="A33" s="151">
        <f>Intro!C34</f>
        <v>2012</v>
      </c>
      <c r="B33" s="148"/>
      <c r="C33" s="235">
        <f>'e7'!C65</f>
        <v>1828733.7599999993</v>
      </c>
      <c r="D33" s="148"/>
      <c r="E33" s="235">
        <f>'e7'!E65</f>
        <v>0</v>
      </c>
      <c r="F33" s="148"/>
      <c r="G33" s="182">
        <f ca="1">1 / 'e3.1A'!G34</f>
        <v>0.96270405383957525</v>
      </c>
      <c r="H33" s="345"/>
      <c r="I33" s="182">
        <f ca="1">1 / 'e3.2A'!G34</f>
        <v>0.91313806802299691</v>
      </c>
      <c r="J33" s="148"/>
      <c r="K33" s="235">
        <f t="shared" ca="1" si="2"/>
        <v>0</v>
      </c>
      <c r="L33" s="148"/>
      <c r="M33" s="235">
        <f t="shared" ca="1" si="3"/>
        <v>1828733.7599999993</v>
      </c>
      <c r="N33" s="148"/>
      <c r="O33" s="255">
        <f ca="1">M33/Intro!K34</f>
        <v>12.562585398431761</v>
      </c>
    </row>
    <row r="34" spans="1:15" x14ac:dyDescent="0.2">
      <c r="A34" s="151">
        <f>Intro!C35</f>
        <v>2013</v>
      </c>
      <c r="B34" s="148"/>
      <c r="C34" s="235">
        <f>'e7'!C66</f>
        <v>1811366.5999999999</v>
      </c>
      <c r="D34" s="148"/>
      <c r="E34" s="235">
        <f>'e7'!E66</f>
        <v>44680.64000000013</v>
      </c>
      <c r="F34" s="148"/>
      <c r="G34" s="182">
        <f ca="1">1 / 'e3.1A'!G35</f>
        <v>0.95484485022008658</v>
      </c>
      <c r="H34" s="345"/>
      <c r="I34" s="182">
        <f ca="1">1 / 'e3.2A'!G35</f>
        <v>0.89430385843846805</v>
      </c>
      <c r="J34" s="148"/>
      <c r="K34" s="235">
        <f t="shared" ca="1" si="2"/>
        <v>33325.535840907192</v>
      </c>
      <c r="L34" s="148"/>
      <c r="M34" s="235">
        <f t="shared" ca="1" si="3"/>
        <v>1889372.7758409071</v>
      </c>
      <c r="N34" s="148"/>
      <c r="O34" s="255">
        <f ca="1">M34/Intro!K35</f>
        <v>11.960439845625256</v>
      </c>
    </row>
    <row r="35" spans="1:15" x14ac:dyDescent="0.2">
      <c r="A35" s="151">
        <f>Intro!C36</f>
        <v>2014</v>
      </c>
      <c r="B35" s="148"/>
      <c r="C35" s="235">
        <f>'e7'!C67</f>
        <v>2173195.9299999997</v>
      </c>
      <c r="D35" s="148"/>
      <c r="E35" s="235">
        <f>'e7'!E67</f>
        <v>0</v>
      </c>
      <c r="F35" s="148"/>
      <c r="G35" s="182">
        <f ca="1">1 / 'e3.1A'!G36</f>
        <v>0.94487198869615896</v>
      </c>
      <c r="H35" s="345"/>
      <c r="I35" s="182">
        <f ca="1">1 / 'e3.2A'!G36</f>
        <v>0.86802532313287595</v>
      </c>
      <c r="J35" s="148"/>
      <c r="K35" s="235">
        <f t="shared" ca="1" si="2"/>
        <v>0</v>
      </c>
      <c r="L35" s="148"/>
      <c r="M35" s="235">
        <f t="shared" ca="1" si="3"/>
        <v>2173195.9299999997</v>
      </c>
      <c r="N35" s="148"/>
      <c r="O35" s="255">
        <f ca="1">M35/Intro!K36</f>
        <v>11.904906269458326</v>
      </c>
    </row>
    <row r="36" spans="1:15" x14ac:dyDescent="0.2">
      <c r="A36" s="151">
        <f>Intro!C37</f>
        <v>2015</v>
      </c>
      <c r="B36" s="148"/>
      <c r="C36" s="235">
        <f>'e7'!C68</f>
        <v>2776114.1900000009</v>
      </c>
      <c r="D36" s="148"/>
      <c r="E36" s="235">
        <f>'e7'!E68</f>
        <v>278892.74000000069</v>
      </c>
      <c r="F36" s="148"/>
      <c r="G36" s="182">
        <f ca="1">1 / 'e3.1A'!G37</f>
        <v>0.92914616127431737</v>
      </c>
      <c r="H36" s="345"/>
      <c r="I36" s="182">
        <f ca="1">1 / 'e3.2A'!G37</f>
        <v>0.83051295360771626</v>
      </c>
      <c r="J36" s="148"/>
      <c r="K36" s="235">
        <f t="shared" ca="1" si="2"/>
        <v>200344.50555961256</v>
      </c>
      <c r="L36" s="148"/>
      <c r="M36" s="235">
        <f t="shared" ca="1" si="3"/>
        <v>3255351.4355596141</v>
      </c>
      <c r="N36" s="148"/>
      <c r="O36" s="255">
        <f ca="1">M36/Intro!K37</f>
        <v>16.532002639082517</v>
      </c>
    </row>
    <row r="37" spans="1:15" x14ac:dyDescent="0.2">
      <c r="A37" s="151">
        <f>Intro!C38</f>
        <v>2016</v>
      </c>
      <c r="B37" s="148"/>
      <c r="C37" s="235">
        <f>'e7'!C69</f>
        <v>2347544.3600000013</v>
      </c>
      <c r="D37" s="148"/>
      <c r="E37" s="235">
        <f>'e7'!E69</f>
        <v>134136.6400000006</v>
      </c>
      <c r="F37" s="148"/>
      <c r="G37" s="182">
        <f ca="1">1 / 'e3.1A'!G38</f>
        <v>0.8972215655661776</v>
      </c>
      <c r="H37" s="345"/>
      <c r="I37" s="182">
        <f ca="1">1 / 'e3.2A'!G38</f>
        <v>0.77096893259981603</v>
      </c>
      <c r="J37" s="148"/>
      <c r="K37" s="235">
        <f t="shared" ca="1" si="2"/>
        <v>109196.5651368752</v>
      </c>
      <c r="L37" s="148"/>
      <c r="M37" s="235">
        <f t="shared" ca="1" si="3"/>
        <v>2590877.5651368769</v>
      </c>
      <c r="N37" s="148"/>
      <c r="O37" s="255">
        <f ca="1">M37/Intro!K38</f>
        <v>11.67616411828017</v>
      </c>
    </row>
    <row r="38" spans="1:15" x14ac:dyDescent="0.2">
      <c r="A38" s="151">
        <f>Intro!C39</f>
        <v>2017</v>
      </c>
      <c r="B38" s="148"/>
      <c r="C38" s="235">
        <f>'e7'!C70</f>
        <v>2258070.4400000018</v>
      </c>
      <c r="D38" s="148"/>
      <c r="E38" s="235">
        <f>'e7'!E70</f>
        <v>327371.00999999978</v>
      </c>
      <c r="F38" s="148"/>
      <c r="G38" s="182">
        <f ca="1">1 / 'e3.1A'!G39</f>
        <v>0.82871733408885118</v>
      </c>
      <c r="H38" s="345"/>
      <c r="I38" s="182">
        <f ca="1">1 / 'e3.2A'!G39</f>
        <v>0.65804121018572714</v>
      </c>
      <c r="J38" s="148"/>
      <c r="K38" s="235">
        <f t="shared" ca="1" si="2"/>
        <v>328534.40805025789</v>
      </c>
      <c r="L38" s="148"/>
      <c r="M38" s="235">
        <f t="shared" ca="1" si="3"/>
        <v>2913975.8580502593</v>
      </c>
      <c r="N38" s="148"/>
      <c r="O38" s="255">
        <f ca="1">M38/Intro!K39</f>
        <v>9.4760462648631592</v>
      </c>
    </row>
    <row r="39" spans="1:15" x14ac:dyDescent="0.2">
      <c r="A39" s="151">
        <f>Intro!C40</f>
        <v>2018</v>
      </c>
      <c r="B39" s="148"/>
      <c r="C39" s="235">
        <f>'e7'!C71</f>
        <v>4199295.1499999976</v>
      </c>
      <c r="D39" s="148"/>
      <c r="E39" s="235">
        <f>'e7'!E71</f>
        <v>1594326.6200000048</v>
      </c>
      <c r="F39" s="148"/>
      <c r="G39" s="182">
        <f ca="1">1 / 'e3.1A'!G40</f>
        <v>0.66418212739346449</v>
      </c>
      <c r="H39" s="345"/>
      <c r="I39" s="182">
        <f ca="1">1 / 'e3.2A'!G40</f>
        <v>0.43696004208713368</v>
      </c>
      <c r="J39" s="148"/>
      <c r="K39" s="235">
        <f t="shared" ca="1" si="2"/>
        <v>2356299.8862833367</v>
      </c>
      <c r="L39" s="148"/>
      <c r="M39" s="235">
        <f t="shared" ca="1" si="3"/>
        <v>8149921.6562833395</v>
      </c>
      <c r="N39" s="148"/>
      <c r="O39" s="255">
        <f ca="1">M39/Intro!K40</f>
        <v>15.179694963675116</v>
      </c>
    </row>
    <row r="40" spans="1:15" x14ac:dyDescent="0.2">
      <c r="A40" s="151">
        <f>Intro!C41</f>
        <v>2019</v>
      </c>
      <c r="B40" s="148"/>
      <c r="C40" s="235">
        <f>'e7'!C72</f>
        <v>619309.30000000005</v>
      </c>
      <c r="D40" s="148"/>
      <c r="E40" s="235">
        <f>'e7'!E72</f>
        <v>642501.92000000062</v>
      </c>
      <c r="F40" s="148"/>
      <c r="G40" s="182">
        <f ca="1">1 / 'e3.1A'!G41</f>
        <v>0.24779962437089684</v>
      </c>
      <c r="H40" s="345"/>
      <c r="I40" s="182">
        <f ca="1">1 / 'e3.2A'!G41</f>
        <v>7.913334549245489E-2</v>
      </c>
      <c r="J40" s="148"/>
      <c r="K40" s="235">
        <f t="shared" ca="1" si="2"/>
        <v>2865363.419292178</v>
      </c>
      <c r="L40" s="148"/>
      <c r="M40" s="235">
        <f t="shared" ca="1" si="3"/>
        <v>4127174.6392921787</v>
      </c>
      <c r="N40" s="148"/>
      <c r="O40" s="261">
        <f ca="1">M40/Intro!K41</f>
        <v>7.5988255490687271</v>
      </c>
    </row>
    <row r="41" spans="1:15" x14ac:dyDescent="0.2">
      <c r="A41" s="151"/>
      <c r="B41" s="148"/>
      <c r="C41" s="346"/>
      <c r="D41" s="148"/>
      <c r="E41" s="346"/>
      <c r="F41" s="148"/>
      <c r="G41" s="347"/>
      <c r="H41" s="148"/>
      <c r="I41" s="347"/>
      <c r="J41" s="148"/>
      <c r="K41" s="346"/>
      <c r="L41" s="148"/>
      <c r="M41" s="346"/>
      <c r="N41" s="148"/>
      <c r="O41" s="238"/>
    </row>
    <row r="42" spans="1:15" x14ac:dyDescent="0.2">
      <c r="A42" s="348" t="s">
        <v>78</v>
      </c>
      <c r="B42" s="148"/>
      <c r="C42" s="249">
        <f>SUM(C16:C41)</f>
        <v>43059200.050000004</v>
      </c>
      <c r="D42" s="148"/>
      <c r="E42" s="249">
        <f>SUM(E16:E41)</f>
        <v>3478680.730000007</v>
      </c>
      <c r="F42" s="148"/>
      <c r="G42" s="347"/>
      <c r="H42" s="148"/>
      <c r="I42" s="347"/>
      <c r="J42" s="148"/>
      <c r="K42" s="249">
        <f ca="1">SUM(K16:K41)</f>
        <v>6268621.3970130477</v>
      </c>
      <c r="L42" s="148"/>
      <c r="M42" s="249">
        <f ca="1">SUM(M16:M41)</f>
        <v>52806502.177013054</v>
      </c>
      <c r="N42" s="148"/>
      <c r="O42" s="711">
        <f ca="1">M42 / Intro!K45</f>
        <v>13.551838105550711</v>
      </c>
    </row>
    <row r="43" spans="1:15" x14ac:dyDescent="0.2">
      <c r="A43" s="151"/>
      <c r="B43" s="148"/>
      <c r="C43" s="235"/>
      <c r="D43" s="148"/>
      <c r="E43" s="235"/>
      <c r="F43" s="148"/>
      <c r="G43" s="347"/>
      <c r="H43" s="148"/>
      <c r="I43" s="347"/>
      <c r="J43" s="148"/>
      <c r="K43" s="235"/>
      <c r="L43" s="148"/>
      <c r="M43" s="235"/>
      <c r="N43" s="148"/>
      <c r="O43" s="255"/>
    </row>
    <row r="44" spans="1:15" x14ac:dyDescent="0.2">
      <c r="A44" s="151"/>
      <c r="B44" s="148"/>
      <c r="C44" s="235"/>
      <c r="D44" s="148"/>
      <c r="E44" s="235"/>
      <c r="F44" s="148"/>
      <c r="G44" s="347"/>
      <c r="H44" s="148"/>
      <c r="I44" s="347"/>
      <c r="J44" s="148"/>
      <c r="K44" s="235"/>
      <c r="L44" s="148"/>
      <c r="M44" s="235"/>
      <c r="N44" s="148"/>
      <c r="O44" s="255"/>
    </row>
    <row r="45" spans="1:15" x14ac:dyDescent="0.2">
      <c r="A45" s="245" t="s">
        <v>83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1:15" x14ac:dyDescent="0.2">
      <c r="A46" s="227" t="str">
        <f>"Columns (1) and (2) provided by "&amp;client&amp;"."</f>
        <v>Columns (1) and (2) provided by CLIENT XYZ.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</row>
    <row r="47" spans="1:15" x14ac:dyDescent="0.2">
      <c r="A47" s="148" t="str">
        <f>"Columns (3) and (4) derived from Exhibit 8."</f>
        <v>Columns (3) and (4) derived from Exhibit 8.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</row>
    <row r="48" spans="1:15" x14ac:dyDescent="0.2">
      <c r="A48" s="349" t="s">
        <v>465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</row>
    <row r="49" spans="1:15" x14ac:dyDescent="0.2">
      <c r="A49" s="349" t="s">
        <v>466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</row>
    <row r="50" spans="1:15" x14ac:dyDescent="0.2">
      <c r="A50" s="352" t="s">
        <v>464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</row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3
Sheet 5C
</oddHeader>
    <oddFooter xml:space="preserve">&amp;L&amp;"Arial"&amp;10 Oliver Wyman Actuarial Consulting, Inc.
&amp;C&amp;"Arial"&amp;10 &amp;R&amp;"Arial"&amp;10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>
    <tabColor theme="5"/>
    <pageSetUpPr fitToPage="1"/>
  </sheetPr>
  <dimension ref="B3:Q52"/>
  <sheetViews>
    <sheetView showGridLines="0" zoomScale="85" zoomScaleNormal="85" workbookViewId="0"/>
  </sheetViews>
  <sheetFormatPr defaultColWidth="9" defaultRowHeight="12.75" x14ac:dyDescent="0.2"/>
  <cols>
    <col min="1" max="1" width="2.625" style="1" customWidth="1"/>
    <col min="2" max="2" width="35.875" style="1" bestFit="1" customWidth="1"/>
    <col min="3" max="4" width="10.625" style="1" customWidth="1"/>
    <col min="5" max="5" width="9" style="1"/>
    <col min="6" max="6" width="35.875" style="1" customWidth="1"/>
    <col min="7" max="8" width="10.625" style="1" customWidth="1"/>
    <col min="9" max="9" width="9" style="1"/>
    <col min="10" max="10" width="12.625" style="1" bestFit="1" customWidth="1"/>
    <col min="11" max="11" width="9.875" style="1" bestFit="1" customWidth="1"/>
    <col min="12" max="12" width="9.75" style="1" bestFit="1" customWidth="1"/>
    <col min="13" max="13" width="9" style="1"/>
    <col min="14" max="17" width="13.625" style="1" customWidth="1"/>
    <col min="18" max="16384" width="9" style="1"/>
  </cols>
  <sheetData>
    <row r="3" spans="2:12" x14ac:dyDescent="0.2">
      <c r="J3" s="457"/>
      <c r="K3" s="458"/>
      <c r="L3" s="459" t="s">
        <v>345</v>
      </c>
    </row>
    <row r="4" spans="2:12" x14ac:dyDescent="0.2">
      <c r="J4" s="460"/>
      <c r="K4" s="461"/>
      <c r="L4" s="462" t="s">
        <v>644</v>
      </c>
    </row>
    <row r="5" spans="2:12" x14ac:dyDescent="0.2">
      <c r="B5" s="222"/>
      <c r="C5" s="222"/>
      <c r="D5" s="222"/>
      <c r="J5" s="463" t="s">
        <v>645</v>
      </c>
      <c r="K5" s="464" t="s">
        <v>646</v>
      </c>
      <c r="L5" s="462" t="str">
        <f>cpy_l</f>
        <v>2018/19</v>
      </c>
    </row>
    <row r="6" spans="2:12" x14ac:dyDescent="0.2">
      <c r="B6" s="441" t="s">
        <v>642</v>
      </c>
      <c r="C6" s="442"/>
      <c r="D6" s="443"/>
      <c r="F6" s="441" t="s">
        <v>750</v>
      </c>
      <c r="G6" s="442"/>
      <c r="H6" s="443"/>
      <c r="J6" s="465" t="s">
        <v>647</v>
      </c>
      <c r="K6" s="466" t="s">
        <v>416</v>
      </c>
      <c r="L6" s="467" t="s">
        <v>350</v>
      </c>
    </row>
    <row r="7" spans="2:12" x14ac:dyDescent="0.2">
      <c r="B7" s="636" t="s">
        <v>747</v>
      </c>
      <c r="C7" s="445"/>
      <c r="D7" s="446"/>
      <c r="F7" s="444" t="s">
        <v>643</v>
      </c>
      <c r="G7" s="445"/>
      <c r="H7" s="446"/>
      <c r="J7" s="403">
        <v>2001</v>
      </c>
      <c r="K7" s="404">
        <v>1.4506645389891972</v>
      </c>
      <c r="L7" s="455">
        <v>1.2931494558231049</v>
      </c>
    </row>
    <row r="8" spans="2:12" x14ac:dyDescent="0.2">
      <c r="B8" s="447"/>
      <c r="C8" s="438" t="s">
        <v>423</v>
      </c>
      <c r="D8" s="448" t="s">
        <v>34</v>
      </c>
      <c r="F8" s="447"/>
      <c r="G8" s="438" t="s">
        <v>423</v>
      </c>
      <c r="H8" s="448" t="s">
        <v>34</v>
      </c>
      <c r="J8" s="403">
        <v>2002</v>
      </c>
      <c r="K8" s="404">
        <v>1.4826567634511756</v>
      </c>
      <c r="L8" s="455">
        <v>1.2652463506180407</v>
      </c>
    </row>
    <row r="9" spans="2:12" x14ac:dyDescent="0.2">
      <c r="B9" s="635" t="s">
        <v>748</v>
      </c>
      <c r="C9" s="437"/>
      <c r="D9" s="450"/>
      <c r="F9" s="449" t="s">
        <v>523</v>
      </c>
      <c r="G9" s="437"/>
      <c r="H9" s="450"/>
      <c r="J9" s="403">
        <v>2003</v>
      </c>
      <c r="K9" s="404">
        <v>1.4663955771066697</v>
      </c>
      <c r="L9" s="455">
        <v>1.2792769485005719</v>
      </c>
    </row>
    <row r="10" spans="2:12" x14ac:dyDescent="0.2">
      <c r="B10" s="708" t="s">
        <v>828</v>
      </c>
      <c r="C10" s="439">
        <f ca="1">'e1.1B'!D17/1000</f>
        <v>12510.98223651835</v>
      </c>
      <c r="D10" s="452">
        <f ca="1">'e1.1B'!D32/1000</f>
        <v>16502.652837378439</v>
      </c>
      <c r="F10" s="451" t="s">
        <v>524</v>
      </c>
      <c r="G10" s="439">
        <f ca="1">'e1.4'!D17/1000</f>
        <v>9253.845261323524</v>
      </c>
      <c r="H10" s="452">
        <f ca="1">'e1.4'!D32/1000</f>
        <v>10308.429641785488</v>
      </c>
      <c r="J10" s="403">
        <v>2004</v>
      </c>
      <c r="K10" s="404">
        <v>1.4715064400187943</v>
      </c>
      <c r="L10" s="455">
        <v>1.2748337405521624</v>
      </c>
    </row>
    <row r="11" spans="2:12" x14ac:dyDescent="0.2">
      <c r="B11" s="708" t="s">
        <v>829</v>
      </c>
      <c r="C11" s="440">
        <f ca="1">'e1.1A'!D17/1000</f>
        <v>13089.609795456514</v>
      </c>
      <c r="D11" s="453">
        <f ca="1">'e1.1A'!D32/1000</f>
        <v>16742.568059406578</v>
      </c>
      <c r="F11" s="451"/>
      <c r="G11" s="440"/>
      <c r="H11" s="453"/>
      <c r="J11" s="403">
        <v>2005</v>
      </c>
      <c r="K11" s="404">
        <v>1.5067060176275024</v>
      </c>
      <c r="L11" s="455">
        <v>1.2450511494801331</v>
      </c>
    </row>
    <row r="12" spans="2:12" x14ac:dyDescent="0.2">
      <c r="B12" s="451"/>
      <c r="C12" s="440"/>
      <c r="D12" s="453"/>
      <c r="F12" s="449" t="s">
        <v>641</v>
      </c>
      <c r="G12" s="437"/>
      <c r="H12" s="450"/>
      <c r="J12" s="403">
        <v>2006</v>
      </c>
      <c r="K12" s="404">
        <v>1.5516716883901251</v>
      </c>
      <c r="L12" s="455">
        <v>1.2089709912294961</v>
      </c>
    </row>
    <row r="13" spans="2:12" x14ac:dyDescent="0.2">
      <c r="B13" s="635" t="s">
        <v>749</v>
      </c>
      <c r="C13" s="437"/>
      <c r="D13" s="450"/>
      <c r="F13" s="451" t="s">
        <v>524</v>
      </c>
      <c r="G13" s="439">
        <f ca="1">'e1.4'!H17/1000</f>
        <v>8481.7642424603764</v>
      </c>
      <c r="H13" s="452">
        <f ca="1">'e1.4'!H32/1000</f>
        <v>9355.0957154849475</v>
      </c>
      <c r="J13" s="403">
        <v>2007</v>
      </c>
      <c r="K13" s="404">
        <v>1.5790503020040945</v>
      </c>
      <c r="L13" s="455">
        <v>1.1880090563263712</v>
      </c>
    </row>
    <row r="14" spans="2:12" ht="14.25" x14ac:dyDescent="0.2">
      <c r="B14" s="708" t="s">
        <v>828</v>
      </c>
      <c r="C14" s="439">
        <f ca="1">'e1.1B'!H17/1000</f>
        <v>11151.083479765774</v>
      </c>
      <c r="D14" s="452">
        <f ca="1">'e1.1B'!H32/1000</f>
        <v>14554.891532096342</v>
      </c>
      <c r="F14"/>
      <c r="G14"/>
      <c r="H14"/>
      <c r="J14" s="403">
        <v>2008</v>
      </c>
      <c r="K14" s="404">
        <v>1.5896664220452483</v>
      </c>
      <c r="L14" s="455">
        <v>1.1800752869663111</v>
      </c>
    </row>
    <row r="15" spans="2:12" ht="14.25" x14ac:dyDescent="0.2">
      <c r="B15" s="708" t="s">
        <v>829</v>
      </c>
      <c r="C15" s="440">
        <f ca="1">'e1.1A'!H17/1000</f>
        <v>11669.956872733605</v>
      </c>
      <c r="D15" s="453">
        <f ca="1">'e1.1A'!H32/1000</f>
        <v>14762.860120164369</v>
      </c>
      <c r="F15"/>
      <c r="G15"/>
      <c r="H15"/>
      <c r="J15" s="403">
        <v>2009</v>
      </c>
      <c r="K15" s="404">
        <v>1.6051535176267622</v>
      </c>
      <c r="L15" s="455">
        <v>1.1686894982788523</v>
      </c>
    </row>
    <row r="16" spans="2:12" x14ac:dyDescent="0.2">
      <c r="J16" s="403">
        <v>2010</v>
      </c>
      <c r="K16" s="404">
        <v>1.5909555089592866</v>
      </c>
      <c r="L16" s="455">
        <v>1.1791191196810278</v>
      </c>
    </row>
    <row r="17" spans="2:17" x14ac:dyDescent="0.2">
      <c r="J17" s="403">
        <v>2011</v>
      </c>
      <c r="K17" s="404">
        <v>1.5560767246637337</v>
      </c>
      <c r="L17" s="455">
        <v>1.2055485628969491</v>
      </c>
    </row>
    <row r="18" spans="2:17" x14ac:dyDescent="0.2">
      <c r="F18" s="451"/>
      <c r="G18" s="440"/>
      <c r="H18" s="453"/>
      <c r="J18" s="403">
        <v>2012</v>
      </c>
      <c r="K18" s="404">
        <v>1.673599204995958</v>
      </c>
      <c r="L18" s="455">
        <v>1.1208932542366297</v>
      </c>
    </row>
    <row r="19" spans="2:17" x14ac:dyDescent="0.2">
      <c r="B19" s="451"/>
      <c r="C19" s="440"/>
      <c r="D19" s="453"/>
      <c r="F19" s="451"/>
      <c r="G19" s="440"/>
      <c r="H19" s="453"/>
      <c r="J19" s="403">
        <v>2013</v>
      </c>
      <c r="K19" s="404">
        <v>1.7560379012678329</v>
      </c>
      <c r="L19" s="455">
        <v>1.0682719648712395</v>
      </c>
    </row>
    <row r="20" spans="2:17" x14ac:dyDescent="0.2">
      <c r="B20" s="451"/>
      <c r="C20" s="440"/>
      <c r="D20" s="453"/>
      <c r="F20" s="451"/>
      <c r="G20" s="440"/>
      <c r="H20" s="453"/>
      <c r="J20" s="403">
        <v>2014</v>
      </c>
      <c r="K20" s="404">
        <v>1.7192619208564983</v>
      </c>
      <c r="L20" s="455">
        <v>1.0911229036243708</v>
      </c>
    </row>
    <row r="21" spans="2:17" x14ac:dyDescent="0.2">
      <c r="B21" s="451"/>
      <c r="C21" s="440"/>
      <c r="D21" s="453"/>
      <c r="F21" s="451"/>
      <c r="G21" s="440"/>
      <c r="H21" s="453"/>
      <c r="J21" s="403">
        <v>2015</v>
      </c>
      <c r="K21" s="404">
        <v>1.7389243125081573</v>
      </c>
      <c r="L21" s="455">
        <v>1.0787853419968534</v>
      </c>
    </row>
    <row r="22" spans="2:17" x14ac:dyDescent="0.2">
      <c r="B22" s="451"/>
      <c r="C22" s="440"/>
      <c r="D22" s="453"/>
      <c r="F22" s="451"/>
      <c r="G22" s="440"/>
      <c r="H22" s="453"/>
      <c r="J22" s="403">
        <v>2016</v>
      </c>
      <c r="K22" s="404">
        <v>1.5049981315837633</v>
      </c>
      <c r="L22" s="455">
        <v>1.2464640452421369</v>
      </c>
    </row>
    <row r="23" spans="2:17" x14ac:dyDescent="0.2">
      <c r="J23" s="403">
        <v>2017</v>
      </c>
      <c r="K23" s="404">
        <v>1.9105410817369755</v>
      </c>
      <c r="L23" s="455">
        <v>0.98188208414249356</v>
      </c>
    </row>
    <row r="24" spans="2:17" x14ac:dyDescent="0.2">
      <c r="J24" s="454">
        <v>2018</v>
      </c>
      <c r="K24" s="405">
        <v>1.8759260591757556</v>
      </c>
      <c r="L24" s="456">
        <v>1</v>
      </c>
    </row>
    <row r="29" spans="2:17" ht="35.1" customHeight="1" x14ac:dyDescent="0.2">
      <c r="N29" s="470" t="s">
        <v>648</v>
      </c>
      <c r="O29" s="470" t="s">
        <v>649</v>
      </c>
      <c r="P29" s="470" t="s">
        <v>650</v>
      </c>
      <c r="Q29" s="470" t="s">
        <v>651</v>
      </c>
    </row>
    <row r="30" spans="2:17" x14ac:dyDescent="0.2">
      <c r="N30" s="471" t="str">
        <f>Intro!E18</f>
        <v>10/1/95-9/30/96</v>
      </c>
      <c r="O30" s="468">
        <f>Intro!I18</f>
        <v>1066389</v>
      </c>
      <c r="P30" s="468">
        <f>Intro!H18</f>
        <v>250000</v>
      </c>
      <c r="Q30" s="469" t="str">
        <f>Intro!N18</f>
        <v>Atlantic Mutual</v>
      </c>
    </row>
    <row r="31" spans="2:17" x14ac:dyDescent="0.2">
      <c r="N31" s="471" t="str">
        <f>Intro!E19</f>
        <v>10/1/96-9/30/97</v>
      </c>
      <c r="O31" s="468">
        <f>Intro!I19</f>
        <v>1660996</v>
      </c>
      <c r="P31" s="468">
        <f>Intro!H19</f>
        <v>250000</v>
      </c>
      <c r="Q31" s="469" t="str">
        <f>Intro!N19</f>
        <v>Atlantic Mutual</v>
      </c>
    </row>
    <row r="32" spans="2:17" x14ac:dyDescent="0.2">
      <c r="N32" s="471" t="str">
        <f>Intro!E20</f>
        <v>10/1/97-9/30/98</v>
      </c>
      <c r="O32" s="468">
        <f>Intro!I20</f>
        <v>2412000</v>
      </c>
      <c r="P32" s="468">
        <f>Intro!H20</f>
        <v>250000</v>
      </c>
      <c r="Q32" s="469" t="str">
        <f>Intro!N20</f>
        <v>Atlantic Mutual</v>
      </c>
    </row>
    <row r="33" spans="14:17" x14ac:dyDescent="0.2">
      <c r="N33" s="471" t="str">
        <f>Intro!E21</f>
        <v>10/1/98-9/30/99</v>
      </c>
      <c r="O33" s="468">
        <f>Intro!I21</f>
        <v>2371069</v>
      </c>
      <c r="P33" s="468">
        <f>Intro!H21</f>
        <v>250000</v>
      </c>
      <c r="Q33" s="469" t="str">
        <f>Intro!N21</f>
        <v>Atlantic Mutual</v>
      </c>
    </row>
    <row r="34" spans="14:17" x14ac:dyDescent="0.2">
      <c r="N34" s="471" t="str">
        <f>Intro!E22</f>
        <v>10/1/99-9/30/00</v>
      </c>
      <c r="O34" s="468">
        <f>Intro!I22</f>
        <v>1985102</v>
      </c>
      <c r="P34" s="468">
        <f>Intro!H22</f>
        <v>250000</v>
      </c>
      <c r="Q34" s="469" t="str">
        <f>Intro!N22</f>
        <v>Atlantic Mutual</v>
      </c>
    </row>
    <row r="35" spans="14:17" x14ac:dyDescent="0.2">
      <c r="N35" s="471" t="str">
        <f>Intro!E23</f>
        <v>10/1/00-9/30/01</v>
      </c>
      <c r="O35" s="468">
        <f>Intro!I23</f>
        <v>2121632</v>
      </c>
      <c r="P35" s="468">
        <f>Intro!H23</f>
        <v>250000</v>
      </c>
      <c r="Q35" s="469" t="str">
        <f>Intro!N23</f>
        <v>Atlantic Mutual</v>
      </c>
    </row>
    <row r="36" spans="14:17" x14ac:dyDescent="0.2">
      <c r="N36" s="471" t="str">
        <f>Intro!E24</f>
        <v>10/1/01-9/30/02</v>
      </c>
      <c r="O36" s="468">
        <f>Intro!I24</f>
        <v>2896730</v>
      </c>
      <c r="P36" s="468">
        <f>Intro!H24</f>
        <v>250000</v>
      </c>
      <c r="Q36" s="469" t="str">
        <f>Intro!N24</f>
        <v>Atlantic Mutual</v>
      </c>
    </row>
    <row r="37" spans="14:17" x14ac:dyDescent="0.2">
      <c r="N37" s="471" t="str">
        <f>Intro!E25</f>
        <v>10/1/02-9/30/03</v>
      </c>
      <c r="O37" s="468" t="str">
        <f>Intro!I25</f>
        <v xml:space="preserve">na </v>
      </c>
      <c r="P37" s="468">
        <f>Intro!H25</f>
        <v>250000</v>
      </c>
      <c r="Q37" s="469" t="str">
        <f>Intro!N25</f>
        <v>Argonaut</v>
      </c>
    </row>
    <row r="38" spans="14:17" x14ac:dyDescent="0.2">
      <c r="N38" s="471" t="str">
        <f>Intro!E26</f>
        <v>10/1/03-9/30/04</v>
      </c>
      <c r="O38" s="468" t="str">
        <f>Intro!I26</f>
        <v xml:space="preserve">na </v>
      </c>
      <c r="P38" s="468">
        <f>Intro!H26</f>
        <v>350000</v>
      </c>
      <c r="Q38" s="469" t="str">
        <f>Intro!N26</f>
        <v>Argonaut</v>
      </c>
    </row>
    <row r="39" spans="14:17" x14ac:dyDescent="0.2">
      <c r="N39" s="471" t="str">
        <f>Intro!E27</f>
        <v>10/1/04-9/30/05</v>
      </c>
      <c r="O39" s="468" t="str">
        <f>Intro!I27</f>
        <v xml:space="preserve">na </v>
      </c>
      <c r="P39" s="468">
        <f>Intro!H27</f>
        <v>350000</v>
      </c>
      <c r="Q39" s="469" t="str">
        <f>Intro!N27</f>
        <v>Argonaut</v>
      </c>
    </row>
    <row r="40" spans="14:17" x14ac:dyDescent="0.2">
      <c r="N40" s="471" t="str">
        <f>Intro!E28</f>
        <v>10/1/05-9/30/06</v>
      </c>
      <c r="O40" s="468" t="str">
        <f>Intro!I28</f>
        <v xml:space="preserve">na </v>
      </c>
      <c r="P40" s="468">
        <f>Intro!H28</f>
        <v>350000</v>
      </c>
      <c r="Q40" s="469" t="str">
        <f>Intro!N28</f>
        <v>Travelers</v>
      </c>
    </row>
    <row r="41" spans="14:17" x14ac:dyDescent="0.2">
      <c r="N41" s="471" t="str">
        <f>Intro!E29</f>
        <v>10/1/06-9/30/07</v>
      </c>
      <c r="O41" s="468" t="str">
        <f>Intro!I29</f>
        <v xml:space="preserve">na </v>
      </c>
      <c r="P41" s="468">
        <f>Intro!H29</f>
        <v>350000</v>
      </c>
      <c r="Q41" s="469" t="str">
        <f>Intro!N29</f>
        <v>Travelers</v>
      </c>
    </row>
    <row r="42" spans="14:17" x14ac:dyDescent="0.2">
      <c r="N42" s="471" t="str">
        <f>Intro!E30</f>
        <v>10/1/07-9/30/08</v>
      </c>
      <c r="O42" s="468" t="str">
        <f>Intro!I30</f>
        <v xml:space="preserve">na </v>
      </c>
      <c r="P42" s="468">
        <f>Intro!H30</f>
        <v>500000</v>
      </c>
      <c r="Q42" s="469" t="str">
        <f>Intro!N30</f>
        <v>Travelers</v>
      </c>
    </row>
    <row r="43" spans="14:17" x14ac:dyDescent="0.2">
      <c r="N43" s="471" t="str">
        <f>Intro!E31</f>
        <v>10/1/08-9/30/09</v>
      </c>
      <c r="O43" s="468" t="str">
        <f>Intro!I31</f>
        <v xml:space="preserve">na </v>
      </c>
      <c r="P43" s="468">
        <f>Intro!H31</f>
        <v>500000</v>
      </c>
      <c r="Q43" s="469" t="str">
        <f>Intro!N31</f>
        <v>Travelers</v>
      </c>
    </row>
    <row r="44" spans="14:17" x14ac:dyDescent="0.2">
      <c r="N44" s="471" t="str">
        <f>Intro!E32</f>
        <v>10/1/09-9/30/10</v>
      </c>
      <c r="O44" s="468" t="str">
        <f>Intro!I32</f>
        <v xml:space="preserve">na </v>
      </c>
      <c r="P44" s="468">
        <f>Intro!H32</f>
        <v>500000</v>
      </c>
      <c r="Q44" s="469" t="str">
        <f>Intro!N32</f>
        <v>Travelers</v>
      </c>
    </row>
    <row r="45" spans="14:17" x14ac:dyDescent="0.2">
      <c r="N45" s="471" t="str">
        <f>Intro!E33</f>
        <v>10/1/10-9/30/11</v>
      </c>
      <c r="O45" s="468" t="str">
        <f>Intro!I33</f>
        <v xml:space="preserve">na </v>
      </c>
      <c r="P45" s="468">
        <f>Intro!H33</f>
        <v>500000</v>
      </c>
      <c r="Q45" s="469" t="str">
        <f>Intro!N33</f>
        <v>Hartford</v>
      </c>
    </row>
    <row r="46" spans="14:17" x14ac:dyDescent="0.2">
      <c r="N46" s="471" t="str">
        <f>Intro!E34</f>
        <v>10/1/11-9/30/12</v>
      </c>
      <c r="O46" s="468" t="str">
        <f>Intro!I34</f>
        <v xml:space="preserve">na </v>
      </c>
      <c r="P46" s="468">
        <f>Intro!H34</f>
        <v>500000</v>
      </c>
      <c r="Q46" s="469" t="str">
        <f>Intro!N34</f>
        <v>Hartford</v>
      </c>
    </row>
    <row r="47" spans="14:17" x14ac:dyDescent="0.2">
      <c r="N47" s="471" t="str">
        <f>Intro!E35</f>
        <v>10/1/12-9/30/13</v>
      </c>
      <c r="O47" s="468" t="str">
        <f>Intro!I35</f>
        <v xml:space="preserve">na </v>
      </c>
      <c r="P47" s="468">
        <f>Intro!H35</f>
        <v>500000</v>
      </c>
      <c r="Q47" s="469" t="str">
        <f>Intro!N35</f>
        <v>Hartford</v>
      </c>
    </row>
    <row r="48" spans="14:17" x14ac:dyDescent="0.2">
      <c r="N48" s="471" t="str">
        <f>Intro!E36</f>
        <v>10/1/13-9/30/14</v>
      </c>
      <c r="O48" s="468" t="str">
        <f>Intro!I36</f>
        <v xml:space="preserve">na </v>
      </c>
      <c r="P48" s="468">
        <f>Intro!H36</f>
        <v>500000</v>
      </c>
      <c r="Q48" s="469" t="str">
        <f>Intro!N36</f>
        <v>Ace</v>
      </c>
    </row>
    <row r="49" spans="14:17" x14ac:dyDescent="0.2">
      <c r="N49" s="471" t="str">
        <f>Intro!E37</f>
        <v>10/1/14-9/30/15</v>
      </c>
      <c r="O49" s="468" t="str">
        <f>Intro!I37</f>
        <v xml:space="preserve">na </v>
      </c>
      <c r="P49" s="468">
        <f>Intro!H37</f>
        <v>500000</v>
      </c>
      <c r="Q49" s="469" t="str">
        <f>Intro!N37</f>
        <v>Ace</v>
      </c>
    </row>
    <row r="50" spans="14:17" x14ac:dyDescent="0.2">
      <c r="N50" s="471" t="str">
        <f>Intro!E38</f>
        <v>10/1/15-9/30/16</v>
      </c>
      <c r="O50" s="468" t="str">
        <f>Intro!I38</f>
        <v xml:space="preserve">na </v>
      </c>
      <c r="P50" s="468">
        <f>Intro!H38</f>
        <v>750000</v>
      </c>
      <c r="Q50" s="469" t="str">
        <f>Intro!N38</f>
        <v>Safety National</v>
      </c>
    </row>
    <row r="51" spans="14:17" x14ac:dyDescent="0.2">
      <c r="N51" s="471" t="str">
        <f>Intro!E39</f>
        <v>10/1/16-9/30/17</v>
      </c>
      <c r="O51" s="468" t="str">
        <f>Intro!I39</f>
        <v xml:space="preserve">na </v>
      </c>
      <c r="P51" s="468">
        <f>Intro!H39</f>
        <v>750000</v>
      </c>
      <c r="Q51" s="469" t="str">
        <f>Intro!N39</f>
        <v>Safety National</v>
      </c>
    </row>
    <row r="52" spans="14:17" x14ac:dyDescent="0.2">
      <c r="N52" s="471" t="str">
        <f>Intro!E40</f>
        <v>10/1/17-9/30/18</v>
      </c>
      <c r="O52" s="468" t="str">
        <f>Intro!I40</f>
        <v xml:space="preserve">na </v>
      </c>
      <c r="P52" s="468">
        <f>Intro!H40</f>
        <v>500000</v>
      </c>
      <c r="Q52" s="469" t="str">
        <f>Intro!N40</f>
        <v>Safety National</v>
      </c>
    </row>
  </sheetData>
  <printOptions horizontalCentered="1"/>
  <pageMargins left="0.7" right="0.7" top="0.75" bottom="0.75" header="0.3" footer="0.3"/>
  <pageSetup scale="36" orientation="portrait" blackAndWhite="1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1">
    <tabColor theme="9"/>
    <pageSetUpPr fitToPage="1"/>
  </sheetPr>
  <dimension ref="A1:T100"/>
  <sheetViews>
    <sheetView topLeftCell="A49" zoomScale="85" zoomScaleNormal="85" zoomScaleSheetLayoutView="85" workbookViewId="0"/>
  </sheetViews>
  <sheetFormatPr defaultColWidth="9" defaultRowHeight="12.75" x14ac:dyDescent="0.2"/>
  <cols>
    <col min="1" max="10" width="10.625" style="222" customWidth="1"/>
    <col min="11" max="16384" width="9" style="222"/>
  </cols>
  <sheetData>
    <row r="1" spans="1:20" x14ac:dyDescent="0.2">
      <c r="A1" s="1" t="str">
        <f>[1]!getlabels()</f>
        <v>Exhibit 4, Sheet 1</v>
      </c>
    </row>
    <row r="2" spans="1:20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</row>
    <row r="3" spans="1:20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</row>
    <row r="4" spans="1:20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</row>
    <row r="5" spans="1:20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</row>
    <row r="6" spans="1:20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</row>
    <row r="7" spans="1:20" x14ac:dyDescent="0.2">
      <c r="A7" s="224" t="str">
        <f>VLOOKUP($A$1, index_lkups, 3, FALSE)</f>
        <v>Frequency, Severity, and Loss Cost Trends</v>
      </c>
      <c r="B7" s="224"/>
      <c r="C7" s="224"/>
      <c r="D7" s="224"/>
      <c r="E7" s="224"/>
      <c r="F7" s="224"/>
      <c r="G7" s="224"/>
      <c r="H7" s="224"/>
      <c r="I7" s="224"/>
      <c r="J7" s="224"/>
    </row>
    <row r="8" spans="1:20" x14ac:dyDescent="0.2">
      <c r="T8" s="472" t="s">
        <v>653</v>
      </c>
    </row>
    <row r="10" spans="1:20" x14ac:dyDescent="0.2">
      <c r="A10" s="339" t="s">
        <v>351</v>
      </c>
    </row>
    <row r="11" spans="1:20" x14ac:dyDescent="0.2">
      <c r="A11" s="338"/>
    </row>
    <row r="12" spans="1:20" x14ac:dyDescent="0.2">
      <c r="A12" s="148"/>
      <c r="L12" s="343" t="s">
        <v>459</v>
      </c>
      <c r="M12" s="343" t="s">
        <v>332</v>
      </c>
      <c r="N12" s="343" t="s">
        <v>336</v>
      </c>
    </row>
    <row r="13" spans="1:20" x14ac:dyDescent="0.2">
      <c r="A13" s="148"/>
      <c r="L13" s="268">
        <f>'e6.2'!A16</f>
        <v>2003</v>
      </c>
      <c r="M13" s="266">
        <f ca="1">'e6.2'!K16</f>
        <v>0.39634047987716287</v>
      </c>
      <c r="N13" s="266">
        <f ca="1">'e6.2'!O16</f>
        <v>0.26978105179149142</v>
      </c>
    </row>
    <row r="14" spans="1:20" x14ac:dyDescent="0.2">
      <c r="A14" s="148"/>
      <c r="L14" s="268">
        <f>'e6.2'!A17</f>
        <v>2004</v>
      </c>
      <c r="M14" s="266">
        <f ca="1">'e6.2'!K17</f>
        <v>0.29372116092662248</v>
      </c>
      <c r="N14" s="266">
        <f ca="1">'e6.2'!O17</f>
        <v>0.26438543075566162</v>
      </c>
    </row>
    <row r="15" spans="1:20" x14ac:dyDescent="0.2">
      <c r="A15" s="148"/>
      <c r="L15" s="268">
        <f>'e6.2'!A18</f>
        <v>2005</v>
      </c>
      <c r="M15" s="266">
        <f ca="1">'e6.2'!K18</f>
        <v>0.23361884431417379</v>
      </c>
      <c r="N15" s="266">
        <f ca="1">'e6.2'!O18</f>
        <v>0.25909772214054838</v>
      </c>
    </row>
    <row r="16" spans="1:20" x14ac:dyDescent="0.2">
      <c r="A16" s="148"/>
      <c r="L16" s="268">
        <f>'e6.2'!A19</f>
        <v>2006</v>
      </c>
      <c r="M16" s="266">
        <f ca="1">'e6.2'!K19</f>
        <v>0.2876847966491663</v>
      </c>
      <c r="N16" s="266">
        <f ca="1">'e6.2'!O19</f>
        <v>0.25391576769773738</v>
      </c>
    </row>
    <row r="17" spans="1:14" x14ac:dyDescent="0.2">
      <c r="A17" s="148"/>
      <c r="L17" s="268">
        <f>'e6.2'!A20</f>
        <v>2007</v>
      </c>
      <c r="M17" s="266">
        <f ca="1">'e6.2'!K20</f>
        <v>0.32509721219387627</v>
      </c>
      <c r="N17" s="266">
        <f ca="1">'e6.2'!O20</f>
        <v>0.24883745234378263</v>
      </c>
    </row>
    <row r="18" spans="1:14" x14ac:dyDescent="0.2">
      <c r="A18" s="148"/>
      <c r="L18" s="268">
        <f>'e6.2'!A21</f>
        <v>2008</v>
      </c>
      <c r="M18" s="266">
        <f ca="1">'e6.2'!K21</f>
        <v>0.22630771133059627</v>
      </c>
      <c r="N18" s="266">
        <f ca="1">'e6.2'!O21</f>
        <v>0.24386070329690698</v>
      </c>
    </row>
    <row r="19" spans="1:14" x14ac:dyDescent="0.2">
      <c r="A19" s="148"/>
      <c r="L19" s="268">
        <f>'e6.2'!A22</f>
        <v>2009</v>
      </c>
      <c r="M19" s="266">
        <f ca="1">'e6.2'!K22</f>
        <v>0.27997870897391819</v>
      </c>
      <c r="N19" s="266">
        <f ca="1">'e6.2'!O22</f>
        <v>0.23898348923096882</v>
      </c>
    </row>
    <row r="20" spans="1:14" x14ac:dyDescent="0.2">
      <c r="A20" s="148"/>
      <c r="L20" s="268">
        <f>'e6.2'!A23</f>
        <v>2010</v>
      </c>
      <c r="M20" s="266">
        <f ca="1">'e6.2'!K23</f>
        <v>0.26516488919882331</v>
      </c>
      <c r="N20" s="266">
        <f ca="1">'e6.2'!O23</f>
        <v>0.23420381944634944</v>
      </c>
    </row>
    <row r="21" spans="1:14" x14ac:dyDescent="0.2">
      <c r="A21" s="148"/>
      <c r="L21" s="268">
        <f>'e6.2'!A24</f>
        <v>2011</v>
      </c>
      <c r="M21" s="266">
        <f ca="1">'e6.2'!K24</f>
        <v>0.20947618009348698</v>
      </c>
      <c r="N21" s="266">
        <f ca="1">'e6.2'!O24</f>
        <v>0.22951974305742243</v>
      </c>
    </row>
    <row r="22" spans="1:14" x14ac:dyDescent="0.2">
      <c r="A22" s="148"/>
      <c r="L22" s="268">
        <f>'e6.2'!A25</f>
        <v>2012</v>
      </c>
      <c r="M22" s="266">
        <f ca="1">'e6.2'!K25</f>
        <v>0.2335648375336386</v>
      </c>
      <c r="N22" s="266">
        <f ca="1">'e6.2'!O25</f>
        <v>0.22492934819627397</v>
      </c>
    </row>
    <row r="23" spans="1:14" x14ac:dyDescent="0.2">
      <c r="A23" s="148"/>
      <c r="L23" s="268">
        <f>'e6.2'!A26</f>
        <v>2013</v>
      </c>
      <c r="M23" s="266">
        <f ca="1">'e6.2'!K26</f>
        <v>0.29752766628819127</v>
      </c>
      <c r="N23" s="266">
        <f ca="1">'e6.2'!O26</f>
        <v>0.2204307612323485</v>
      </c>
    </row>
    <row r="24" spans="1:14" x14ac:dyDescent="0.2">
      <c r="A24" s="148"/>
      <c r="L24" s="268">
        <f>'e6.2'!A27</f>
        <v>2014</v>
      </c>
      <c r="M24" s="266">
        <f ca="1">'e6.2'!K27</f>
        <v>0.23555674963311207</v>
      </c>
      <c r="N24" s="266">
        <f ca="1">'e6.2'!O27</f>
        <v>0.21602214600770153</v>
      </c>
    </row>
    <row r="25" spans="1:14" x14ac:dyDescent="0.2">
      <c r="A25" s="148"/>
      <c r="L25" s="268">
        <f>'e6.2'!A28</f>
        <v>2015</v>
      </c>
      <c r="M25" s="266">
        <f ca="1">'e6.2'!K28</f>
        <v>0.19297950243493192</v>
      </c>
      <c r="N25" s="266">
        <f ca="1">'e6.2'!O28</f>
        <v>0.21170170308754749</v>
      </c>
    </row>
    <row r="26" spans="1:14" x14ac:dyDescent="0.2">
      <c r="A26" s="148"/>
      <c r="L26" s="268">
        <f>'e6.2'!A29</f>
        <v>2016</v>
      </c>
      <c r="M26" s="266">
        <f ca="1">'e6.2'!K29</f>
        <v>0.15806021119133071</v>
      </c>
      <c r="N26" s="266">
        <f ca="1">'e6.2'!O29</f>
        <v>0.20746766902579653</v>
      </c>
    </row>
    <row r="27" spans="1:14" x14ac:dyDescent="0.2">
      <c r="A27" s="148"/>
      <c r="L27" s="268">
        <f>'e6.2'!A30</f>
        <v>2017</v>
      </c>
      <c r="M27" s="266">
        <f ca="1">'e6.2'!K30</f>
        <v>0.15077182853595394</v>
      </c>
      <c r="N27" s="266">
        <f ca="1">'e6.2'!O30</f>
        <v>0.20331831564528058</v>
      </c>
    </row>
    <row r="28" spans="1:14" x14ac:dyDescent="0.2">
      <c r="A28" s="148"/>
      <c r="L28" s="268">
        <f>'e6.2'!A31</f>
        <v>2018</v>
      </c>
      <c r="M28" s="266">
        <f ca="1">'e6.2'!K31</f>
        <v>0.23993401679509921</v>
      </c>
      <c r="N28" s="266">
        <f ca="1">'e6.2'!O31</f>
        <v>0.19925194933237497</v>
      </c>
    </row>
    <row r="29" spans="1:14" x14ac:dyDescent="0.2">
      <c r="A29" s="148"/>
      <c r="L29" s="268">
        <f>'e6.2'!A32</f>
        <v>2019</v>
      </c>
      <c r="M29" s="266">
        <f ca="1">'e6.2'!K32</f>
        <v>0.15763105758185661</v>
      </c>
      <c r="N29" s="266">
        <f ca="1">'e6.2'!O32</f>
        <v>0.19526691034572746</v>
      </c>
    </row>
    <row r="30" spans="1:14" x14ac:dyDescent="0.2">
      <c r="A30" s="338"/>
    </row>
    <row r="31" spans="1:14" x14ac:dyDescent="0.2">
      <c r="A31" s="338"/>
    </row>
    <row r="32" spans="1:14" x14ac:dyDescent="0.2">
      <c r="A32" s="338"/>
    </row>
    <row r="33" spans="1:14" x14ac:dyDescent="0.2">
      <c r="A33" s="338"/>
    </row>
    <row r="34" spans="1:14" x14ac:dyDescent="0.2">
      <c r="A34" s="338"/>
    </row>
    <row r="35" spans="1:14" x14ac:dyDescent="0.2">
      <c r="A35" s="338"/>
    </row>
    <row r="36" spans="1:14" x14ac:dyDescent="0.2">
      <c r="A36" s="338"/>
    </row>
    <row r="37" spans="1:14" x14ac:dyDescent="0.2">
      <c r="A37" s="148"/>
    </row>
    <row r="38" spans="1:14" x14ac:dyDescent="0.2">
      <c r="A38" s="340" t="s">
        <v>457</v>
      </c>
    </row>
    <row r="39" spans="1:14" x14ac:dyDescent="0.2">
      <c r="A39" s="148"/>
    </row>
    <row r="40" spans="1:14" x14ac:dyDescent="0.2">
      <c r="A40" s="148"/>
      <c r="L40" s="343" t="s">
        <v>459</v>
      </c>
      <c r="M40" s="343" t="s">
        <v>332</v>
      </c>
      <c r="N40" s="343" t="s">
        <v>336</v>
      </c>
    </row>
    <row r="41" spans="1:14" x14ac:dyDescent="0.2">
      <c r="A41" s="148"/>
      <c r="L41" s="268">
        <f>L13</f>
        <v>2003</v>
      </c>
      <c r="M41" s="344">
        <f ca="1">'e5.3'!I16</f>
        <v>43141.414924523619</v>
      </c>
      <c r="N41" s="344">
        <f ca="1">'e5.3'!X16</f>
        <v>52590.765156043788</v>
      </c>
    </row>
    <row r="42" spans="1:14" x14ac:dyDescent="0.2">
      <c r="A42" s="148"/>
      <c r="L42" s="268">
        <f t="shared" ref="L42:L57" si="0">L14</f>
        <v>2004</v>
      </c>
      <c r="M42" s="344">
        <f ca="1">'e5.3'!I17</f>
        <v>106003.01166941597</v>
      </c>
      <c r="N42" s="344">
        <f ca="1">'e5.3'!X17</f>
        <v>54168.488110725091</v>
      </c>
    </row>
    <row r="43" spans="1:14" x14ac:dyDescent="0.2">
      <c r="A43" s="148"/>
      <c r="L43" s="268">
        <f t="shared" si="0"/>
        <v>2005</v>
      </c>
      <c r="M43" s="344">
        <f ca="1">'e5.3'!I18</f>
        <v>29590.563587356573</v>
      </c>
      <c r="N43" s="344">
        <f ca="1">'e5.3'!X18</f>
        <v>55793.542754046852</v>
      </c>
    </row>
    <row r="44" spans="1:14" x14ac:dyDescent="0.2">
      <c r="A44" s="148"/>
      <c r="L44" s="268">
        <f t="shared" si="0"/>
        <v>2006</v>
      </c>
      <c r="M44" s="344">
        <f ca="1">'e5.3'!I19</f>
        <v>78370.512799885124</v>
      </c>
      <c r="N44" s="344">
        <f ca="1">'e5.3'!X19</f>
        <v>57467.34903666826</v>
      </c>
    </row>
    <row r="45" spans="1:14" x14ac:dyDescent="0.2">
      <c r="A45" s="148"/>
      <c r="L45" s="268">
        <f t="shared" si="0"/>
        <v>2007</v>
      </c>
      <c r="M45" s="344">
        <f ca="1">'e5.3'!I20</f>
        <v>34864.205773608715</v>
      </c>
      <c r="N45" s="344">
        <f ca="1">'e5.3'!X20</f>
        <v>59191.369507768308</v>
      </c>
    </row>
    <row r="46" spans="1:14" x14ac:dyDescent="0.2">
      <c r="A46" s="148"/>
      <c r="L46" s="268">
        <f t="shared" si="0"/>
        <v>2008</v>
      </c>
      <c r="M46" s="344">
        <f ca="1">'e5.3'!I21</f>
        <v>34079.703069689225</v>
      </c>
      <c r="N46" s="344">
        <f ca="1">'e5.3'!X21</f>
        <v>60967.110593001344</v>
      </c>
    </row>
    <row r="47" spans="1:14" x14ac:dyDescent="0.2">
      <c r="A47" s="148"/>
      <c r="L47" s="268">
        <f t="shared" si="0"/>
        <v>2009</v>
      </c>
      <c r="M47" s="344">
        <f ca="1">'e5.3'!I22</f>
        <v>66138.37808956379</v>
      </c>
      <c r="N47" s="344">
        <f ca="1">'e5.3'!X22</f>
        <v>62796.123910791386</v>
      </c>
    </row>
    <row r="48" spans="1:14" x14ac:dyDescent="0.2">
      <c r="A48" s="148"/>
      <c r="L48" s="268">
        <f t="shared" si="0"/>
        <v>2010</v>
      </c>
      <c r="M48" s="344">
        <f ca="1">'e5.3'!I23</f>
        <v>38141.979398147567</v>
      </c>
      <c r="N48" s="344">
        <f ca="1">'e5.3'!X23</f>
        <v>64680.007628115127</v>
      </c>
    </row>
    <row r="49" spans="1:14" x14ac:dyDescent="0.2">
      <c r="A49" s="148"/>
      <c r="L49" s="268">
        <f t="shared" si="0"/>
        <v>2011</v>
      </c>
      <c r="M49" s="344">
        <f ca="1">'e5.3'!I24</f>
        <v>42347.642555138998</v>
      </c>
      <c r="N49" s="344">
        <f ca="1">'e5.3'!X24</f>
        <v>66620.407856958584</v>
      </c>
    </row>
    <row r="50" spans="1:14" x14ac:dyDescent="0.2">
      <c r="A50" s="338"/>
      <c r="L50" s="268">
        <f t="shared" si="0"/>
        <v>2012</v>
      </c>
      <c r="M50" s="344">
        <f ca="1">'e5.3'!I25</f>
        <v>59342.968485411118</v>
      </c>
      <c r="N50" s="344">
        <f ca="1">'e5.3'!X25</f>
        <v>68619.020092667342</v>
      </c>
    </row>
    <row r="51" spans="1:14" x14ac:dyDescent="0.2">
      <c r="A51" s="148"/>
      <c r="L51" s="268">
        <f t="shared" si="0"/>
        <v>2013</v>
      </c>
      <c r="M51" s="344">
        <f ca="1">'e5.3'!I26</f>
        <v>48656.452663886223</v>
      </c>
      <c r="N51" s="344">
        <f ca="1">'e5.3'!X26</f>
        <v>70677.590695447347</v>
      </c>
    </row>
    <row r="52" spans="1:14" x14ac:dyDescent="0.2">
      <c r="A52" s="148"/>
      <c r="L52" s="268">
        <f t="shared" si="0"/>
        <v>2014</v>
      </c>
      <c r="M52" s="344">
        <f ca="1">'e5.3'!I27</f>
        <v>56721.90622872817</v>
      </c>
      <c r="N52" s="344">
        <f ca="1">'e5.3'!X27</f>
        <v>72797.918416310771</v>
      </c>
    </row>
    <row r="53" spans="1:14" x14ac:dyDescent="0.2">
      <c r="A53" s="148"/>
      <c r="L53" s="268">
        <f t="shared" si="0"/>
        <v>2015</v>
      </c>
      <c r="M53" s="344">
        <f ca="1">'e5.3'!I28</f>
        <v>99547.080786379855</v>
      </c>
      <c r="N53" s="344">
        <f ca="1">'e5.3'!X28</f>
        <v>74981.855968800097</v>
      </c>
    </row>
    <row r="54" spans="1:14" x14ac:dyDescent="0.2">
      <c r="A54" s="148"/>
      <c r="L54" s="268">
        <f t="shared" si="0"/>
        <v>2016</v>
      </c>
      <c r="M54" s="344">
        <f ca="1">'e5.3'!I29</f>
        <v>90065.536213894593</v>
      </c>
      <c r="N54" s="344">
        <f ca="1">'e5.3'!X29</f>
        <v>77231.311647864088</v>
      </c>
    </row>
    <row r="55" spans="1:14" x14ac:dyDescent="0.2">
      <c r="A55" s="148"/>
      <c r="L55" s="268">
        <f t="shared" si="0"/>
        <v>2017</v>
      </c>
      <c r="M55" s="344">
        <f ca="1">'e5.3'!I30</f>
        <v>72157.230146281785</v>
      </c>
      <c r="N55" s="344">
        <f ca="1">'e5.3'!X30</f>
        <v>79548.250997300027</v>
      </c>
    </row>
    <row r="56" spans="1:14" x14ac:dyDescent="0.2">
      <c r="A56" s="148"/>
      <c r="L56" s="268">
        <f t="shared" si="0"/>
        <v>2018</v>
      </c>
      <c r="M56" s="344">
        <f ca="1">'e5.3'!I31</f>
        <v>73047.840779285543</v>
      </c>
      <c r="N56" s="344">
        <f ca="1">'e5.3'!X31</f>
        <v>81934.698527219021</v>
      </c>
    </row>
    <row r="57" spans="1:14" x14ac:dyDescent="0.2">
      <c r="A57" s="148"/>
      <c r="L57" s="268">
        <f t="shared" si="0"/>
        <v>2019</v>
      </c>
      <c r="M57" s="344">
        <f ca="1">'e5.3'!I32</f>
        <v>90441.958905063453</v>
      </c>
      <c r="N57" s="344">
        <f ca="1">'e5.3'!X32</f>
        <v>84392.739483035592</v>
      </c>
    </row>
    <row r="58" spans="1:14" x14ac:dyDescent="0.2">
      <c r="A58" s="148"/>
    </row>
    <row r="59" spans="1:14" x14ac:dyDescent="0.2">
      <c r="A59" s="148"/>
    </row>
    <row r="60" spans="1:14" x14ac:dyDescent="0.2">
      <c r="A60" s="148"/>
    </row>
    <row r="61" spans="1:14" x14ac:dyDescent="0.2">
      <c r="A61" s="148"/>
    </row>
    <row r="62" spans="1:14" x14ac:dyDescent="0.2">
      <c r="A62" s="148"/>
    </row>
    <row r="63" spans="1:14" x14ac:dyDescent="0.2">
      <c r="A63" s="148"/>
    </row>
    <row r="64" spans="1:14" x14ac:dyDescent="0.2">
      <c r="A64" s="148"/>
    </row>
    <row r="65" spans="1:14" x14ac:dyDescent="0.2">
      <c r="A65" s="148"/>
    </row>
    <row r="66" spans="1:14" x14ac:dyDescent="0.2">
      <c r="A66" s="340" t="s">
        <v>458</v>
      </c>
    </row>
    <row r="67" spans="1:14" x14ac:dyDescent="0.2">
      <c r="A67" s="148"/>
    </row>
    <row r="68" spans="1:14" x14ac:dyDescent="0.2">
      <c r="A68" s="148"/>
    </row>
    <row r="69" spans="1:14" x14ac:dyDescent="0.2">
      <c r="A69" s="148"/>
      <c r="L69" s="343" t="s">
        <v>459</v>
      </c>
      <c r="M69" s="343" t="s">
        <v>332</v>
      </c>
      <c r="N69" s="343" t="s">
        <v>336</v>
      </c>
    </row>
    <row r="70" spans="1:14" x14ac:dyDescent="0.2">
      <c r="L70" s="268">
        <f>L41</f>
        <v>2003</v>
      </c>
      <c r="M70" s="296">
        <f>'e4.5'!W23</f>
        <v>21.634053976239276</v>
      </c>
      <c r="N70" s="296">
        <f ca="1">'e4.5'!X23</f>
        <v>14.085463440390827</v>
      </c>
    </row>
    <row r="71" spans="1:14" x14ac:dyDescent="0.2">
      <c r="A71" s="148"/>
      <c r="L71" s="268">
        <f t="shared" ref="L71:L86" si="1">L42</f>
        <v>2004</v>
      </c>
      <c r="M71" s="296">
        <f>'e4.5'!W24</f>
        <v>39.830706945709764</v>
      </c>
      <c r="N71" s="296">
        <f ca="1">'e4.5'!X24</f>
        <v>14.219275343074541</v>
      </c>
    </row>
    <row r="72" spans="1:14" x14ac:dyDescent="0.2">
      <c r="A72" s="148"/>
      <c r="L72" s="268">
        <f t="shared" si="1"/>
        <v>2005</v>
      </c>
      <c r="M72" s="296">
        <f>'e4.5'!W25</f>
        <v>8.8128150794083577</v>
      </c>
      <c r="N72" s="296">
        <f ca="1">'e4.5'!X25</f>
        <v>14.354358458833747</v>
      </c>
    </row>
    <row r="73" spans="1:14" x14ac:dyDescent="0.2">
      <c r="A73" s="148"/>
      <c r="L73" s="268">
        <f t="shared" si="1"/>
        <v>2006</v>
      </c>
      <c r="M73" s="296">
        <f>'e4.5'!W26</f>
        <v>28.070929488903442</v>
      </c>
      <c r="N73" s="296">
        <f ca="1">'e4.5'!X26</f>
        <v>14.49072486419267</v>
      </c>
    </row>
    <row r="74" spans="1:14" x14ac:dyDescent="0.2">
      <c r="A74" s="148"/>
      <c r="L74" s="268">
        <f t="shared" si="1"/>
        <v>2007</v>
      </c>
      <c r="M74" s="296">
        <f>'e4.5'!W27</f>
        <v>13.702786834911688</v>
      </c>
      <c r="N74" s="296">
        <f ca="1">'e4.5'!X27</f>
        <v>14.6283867504025</v>
      </c>
    </row>
    <row r="75" spans="1:14" x14ac:dyDescent="0.2">
      <c r="A75" s="148"/>
      <c r="L75" s="268">
        <f t="shared" si="1"/>
        <v>2008</v>
      </c>
      <c r="M75" s="296">
        <f>'e4.5'!W28</f>
        <v>9.1625193770924227</v>
      </c>
      <c r="N75" s="296">
        <f ca="1">'e4.5'!X28</f>
        <v>14.767356424531323</v>
      </c>
    </row>
    <row r="76" spans="1:14" x14ac:dyDescent="0.2">
      <c r="A76" s="148"/>
      <c r="L76" s="268">
        <f t="shared" si="1"/>
        <v>2009</v>
      </c>
      <c r="M76" s="296">
        <f ca="1">'e4.5'!W29</f>
        <v>21.851852613331474</v>
      </c>
      <c r="N76" s="296">
        <f ca="1">'e4.5'!X29</f>
        <v>14.907646310564372</v>
      </c>
    </row>
    <row r="77" spans="1:14" x14ac:dyDescent="0.2">
      <c r="A77" s="148"/>
      <c r="L77" s="268">
        <f t="shared" si="1"/>
        <v>2010</v>
      </c>
      <c r="M77" s="296">
        <f ca="1">'e4.5'!W30</f>
        <v>11.82002477552728</v>
      </c>
      <c r="N77" s="296">
        <f ca="1">'e4.5'!X30</f>
        <v>15.049268950514733</v>
      </c>
    </row>
    <row r="78" spans="1:14" x14ac:dyDescent="0.2">
      <c r="A78" s="148"/>
      <c r="L78" s="268">
        <f t="shared" si="1"/>
        <v>2011</v>
      </c>
      <c r="M78" s="296">
        <f>'e4.5'!W31</f>
        <v>10.459756297265731</v>
      </c>
      <c r="N78" s="296">
        <f ca="1">'e4.5'!X31</f>
        <v>15.192237005544625</v>
      </c>
    </row>
    <row r="79" spans="1:14" x14ac:dyDescent="0.2">
      <c r="A79" s="148"/>
      <c r="L79" s="268">
        <f t="shared" si="1"/>
        <v>2012</v>
      </c>
      <c r="M79" s="296">
        <f>'e4.5'!W32</f>
        <v>16.709422423704758</v>
      </c>
      <c r="N79" s="296">
        <f ca="1">'e4.5'!X32</f>
        <v>15.336563257097298</v>
      </c>
    </row>
    <row r="80" spans="1:14" x14ac:dyDescent="0.2">
      <c r="A80" s="148"/>
      <c r="L80" s="268">
        <f t="shared" si="1"/>
        <v>2013</v>
      </c>
      <c r="M80" s="296">
        <f ca="1">'e4.5'!W33</f>
        <v>16.226769028998209</v>
      </c>
      <c r="N80" s="296">
        <f ca="1">'e4.5'!X33</f>
        <v>15.482260608039725</v>
      </c>
    </row>
    <row r="81" spans="1:14" x14ac:dyDescent="0.2">
      <c r="A81" s="148"/>
      <c r="L81" s="268">
        <f t="shared" si="1"/>
        <v>2014</v>
      </c>
      <c r="M81" s="296">
        <f>'e4.5'!W34</f>
        <v>14.273425143616951</v>
      </c>
      <c r="N81" s="296">
        <f ca="1">'e4.5'!X34</f>
        <v>15.6293420838161</v>
      </c>
    </row>
    <row r="82" spans="1:14" x14ac:dyDescent="0.2">
      <c r="A82" s="148"/>
      <c r="L82" s="268">
        <f t="shared" si="1"/>
        <v>2015</v>
      </c>
      <c r="M82" s="296">
        <f ca="1">'e4.5'!W35</f>
        <v>20.96106686157923</v>
      </c>
      <c r="N82" s="296">
        <f ca="1">'e4.5'!X35</f>
        <v>15.777820833612356</v>
      </c>
    </row>
    <row r="83" spans="1:14" x14ac:dyDescent="0.2">
      <c r="A83" s="148"/>
      <c r="L83" s="268">
        <f t="shared" si="1"/>
        <v>2016</v>
      </c>
      <c r="M83" s="296">
        <f ca="1">'e4.5'!W36</f>
        <v>15.325512988642968</v>
      </c>
      <c r="N83" s="296">
        <f ca="1">'e4.5'!X36</f>
        <v>15.927710131531672</v>
      </c>
    </row>
    <row r="84" spans="1:14" x14ac:dyDescent="0.2">
      <c r="A84" s="148"/>
      <c r="L84" s="268">
        <f t="shared" si="1"/>
        <v>2017</v>
      </c>
      <c r="M84" s="296">
        <f ca="1">'e4.5'!W37</f>
        <v>13.454224316445686</v>
      </c>
      <c r="N84" s="296">
        <f ca="1">'e4.5'!X37</f>
        <v>16.079023377781226</v>
      </c>
    </row>
    <row r="85" spans="1:14" x14ac:dyDescent="0.2">
      <c r="A85" s="148"/>
      <c r="L85" s="268">
        <f t="shared" si="1"/>
        <v>2018</v>
      </c>
      <c r="M85" s="296">
        <f ca="1">'e4.5'!W38</f>
        <v>17.233204424215064</v>
      </c>
      <c r="N85" s="296">
        <f ca="1">'e4.5'!X38</f>
        <v>16.231774099870147</v>
      </c>
    </row>
    <row r="86" spans="1:14" x14ac:dyDescent="0.2">
      <c r="A86" s="148"/>
      <c r="L86" s="268">
        <f t="shared" si="1"/>
        <v>2019</v>
      </c>
      <c r="M86" s="296">
        <f ca="1">'e4.5'!W39</f>
        <v>15.819297502414663</v>
      </c>
      <c r="N86" s="296">
        <f ca="1">'e4.5'!X39</f>
        <v>16.385975953818914</v>
      </c>
    </row>
    <row r="87" spans="1:14" x14ac:dyDescent="0.2">
      <c r="A87" s="148"/>
    </row>
    <row r="88" spans="1:14" x14ac:dyDescent="0.2">
      <c r="A88" s="148"/>
    </row>
    <row r="89" spans="1:14" x14ac:dyDescent="0.2">
      <c r="A89" s="148"/>
    </row>
    <row r="90" spans="1:14" x14ac:dyDescent="0.2">
      <c r="A90" s="148"/>
    </row>
    <row r="91" spans="1:14" x14ac:dyDescent="0.2">
      <c r="A91" s="148"/>
    </row>
    <row r="92" spans="1:14" x14ac:dyDescent="0.2">
      <c r="A92" s="148"/>
    </row>
    <row r="93" spans="1:14" x14ac:dyDescent="0.2">
      <c r="A93" s="148"/>
    </row>
    <row r="94" spans="1:14" x14ac:dyDescent="0.2">
      <c r="A94" s="148"/>
    </row>
    <row r="95" spans="1:14" x14ac:dyDescent="0.2">
      <c r="A95" s="162" t="s">
        <v>83</v>
      </c>
    </row>
    <row r="96" spans="1:14" x14ac:dyDescent="0.2">
      <c r="A96" s="163" t="str">
        <f>"Dotted lines for Policy Period "&amp;cpy_l&amp;" represent partial period as of "&amp;ctxt_l&amp;"."</f>
        <v>Dotted lines for Policy Period 2018/19 represent partial period as of April 30, 2019.</v>
      </c>
    </row>
    <row r="97" spans="1:1" x14ac:dyDescent="0.2">
      <c r="A97" s="163" t="str">
        <f>"The selected frequency trend is "&amp;TEXT(ltfreq_trnd,"0.00%")&amp;"."</f>
        <v>The selected frequency trend is -2.00%.</v>
      </c>
    </row>
    <row r="98" spans="1:1" x14ac:dyDescent="0.2">
      <c r="A98" s="163" t="str">
        <f>"The selected severity trend is "&amp;TEXT(sevtrnd_500k,"0.00%")&amp;"."</f>
        <v>The selected severity trend is 3.00%.</v>
      </c>
    </row>
    <row r="99" spans="1:1" x14ac:dyDescent="0.2">
      <c r="A99" s="163" t="str">
        <f>"The selected loss cost trend is "&amp;TEXT(lctrnd_500k,"0.00%")&amp;"."</f>
        <v>The selected loss cost trend is 0.95%.</v>
      </c>
    </row>
    <row r="100" spans="1:1" x14ac:dyDescent="0.2">
      <c r="A100" s="216" t="str">
        <f>"The severities are shown at the "&amp;cpy_l&amp;" benefit level.  The loss costs are shown at the "&amp;cpy_l&amp;" benefit and exposure mix level."</f>
        <v>The severities are shown at the 2018/19 benefit level.  The loss costs are shown at the 2018/19 benefit and exposure mix level.</v>
      </c>
    </row>
  </sheetData>
  <printOptions horizontalCentered="1"/>
  <pageMargins left="0.7" right="0.7" top="0.75" bottom="0.75" header="0.3" footer="0.3"/>
  <pageSetup scale="55" orientation="portrait" r:id="rId1"/>
  <headerFooter>
    <oddHeader xml:space="preserve">&amp;L&amp;"Arial"&amp;10  
  &amp;R&amp;"Arial"&amp;10  Exhibit 4
Sheet 1
</oddHeader>
    <oddFooter xml:space="preserve">&amp;L&amp;"Arial"&amp;10 Oliver Wyman Actuarial Consulting, Inc.
&amp;C&amp;"Arial"&amp;10 &amp;R&amp;"Arial"&amp;10 </oddFooter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2">
    <tabColor theme="9" tint="0.79998168889431442"/>
    <pageSetUpPr fitToPage="1"/>
  </sheetPr>
  <dimension ref="A1:AS76"/>
  <sheetViews>
    <sheetView zoomScale="85" zoomScaleNormal="85" workbookViewId="0">
      <selection activeCell="T31" sqref="T31"/>
    </sheetView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9" style="222"/>
    <col min="4" max="4" width="2.625" style="222" customWidth="1"/>
    <col min="5" max="5" width="9" style="222"/>
    <col min="6" max="6" width="2.625" style="222" customWidth="1"/>
    <col min="7" max="7" width="9" style="222"/>
    <col min="8" max="8" width="2.625" style="222" customWidth="1"/>
    <col min="9" max="9" width="8.25" style="222" customWidth="1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9.5" style="222" bestFit="1" customWidth="1"/>
    <col min="16" max="16" width="2.625" style="222" customWidth="1"/>
    <col min="17" max="17" width="10.75" style="222" customWidth="1"/>
    <col min="18" max="18" width="2.625" style="222" customWidth="1"/>
    <col min="19" max="19" width="10.75" style="222" bestFit="1" customWidth="1"/>
    <col min="20" max="20" width="2.625" style="222" customWidth="1"/>
    <col min="21" max="26" width="9" style="222"/>
    <col min="27" max="27" width="2.625" style="222" customWidth="1"/>
    <col min="28" max="28" width="8.625" style="222" customWidth="1"/>
    <col min="29" max="29" width="6.125" style="222" customWidth="1"/>
    <col min="30" max="30" width="9.75" style="222" bestFit="1" customWidth="1"/>
    <col min="31" max="31" width="6.125" style="222" customWidth="1"/>
    <col min="32" max="32" width="2.625" style="222" customWidth="1"/>
    <col min="33" max="33" width="9" style="222"/>
    <col min="34" max="34" width="2.625" style="222" customWidth="1"/>
    <col min="35" max="35" width="9" style="222"/>
    <col min="36" max="36" width="2.625" style="222" customWidth="1"/>
    <col min="37" max="37" width="9" style="222"/>
    <col min="38" max="38" width="2.625" style="222" customWidth="1"/>
    <col min="39" max="39" width="9" style="222"/>
    <col min="40" max="40" width="2.625" style="222" customWidth="1"/>
    <col min="41" max="41" width="9" style="222"/>
    <col min="42" max="42" width="2.625" style="222" customWidth="1"/>
    <col min="43" max="16384" width="9" style="222"/>
  </cols>
  <sheetData>
    <row r="1" spans="1:45" x14ac:dyDescent="0.2">
      <c r="A1" s="1" t="str">
        <f>[1]!getlabels()</f>
        <v>Exhibit 4, Sheet 2</v>
      </c>
    </row>
    <row r="2" spans="1:45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</row>
    <row r="3" spans="1:45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45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</row>
    <row r="5" spans="1:45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45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45" x14ac:dyDescent="0.2">
      <c r="A7" s="224" t="str">
        <f>VLOOKUP($A$1, index_lkups, 3, FALSE)</f>
        <v>Loss Cost Method Summary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</row>
    <row r="9" spans="1:45" x14ac:dyDescent="0.2">
      <c r="Q9" s="285" t="s">
        <v>330</v>
      </c>
      <c r="S9" s="268" t="s">
        <v>330</v>
      </c>
    </row>
    <row r="10" spans="1:45" x14ac:dyDescent="0.2">
      <c r="A10" s="181" t="str">
        <f>Intro!M9</f>
        <v>Policy</v>
      </c>
      <c r="Q10" s="287" t="s">
        <v>423</v>
      </c>
      <c r="S10" s="287" t="s">
        <v>34</v>
      </c>
      <c r="AI10" s="336">
        <f>lctrnd_250k</f>
        <v>4.4999999999999997E-3</v>
      </c>
      <c r="AK10" s="336">
        <f>lctrnd_350k</f>
        <v>6.9999999999999993E-3</v>
      </c>
      <c r="AM10" s="336">
        <f>lctrnd_500k</f>
        <v>9.4999999999999998E-3</v>
      </c>
      <c r="AO10" s="336">
        <f>lctrnd_750k</f>
        <v>1.0999999999999999E-2</v>
      </c>
      <c r="AQ10" s="336">
        <f>lctrnd_unl</f>
        <v>1.2E-2</v>
      </c>
    </row>
    <row r="11" spans="1:45" x14ac:dyDescent="0.2">
      <c r="A11" s="181" t="str">
        <f>Intro!M10</f>
        <v>Period</v>
      </c>
      <c r="C11" s="300" t="s">
        <v>440</v>
      </c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O11" s="285" t="s">
        <v>5</v>
      </c>
      <c r="Q11" s="285" t="s">
        <v>245</v>
      </c>
      <c r="S11" s="268" t="s">
        <v>245</v>
      </c>
      <c r="U11" s="285"/>
      <c r="V11" s="293" t="s">
        <v>11</v>
      </c>
      <c r="Y11" s="293" t="s">
        <v>263</v>
      </c>
      <c r="Z11" s="370" t="s">
        <v>37</v>
      </c>
      <c r="AA11" s="370"/>
      <c r="AB11" s="293" t="s">
        <v>18</v>
      </c>
      <c r="AC11" s="293" t="s">
        <v>453</v>
      </c>
      <c r="AD11" s="293" t="s">
        <v>18</v>
      </c>
      <c r="AE11" s="293" t="s">
        <v>453</v>
      </c>
      <c r="AI11" s="300" t="s">
        <v>455</v>
      </c>
      <c r="AJ11" s="301"/>
      <c r="AK11" s="301"/>
      <c r="AL11" s="301"/>
      <c r="AM11" s="301"/>
      <c r="AN11" s="301"/>
      <c r="AO11" s="301"/>
      <c r="AP11" s="301"/>
      <c r="AQ11" s="301"/>
    </row>
    <row r="12" spans="1:45" x14ac:dyDescent="0.2">
      <c r="A12" s="176" t="str">
        <f>Intro!M11</f>
        <v>Ending 9/30</v>
      </c>
      <c r="C12" s="328">
        <v>250000</v>
      </c>
      <c r="E12" s="328">
        <v>350000</v>
      </c>
      <c r="G12" s="328">
        <v>500000</v>
      </c>
      <c r="I12" s="328">
        <v>750000</v>
      </c>
      <c r="K12" s="329" t="s">
        <v>34</v>
      </c>
      <c r="M12" s="329" t="s">
        <v>423</v>
      </c>
      <c r="O12" s="251" t="s">
        <v>6</v>
      </c>
      <c r="Q12" s="251" t="s">
        <v>8</v>
      </c>
      <c r="S12" s="251" t="s">
        <v>8</v>
      </c>
      <c r="U12" s="299" t="s">
        <v>60</v>
      </c>
      <c r="V12" s="299" t="s">
        <v>441</v>
      </c>
      <c r="W12" s="299" t="s">
        <v>15</v>
      </c>
      <c r="Y12" s="299" t="s">
        <v>409</v>
      </c>
      <c r="Z12" s="343" t="s">
        <v>409</v>
      </c>
      <c r="AA12" s="370"/>
      <c r="AB12" s="299" t="s">
        <v>423</v>
      </c>
      <c r="AC12" s="299" t="s">
        <v>454</v>
      </c>
      <c r="AD12" s="299" t="s">
        <v>34</v>
      </c>
      <c r="AE12" s="299" t="s">
        <v>454</v>
      </c>
      <c r="AG12" s="299" t="s">
        <v>352</v>
      </c>
      <c r="AI12" s="328">
        <v>250000</v>
      </c>
      <c r="AK12" s="328">
        <v>350000</v>
      </c>
      <c r="AM12" s="328">
        <v>500000</v>
      </c>
      <c r="AO12" s="333">
        <v>750000</v>
      </c>
      <c r="AQ12" s="334" t="s">
        <v>34</v>
      </c>
    </row>
    <row r="13" spans="1:45" x14ac:dyDescent="0.2">
      <c r="C13" s="268" t="s">
        <v>424</v>
      </c>
      <c r="E13" s="268" t="s">
        <v>425</v>
      </c>
      <c r="G13" s="268" t="s">
        <v>426</v>
      </c>
      <c r="I13" s="287" t="s">
        <v>427</v>
      </c>
      <c r="K13" s="287" t="s">
        <v>428</v>
      </c>
      <c r="M13" s="287" t="s">
        <v>456</v>
      </c>
      <c r="O13" s="268" t="s">
        <v>230</v>
      </c>
      <c r="Q13" s="268" t="s">
        <v>231</v>
      </c>
      <c r="S13" s="268" t="s">
        <v>232</v>
      </c>
    </row>
    <row r="15" spans="1:45" x14ac:dyDescent="0.2">
      <c r="A15" s="151">
        <f>Intro!C18</f>
        <v>1996</v>
      </c>
      <c r="C15" s="297">
        <f t="shared" ref="C15" ca="1" si="0">$M$48 / ($U15 * AI15) * $V15</f>
        <v>9.0457668366623096</v>
      </c>
      <c r="E15" s="297">
        <f t="shared" ref="E15" ca="1" si="1">$M$64 / ($U15 * AK15) * $V15</f>
        <v>9.1001001884116732</v>
      </c>
      <c r="G15" s="297">
        <f t="shared" ref="G15" ca="1" si="2">$M$65 / ($U15 * AM15) * $V15</f>
        <v>8.9195011932011035</v>
      </c>
      <c r="I15" s="297">
        <f t="shared" ref="I15" ca="1" si="3">$M$66 / ($U15 * AO15) * $V15</f>
        <v>8.8973005193715391</v>
      </c>
      <c r="K15" s="297">
        <f t="shared" ref="K15" ca="1" si="4">$M$67 / ($U15 * AQ15) * $V15</f>
        <v>9.3633294526064503</v>
      </c>
      <c r="M15" s="330">
        <f ca="1">C15</f>
        <v>9.0457668366623096</v>
      </c>
      <c r="O15" s="289">
        <f>Intro!K18</f>
        <v>51718.748</v>
      </c>
      <c r="Q15" s="289">
        <f ca="1">$O15 * M15</f>
        <v>467835.73549209518</v>
      </c>
      <c r="S15" s="289">
        <f ca="1">$O15 * K15</f>
        <v>484259.67640033097</v>
      </c>
      <c r="U15" s="266">
        <f>Intro!J18</f>
        <v>1.1429772558804836</v>
      </c>
      <c r="V15" s="266">
        <f>Intro!L18</f>
        <v>0.77330581975421253</v>
      </c>
      <c r="W15" s="252">
        <f>Intro!H18</f>
        <v>250000</v>
      </c>
      <c r="Y15" s="290">
        <f t="shared" ref="Y15:Y36" ca="1" si="5">O15*C15</f>
        <v>467835.73549209518</v>
      </c>
      <c r="Z15" s="290">
        <f ca="1">S15-Q15</f>
        <v>16423.940908235789</v>
      </c>
      <c r="AB15" s="304">
        <v>472649.66643362399</v>
      </c>
      <c r="AC15" s="337">
        <f ca="1">Q15/AB15-1</f>
        <v>-1.0184987493701891E-2</v>
      </c>
      <c r="AD15" s="304">
        <v>462319.72680460231</v>
      </c>
      <c r="AE15" s="337">
        <f t="shared" ref="AE15:AE35" ca="1" si="6">S15/AD15-1</f>
        <v>4.7456226337928786E-2</v>
      </c>
      <c r="AG15" s="268">
        <f>Intro!G18</f>
        <v>23</v>
      </c>
      <c r="AI15" s="266">
        <f t="shared" ref="AI15:AI38" si="7">(1+AI$10) ^ $AG15</f>
        <v>1.1087883264177878</v>
      </c>
      <c r="AK15" s="266">
        <f t="shared" ref="AK15:AK38" si="8">(1+AK$10) ^ $AG15</f>
        <v>1.1740262914748105</v>
      </c>
      <c r="AM15" s="266">
        <f t="shared" ref="AM15:AM38" si="9">(1+AM$10) ^ $AG15</f>
        <v>1.2429264652993093</v>
      </c>
      <c r="AO15" s="266">
        <f t="shared" ref="AO15:AO38" si="10">(1+AO$10) ^ $AG15</f>
        <v>1.2861054499783418</v>
      </c>
      <c r="AQ15" s="266">
        <f t="shared" ref="AQ15:AQ38" si="11">(1+AQ$10) ^ $AG15</f>
        <v>1.3156845886536279</v>
      </c>
      <c r="AS15" s="222" t="b">
        <f>AND(AK15&gt;=AI15, AM15&gt;=AK15, AO15&gt;=AM15, AQ15&gt;=AO15)</f>
        <v>1</v>
      </c>
    </row>
    <row r="16" spans="1:45" x14ac:dyDescent="0.2">
      <c r="A16" s="151">
        <f>Intro!C19</f>
        <v>1997</v>
      </c>
      <c r="C16" s="295">
        <f t="shared" ref="C16:C38" ca="1" si="12">$M$48 / ($U16 * AI16) * $V16</f>
        <v>8.9635494287428035</v>
      </c>
      <c r="D16" s="295"/>
      <c r="E16" s="295">
        <f t="shared" ref="E16:E38" ca="1" si="13">$M$64 / ($U16 * AK16) * $V16</f>
        <v>9.0398314232462411</v>
      </c>
      <c r="F16" s="295"/>
      <c r="G16" s="295">
        <f t="shared" ref="G16:G38" ca="1" si="14">$M$65 / ($U16 * AM16) * $V16</f>
        <v>8.8824256030351023</v>
      </c>
      <c r="H16" s="295"/>
      <c r="I16" s="295">
        <f t="shared" ref="I16:I38" ca="1" si="15">$M$66 / ($U16 * AO16) * $V16</f>
        <v>8.8734826149696904</v>
      </c>
      <c r="J16" s="295"/>
      <c r="K16" s="295">
        <f t="shared" ref="K16:K38" ca="1" si="16">$M$67 / ($U16 * AQ16) * $V16</f>
        <v>9.3475006583365499</v>
      </c>
      <c r="M16" s="325">
        <f t="shared" ref="M16:M22" ca="1" si="17">C16</f>
        <v>8.9635494287428035</v>
      </c>
      <c r="O16" s="291">
        <f>Intro!K19</f>
        <v>71279.833180000031</v>
      </c>
      <c r="Q16" s="290">
        <f t="shared" ref="Q16:Q38" ca="1" si="18">$O16 * M16</f>
        <v>638920.30798147165</v>
      </c>
      <c r="S16" s="290">
        <f t="shared" ref="S16:S38" ca="1" si="19">$O16 * K16</f>
        <v>666288.28757616971</v>
      </c>
      <c r="U16" s="266">
        <f>Intro!J19</f>
        <v>1.1586516942611411</v>
      </c>
      <c r="V16" s="266">
        <f>Intro!L19</f>
        <v>0.77330581975421253</v>
      </c>
      <c r="W16" s="252">
        <f>Intro!H19</f>
        <v>250000</v>
      </c>
      <c r="Y16" s="290">
        <f t="shared" ca="1" si="5"/>
        <v>638920.30798147165</v>
      </c>
      <c r="Z16" s="290">
        <f t="shared" ref="Z16:Z36" ca="1" si="20">S16-Q16</f>
        <v>27367.979594698059</v>
      </c>
      <c r="AB16" s="304">
        <v>646783.72191148112</v>
      </c>
      <c r="AC16" s="337">
        <f t="shared" ref="AC16:AC38" ca="1" si="21">Q16/AB16-1</f>
        <v>-1.2157717740282958E-2</v>
      </c>
      <c r="AD16" s="304">
        <v>638946.15428761835</v>
      </c>
      <c r="AE16" s="337">
        <f t="shared" ca="1" si="6"/>
        <v>4.2792546922887365E-2</v>
      </c>
      <c r="AG16" s="268">
        <f>Intro!G19</f>
        <v>22</v>
      </c>
      <c r="AI16" s="266">
        <f t="shared" si="7"/>
        <v>1.1038211313268169</v>
      </c>
      <c r="AK16" s="266">
        <f t="shared" si="8"/>
        <v>1.1658652348309939</v>
      </c>
      <c r="AM16" s="266">
        <f t="shared" si="9"/>
        <v>1.2312297823668243</v>
      </c>
      <c r="AO16" s="266">
        <f t="shared" si="10"/>
        <v>1.2721122156066684</v>
      </c>
      <c r="AQ16" s="266">
        <f t="shared" si="11"/>
        <v>1.3000835856261141</v>
      </c>
      <c r="AS16" s="222" t="b">
        <f t="shared" ref="AS16:AS38" si="22">AND(AK16&gt;=AI16, AM16&gt;=AK16, AO16&gt;=AM16, AQ16&gt;=AO16)</f>
        <v>1</v>
      </c>
    </row>
    <row r="17" spans="1:45" x14ac:dyDescent="0.2">
      <c r="A17" s="151">
        <f>Intro!C20</f>
        <v>1998</v>
      </c>
      <c r="C17" s="295">
        <f t="shared" ca="1" si="12"/>
        <v>9.0936913660140419</v>
      </c>
      <c r="D17" s="295"/>
      <c r="E17" s="295">
        <f t="shared" ca="1" si="13"/>
        <v>9.1939058899802042</v>
      </c>
      <c r="F17" s="295"/>
      <c r="G17" s="295">
        <f t="shared" ca="1" si="14"/>
        <v>9.056244802562146</v>
      </c>
      <c r="H17" s="295"/>
      <c r="I17" s="295">
        <f t="shared" ca="1" si="15"/>
        <v>9.0605697920444168</v>
      </c>
      <c r="J17" s="295"/>
      <c r="K17" s="295">
        <f t="shared" ca="1" si="16"/>
        <v>9.5540226946572702</v>
      </c>
      <c r="M17" s="325">
        <f t="shared" ca="1" si="17"/>
        <v>9.0936913660140419</v>
      </c>
      <c r="O17" s="291">
        <f>Intro!K20</f>
        <v>90725.935539999991</v>
      </c>
      <c r="Q17" s="290">
        <f t="shared" ca="1" si="18"/>
        <v>825033.65669364447</v>
      </c>
      <c r="S17" s="290">
        <f t="shared" ca="1" si="19"/>
        <v>866797.64714317257</v>
      </c>
      <c r="U17" s="266">
        <f>Intro!J20</f>
        <v>1.1472092745516156</v>
      </c>
      <c r="V17" s="266">
        <f>Intro!L20</f>
        <v>0.77330581975421253</v>
      </c>
      <c r="W17" s="252">
        <f>Intro!H20</f>
        <v>250000</v>
      </c>
      <c r="Y17" s="290">
        <f t="shared" ca="1" si="5"/>
        <v>825033.65669364447</v>
      </c>
      <c r="Z17" s="290">
        <f t="shared" ca="1" si="20"/>
        <v>41763.990449528093</v>
      </c>
      <c r="AB17" s="304">
        <v>835378.19065784907</v>
      </c>
      <c r="AC17" s="337">
        <f t="shared" ca="1" si="21"/>
        <v>-1.238305486052782E-2</v>
      </c>
      <c r="AD17" s="304">
        <v>833470.86388199381</v>
      </c>
      <c r="AE17" s="337">
        <f t="shared" ca="1" si="6"/>
        <v>3.9985540833371358E-2</v>
      </c>
      <c r="AG17" s="268">
        <f>Intro!G20</f>
        <v>21</v>
      </c>
      <c r="AI17" s="266">
        <f t="shared" si="7"/>
        <v>1.0988761884786631</v>
      </c>
      <c r="AK17" s="266">
        <f t="shared" si="8"/>
        <v>1.1577609084716922</v>
      </c>
      <c r="AM17" s="266">
        <f t="shared" si="9"/>
        <v>1.2196431722306333</v>
      </c>
      <c r="AO17" s="266">
        <f t="shared" si="10"/>
        <v>1.2582712320540737</v>
      </c>
      <c r="AQ17" s="266">
        <f t="shared" si="11"/>
        <v>1.2846675747293621</v>
      </c>
      <c r="AS17" s="222" t="b">
        <f t="shared" si="22"/>
        <v>1</v>
      </c>
    </row>
    <row r="18" spans="1:45" x14ac:dyDescent="0.2">
      <c r="A18" s="151">
        <f>Intro!C21</f>
        <v>1999</v>
      </c>
      <c r="C18" s="295">
        <f t="shared" ca="1" si="12"/>
        <v>9.2057247764515164</v>
      </c>
      <c r="D18" s="295"/>
      <c r="E18" s="295">
        <f t="shared" ca="1" si="13"/>
        <v>9.3303376319889164</v>
      </c>
      <c r="F18" s="295"/>
      <c r="G18" s="295">
        <f t="shared" ca="1" si="14"/>
        <v>9.2134506074868145</v>
      </c>
      <c r="H18" s="295"/>
      <c r="I18" s="295">
        <f t="shared" ca="1" si="15"/>
        <v>9.2315473314837835</v>
      </c>
      <c r="J18" s="295"/>
      <c r="K18" s="295">
        <f t="shared" ca="1" si="16"/>
        <v>9.743940339754646</v>
      </c>
      <c r="M18" s="325">
        <f t="shared" ca="1" si="17"/>
        <v>9.2057247764515164</v>
      </c>
      <c r="O18" s="291">
        <f>Intro!K21</f>
        <v>115828.16377000001</v>
      </c>
      <c r="Q18" s="290">
        <f t="shared" ca="1" si="18"/>
        <v>1066282.1970283729</v>
      </c>
      <c r="S18" s="290">
        <f t="shared" ca="1" si="19"/>
        <v>1128622.7174382107</v>
      </c>
      <c r="U18" s="266">
        <f>Intro!J21</f>
        <v>1.1383473850581671</v>
      </c>
      <c r="V18" s="266">
        <f>Intro!L21</f>
        <v>0.77330581975421253</v>
      </c>
      <c r="W18" s="252">
        <f>Intro!H21</f>
        <v>250000</v>
      </c>
      <c r="Y18" s="290">
        <f t="shared" ca="1" si="5"/>
        <v>1066282.1970283729</v>
      </c>
      <c r="Z18" s="290">
        <f t="shared" ca="1" si="20"/>
        <v>62340.520409837831</v>
      </c>
      <c r="AB18" s="304">
        <v>1079806.6184282058</v>
      </c>
      <c r="AC18" s="337">
        <f t="shared" ca="1" si="21"/>
        <v>-1.2524855070363827E-2</v>
      </c>
      <c r="AD18" s="304">
        <v>1088066.3641960262</v>
      </c>
      <c r="AE18" s="337">
        <f t="shared" ca="1" si="6"/>
        <v>3.7273786394593333E-2</v>
      </c>
      <c r="AG18" s="268">
        <f>Intro!G21</f>
        <v>20</v>
      </c>
      <c r="AI18" s="266">
        <f t="shared" si="7"/>
        <v>1.0939533981868226</v>
      </c>
      <c r="AK18" s="266">
        <f t="shared" si="8"/>
        <v>1.1497129180453747</v>
      </c>
      <c r="AM18" s="266">
        <f t="shared" si="9"/>
        <v>1.2081655990397555</v>
      </c>
      <c r="AO18" s="266">
        <f t="shared" si="10"/>
        <v>1.2445808427834559</v>
      </c>
      <c r="AQ18" s="266">
        <f t="shared" si="11"/>
        <v>1.2694343623807924</v>
      </c>
      <c r="AS18" s="222" t="b">
        <f t="shared" si="22"/>
        <v>1</v>
      </c>
    </row>
    <row r="19" spans="1:45" x14ac:dyDescent="0.2">
      <c r="A19" s="151">
        <f>Intro!C22</f>
        <v>2000</v>
      </c>
      <c r="C19" s="295">
        <f t="shared" ca="1" si="12"/>
        <v>9.3345776999763395</v>
      </c>
      <c r="D19" s="295"/>
      <c r="E19" s="295">
        <f t="shared" ca="1" si="13"/>
        <v>9.4844811451992328</v>
      </c>
      <c r="F19" s="295"/>
      <c r="G19" s="295">
        <f t="shared" ca="1" si="14"/>
        <v>9.3889144655671952</v>
      </c>
      <c r="H19" s="295"/>
      <c r="I19" s="295">
        <f t="shared" ca="1" si="15"/>
        <v>9.4213340697408494</v>
      </c>
      <c r="J19" s="295"/>
      <c r="K19" s="295">
        <f t="shared" ca="1" si="16"/>
        <v>9.9540971725424381</v>
      </c>
      <c r="M19" s="325">
        <f t="shared" ca="1" si="17"/>
        <v>9.3345776999763395</v>
      </c>
      <c r="O19" s="291">
        <f>Intro!K22</f>
        <v>86853.122530000022</v>
      </c>
      <c r="Q19" s="290">
        <f t="shared" ca="1" si="18"/>
        <v>810737.22074185079</v>
      </c>
      <c r="S19" s="290">
        <f t="shared" ca="1" si="19"/>
        <v>864544.42140235519</v>
      </c>
      <c r="U19" s="266">
        <f>Intro!J22</f>
        <v>1.1276856835351232</v>
      </c>
      <c r="V19" s="266">
        <f>Intro!L22</f>
        <v>0.77330581975421253</v>
      </c>
      <c r="W19" s="252">
        <f>Intro!H22</f>
        <v>250000</v>
      </c>
      <c r="Y19" s="290">
        <f t="shared" ca="1" si="5"/>
        <v>810737.22074185079</v>
      </c>
      <c r="Z19" s="290">
        <f t="shared" ca="1" si="20"/>
        <v>53807.200660504401</v>
      </c>
      <c r="AB19" s="304">
        <v>821310.18881432049</v>
      </c>
      <c r="AC19" s="337">
        <f t="shared" ca="1" si="21"/>
        <v>-1.2873294665604162E-2</v>
      </c>
      <c r="AD19" s="304">
        <v>835831.47378382366</v>
      </c>
      <c r="AE19" s="337">
        <f t="shared" ca="1" si="6"/>
        <v>3.4352556130182066E-2</v>
      </c>
      <c r="AG19" s="268">
        <f>Intro!G22</f>
        <v>19</v>
      </c>
      <c r="AI19" s="266">
        <f t="shared" si="7"/>
        <v>1.0890526612113716</v>
      </c>
      <c r="AK19" s="266">
        <f t="shared" si="8"/>
        <v>1.1417208719417822</v>
      </c>
      <c r="AM19" s="266">
        <f t="shared" si="9"/>
        <v>1.1967960366911894</v>
      </c>
      <c r="AO19" s="266">
        <f t="shared" si="10"/>
        <v>1.231039409281361</v>
      </c>
      <c r="AQ19" s="266">
        <f t="shared" si="11"/>
        <v>1.2543817810086884</v>
      </c>
      <c r="AS19" s="222" t="b">
        <f t="shared" si="22"/>
        <v>1</v>
      </c>
    </row>
    <row r="20" spans="1:45" x14ac:dyDescent="0.2">
      <c r="A20" s="151">
        <f>Intro!C23</f>
        <v>2001</v>
      </c>
      <c r="C20" s="295">
        <f t="shared" ca="1" si="12"/>
        <v>9.4765590118734444</v>
      </c>
      <c r="D20" s="295"/>
      <c r="E20" s="295">
        <f t="shared" ca="1" si="13"/>
        <v>9.652706545034988</v>
      </c>
      <c r="F20" s="295"/>
      <c r="G20" s="295">
        <f t="shared" ca="1" si="14"/>
        <v>9.5791673618330417</v>
      </c>
      <c r="H20" s="295"/>
      <c r="I20" s="295">
        <f t="shared" ca="1" si="15"/>
        <v>9.6265265832148295</v>
      </c>
      <c r="J20" s="295"/>
      <c r="K20" s="295">
        <f t="shared" ca="1" si="16"/>
        <v>10.18095326263593</v>
      </c>
      <c r="M20" s="325">
        <f t="shared" ca="1" si="17"/>
        <v>9.4765590118734444</v>
      </c>
      <c r="O20" s="291">
        <f>Intro!K23</f>
        <v>91838.194909999977</v>
      </c>
      <c r="Q20" s="290">
        <f t="shared" ca="1" si="18"/>
        <v>870310.07360855013</v>
      </c>
      <c r="S20" s="290">
        <f t="shared" ca="1" si="19"/>
        <v>935000.37010355864</v>
      </c>
      <c r="U20" s="266">
        <f>Intro!J23</f>
        <v>1.1157888358226624</v>
      </c>
      <c r="V20" s="266">
        <f>Intro!L23</f>
        <v>0.77330581975421253</v>
      </c>
      <c r="W20" s="252">
        <f>Intro!H23</f>
        <v>250000</v>
      </c>
      <c r="Y20" s="290">
        <f t="shared" ca="1" si="5"/>
        <v>870310.07360855013</v>
      </c>
      <c r="Z20" s="290">
        <f t="shared" ca="1" si="20"/>
        <v>64690.296495008515</v>
      </c>
      <c r="AB20" s="304">
        <v>882029.02962359565</v>
      </c>
      <c r="AC20" s="337">
        <f t="shared" ca="1" si="21"/>
        <v>-1.3286360903616234E-2</v>
      </c>
      <c r="AD20" s="304">
        <v>906559.88870603836</v>
      </c>
      <c r="AE20" s="337">
        <f t="shared" ca="1" si="6"/>
        <v>3.1371872671439593E-2</v>
      </c>
      <c r="AG20" s="268">
        <f>Intro!G23</f>
        <v>18</v>
      </c>
      <c r="AI20" s="266">
        <f t="shared" si="7"/>
        <v>1.0841738787569652</v>
      </c>
      <c r="AK20" s="266">
        <f t="shared" si="8"/>
        <v>1.1337843812728723</v>
      </c>
      <c r="AM20" s="266">
        <f t="shared" si="9"/>
        <v>1.1855334687381767</v>
      </c>
      <c r="AO20" s="266">
        <f t="shared" si="10"/>
        <v>1.2176453108618803</v>
      </c>
      <c r="AQ20" s="266">
        <f t="shared" si="11"/>
        <v>1.239507688743763</v>
      </c>
      <c r="AS20" s="222" t="b">
        <f t="shared" si="22"/>
        <v>1</v>
      </c>
    </row>
    <row r="21" spans="1:45" x14ac:dyDescent="0.2">
      <c r="A21" s="151">
        <f>Intro!C24</f>
        <v>2002</v>
      </c>
      <c r="C21" s="295">
        <f t="shared" ca="1" si="12"/>
        <v>9.616604858404548</v>
      </c>
      <c r="D21" s="295"/>
      <c r="E21" s="295">
        <f t="shared" ca="1" si="13"/>
        <v>9.8197342079110257</v>
      </c>
      <c r="F21" s="295"/>
      <c r="G21" s="295">
        <f t="shared" ca="1" si="14"/>
        <v>9.7691154794153423</v>
      </c>
      <c r="H21" s="295"/>
      <c r="I21" s="295">
        <f t="shared" ca="1" si="15"/>
        <v>9.8320013397601951</v>
      </c>
      <c r="J21" s="295"/>
      <c r="K21" s="295">
        <f t="shared" ca="1" si="16"/>
        <v>10.408547183436539</v>
      </c>
      <c r="M21" s="325">
        <f t="shared" ca="1" si="17"/>
        <v>9.616604858404548</v>
      </c>
      <c r="O21" s="291">
        <f>Intro!K24</f>
        <v>86098.134999999995</v>
      </c>
      <c r="Q21" s="290">
        <f t="shared" ca="1" si="18"/>
        <v>827971.7433405706</v>
      </c>
      <c r="S21" s="290">
        <f t="shared" ca="1" si="19"/>
        <v>896156.50055338885</v>
      </c>
      <c r="U21" s="266">
        <f>Intro!J24</f>
        <v>1.1044876209657188</v>
      </c>
      <c r="V21" s="266">
        <f>Intro!L24</f>
        <v>0.77330581975421253</v>
      </c>
      <c r="W21" s="252">
        <f>Intro!H24</f>
        <v>250000</v>
      </c>
      <c r="Y21" s="290">
        <f t="shared" ca="1" si="5"/>
        <v>827971.7433405706</v>
      </c>
      <c r="Z21" s="290">
        <f t="shared" ca="1" si="20"/>
        <v>68184.757212818251</v>
      </c>
      <c r="AB21" s="304">
        <v>839721.86708387278</v>
      </c>
      <c r="AC21" s="337">
        <f t="shared" ca="1" si="21"/>
        <v>-1.3992875741234645E-2</v>
      </c>
      <c r="AD21" s="304">
        <v>871668.18213028728</v>
      </c>
      <c r="AE21" s="337">
        <f t="shared" ca="1" si="6"/>
        <v>2.8093624300079556E-2</v>
      </c>
      <c r="AG21" s="268">
        <f>Intro!G24</f>
        <v>17</v>
      </c>
      <c r="AI21" s="266">
        <f t="shared" si="7"/>
        <v>1.0793169524708466</v>
      </c>
      <c r="AK21" s="266">
        <f t="shared" si="8"/>
        <v>1.1259030598538953</v>
      </c>
      <c r="AM21" s="266">
        <f t="shared" si="9"/>
        <v>1.1743768882993328</v>
      </c>
      <c r="AO21" s="266">
        <f t="shared" si="10"/>
        <v>1.204396944472681</v>
      </c>
      <c r="AQ21" s="266">
        <f t="shared" si="11"/>
        <v>1.2248099691143906</v>
      </c>
      <c r="AS21" s="222" t="b">
        <f t="shared" si="22"/>
        <v>1</v>
      </c>
    </row>
    <row r="22" spans="1:45" x14ac:dyDescent="0.2">
      <c r="A22" s="151">
        <f>Intro!C25</f>
        <v>2003</v>
      </c>
      <c r="C22" s="295">
        <f t="shared" ca="1" si="12"/>
        <v>9.9310529538886527</v>
      </c>
      <c r="D22" s="295"/>
      <c r="E22" s="295">
        <f t="shared" ca="1" si="13"/>
        <v>10.166062806348286</v>
      </c>
      <c r="F22" s="295"/>
      <c r="G22" s="295">
        <f t="shared" ca="1" si="14"/>
        <v>10.13876721285528</v>
      </c>
      <c r="H22" s="295"/>
      <c r="I22" s="295">
        <f t="shared" ca="1" si="15"/>
        <v>10.219194609313842</v>
      </c>
      <c r="J22" s="295"/>
      <c r="K22" s="295">
        <f t="shared" ca="1" si="16"/>
        <v>10.829146096651712</v>
      </c>
      <c r="M22" s="325">
        <f t="shared" ca="1" si="17"/>
        <v>9.9310529538886527</v>
      </c>
      <c r="O22" s="291">
        <f>Intro!K25</f>
        <v>95877.160999999993</v>
      </c>
      <c r="Q22" s="290">
        <f t="shared" ca="1" si="18"/>
        <v>952161.1629595079</v>
      </c>
      <c r="S22" s="290">
        <f t="shared" ca="1" si="19"/>
        <v>1038267.7838011977</v>
      </c>
      <c r="U22" s="266">
        <f>Intro!J25</f>
        <v>1.0980216306970509</v>
      </c>
      <c r="V22" s="266">
        <f>Intro!L25</f>
        <v>0.79035991647913106</v>
      </c>
      <c r="W22" s="252">
        <f>Intro!H25</f>
        <v>250000</v>
      </c>
      <c r="Y22" s="290">
        <f t="shared" ca="1" si="5"/>
        <v>952161.1629595079</v>
      </c>
      <c r="Z22" s="290">
        <f t="shared" ca="1" si="20"/>
        <v>86106.620841689757</v>
      </c>
      <c r="AB22" s="304">
        <v>961699.05528271163</v>
      </c>
      <c r="AC22" s="337">
        <f t="shared" ca="1" si="21"/>
        <v>-9.9177515781170289E-3</v>
      </c>
      <c r="AD22" s="304">
        <v>1008223.9982248665</v>
      </c>
      <c r="AE22" s="337">
        <f t="shared" ca="1" si="6"/>
        <v>2.9798720948150281E-2</v>
      </c>
      <c r="AG22" s="268">
        <f>Intro!G25</f>
        <v>16</v>
      </c>
      <c r="AI22" s="266">
        <f t="shared" si="7"/>
        <v>1.0744817844408627</v>
      </c>
      <c r="AK22" s="266">
        <f t="shared" si="8"/>
        <v>1.1180765241846031</v>
      </c>
      <c r="AM22" s="266">
        <f t="shared" si="9"/>
        <v>1.1633252979686308</v>
      </c>
      <c r="AO22" s="266">
        <f t="shared" si="10"/>
        <v>1.1912927245031464</v>
      </c>
      <c r="AQ22" s="266">
        <f t="shared" si="11"/>
        <v>1.2102865307454451</v>
      </c>
      <c r="AS22" s="222" t="b">
        <f t="shared" si="22"/>
        <v>1</v>
      </c>
    </row>
    <row r="23" spans="1:45" x14ac:dyDescent="0.2">
      <c r="A23" s="151">
        <f>Intro!C26</f>
        <v>2004</v>
      </c>
      <c r="C23" s="295">
        <f t="shared" ca="1" si="12"/>
        <v>9.8096720597751581</v>
      </c>
      <c r="D23" s="295"/>
      <c r="E23" s="295">
        <f t="shared" ca="1" si="13"/>
        <v>10.066801597033026</v>
      </c>
      <c r="F23" s="295"/>
      <c r="G23" s="295">
        <f t="shared" ca="1" si="14"/>
        <v>10.064697473699493</v>
      </c>
      <c r="H23" s="295"/>
      <c r="I23" s="295">
        <f t="shared" ca="1" si="15"/>
        <v>10.159610906763236</v>
      </c>
      <c r="J23" s="295"/>
      <c r="K23" s="295">
        <f t="shared" ca="1" si="16"/>
        <v>10.776654899344503</v>
      </c>
      <c r="M23" s="324">
        <f ca="1">E23</f>
        <v>10.066801597033026</v>
      </c>
      <c r="O23" s="291">
        <f>Intro!K26</f>
        <v>102137.68700000001</v>
      </c>
      <c r="Q23" s="290">
        <f t="shared" ca="1" si="18"/>
        <v>1028199.8306088593</v>
      </c>
      <c r="S23" s="290">
        <f t="shared" ca="1" si="19"/>
        <v>1100702.6050162655</v>
      </c>
      <c r="U23" s="266">
        <f>Intro!J26</f>
        <v>1.1043638048521249</v>
      </c>
      <c r="V23" s="266">
        <f>Intro!L26</f>
        <v>0.78169156504546589</v>
      </c>
      <c r="W23" s="252">
        <f>Intro!H26</f>
        <v>350000</v>
      </c>
      <c r="Y23" s="290">
        <f t="shared" ca="1" si="5"/>
        <v>1001937.2144139605</v>
      </c>
      <c r="Z23" s="290">
        <f t="shared" ca="1" si="20"/>
        <v>72502.774407406221</v>
      </c>
      <c r="AB23" s="304">
        <v>1040852.9117865651</v>
      </c>
      <c r="AC23" s="337">
        <f t="shared" ca="1" si="21"/>
        <v>-1.2156454609890566E-2</v>
      </c>
      <c r="AD23" s="304">
        <v>1071164.4664665111</v>
      </c>
      <c r="AE23" s="337">
        <f t="shared" ca="1" si="6"/>
        <v>2.7575726673601197E-2</v>
      </c>
      <c r="AG23" s="268">
        <f>Intro!G26</f>
        <v>15</v>
      </c>
      <c r="AI23" s="266">
        <f t="shared" si="7"/>
        <v>1.0696682771934924</v>
      </c>
      <c r="AK23" s="266">
        <f t="shared" si="8"/>
        <v>1.110304393430589</v>
      </c>
      <c r="AM23" s="266">
        <f t="shared" si="9"/>
        <v>1.1523777097262315</v>
      </c>
      <c r="AO23" s="266">
        <f t="shared" si="10"/>
        <v>1.1783310825946058</v>
      </c>
      <c r="AQ23" s="266">
        <f t="shared" si="11"/>
        <v>1.1959353070607166</v>
      </c>
      <c r="AS23" s="222" t="b">
        <f t="shared" si="22"/>
        <v>1</v>
      </c>
    </row>
    <row r="24" spans="1:45" x14ac:dyDescent="0.2">
      <c r="A24" s="151">
        <f>Intro!C27</f>
        <v>2005</v>
      </c>
      <c r="C24" s="295">
        <f t="shared" ca="1" si="12"/>
        <v>9.9334412549344684</v>
      </c>
      <c r="D24" s="295"/>
      <c r="E24" s="295">
        <f t="shared" ca="1" si="13"/>
        <v>10.219185381172375</v>
      </c>
      <c r="F24" s="295"/>
      <c r="G24" s="295">
        <f t="shared" ca="1" si="14"/>
        <v>10.242414475220407</v>
      </c>
      <c r="H24" s="295"/>
      <c r="I24" s="295">
        <f t="shared" ca="1" si="15"/>
        <v>10.354366399936019</v>
      </c>
      <c r="J24" s="295"/>
      <c r="K24" s="295">
        <f t="shared" ca="1" si="16"/>
        <v>10.99410260561084</v>
      </c>
      <c r="M24" s="324">
        <f t="shared" ref="M24:M26" ca="1" si="23">E24</f>
        <v>10.219185381172375</v>
      </c>
      <c r="O24" s="291">
        <f>Intro!K27</f>
        <v>111292.39200000001</v>
      </c>
      <c r="Q24" s="290">
        <f t="shared" ca="1" si="18"/>
        <v>1137317.5853621054</v>
      </c>
      <c r="S24" s="290">
        <f t="shared" ca="1" si="19"/>
        <v>1223559.976871863</v>
      </c>
      <c r="U24" s="266">
        <f>Intro!J27</f>
        <v>1.0993295241734087</v>
      </c>
      <c r="V24" s="266">
        <f>Intro!L27</f>
        <v>0.78441601299858521</v>
      </c>
      <c r="W24" s="252">
        <f>Intro!H27</f>
        <v>350000</v>
      </c>
      <c r="Y24" s="290">
        <f t="shared" ca="1" si="5"/>
        <v>1105516.4380531388</v>
      </c>
      <c r="Z24" s="290">
        <f t="shared" ca="1" si="20"/>
        <v>86242.39150975761</v>
      </c>
      <c r="AB24" s="304">
        <v>1149980.3566341456</v>
      </c>
      <c r="AC24" s="337">
        <f t="shared" ca="1" si="21"/>
        <v>-1.1011293539919809E-2</v>
      </c>
      <c r="AD24" s="304">
        <v>1192284.2275965069</v>
      </c>
      <c r="AE24" s="337">
        <f t="shared" ca="1" si="6"/>
        <v>2.6231789829514129E-2</v>
      </c>
      <c r="AG24" s="268">
        <f>Intro!G27</f>
        <v>14</v>
      </c>
      <c r="AI24" s="266">
        <f t="shared" si="7"/>
        <v>1.064876333691879</v>
      </c>
      <c r="AK24" s="266">
        <f t="shared" si="8"/>
        <v>1.102586289404756</v>
      </c>
      <c r="AM24" s="266">
        <f t="shared" si="9"/>
        <v>1.1415331448501551</v>
      </c>
      <c r="AO24" s="266">
        <f t="shared" si="10"/>
        <v>1.1655104674526271</v>
      </c>
      <c r="AQ24" s="266">
        <f t="shared" si="11"/>
        <v>1.1817542559888501</v>
      </c>
      <c r="AS24" s="222" t="b">
        <f t="shared" si="22"/>
        <v>1</v>
      </c>
    </row>
    <row r="25" spans="1:45" x14ac:dyDescent="0.2">
      <c r="A25" s="151">
        <f>Intro!C28</f>
        <v>2006</v>
      </c>
      <c r="C25" s="295">
        <f t="shared" ca="1" si="12"/>
        <v>10.305278259393207</v>
      </c>
      <c r="D25" s="295"/>
      <c r="E25" s="295">
        <f t="shared" ca="1" si="13"/>
        <v>10.628104163780257</v>
      </c>
      <c r="F25" s="295"/>
      <c r="G25" s="295">
        <f t="shared" ca="1" si="14"/>
        <v>10.67870830380847</v>
      </c>
      <c r="H25" s="295"/>
      <c r="I25" s="295">
        <f t="shared" ca="1" si="15"/>
        <v>10.811469775856784</v>
      </c>
      <c r="J25" s="295"/>
      <c r="K25" s="295">
        <f t="shared" ca="1" si="16"/>
        <v>11.490802293936284</v>
      </c>
      <c r="M25" s="324">
        <f t="shared" ca="1" si="23"/>
        <v>10.628104163780257</v>
      </c>
      <c r="O25" s="291">
        <f>Intro!K28</f>
        <v>107756.82399999999</v>
      </c>
      <c r="Q25" s="290">
        <f t="shared" ca="1" si="18"/>
        <v>1145250.7498301363</v>
      </c>
      <c r="S25" s="290">
        <f t="shared" ca="1" si="19"/>
        <v>1238212.3604064884</v>
      </c>
      <c r="U25" s="266">
        <f>Intro!J28</f>
        <v>1.0898938283807902</v>
      </c>
      <c r="V25" s="266">
        <f>Intro!L28</f>
        <v>0.80317985362894262</v>
      </c>
      <c r="W25" s="252">
        <f>Intro!H28</f>
        <v>350000</v>
      </c>
      <c r="Y25" s="290">
        <f t="shared" ca="1" si="5"/>
        <v>1110464.05566846</v>
      </c>
      <c r="Z25" s="290">
        <f t="shared" ca="1" si="20"/>
        <v>92961.610576352105</v>
      </c>
      <c r="AB25" s="304">
        <v>1156377.8617050487</v>
      </c>
      <c r="AC25" s="337">
        <f t="shared" ca="1" si="21"/>
        <v>-9.6223840350123657E-3</v>
      </c>
      <c r="AD25" s="304">
        <v>1207846.4476037498</v>
      </c>
      <c r="AE25" s="337">
        <f t="shared" ca="1" si="6"/>
        <v>2.5140540722690119E-2</v>
      </c>
      <c r="AG25" s="268">
        <f>Intro!G28</f>
        <v>13</v>
      </c>
      <c r="AI25" s="266">
        <f t="shared" si="7"/>
        <v>1.0601058573338766</v>
      </c>
      <c r="AK25" s="266">
        <f t="shared" si="8"/>
        <v>1.0949218365489137</v>
      </c>
      <c r="AM25" s="266">
        <f t="shared" si="9"/>
        <v>1.1307906338287816</v>
      </c>
      <c r="AO25" s="266">
        <f t="shared" si="10"/>
        <v>1.1528293446613522</v>
      </c>
      <c r="AQ25" s="266">
        <f t="shared" si="11"/>
        <v>1.1677413596727768</v>
      </c>
      <c r="AS25" s="222" t="b">
        <f t="shared" si="22"/>
        <v>1</v>
      </c>
    </row>
    <row r="26" spans="1:45" x14ac:dyDescent="0.2">
      <c r="A26" s="151">
        <f>Intro!C29</f>
        <v>2007</v>
      </c>
      <c r="C26" s="295">
        <f t="shared" ca="1" si="12"/>
        <v>10.778765425179081</v>
      </c>
      <c r="D26" s="295"/>
      <c r="E26" s="295">
        <f t="shared" ca="1" si="13"/>
        <v>11.144090475490849</v>
      </c>
      <c r="F26" s="295"/>
      <c r="G26" s="295">
        <f t="shared" ca="1" si="14"/>
        <v>11.224949698220057</v>
      </c>
      <c r="H26" s="295"/>
      <c r="I26" s="295">
        <f t="shared" ca="1" si="15"/>
        <v>11.381388569338359</v>
      </c>
      <c r="J26" s="295"/>
      <c r="K26" s="295">
        <f t="shared" ca="1" si="16"/>
        <v>12.108496526269462</v>
      </c>
      <c r="M26" s="324">
        <f t="shared" ca="1" si="23"/>
        <v>11.144090475490849</v>
      </c>
      <c r="O26" s="291">
        <f>Intro!K29</f>
        <v>104584.102</v>
      </c>
      <c r="Q26" s="290">
        <f t="shared" ca="1" si="18"/>
        <v>1165494.6949859634</v>
      </c>
      <c r="S26" s="290">
        <f t="shared" ca="1" si="19"/>
        <v>1266356.2357700111</v>
      </c>
      <c r="U26" s="266">
        <f>Intro!J29</f>
        <v>1.0779438773143473</v>
      </c>
      <c r="V26" s="266">
        <f>Intro!L29</f>
        <v>0.82714970603473503</v>
      </c>
      <c r="W26" s="252">
        <f>Intro!H29</f>
        <v>350000</v>
      </c>
      <c r="Y26" s="290">
        <f t="shared" ca="1" si="5"/>
        <v>1127287.5026610023</v>
      </c>
      <c r="Z26" s="290">
        <f t="shared" ca="1" si="20"/>
        <v>100861.54078404768</v>
      </c>
      <c r="AB26" s="304">
        <v>1175372.4384049424</v>
      </c>
      <c r="AC26" s="337">
        <f t="shared" ca="1" si="21"/>
        <v>-8.4039263608934878E-3</v>
      </c>
      <c r="AD26" s="304">
        <v>1236830.0862915826</v>
      </c>
      <c r="AE26" s="337">
        <f t="shared" ca="1" si="6"/>
        <v>2.3872437940895663E-2</v>
      </c>
      <c r="AG26" s="268">
        <f>Intro!G29</f>
        <v>12</v>
      </c>
      <c r="AI26" s="266">
        <f t="shared" si="7"/>
        <v>1.0553567519501013</v>
      </c>
      <c r="AK26" s="266">
        <f t="shared" si="8"/>
        <v>1.0873106619155053</v>
      </c>
      <c r="AM26" s="266">
        <f t="shared" si="9"/>
        <v>1.1201492162741769</v>
      </c>
      <c r="AO26" s="266">
        <f t="shared" si="10"/>
        <v>1.1402861964998541</v>
      </c>
      <c r="AQ26" s="266">
        <f t="shared" si="11"/>
        <v>1.1538946241825858</v>
      </c>
      <c r="AS26" s="222" t="b">
        <f t="shared" si="22"/>
        <v>1</v>
      </c>
    </row>
    <row r="27" spans="1:45" x14ac:dyDescent="0.2">
      <c r="A27" s="151">
        <f>Intro!C30</f>
        <v>2008</v>
      </c>
      <c r="C27" s="295">
        <f t="shared" ca="1" si="12"/>
        <v>11.127203074518869</v>
      </c>
      <c r="D27" s="295"/>
      <c r="E27" s="295">
        <f t="shared" ca="1" si="13"/>
        <v>11.532969733847633</v>
      </c>
      <c r="F27" s="295"/>
      <c r="G27" s="295">
        <f t="shared" ca="1" si="14"/>
        <v>11.645490332516999</v>
      </c>
      <c r="H27" s="295"/>
      <c r="I27" s="295">
        <f t="shared" ca="1" si="15"/>
        <v>11.825335164251086</v>
      </c>
      <c r="J27" s="295"/>
      <c r="K27" s="295">
        <f t="shared" ca="1" si="16"/>
        <v>12.593248881247169</v>
      </c>
      <c r="M27" s="325">
        <f ca="1">G27</f>
        <v>11.645490332516999</v>
      </c>
      <c r="O27" s="291">
        <f>Intro!K30</f>
        <v>106050.29700000001</v>
      </c>
      <c r="Q27" s="290">
        <f t="shared" ca="1" si="18"/>
        <v>1235007.7084740566</v>
      </c>
      <c r="S27" s="290">
        <f t="shared" ca="1" si="19"/>
        <v>1335517.7840511801</v>
      </c>
      <c r="U27" s="266">
        <f>Intro!J30</f>
        <v>1.0673951535966342</v>
      </c>
      <c r="V27" s="266">
        <f>Intro!L30</f>
        <v>0.84174442498970214</v>
      </c>
      <c r="W27" s="252">
        <f>Intro!H30</f>
        <v>500000</v>
      </c>
      <c r="Y27" s="290">
        <f t="shared" ca="1" si="5"/>
        <v>1180043.1908320393</v>
      </c>
      <c r="Z27" s="290">
        <f t="shared" ca="1" si="20"/>
        <v>100510.07557712356</v>
      </c>
      <c r="AB27" s="304">
        <v>1250273.727515941</v>
      </c>
      <c r="AC27" s="337">
        <f t="shared" ca="1" si="21"/>
        <v>-1.2210141432160704E-2</v>
      </c>
      <c r="AD27" s="304">
        <v>1306474.9063211915</v>
      </c>
      <c r="AE27" s="337">
        <f t="shared" ca="1" si="6"/>
        <v>2.222995450541676E-2</v>
      </c>
      <c r="AG27" s="268">
        <f>Intro!G30</f>
        <v>11</v>
      </c>
      <c r="AI27" s="266">
        <f t="shared" si="7"/>
        <v>1.0506289218019926</v>
      </c>
      <c r="AK27" s="266">
        <f t="shared" si="8"/>
        <v>1.0797523951494592</v>
      </c>
      <c r="AM27" s="266">
        <f t="shared" si="9"/>
        <v>1.1096079408362327</v>
      </c>
      <c r="AO27" s="266">
        <f t="shared" si="10"/>
        <v>1.1278795217604887</v>
      </c>
      <c r="AQ27" s="266">
        <f t="shared" si="11"/>
        <v>1.1402120792318042</v>
      </c>
      <c r="AS27" s="222" t="b">
        <f t="shared" si="22"/>
        <v>1</v>
      </c>
    </row>
    <row r="28" spans="1:45" x14ac:dyDescent="0.2">
      <c r="A28" s="151">
        <f>Intro!C31</f>
        <v>2009</v>
      </c>
      <c r="C28" s="295">
        <f t="shared" ca="1" si="12"/>
        <v>11.34451632344523</v>
      </c>
      <c r="D28" s="295"/>
      <c r="E28" s="295">
        <f t="shared" ca="1" si="13"/>
        <v>11.787471399853457</v>
      </c>
      <c r="F28" s="295"/>
      <c r="G28" s="295">
        <f t="shared" ca="1" si="14"/>
        <v>11.932024368089738</v>
      </c>
      <c r="H28" s="295"/>
      <c r="I28" s="295">
        <f t="shared" ca="1" si="15"/>
        <v>12.134297640617564</v>
      </c>
      <c r="J28" s="295"/>
      <c r="K28" s="295">
        <f t="shared" ca="1" si="16"/>
        <v>12.935056441897499</v>
      </c>
      <c r="M28" s="325">
        <f t="shared" ref="M28:M34" ca="1" si="24">G28</f>
        <v>11.932024368089738</v>
      </c>
      <c r="O28" s="291">
        <f>Intro!K31</f>
        <v>110722.705</v>
      </c>
      <c r="Q28" s="290">
        <f t="shared" ca="1" si="18"/>
        <v>1321146.0141608114</v>
      </c>
      <c r="S28" s="290">
        <f t="shared" ca="1" si="19"/>
        <v>1432204.4385745665</v>
      </c>
      <c r="U28" s="266">
        <f>Intro!J31</f>
        <v>1.0587300339527494</v>
      </c>
      <c r="V28" s="266">
        <f>Intro!L31</f>
        <v>0.84740356064125255</v>
      </c>
      <c r="W28" s="252">
        <f>Intro!H31</f>
        <v>500000</v>
      </c>
      <c r="Y28" s="290">
        <f t="shared" ca="1" si="5"/>
        <v>1256095.5342485108</v>
      </c>
      <c r="Z28" s="290">
        <f t="shared" ca="1" si="20"/>
        <v>111058.42441375507</v>
      </c>
      <c r="AB28" s="304">
        <v>1337094.9569663857</v>
      </c>
      <c r="AC28" s="337">
        <f t="shared" ca="1" si="21"/>
        <v>-1.1928055462687159E-2</v>
      </c>
      <c r="AD28" s="304">
        <v>1404119.0973358238</v>
      </c>
      <c r="AE28" s="337">
        <f t="shared" ca="1" si="6"/>
        <v>2.0002107579073503E-2</v>
      </c>
      <c r="AG28" s="268">
        <f>Intro!G31</f>
        <v>10</v>
      </c>
      <c r="AI28" s="266">
        <f t="shared" si="7"/>
        <v>1.045922271579883</v>
      </c>
      <c r="AK28" s="266">
        <f t="shared" si="8"/>
        <v>1.0722466684701681</v>
      </c>
      <c r="AM28" s="266">
        <f t="shared" si="9"/>
        <v>1.0991658651176153</v>
      </c>
      <c r="AO28" s="266">
        <f t="shared" si="10"/>
        <v>1.1156078355692272</v>
      </c>
      <c r="AQ28" s="266">
        <f t="shared" si="11"/>
        <v>1.1266917778970398</v>
      </c>
      <c r="AS28" s="222" t="b">
        <f t="shared" si="22"/>
        <v>1</v>
      </c>
    </row>
    <row r="29" spans="1:45" x14ac:dyDescent="0.2">
      <c r="A29" s="151">
        <f>Intro!C32</f>
        <v>2010</v>
      </c>
      <c r="C29" s="295">
        <f t="shared" ca="1" si="12"/>
        <v>11.577755434614234</v>
      </c>
      <c r="D29" s="295"/>
      <c r="E29" s="295">
        <f t="shared" ca="1" si="13"/>
        <v>12.059757320168869</v>
      </c>
      <c r="F29" s="295"/>
      <c r="G29" s="295">
        <f t="shared" ca="1" si="14"/>
        <v>12.23795637940289</v>
      </c>
      <c r="H29" s="295"/>
      <c r="I29" s="295">
        <f t="shared" ca="1" si="15"/>
        <v>12.46390829783865</v>
      </c>
      <c r="J29" s="295"/>
      <c r="K29" s="295">
        <f t="shared" ca="1" si="16"/>
        <v>13.299560412701913</v>
      </c>
      <c r="M29" s="325">
        <f t="shared" ca="1" si="24"/>
        <v>12.23795637940289</v>
      </c>
      <c r="O29" s="291">
        <f>Intro!K32</f>
        <v>128222.10400000001</v>
      </c>
      <c r="Q29" s="290">
        <f t="shared" ca="1" si="18"/>
        <v>1569176.515627261</v>
      </c>
      <c r="S29" s="290">
        <f t="shared" ca="1" si="19"/>
        <v>1705297.6183917478</v>
      </c>
      <c r="U29" s="266">
        <f>Intro!J32</f>
        <v>1.0522219598580769</v>
      </c>
      <c r="V29" s="266">
        <f>Intro!L32</f>
        <v>0.85565926747242615</v>
      </c>
      <c r="W29" s="252">
        <f>Intro!H32</f>
        <v>500000</v>
      </c>
      <c r="Y29" s="290">
        <f t="shared" ca="1" si="5"/>
        <v>1484524.1614236715</v>
      </c>
      <c r="Z29" s="290">
        <f t="shared" ca="1" si="20"/>
        <v>136121.1027644868</v>
      </c>
      <c r="AB29" s="304">
        <v>1587654.7521599482</v>
      </c>
      <c r="AC29" s="337">
        <f t="shared" ca="1" si="21"/>
        <v>-1.1638699476412162E-2</v>
      </c>
      <c r="AD29" s="304">
        <v>1675496.3695041721</v>
      </c>
      <c r="AE29" s="337">
        <f t="shared" ca="1" si="6"/>
        <v>1.7786519523402378E-2</v>
      </c>
      <c r="AG29" s="268">
        <f>Intro!G32</f>
        <v>9</v>
      </c>
      <c r="AI29" s="266">
        <f t="shared" si="7"/>
        <v>1.0412367064010783</v>
      </c>
      <c r="AK29" s="266">
        <f t="shared" si="8"/>
        <v>1.0647931166535931</v>
      </c>
      <c r="AM29" s="266">
        <f t="shared" si="9"/>
        <v>1.0888220555895149</v>
      </c>
      <c r="AO29" s="266">
        <f t="shared" si="10"/>
        <v>1.10346966920794</v>
      </c>
      <c r="AQ29" s="266">
        <f t="shared" si="11"/>
        <v>1.1133317963409484</v>
      </c>
      <c r="AS29" s="222" t="b">
        <f t="shared" si="22"/>
        <v>1</v>
      </c>
    </row>
    <row r="30" spans="1:45" x14ac:dyDescent="0.2">
      <c r="A30" s="151">
        <f>Intro!C33</f>
        <v>2011</v>
      </c>
      <c r="C30" s="295">
        <f t="shared" ca="1" si="12"/>
        <v>11.57954463772829</v>
      </c>
      <c r="D30" s="295"/>
      <c r="E30" s="295">
        <f t="shared" ca="1" si="13"/>
        <v>12.091639978062943</v>
      </c>
      <c r="F30" s="295"/>
      <c r="G30" s="295">
        <f t="shared" ca="1" si="14"/>
        <v>12.300772683852218</v>
      </c>
      <c r="H30" s="295"/>
      <c r="I30" s="295">
        <f t="shared" ca="1" si="15"/>
        <v>12.546499376941055</v>
      </c>
      <c r="J30" s="295"/>
      <c r="K30" s="295">
        <f t="shared" ca="1" si="16"/>
        <v>13.400930899459148</v>
      </c>
      <c r="M30" s="325">
        <f t="shared" ca="1" si="24"/>
        <v>12.300772683852218</v>
      </c>
      <c r="O30" s="291">
        <f>Intro!K33</f>
        <v>143214.37400000001</v>
      </c>
      <c r="Q30" s="290">
        <f t="shared" ca="1" si="18"/>
        <v>1761647.4596341953</v>
      </c>
      <c r="S30" s="290">
        <f t="shared" ca="1" si="19"/>
        <v>1919205.9297832989</v>
      </c>
      <c r="U30" s="266">
        <f>Intro!J33</f>
        <v>1.0474460237870546</v>
      </c>
      <c r="V30" s="266">
        <f>Intro!L33</f>
        <v>0.84809073426823689</v>
      </c>
      <c r="W30" s="252">
        <f>Intro!H33</f>
        <v>500000</v>
      </c>
      <c r="Y30" s="290">
        <f t="shared" ca="1" si="5"/>
        <v>1658357.2364973139</v>
      </c>
      <c r="Z30" s="290">
        <f t="shared" ca="1" si="20"/>
        <v>157558.47014910355</v>
      </c>
      <c r="AB30" s="304">
        <v>1784996.1478842942</v>
      </c>
      <c r="AC30" s="337">
        <f t="shared" ca="1" si="21"/>
        <v>-1.3080525847505853E-2</v>
      </c>
      <c r="AD30" s="304">
        <v>1893086.3968584472</v>
      </c>
      <c r="AE30" s="337">
        <f t="shared" ca="1" si="6"/>
        <v>1.3797327458586528E-2</v>
      </c>
      <c r="AG30" s="268">
        <f>Intro!G33</f>
        <v>8</v>
      </c>
      <c r="AI30" s="266">
        <f t="shared" si="7"/>
        <v>1.0365721318079426</v>
      </c>
      <c r="AK30" s="266">
        <f t="shared" si="8"/>
        <v>1.0573913770144918</v>
      </c>
      <c r="AM30" s="266">
        <f t="shared" si="9"/>
        <v>1.0785755875081871</v>
      </c>
      <c r="AO30" s="266">
        <f t="shared" si="10"/>
        <v>1.0914635699386153</v>
      </c>
      <c r="AQ30" s="266">
        <f t="shared" si="11"/>
        <v>1.1001302335384866</v>
      </c>
      <c r="AS30" s="222" t="b">
        <f t="shared" si="22"/>
        <v>1</v>
      </c>
    </row>
    <row r="31" spans="1:45" x14ac:dyDescent="0.2">
      <c r="A31" s="151">
        <f>Intro!C34</f>
        <v>2012</v>
      </c>
      <c r="C31" s="295">
        <f t="shared" ca="1" si="12"/>
        <v>11.401405473151003</v>
      </c>
      <c r="D31" s="295"/>
      <c r="E31" s="295">
        <f t="shared" ca="1" si="13"/>
        <v>11.935253481772671</v>
      </c>
      <c r="F31" s="295"/>
      <c r="G31" s="295">
        <f t="shared" ca="1" si="14"/>
        <v>12.171824583374951</v>
      </c>
      <c r="H31" s="295"/>
      <c r="I31" s="295">
        <f t="shared" ca="1" si="15"/>
        <v>12.433422555985125</v>
      </c>
      <c r="J31" s="295"/>
      <c r="K31" s="295">
        <f t="shared" ca="1" si="16"/>
        <v>13.293289073713405</v>
      </c>
      <c r="M31" s="325">
        <f t="shared" ca="1" si="24"/>
        <v>12.171824583374951</v>
      </c>
      <c r="O31" s="291">
        <f>Intro!K34</f>
        <v>145569.85699999999</v>
      </c>
      <c r="Q31" s="290">
        <f t="shared" ca="1" si="18"/>
        <v>1771850.764030976</v>
      </c>
      <c r="S31" s="290">
        <f t="shared" ca="1" si="19"/>
        <v>1935102.1895201227</v>
      </c>
      <c r="U31" s="266">
        <f>Intro!J34</f>
        <v>1.0451717334298189</v>
      </c>
      <c r="V31" s="266">
        <f>Intro!L34</f>
        <v>0.82949789894567727</v>
      </c>
      <c r="W31" s="252">
        <f>Intro!H34</f>
        <v>500000</v>
      </c>
      <c r="Y31" s="290">
        <f t="shared" ca="1" si="5"/>
        <v>1659700.9643256087</v>
      </c>
      <c r="Z31" s="290">
        <f t="shared" ca="1" si="20"/>
        <v>163251.42548914673</v>
      </c>
      <c r="AB31" s="304">
        <v>1792784.4132464088</v>
      </c>
      <c r="AC31" s="337">
        <f t="shared" ca="1" si="21"/>
        <v>-1.1676612681792431E-2</v>
      </c>
      <c r="AD31" s="304">
        <v>1910763.5471475455</v>
      </c>
      <c r="AE31" s="337">
        <f t="shared" ca="1" si="6"/>
        <v>1.2737652656662268E-2</v>
      </c>
      <c r="AG31" s="268">
        <f>Intro!G34</f>
        <v>7</v>
      </c>
      <c r="AI31" s="266">
        <f t="shared" si="7"/>
        <v>1.0319284537659961</v>
      </c>
      <c r="AK31" s="266">
        <f t="shared" si="8"/>
        <v>1.0500410893887704</v>
      </c>
      <c r="AM31" s="266">
        <f t="shared" si="9"/>
        <v>1.0684255448322804</v>
      </c>
      <c r="AO31" s="266">
        <f t="shared" si="10"/>
        <v>1.079588100829491</v>
      </c>
      <c r="AQ31" s="266">
        <f t="shared" si="11"/>
        <v>1.0870852110064098</v>
      </c>
      <c r="AS31" s="222" t="b">
        <f t="shared" si="22"/>
        <v>1</v>
      </c>
    </row>
    <row r="32" spans="1:45" x14ac:dyDescent="0.2">
      <c r="A32" s="151">
        <f>Intro!C35</f>
        <v>2013</v>
      </c>
      <c r="C32" s="295">
        <f t="shared" ca="1" si="12"/>
        <v>12.350350479485096</v>
      </c>
      <c r="D32" s="295"/>
      <c r="E32" s="295">
        <f t="shared" ca="1" si="13"/>
        <v>12.960807721983151</v>
      </c>
      <c r="F32" s="295"/>
      <c r="G32" s="295">
        <f t="shared" ca="1" si="14"/>
        <v>13.250521108451556</v>
      </c>
      <c r="H32" s="295"/>
      <c r="I32" s="295">
        <f t="shared" ca="1" si="15"/>
        <v>13.555414416743437</v>
      </c>
      <c r="J32" s="295"/>
      <c r="K32" s="295">
        <f t="shared" ca="1" si="16"/>
        <v>14.507210464049166</v>
      </c>
      <c r="M32" s="325">
        <f t="shared" ca="1" si="24"/>
        <v>13.250521108451556</v>
      </c>
      <c r="O32" s="291">
        <f>Intro!K35</f>
        <v>157968.50285000002</v>
      </c>
      <c r="Q32" s="290">
        <f t="shared" ca="1" si="18"/>
        <v>2093164.981484415</v>
      </c>
      <c r="S32" s="290">
        <f t="shared" ca="1" si="19"/>
        <v>2291682.3175357007</v>
      </c>
      <c r="U32" s="266">
        <f>Intro!J35</f>
        <v>1.0424066175137374</v>
      </c>
      <c r="V32" s="266">
        <f>Intro!L35</f>
        <v>0.89214561352770161</v>
      </c>
      <c r="W32" s="252">
        <f>Intro!H35</f>
        <v>500000</v>
      </c>
      <c r="Y32" s="290">
        <f t="shared" ca="1" si="5"/>
        <v>1950966.3749170403</v>
      </c>
      <c r="Z32" s="290">
        <f t="shared" ca="1" si="20"/>
        <v>198517.33605128573</v>
      </c>
      <c r="AB32" s="304">
        <v>2122045.2902781069</v>
      </c>
      <c r="AC32" s="337">
        <f t="shared" ca="1" si="21"/>
        <v>-1.3609657119950991E-2</v>
      </c>
      <c r="AD32" s="304">
        <v>2272894.3886597515</v>
      </c>
      <c r="AE32" s="337">
        <f t="shared" ca="1" si="6"/>
        <v>8.2660808921384277E-3</v>
      </c>
      <c r="AG32" s="268">
        <f>Intro!G35</f>
        <v>6</v>
      </c>
      <c r="AI32" s="266">
        <f t="shared" si="7"/>
        <v>1.0273055786620169</v>
      </c>
      <c r="AK32" s="266">
        <f t="shared" si="8"/>
        <v>1.0427418961159589</v>
      </c>
      <c r="AM32" s="266">
        <f t="shared" si="9"/>
        <v>1.0583710201409413</v>
      </c>
      <c r="AO32" s="266">
        <f t="shared" si="10"/>
        <v>1.0678418405830772</v>
      </c>
      <c r="AQ32" s="266">
        <f t="shared" si="11"/>
        <v>1.0741948725359778</v>
      </c>
      <c r="AS32" s="222" t="b">
        <f t="shared" si="22"/>
        <v>1</v>
      </c>
    </row>
    <row r="33" spans="1:45" x14ac:dyDescent="0.2">
      <c r="A33" s="151">
        <f>Intro!C36</f>
        <v>2014</v>
      </c>
      <c r="C33" s="295">
        <f t="shared" ca="1" si="12"/>
        <v>13.031957493834698</v>
      </c>
      <c r="D33" s="295"/>
      <c r="E33" s="295">
        <f t="shared" ca="1" si="13"/>
        <v>13.710142531815553</v>
      </c>
      <c r="F33" s="295"/>
      <c r="G33" s="295">
        <f t="shared" ca="1" si="14"/>
        <v>14.051403754449494</v>
      </c>
      <c r="H33" s="295"/>
      <c r="I33" s="295">
        <f t="shared" ca="1" si="15"/>
        <v>14.396084476740336</v>
      </c>
      <c r="J33" s="295"/>
      <c r="K33" s="295">
        <f t="shared" ca="1" si="16"/>
        <v>15.422147611340018</v>
      </c>
      <c r="M33" s="325">
        <f t="shared" ca="1" si="24"/>
        <v>14.051403754449494</v>
      </c>
      <c r="O33" s="291">
        <f>Intro!K36</f>
        <v>182546.24444841431</v>
      </c>
      <c r="Q33" s="290">
        <f t="shared" ca="1" si="18"/>
        <v>2565030.9846031037</v>
      </c>
      <c r="S33" s="290">
        <f t="shared" ca="1" si="19"/>
        <v>2815255.1277792035</v>
      </c>
      <c r="U33" s="266">
        <f>Intro!J36</f>
        <v>1.0412119709838517</v>
      </c>
      <c r="V33" s="266">
        <f>Intro!L36</f>
        <v>0.93609121355209535</v>
      </c>
      <c r="W33" s="252">
        <f>Intro!H36</f>
        <v>500000</v>
      </c>
      <c r="Y33" s="290">
        <f t="shared" ca="1" si="5"/>
        <v>2378934.8983108932</v>
      </c>
      <c r="Z33" s="290">
        <f t="shared" ca="1" si="20"/>
        <v>250224.14317609975</v>
      </c>
      <c r="AB33" s="304">
        <v>2602458.9183150069</v>
      </c>
      <c r="AC33" s="337">
        <f t="shared" ca="1" si="21"/>
        <v>-1.4381757747836565E-2</v>
      </c>
      <c r="AD33" s="304">
        <v>2801265.150606703</v>
      </c>
      <c r="AE33" s="337">
        <f t="shared" ca="1" si="6"/>
        <v>4.994163858237588E-3</v>
      </c>
      <c r="AG33" s="268">
        <f>Intro!G36</f>
        <v>5</v>
      </c>
      <c r="AI33" s="266">
        <f t="shared" si="7"/>
        <v>1.0227034133021573</v>
      </c>
      <c r="AK33" s="266">
        <f t="shared" si="8"/>
        <v>1.0354934420218065</v>
      </c>
      <c r="AM33" s="266">
        <f t="shared" si="9"/>
        <v>1.0484111145526909</v>
      </c>
      <c r="AO33" s="266">
        <f t="shared" si="10"/>
        <v>1.0562233833660506</v>
      </c>
      <c r="AQ33" s="266">
        <f t="shared" si="11"/>
        <v>1.0614573839288319</v>
      </c>
      <c r="AS33" s="222" t="b">
        <f t="shared" si="22"/>
        <v>1</v>
      </c>
    </row>
    <row r="34" spans="1:45" x14ac:dyDescent="0.2">
      <c r="A34" s="151">
        <f>Intro!C37</f>
        <v>2015</v>
      </c>
      <c r="C34" s="295">
        <f t="shared" ca="1" si="12"/>
        <v>12.796847670233834</v>
      </c>
      <c r="D34" s="295"/>
      <c r="E34" s="295">
        <f t="shared" ca="1" si="13"/>
        <v>13.496303773375642</v>
      </c>
      <c r="F34" s="295"/>
      <c r="G34" s="295">
        <f t="shared" ca="1" si="14"/>
        <v>13.866582527456005</v>
      </c>
      <c r="H34" s="295"/>
      <c r="I34" s="295">
        <f t="shared" ca="1" si="15"/>
        <v>14.227839141456963</v>
      </c>
      <c r="J34" s="295"/>
      <c r="K34" s="295">
        <f t="shared" ca="1" si="16"/>
        <v>15.256986871636638</v>
      </c>
      <c r="M34" s="325">
        <f t="shared" ca="1" si="24"/>
        <v>13.866582527456005</v>
      </c>
      <c r="O34" s="291">
        <f>Intro!K37</f>
        <v>196912.10476000005</v>
      </c>
      <c r="Q34" s="290">
        <f t="shared" ca="1" si="18"/>
        <v>2730497.9513096032</v>
      </c>
      <c r="S34" s="290">
        <f t="shared" ca="1" si="19"/>
        <v>3004285.3971896591</v>
      </c>
      <c r="U34" s="266">
        <f>Intro!J37</f>
        <v>1.0428069267716835</v>
      </c>
      <c r="V34" s="266">
        <f>Intro!L37</f>
        <v>0.91648703979937651</v>
      </c>
      <c r="W34" s="252">
        <f>Intro!H37</f>
        <v>500000</v>
      </c>
      <c r="Y34" s="290">
        <f t="shared" ca="1" si="5"/>
        <v>2519854.2090388471</v>
      </c>
      <c r="Z34" s="290">
        <f t="shared" ca="1" si="20"/>
        <v>273787.44588005589</v>
      </c>
      <c r="AB34" s="304">
        <v>2763162.3483344745</v>
      </c>
      <c r="AC34" s="337">
        <f t="shared" ca="1" si="21"/>
        <v>-1.1821381774603346E-2</v>
      </c>
      <c r="AD34" s="304">
        <v>2988976.2648677984</v>
      </c>
      <c r="AE34" s="337">
        <f t="shared" ca="1" si="6"/>
        <v>5.1218648009363488E-3</v>
      </c>
      <c r="AG34" s="268">
        <f>Intro!G37</f>
        <v>4</v>
      </c>
      <c r="AI34" s="266">
        <f t="shared" si="7"/>
        <v>1.0181218649100621</v>
      </c>
      <c r="AK34" s="266">
        <f t="shared" si="8"/>
        <v>1.0282953744009995</v>
      </c>
      <c r="AM34" s="266">
        <f t="shared" si="9"/>
        <v>1.0385449376450626</v>
      </c>
      <c r="AO34" s="266">
        <f t="shared" si="10"/>
        <v>1.0447313386409998</v>
      </c>
      <c r="AQ34" s="266">
        <f t="shared" si="11"/>
        <v>1.048870932736</v>
      </c>
      <c r="AS34" s="222" t="b">
        <f t="shared" si="22"/>
        <v>1</v>
      </c>
    </row>
    <row r="35" spans="1:45" x14ac:dyDescent="0.2">
      <c r="A35" s="151">
        <f>Intro!C38</f>
        <v>2016</v>
      </c>
      <c r="C35" s="295">
        <f t="shared" ca="1" si="12"/>
        <v>13.108683574694691</v>
      </c>
      <c r="D35" s="295"/>
      <c r="E35" s="295">
        <f t="shared" ca="1" si="13"/>
        <v>13.859592274809438</v>
      </c>
      <c r="F35" s="295"/>
      <c r="G35" s="295">
        <f t="shared" ca="1" si="14"/>
        <v>14.27519018534344</v>
      </c>
      <c r="H35" s="295"/>
      <c r="I35" s="295">
        <f t="shared" ca="1" si="15"/>
        <v>14.668855856972929</v>
      </c>
      <c r="J35" s="295"/>
      <c r="K35" s="295">
        <f t="shared" ca="1" si="16"/>
        <v>15.745462575392263</v>
      </c>
      <c r="M35" s="324">
        <f ca="1">I35</f>
        <v>14.668855856972929</v>
      </c>
      <c r="O35" s="291">
        <f>Intro!K38</f>
        <v>221894.58274919298</v>
      </c>
      <c r="Q35" s="290">
        <f t="shared" ca="1" si="18"/>
        <v>3254939.6497910637</v>
      </c>
      <c r="S35" s="290">
        <f t="shared" ca="1" si="19"/>
        <v>3493832.8483596998</v>
      </c>
      <c r="U35" s="266">
        <f>Intro!J38</f>
        <v>1.0342758961601715</v>
      </c>
      <c r="V35" s="266">
        <f>Intro!L38</f>
        <v>0.92696847191952003</v>
      </c>
      <c r="W35" s="252">
        <f>Intro!H38</f>
        <v>750000</v>
      </c>
      <c r="Y35" s="290">
        <f t="shared" ca="1" si="5"/>
        <v>2908745.8721980779</v>
      </c>
      <c r="Z35" s="290">
        <f t="shared" ca="1" si="20"/>
        <v>238893.19856863609</v>
      </c>
      <c r="AB35" s="304">
        <v>3260923.1676032324</v>
      </c>
      <c r="AC35" s="337">
        <f t="shared" ca="1" si="21"/>
        <v>-1.8349152999413976E-3</v>
      </c>
      <c r="AD35" s="304">
        <v>3463410.2665247708</v>
      </c>
      <c r="AE35" s="337">
        <f t="shared" ca="1" si="6"/>
        <v>8.7839959732680661E-3</v>
      </c>
      <c r="AG35" s="268">
        <f>Intro!G38</f>
        <v>3</v>
      </c>
      <c r="AI35" s="266">
        <f t="shared" si="7"/>
        <v>1.0135608411249999</v>
      </c>
      <c r="AK35" s="266">
        <f t="shared" si="8"/>
        <v>1.0211473429999995</v>
      </c>
      <c r="AM35" s="266">
        <f t="shared" si="9"/>
        <v>1.0287716073750002</v>
      </c>
      <c r="AO35" s="266">
        <f t="shared" si="10"/>
        <v>1.0333643309999998</v>
      </c>
      <c r="AQ35" s="266">
        <f t="shared" si="11"/>
        <v>1.036433728</v>
      </c>
      <c r="AS35" s="222" t="b">
        <f t="shared" si="22"/>
        <v>1</v>
      </c>
    </row>
    <row r="36" spans="1:45" x14ac:dyDescent="0.2">
      <c r="A36" s="151">
        <f>Intro!C39</f>
        <v>2017</v>
      </c>
      <c r="C36" s="295">
        <f t="shared" ca="1" si="12"/>
        <v>11.594581648233335</v>
      </c>
      <c r="D36" s="295"/>
      <c r="E36" s="295">
        <f t="shared" ca="1" si="13"/>
        <v>12.289267188882979</v>
      </c>
      <c r="F36" s="295"/>
      <c r="G36" s="295">
        <f t="shared" ca="1" si="14"/>
        <v>12.689201329023165</v>
      </c>
      <c r="H36" s="295"/>
      <c r="I36" s="295">
        <f t="shared" ca="1" si="15"/>
        <v>13.058504961069204</v>
      </c>
      <c r="J36" s="295"/>
      <c r="K36" s="295">
        <f t="shared" ca="1" si="16"/>
        <v>14.030785920674257</v>
      </c>
      <c r="M36" s="324">
        <f ca="1">I36</f>
        <v>13.058504961069204</v>
      </c>
      <c r="O36" s="291">
        <f>Intro!K39</f>
        <v>307509.66981400014</v>
      </c>
      <c r="Q36" s="290">
        <f t="shared" ca="1" si="18"/>
        <v>4015616.5488428734</v>
      </c>
      <c r="S36" s="290">
        <f t="shared" ca="1" si="19"/>
        <v>4314602.3456974626</v>
      </c>
      <c r="U36" s="266">
        <f>Intro!J39</f>
        <v>1.0165895076831004</v>
      </c>
      <c r="V36" s="266">
        <f>Intro!L39</f>
        <v>0.80226943072853818</v>
      </c>
      <c r="W36" s="252">
        <f>Intro!H39</f>
        <v>750000</v>
      </c>
      <c r="Y36" s="290">
        <f t="shared" ca="1" si="5"/>
        <v>3565445.9742796985</v>
      </c>
      <c r="Z36" s="290">
        <f t="shared" ca="1" si="20"/>
        <v>298985.79685458913</v>
      </c>
      <c r="AB36" s="304">
        <v>4060602.005773427</v>
      </c>
      <c r="AC36" s="337">
        <f t="shared" ca="1" si="21"/>
        <v>-1.1078519112829199E-2</v>
      </c>
      <c r="AD36" s="304">
        <v>4323399.1952755377</v>
      </c>
      <c r="AE36" s="337">
        <f ca="1">S36/AD36-1</f>
        <v>-2.0347067621440118E-3</v>
      </c>
      <c r="AG36" s="268">
        <f>Intro!G39</f>
        <v>2</v>
      </c>
      <c r="AI36" s="266">
        <f t="shared" si="7"/>
        <v>1.0090202499999998</v>
      </c>
      <c r="AK36" s="266">
        <f t="shared" si="8"/>
        <v>1.0140489999999998</v>
      </c>
      <c r="AM36" s="266">
        <f t="shared" si="9"/>
        <v>1.0190902500000001</v>
      </c>
      <c r="AO36" s="266">
        <f t="shared" si="10"/>
        <v>1.0221209999999998</v>
      </c>
      <c r="AQ36" s="266">
        <f t="shared" si="11"/>
        <v>1.0241439999999999</v>
      </c>
      <c r="AS36" s="222" t="b">
        <f t="shared" si="22"/>
        <v>1</v>
      </c>
    </row>
    <row r="37" spans="1:45" x14ac:dyDescent="0.2">
      <c r="A37" s="151">
        <f>Intro!C40</f>
        <v>2018</v>
      </c>
      <c r="C37" s="295">
        <f t="shared" ca="1" si="12"/>
        <v>15.0303692406235</v>
      </c>
      <c r="D37" s="295"/>
      <c r="E37" s="295">
        <f t="shared" ca="1" si="13"/>
        <v>15.970557715579087</v>
      </c>
      <c r="F37" s="295"/>
      <c r="G37" s="295">
        <f t="shared" ca="1" si="14"/>
        <v>16.531232606215337</v>
      </c>
      <c r="H37" s="295"/>
      <c r="I37" s="295">
        <f t="shared" ca="1" si="15"/>
        <v>17.037632229605173</v>
      </c>
      <c r="J37" s="295"/>
      <c r="K37" s="295">
        <f t="shared" ca="1" si="16"/>
        <v>18.324289153925655</v>
      </c>
      <c r="M37" s="325">
        <f t="shared" ref="M37:M38" ca="1" si="25">G37</f>
        <v>16.531232606215337</v>
      </c>
      <c r="O37" s="291">
        <f>Intro!K40</f>
        <v>536896.27333</v>
      </c>
      <c r="Q37" s="290">
        <f t="shared" ca="1" si="18"/>
        <v>8875557.1798283979</v>
      </c>
      <c r="S37" s="290">
        <f t="shared" ca="1" si="19"/>
        <v>9838242.5581640229</v>
      </c>
      <c r="U37" s="266">
        <f>Intro!J40</f>
        <v>1.0000032636733147</v>
      </c>
      <c r="V37" s="266">
        <f>Intro!L40</f>
        <v>1.018452231841392</v>
      </c>
      <c r="W37" s="252">
        <f>Intro!H40</f>
        <v>500000</v>
      </c>
      <c r="Y37" s="290">
        <f t="shared" ref="Y37:Y38" ca="1" si="26">O37*C37</f>
        <v>8069749.2320646197</v>
      </c>
      <c r="Z37" s="290">
        <f t="shared" ref="Z37:Z38" ca="1" si="27">S37-Q37</f>
        <v>962685.37833562493</v>
      </c>
      <c r="AB37" s="304">
        <v>8762835.9638532978</v>
      </c>
      <c r="AC37" s="337">
        <f t="shared" ca="1" si="21"/>
        <v>1.2863554269425537E-2</v>
      </c>
      <c r="AD37" s="304">
        <v>9620506.341035286</v>
      </c>
      <c r="AE37" s="337">
        <f t="shared" ref="AE37:AE38" ca="1" si="28">S37/AD37-1</f>
        <v>2.2632511160042057E-2</v>
      </c>
      <c r="AG37" s="268">
        <f>Intro!G40</f>
        <v>1</v>
      </c>
      <c r="AI37" s="266">
        <f t="shared" si="7"/>
        <v>1.0044999999999999</v>
      </c>
      <c r="AK37" s="266">
        <f t="shared" si="8"/>
        <v>1.0069999999999999</v>
      </c>
      <c r="AM37" s="266">
        <f t="shared" si="9"/>
        <v>1.0095000000000001</v>
      </c>
      <c r="AO37" s="266">
        <f t="shared" si="10"/>
        <v>1.0109999999999999</v>
      </c>
      <c r="AQ37" s="266">
        <f t="shared" si="11"/>
        <v>1.012</v>
      </c>
      <c r="AS37" s="222" t="b">
        <f t="shared" si="22"/>
        <v>1</v>
      </c>
    </row>
    <row r="38" spans="1:45" x14ac:dyDescent="0.2">
      <c r="A38" s="151">
        <f>Intro!C41</f>
        <v>2019</v>
      </c>
      <c r="C38" s="295">
        <f t="shared" ca="1" si="12"/>
        <v>14.824509883853406</v>
      </c>
      <c r="D38" s="295"/>
      <c r="E38" s="295">
        <f t="shared" ca="1" si="13"/>
        <v>15.79102446273056</v>
      </c>
      <c r="F38" s="295"/>
      <c r="G38" s="295">
        <f t="shared" ca="1" si="14"/>
        <v>16.385975953818914</v>
      </c>
      <c r="H38" s="295"/>
      <c r="I38" s="295">
        <f t="shared" ca="1" si="15"/>
        <v>16.913019445115168</v>
      </c>
      <c r="J38" s="295"/>
      <c r="K38" s="295">
        <f t="shared" ca="1" si="16"/>
        <v>18.208258145197117</v>
      </c>
      <c r="M38" s="325">
        <f t="shared" ca="1" si="25"/>
        <v>16.385975953818914</v>
      </c>
      <c r="O38" s="292">
        <f>Intro!K41</f>
        <v>543133.22666000458</v>
      </c>
      <c r="Q38" s="292">
        <f t="shared" ca="1" si="18"/>
        <v>8899767.9917709138</v>
      </c>
      <c r="S38" s="292">
        <f t="shared" ca="1" si="19"/>
        <v>9889509.9982592203</v>
      </c>
      <c r="U38" s="266">
        <f>Intro!J41</f>
        <v>1</v>
      </c>
      <c r="V38" s="266">
        <f>Intro!L41</f>
        <v>1</v>
      </c>
      <c r="W38" s="252">
        <f>Intro!H41</f>
        <v>500000</v>
      </c>
      <c r="Y38" s="290">
        <f t="shared" ca="1" si="26"/>
        <v>8051683.8868704299</v>
      </c>
      <c r="Z38" s="290">
        <f t="shared" ca="1" si="27"/>
        <v>989742.00648830645</v>
      </c>
      <c r="AB38" s="304">
        <v>9111500.9700589068</v>
      </c>
      <c r="AC38" s="337">
        <f t="shared" ca="1" si="21"/>
        <v>-2.3237991082233789E-2</v>
      </c>
      <c r="AD38" s="304">
        <v>10052843.046481429</v>
      </c>
      <c r="AE38" s="337">
        <f t="shared" ca="1" si="28"/>
        <v>-1.6247448355356187E-2</v>
      </c>
      <c r="AG38" s="268">
        <f>Intro!G41</f>
        <v>0</v>
      </c>
      <c r="AI38" s="266">
        <f t="shared" si="7"/>
        <v>1</v>
      </c>
      <c r="AK38" s="266">
        <f t="shared" si="8"/>
        <v>1</v>
      </c>
      <c r="AM38" s="266">
        <f t="shared" si="9"/>
        <v>1</v>
      </c>
      <c r="AO38" s="266">
        <f t="shared" si="10"/>
        <v>1</v>
      </c>
      <c r="AQ38" s="266">
        <f t="shared" si="11"/>
        <v>1</v>
      </c>
      <c r="AS38" s="222" t="b">
        <f t="shared" si="22"/>
        <v>1</v>
      </c>
    </row>
    <row r="40" spans="1:45" x14ac:dyDescent="0.2">
      <c r="A40" s="268" t="s">
        <v>78</v>
      </c>
      <c r="O40" s="289">
        <f>SUM(O15:O38)</f>
        <v>3896630.2405416127</v>
      </c>
      <c r="Q40" s="289">
        <f ca="1">SUM(Q15:Q38)</f>
        <v>51028918.708190791</v>
      </c>
      <c r="S40" s="289">
        <f ca="1">SUM(S15:S38)</f>
        <v>55683507.135788903</v>
      </c>
    </row>
    <row r="42" spans="1:45" x14ac:dyDescent="0.2">
      <c r="A42" s="268">
        <f>A38+1</f>
        <v>2020</v>
      </c>
      <c r="C42" s="297">
        <f ca="1">$M$48 / ($U42 * AI42) * $V42</f>
        <v>14.891220178330752</v>
      </c>
      <c r="D42" s="297"/>
      <c r="E42" s="297">
        <f ca="1">$M$64 / ($U42 * AK42) * $V42</f>
        <v>15.901561633969678</v>
      </c>
      <c r="F42" s="297"/>
      <c r="G42" s="297">
        <f ca="1">$M$65 / ($U42 * AM42) * $V42</f>
        <v>16.541642725380203</v>
      </c>
      <c r="H42" s="297"/>
      <c r="I42" s="297">
        <f ca="1">$M$66 / ($U42 * AO42) * $V42</f>
        <v>17.099062659011441</v>
      </c>
      <c r="J42" s="297"/>
      <c r="K42" s="297">
        <f ca="1">$M$67 / ($U42 * AQ42) * $V42</f>
        <v>18.426757242939491</v>
      </c>
      <c r="L42" s="297"/>
      <c r="M42" s="330">
        <f ca="1">G42</f>
        <v>16.541642725380203</v>
      </c>
      <c r="O42" s="289">
        <f>Intro!K51</f>
        <v>559427.22345980478</v>
      </c>
      <c r="Q42" s="289">
        <f ca="1">$O42 * M42</f>
        <v>9253845.2613235246</v>
      </c>
      <c r="S42" s="289">
        <f ca="1">$O42 * K42</f>
        <v>10308429.641785488</v>
      </c>
      <c r="U42" s="266">
        <f>Intro!J42</f>
        <v>1</v>
      </c>
      <c r="V42" s="266">
        <f>Intro!L42</f>
        <v>1.0000000000000004</v>
      </c>
      <c r="W42" s="252">
        <f>Intro!H42</f>
        <v>500000</v>
      </c>
      <c r="Y42" s="290">
        <f ca="1">O42*C42</f>
        <v>8330553.9582921909</v>
      </c>
      <c r="Z42" s="290">
        <f ca="1">S42-Q42</f>
        <v>1054584.3804619629</v>
      </c>
      <c r="AB42" s="304">
        <v>9474002.0361527018</v>
      </c>
      <c r="AC42" s="337">
        <f t="shared" ref="AC42" ca="1" si="29">Q42/AB42-1</f>
        <v>-2.3237991082233345E-2</v>
      </c>
      <c r="AD42" s="304">
        <v>10504567.548775073</v>
      </c>
      <c r="AE42" s="337">
        <f t="shared" ref="AE42" ca="1" si="30">S42/AD42-1</f>
        <v>-1.8671678398836766E-2</v>
      </c>
      <c r="AG42" s="268">
        <f>AG38-1</f>
        <v>-1</v>
      </c>
      <c r="AI42" s="266">
        <f>(1+AI$10) ^ $AG42</f>
        <v>0.99552015928322557</v>
      </c>
      <c r="AK42" s="266">
        <f>(1+AK$10) ^ $AG42</f>
        <v>0.99304865938430997</v>
      </c>
      <c r="AM42" s="266">
        <f>(1+AM$10) ^ $AG42</f>
        <v>0.9905894006934125</v>
      </c>
      <c r="AO42" s="266">
        <f>(1+AO$10) ^ $AG42</f>
        <v>0.98911968348170143</v>
      </c>
      <c r="AQ42" s="266">
        <f>(1+AQ$10) ^ $AG42</f>
        <v>0.98814229249011853</v>
      </c>
    </row>
    <row r="43" spans="1:45" x14ac:dyDescent="0.2">
      <c r="C43" s="421"/>
      <c r="E43" s="421"/>
      <c r="G43" s="421"/>
      <c r="I43" s="421"/>
      <c r="K43" s="421"/>
      <c r="M43" s="421"/>
    </row>
    <row r="44" spans="1:45" x14ac:dyDescent="0.2">
      <c r="V44" s="413">
        <v>1</v>
      </c>
    </row>
    <row r="45" spans="1:45" x14ac:dyDescent="0.2">
      <c r="U45" s="293" t="s">
        <v>452</v>
      </c>
      <c r="V45" s="293" t="s">
        <v>374</v>
      </c>
      <c r="W45" s="293" t="s">
        <v>453</v>
      </c>
      <c r="Y45" s="293" t="s">
        <v>450</v>
      </c>
    </row>
    <row r="46" spans="1:45" x14ac:dyDescent="0.2">
      <c r="A46" s="222" t="str">
        <f>"SELECTED LOSS &amp; ALAE COSTS AT THE "&amp;cpy_l&amp;" LEVEL:"</f>
        <v>SELECTED LOSS &amp; ALAE COSTS AT THE 2018/19 LEVEL:</v>
      </c>
      <c r="U46" s="299" t="s">
        <v>18</v>
      </c>
      <c r="V46" s="299" t="s">
        <v>18</v>
      </c>
      <c r="W46" s="299" t="s">
        <v>454</v>
      </c>
      <c r="Y46" s="299" t="s">
        <v>451</v>
      </c>
    </row>
    <row r="48" spans="1:45" x14ac:dyDescent="0.2">
      <c r="A48" s="222" t="s">
        <v>429</v>
      </c>
      <c r="M48" s="322">
        <f ca="1">'e4.3'!O51</f>
        <v>14.824509883853406</v>
      </c>
      <c r="U48" s="332">
        <v>14.798226905609122</v>
      </c>
      <c r="V48" s="307">
        <f>U48*(1+(Trend!$V$43*trend_prior))*$V$44</f>
        <v>14.798226905609122</v>
      </c>
      <c r="W48" s="274">
        <f ca="1">M48/V48-1</f>
        <v>1.7760896904697177E-3</v>
      </c>
    </row>
    <row r="49" spans="1:27" x14ac:dyDescent="0.2">
      <c r="M49" s="148"/>
      <c r="U49" s="268"/>
      <c r="V49" s="268"/>
      <c r="W49" s="268"/>
    </row>
    <row r="50" spans="1:27" x14ac:dyDescent="0.2">
      <c r="A50" s="222" t="s">
        <v>430</v>
      </c>
      <c r="M50" s="331">
        <f ca="1">'e4.4'!$O$51</f>
        <v>15.79102446273056</v>
      </c>
      <c r="U50" s="332">
        <v>15.803590930776457</v>
      </c>
      <c r="V50" s="307">
        <f>U50*(1+Trend!$W$43*trend_prior)*$V$44</f>
        <v>15.803590930776457</v>
      </c>
      <c r="W50" s="274">
        <f ca="1">M50/V50-1</f>
        <v>-7.9516535836321456E-4</v>
      </c>
      <c r="Y50" s="266">
        <f ca="1">M50/M59</f>
        <v>0.99022451507353559</v>
      </c>
      <c r="Z50" s="287" t="s">
        <v>264</v>
      </c>
      <c r="AA50" s="335"/>
    </row>
    <row r="51" spans="1:27" x14ac:dyDescent="0.2">
      <c r="A51" s="222" t="s">
        <v>431</v>
      </c>
      <c r="M51" s="236">
        <f ca="1">'e4.5'!$O$51</f>
        <v>16.385975953818914</v>
      </c>
      <c r="U51" s="332">
        <v>16.4763994203065</v>
      </c>
      <c r="V51" s="307">
        <f>U51*(1+Trend!$X$43*trend_prior)*$V$44</f>
        <v>16.4763994203065</v>
      </c>
      <c r="W51" s="274">
        <f ca="1">M51/V51-1</f>
        <v>-5.4880598716332551E-3</v>
      </c>
      <c r="Y51" s="266">
        <f ca="1">M51/M60</f>
        <v>0.96509230145487923</v>
      </c>
      <c r="Z51" s="287" t="s">
        <v>265</v>
      </c>
      <c r="AA51" s="335"/>
    </row>
    <row r="52" spans="1:27" x14ac:dyDescent="0.2">
      <c r="A52" s="222" t="s">
        <v>432</v>
      </c>
      <c r="M52" s="236">
        <f ca="1">'e4.6'!$O$51</f>
        <v>17.595990157758987</v>
      </c>
      <c r="U52" s="332">
        <v>17.706090233421058</v>
      </c>
      <c r="V52" s="307">
        <f>U52*(1+Trend!$Z$43*trend_prior)*$V$44</f>
        <v>17.706090233421058</v>
      </c>
      <c r="W52" s="274">
        <f ca="1">M52/V52-1</f>
        <v>-6.2182036920975792E-3</v>
      </c>
      <c r="Y52" s="266">
        <f ca="1">M66/M61</f>
        <v>0.9441799656144233</v>
      </c>
      <c r="Z52" s="670" t="s">
        <v>266</v>
      </c>
      <c r="AA52" s="335"/>
    </row>
    <row r="53" spans="1:27" x14ac:dyDescent="0.2">
      <c r="U53" s="268"/>
      <c r="V53" s="268"/>
      <c r="W53" s="268"/>
      <c r="Y53" s="266">
        <f ca="1">M67/M62</f>
        <v>0.88144295809305606</v>
      </c>
      <c r="Z53" s="287" t="s">
        <v>14</v>
      </c>
    </row>
    <row r="54" spans="1:27" x14ac:dyDescent="0.2">
      <c r="A54" s="286" t="s">
        <v>442</v>
      </c>
      <c r="M54" s="671">
        <v>1.0757126810933588</v>
      </c>
      <c r="U54" s="332">
        <v>1.0773500583317144</v>
      </c>
      <c r="V54" s="266">
        <f t="shared" ref="V54:V57" si="31">U54</f>
        <v>1.0773500583317144</v>
      </c>
      <c r="W54" s="274">
        <f>M54/V54-1</f>
        <v>-1.5198191392786775E-3</v>
      </c>
    </row>
    <row r="55" spans="1:27" x14ac:dyDescent="0.2">
      <c r="A55" s="286" t="s">
        <v>443</v>
      </c>
      <c r="M55" s="671">
        <v>1.1453101721745311</v>
      </c>
      <c r="U55" s="332">
        <v>1.1493991741457734</v>
      </c>
      <c r="V55" s="266">
        <f t="shared" si="31"/>
        <v>1.1493991741457734</v>
      </c>
      <c r="W55" s="274">
        <f>M55/V55-1</f>
        <v>-3.5575125363050963E-3</v>
      </c>
    </row>
    <row r="56" spans="1:27" x14ac:dyDescent="0.2">
      <c r="A56" s="286" t="s">
        <v>444</v>
      </c>
      <c r="M56" s="671">
        <v>1.2083312940385615</v>
      </c>
      <c r="U56" s="332">
        <v>1.2156563712063564</v>
      </c>
      <c r="V56" s="266">
        <f t="shared" si="31"/>
        <v>1.2156563712063564</v>
      </c>
      <c r="W56" s="274">
        <f>M56/V56-1</f>
        <v>-6.0256149198855136E-3</v>
      </c>
    </row>
    <row r="57" spans="1:27" x14ac:dyDescent="0.2">
      <c r="A57" s="286" t="s">
        <v>445</v>
      </c>
      <c r="M57" s="671">
        <v>1.3934578786614211</v>
      </c>
      <c r="U57" s="332">
        <v>1.4093846420743981</v>
      </c>
      <c r="V57" s="266">
        <f t="shared" si="31"/>
        <v>1.4093846420743981</v>
      </c>
      <c r="W57" s="274">
        <f>M57/V57-1</f>
        <v>-1.1300508702532186E-2</v>
      </c>
    </row>
    <row r="58" spans="1:27" x14ac:dyDescent="0.2">
      <c r="U58" s="268"/>
      <c r="V58" s="268"/>
      <c r="W58" s="268"/>
    </row>
    <row r="59" spans="1:27" x14ac:dyDescent="0.2">
      <c r="A59" s="286" t="s">
        <v>446</v>
      </c>
      <c r="M59" s="297">
        <f ca="1">$M$48 * M54</f>
        <v>15.946913273054944</v>
      </c>
      <c r="U59" s="332">
        <v>15.942870619963932</v>
      </c>
      <c r="V59" s="307">
        <f>U59*(1+Trend!$W$43*trend_prior)*$V$44</f>
        <v>15.942870619963932</v>
      </c>
      <c r="W59" s="274">
        <f t="shared" ref="W59:W67" ca="1" si="32">M59/V59-1</f>
        <v>2.5357121608649003E-4</v>
      </c>
    </row>
    <row r="60" spans="1:27" x14ac:dyDescent="0.2">
      <c r="A60" s="286" t="s">
        <v>447</v>
      </c>
      <c r="M60" s="295">
        <f ca="1">$M$48 * M55</f>
        <v>16.978661967479184</v>
      </c>
      <c r="U60" s="332">
        <v>17.00906978412889</v>
      </c>
      <c r="V60" s="307">
        <f>U60*(1+Trend!$X$43*trend_prior)*$V$44</f>
        <v>17.00906978412889</v>
      </c>
      <c r="W60" s="274">
        <f t="shared" ca="1" si="32"/>
        <v>-1.7877413071748505E-3</v>
      </c>
    </row>
    <row r="61" spans="1:27" x14ac:dyDescent="0.2">
      <c r="A61" s="286" t="s">
        <v>448</v>
      </c>
      <c r="M61" s="295">
        <f ca="1">$M$48 * M56</f>
        <v>17.912919211444031</v>
      </c>
      <c r="U61" s="332">
        <v>17.989558820361054</v>
      </c>
      <c r="V61" s="307">
        <f>U61*(1+Trend!$Y$43*trend_prior)*$V$44</f>
        <v>17.989558820361054</v>
      </c>
      <c r="W61" s="274">
        <f t="shared" ca="1" si="32"/>
        <v>-4.2602272619538528E-3</v>
      </c>
    </row>
    <row r="62" spans="1:27" x14ac:dyDescent="0.2">
      <c r="A62" s="286" t="s">
        <v>449</v>
      </c>
      <c r="M62" s="295">
        <f ca="1">$M$48 * M57</f>
        <v>20.657330094949636</v>
      </c>
      <c r="U62" s="332">
        <v>20.85639373069764</v>
      </c>
      <c r="V62" s="307">
        <f>U62*(1+Trend!$Z$43*trend_prior)*$V$44</f>
        <v>20.85639373069764</v>
      </c>
      <c r="W62" s="274">
        <f t="shared" ca="1" si="32"/>
        <v>-9.5444897290661856E-3</v>
      </c>
      <c r="Y62" s="496" t="s">
        <v>557</v>
      </c>
    </row>
    <row r="63" spans="1:27" x14ac:dyDescent="0.2">
      <c r="U63" s="268"/>
      <c r="V63" s="268"/>
      <c r="W63" s="268"/>
      <c r="Y63" s="498" t="s">
        <v>687</v>
      </c>
    </row>
    <row r="64" spans="1:27" x14ac:dyDescent="0.2">
      <c r="A64" s="222" t="s">
        <v>433</v>
      </c>
      <c r="M64" s="297">
        <f ca="1">M50</f>
        <v>15.79102446273056</v>
      </c>
      <c r="U64" s="332">
        <v>15.803590930776457</v>
      </c>
      <c r="V64" s="307">
        <f>U64*(1+Trend!$W$43*trend_prior)*$V$44</f>
        <v>15.803590930776457</v>
      </c>
      <c r="W64" s="274">
        <f t="shared" ca="1" si="32"/>
        <v>-7.9516535836321456E-4</v>
      </c>
      <c r="Y64" s="533">
        <f>(U64-U48)/100</f>
        <v>1.005364025167335E-2</v>
      </c>
    </row>
    <row r="65" spans="1:25" x14ac:dyDescent="0.2">
      <c r="A65" s="222" t="s">
        <v>434</v>
      </c>
      <c r="M65" s="295">
        <f ca="1">M51</f>
        <v>16.385975953818914</v>
      </c>
      <c r="U65" s="332">
        <v>16.4763994203065</v>
      </c>
      <c r="V65" s="307">
        <f>U65*(1+Trend!$X$43*trend_prior)*$V$44</f>
        <v>16.4763994203065</v>
      </c>
      <c r="W65" s="274">
        <f t="shared" ca="1" si="32"/>
        <v>-5.4880598716332551E-3</v>
      </c>
      <c r="Y65" s="533">
        <f>(U65-U64)/150</f>
        <v>4.4853899302002868E-3</v>
      </c>
    </row>
    <row r="66" spans="1:25" x14ac:dyDescent="0.2">
      <c r="A66" s="222" t="s">
        <v>435</v>
      </c>
      <c r="M66" s="324">
        <f ca="1">M61*(0.75*Y51+0.25*Y53)</f>
        <v>16.913019445115168</v>
      </c>
      <c r="U66" s="332">
        <v>16.989605613936224</v>
      </c>
      <c r="V66" s="307">
        <f>U66*(1+Trend!$Y$43*trend_prior)*$V$44</f>
        <v>16.989605613936224</v>
      </c>
      <c r="W66" s="274">
        <f t="shared" ca="1" si="32"/>
        <v>-4.5078249937852144E-3</v>
      </c>
      <c r="Y66" s="533">
        <f>(U66-U65)/250</f>
        <v>2.0528247745188965E-3</v>
      </c>
    </row>
    <row r="67" spans="1:25" x14ac:dyDescent="0.2">
      <c r="A67" s="222" t="s">
        <v>436</v>
      </c>
      <c r="M67" s="630">
        <f ca="1">M52*0.8 + M62*0.2</f>
        <v>18.208258145197117</v>
      </c>
      <c r="U67" s="332">
        <v>18.178635758012547</v>
      </c>
      <c r="V67" s="307">
        <f>U67*(1+Trend!$Z$43*trend_prior)*$V$44</f>
        <v>18.178635758012547</v>
      </c>
      <c r="W67" s="274">
        <f t="shared" ca="1" si="32"/>
        <v>1.6295165148194624E-3</v>
      </c>
      <c r="Y67" s="533">
        <f>(U67-U66)/250</f>
        <v>4.7561205763052925E-3</v>
      </c>
    </row>
    <row r="69" spans="1:25" x14ac:dyDescent="0.2">
      <c r="A69" s="222" t="s">
        <v>83</v>
      </c>
    </row>
    <row r="70" spans="1:25" x14ac:dyDescent="0.2">
      <c r="A70" s="411" t="str">
        <f>"Columns (1a) through (1e) are the selected policy period "&amp;cpy_l&amp;" loss cost, adjusted to"</f>
        <v>Columns (1a) through (1e) are the selected policy period 2018/19 loss cost, adjusted to</v>
      </c>
    </row>
    <row r="71" spans="1:25" x14ac:dyDescent="0.2">
      <c r="A71" s="222" t="s">
        <v>437</v>
      </c>
    </row>
    <row r="72" spans="1:25" x14ac:dyDescent="0.2">
      <c r="A72" s="411" t="s">
        <v>591</v>
      </c>
    </row>
    <row r="73" spans="1:25" x14ac:dyDescent="0.2">
      <c r="A73" s="222" t="s">
        <v>438</v>
      </c>
    </row>
    <row r="74" spans="1:25" x14ac:dyDescent="0.2">
      <c r="A74" s="411" t="s">
        <v>592</v>
      </c>
    </row>
    <row r="75" spans="1:25" x14ac:dyDescent="0.2">
      <c r="A75" s="411" t="s">
        <v>593</v>
      </c>
    </row>
    <row r="76" spans="1:25" x14ac:dyDescent="0.2">
      <c r="A76" s="222" t="s">
        <v>439</v>
      </c>
    </row>
  </sheetData>
  <printOptions horizontalCentered="1"/>
  <pageMargins left="0.7" right="0.7" top="0.75" bottom="0.75" header="0.3" footer="0.3"/>
  <pageSetup scale="71" orientation="portrait" blackAndWhite="1" r:id="rId1"/>
  <headerFooter>
    <oddHeader xml:space="preserve">&amp;L&amp;"Arial"&amp;10  
  &amp;R&amp;"Arial"&amp;10  Exhibit 4
Sheet 2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3">
    <tabColor theme="9" tint="0.79998168889431442"/>
    <pageSetUpPr fitToPage="1"/>
  </sheetPr>
  <dimension ref="A1:X63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1.625" style="222" customWidth="1"/>
    <col min="4" max="4" width="2.625" style="222" customWidth="1"/>
    <col min="5" max="5" width="9.125" style="222" customWidth="1"/>
    <col min="6" max="6" width="2.625" style="222" customWidth="1"/>
    <col min="7" max="7" width="11.625" style="222" customWidth="1"/>
    <col min="8" max="8" width="2.625" style="222" customWidth="1"/>
    <col min="9" max="9" width="10.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9" style="222"/>
    <col min="14" max="14" width="2.625" style="222" customWidth="1"/>
    <col min="15" max="15" width="10.25" style="222" customWidth="1"/>
    <col min="16" max="16" width="2.625" style="222" customWidth="1"/>
    <col min="17" max="16384" width="9" style="222"/>
  </cols>
  <sheetData>
    <row r="1" spans="1:24" x14ac:dyDescent="0.2">
      <c r="A1" s="1" t="str">
        <f>[1]!getlabels()</f>
        <v>Exhibit 4, Sheet 3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24" ht="12.75" customHeight="1" x14ac:dyDescent="0.2">
      <c r="A7" s="224" t="str">
        <f>VLOOKUP($A$1, index_lkups, 3, FALSE)</f>
        <v>Loss Cost Method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8" spans="1:24" ht="12.75" customHeight="1" x14ac:dyDescent="0.2"/>
    <row r="9" spans="1:24" ht="12.75" customHeight="1" x14ac:dyDescent="0.2"/>
    <row r="10" spans="1:24" ht="12.75" customHeight="1" x14ac:dyDescent="0.2">
      <c r="C10" s="285" t="s">
        <v>373</v>
      </c>
      <c r="E10" s="285" t="s">
        <v>345</v>
      </c>
    </row>
    <row r="11" spans="1:24" ht="12.75" customHeight="1" x14ac:dyDescent="0.2">
      <c r="A11" s="181" t="str">
        <f>Intro!M9</f>
        <v>Policy</v>
      </c>
      <c r="C11" s="285" t="s">
        <v>330</v>
      </c>
      <c r="E11" s="306" t="str">
        <f>"to "&amp;cpy_l</f>
        <v>to 2018/19</v>
      </c>
      <c r="I11" s="285" t="s">
        <v>345</v>
      </c>
      <c r="K11" s="285" t="s">
        <v>55</v>
      </c>
      <c r="O11" s="285" t="s">
        <v>374</v>
      </c>
    </row>
    <row r="12" spans="1:24" ht="12.75" customHeight="1" x14ac:dyDescent="0.2">
      <c r="A12" s="181" t="str">
        <f>Intro!M10</f>
        <v>Period</v>
      </c>
      <c r="C12" s="285" t="s">
        <v>245</v>
      </c>
      <c r="E12" s="285" t="s">
        <v>375</v>
      </c>
      <c r="G12" s="268" t="s">
        <v>5</v>
      </c>
      <c r="I12" s="318" t="str">
        <f>E11</f>
        <v>to 2018/19</v>
      </c>
      <c r="K12" s="285" t="s">
        <v>5</v>
      </c>
      <c r="M12" s="285" t="s">
        <v>332</v>
      </c>
      <c r="O12" s="318" t="str">
        <f>I12</f>
        <v>to 2018/19</v>
      </c>
      <c r="R12" s="293" t="s">
        <v>353</v>
      </c>
      <c r="U12" s="300" t="s">
        <v>417</v>
      </c>
      <c r="V12" s="301"/>
      <c r="W12" s="300" t="s">
        <v>55</v>
      </c>
      <c r="X12" s="301"/>
    </row>
    <row r="13" spans="1:24" ht="12.75" customHeight="1" x14ac:dyDescent="0.2">
      <c r="A13" s="176" t="str">
        <f>Intro!M11</f>
        <v>Ending 9/30</v>
      </c>
      <c r="C13" s="251" t="s">
        <v>8</v>
      </c>
      <c r="E13" s="251" t="s">
        <v>350</v>
      </c>
      <c r="G13" s="251" t="s">
        <v>6</v>
      </c>
      <c r="I13" s="251" t="s">
        <v>11</v>
      </c>
      <c r="K13" s="251" t="s">
        <v>6</v>
      </c>
      <c r="M13" s="251" t="s">
        <v>416</v>
      </c>
      <c r="O13" s="251" t="s">
        <v>416</v>
      </c>
      <c r="Q13" s="299" t="s">
        <v>352</v>
      </c>
      <c r="R13" s="299" t="s">
        <v>229</v>
      </c>
      <c r="U13" s="303" t="s">
        <v>332</v>
      </c>
      <c r="V13" s="303" t="s">
        <v>336</v>
      </c>
      <c r="W13" s="303" t="s">
        <v>332</v>
      </c>
      <c r="X13" s="303" t="s">
        <v>336</v>
      </c>
    </row>
    <row r="14" spans="1:24" ht="12.75" customHeight="1" x14ac:dyDescent="0.2">
      <c r="C14" s="288">
        <v>1</v>
      </c>
      <c r="E14" s="288">
        <f>C14+1</f>
        <v>2</v>
      </c>
      <c r="G14" s="288">
        <f>E14+1</f>
        <v>3</v>
      </c>
      <c r="I14" s="288">
        <f>G14+1</f>
        <v>4</v>
      </c>
      <c r="K14" s="288">
        <f>I14+1</f>
        <v>5</v>
      </c>
      <c r="M14" s="288">
        <f>K14+1</f>
        <v>6</v>
      </c>
      <c r="O14" s="288">
        <f>M14+1</f>
        <v>7</v>
      </c>
    </row>
    <row r="15" spans="1:24" ht="12.75" customHeight="1" x14ac:dyDescent="0.2"/>
    <row r="16" spans="1:24" ht="12.75" customHeight="1" x14ac:dyDescent="0.2">
      <c r="A16" s="151">
        <f>Intro!C18</f>
        <v>1996</v>
      </c>
      <c r="C16" s="249">
        <f>'e3.1A'!Q18</f>
        <v>683326</v>
      </c>
      <c r="E16" s="308">
        <f>Intro!J18</f>
        <v>1.1429772558804836</v>
      </c>
      <c r="G16" s="289">
        <f>Intro!K18</f>
        <v>51718.748</v>
      </c>
      <c r="I16" s="296">
        <f>Intro!L18</f>
        <v>0.77330581975421253</v>
      </c>
      <c r="K16" s="289">
        <f t="shared" ref="K16" si="0">G16*I16</f>
        <v>39994.408818801538</v>
      </c>
      <c r="M16" s="319">
        <f>(C16*E16) / K16</f>
        <v>19.528381576792398</v>
      </c>
      <c r="O16" s="297">
        <f t="shared" ref="O16" si="1">M16*R16</f>
        <v>21.652841526179603</v>
      </c>
      <c r="Q16" s="252">
        <f>Intro!G18</f>
        <v>23</v>
      </c>
      <c r="R16" s="266">
        <f t="shared" ref="R16" si="2">(1 + lctrnd_250k) ^ Q16</f>
        <v>1.1087883264177878</v>
      </c>
      <c r="T16" s="268" t="str">
        <f>RIGHT(A16,2)</f>
        <v>96</v>
      </c>
      <c r="U16" s="295">
        <f t="shared" ref="U16" si="3">C16 / G16</f>
        <v>13.212346130265953</v>
      </c>
      <c r="V16" s="324">
        <f t="shared" ref="V16" ca="1" si="4">$O$51 / (E16 * R16) * I16</f>
        <v>9.0457668366623096</v>
      </c>
      <c r="W16" s="295">
        <f t="shared" ref="W16" si="5">M16</f>
        <v>19.528381576792398</v>
      </c>
      <c r="X16" s="295">
        <f t="shared" ref="X16" ca="1" si="6">$O$51/R16</f>
        <v>13.370008982460714</v>
      </c>
    </row>
    <row r="17" spans="1:24" ht="12.75" customHeight="1" x14ac:dyDescent="0.2">
      <c r="A17" s="151">
        <f>Intro!C19</f>
        <v>1997</v>
      </c>
      <c r="C17" s="235">
        <f>'e3.1A'!Q19</f>
        <v>1337604</v>
      </c>
      <c r="E17" s="308">
        <f>Intro!J19</f>
        <v>1.1586516942611411</v>
      </c>
      <c r="G17" s="290">
        <f>Intro!K19</f>
        <v>71279.833180000031</v>
      </c>
      <c r="I17" s="296">
        <f>Intro!L19</f>
        <v>0.77330581975421253</v>
      </c>
      <c r="K17" s="290">
        <f t="shared" ref="K17" si="7">G17*I17</f>
        <v>55121.109829203444</v>
      </c>
      <c r="M17" s="296">
        <f t="shared" ref="M17:M39" si="8">(C17*E17) / K17</f>
        <v>28.116580846298174</v>
      </c>
      <c r="O17" s="321">
        <f t="shared" ref="O17:O39" si="9">M17*R17</f>
        <v>31.035676078802762</v>
      </c>
      <c r="Q17" s="252">
        <f>Intro!G19</f>
        <v>22</v>
      </c>
      <c r="R17" s="266">
        <f t="shared" ref="R17:R39" si="10">(1 + lctrnd_250k) ^ Q17</f>
        <v>1.1038211313268169</v>
      </c>
      <c r="T17" s="268" t="str">
        <f t="shared" ref="T17:T39" si="11">RIGHT(A17,2)</f>
        <v>97</v>
      </c>
      <c r="U17" s="295">
        <f t="shared" ref="U17:U39" si="12">C17 / G17</f>
        <v>18.765532133362374</v>
      </c>
      <c r="V17" s="324">
        <f t="shared" ref="V17:V39" ca="1" si="13">$O$51 / (E17 * R17) * I17</f>
        <v>8.9635494287428035</v>
      </c>
      <c r="W17" s="295">
        <f t="shared" ref="W17:W39" si="14">M17</f>
        <v>28.116580846298174</v>
      </c>
      <c r="X17" s="295">
        <f t="shared" ref="X17:X39" ca="1" si="15">$O$51/R17</f>
        <v>13.43017402288179</v>
      </c>
    </row>
    <row r="18" spans="1:24" ht="12.75" customHeight="1" x14ac:dyDescent="0.2">
      <c r="A18" s="151">
        <f>Intro!C20</f>
        <v>1998</v>
      </c>
      <c r="C18" s="235">
        <f ca="1">'e3.1A'!Q20</f>
        <v>2608056.4441664326</v>
      </c>
      <c r="E18" s="308">
        <f>Intro!J20</f>
        <v>1.1472092745516156</v>
      </c>
      <c r="G18" s="290">
        <f>Intro!K20</f>
        <v>90725.935539999991</v>
      </c>
      <c r="I18" s="296">
        <f>Intro!L20</f>
        <v>0.77330581975421253</v>
      </c>
      <c r="K18" s="290">
        <f t="shared" ref="K18:K39" si="16">G18*I18</f>
        <v>70158.893955727544</v>
      </c>
      <c r="M18" s="296">
        <f t="shared" ca="1" si="8"/>
        <v>42.645862450309949</v>
      </c>
      <c r="O18" s="321">
        <f t="shared" ca="1" si="9"/>
        <v>46.862522783781934</v>
      </c>
      <c r="Q18" s="252">
        <f>Intro!G20</f>
        <v>21</v>
      </c>
      <c r="R18" s="266">
        <f t="shared" si="10"/>
        <v>1.0988761884786631</v>
      </c>
      <c r="T18" s="268" t="str">
        <f t="shared" si="11"/>
        <v>98</v>
      </c>
      <c r="U18" s="295">
        <f t="shared" ca="1" si="12"/>
        <v>28.746536793953162</v>
      </c>
      <c r="V18" s="324">
        <f t="shared" ca="1" si="13"/>
        <v>9.0936913660140419</v>
      </c>
      <c r="W18" s="295">
        <f t="shared" ca="1" si="14"/>
        <v>42.645862450309949</v>
      </c>
      <c r="X18" s="295">
        <f t="shared" ca="1" si="15"/>
        <v>13.490609805984755</v>
      </c>
    </row>
    <row r="19" spans="1:24" ht="12.75" customHeight="1" x14ac:dyDescent="0.2">
      <c r="A19" s="151">
        <f>Intro!C21</f>
        <v>1999</v>
      </c>
      <c r="C19" s="235">
        <f ca="1">'e3.1A'!Q21</f>
        <v>2657616.0194703522</v>
      </c>
      <c r="E19" s="308">
        <f>Intro!J21</f>
        <v>1.1383473850581671</v>
      </c>
      <c r="G19" s="290">
        <f>Intro!K21</f>
        <v>115828.16377000001</v>
      </c>
      <c r="I19" s="296">
        <f>Intro!L21</f>
        <v>0.77330581975421253</v>
      </c>
      <c r="K19" s="290">
        <f t="shared" si="16"/>
        <v>89570.593134785042</v>
      </c>
      <c r="M19" s="296">
        <f t="shared" ca="1" si="8"/>
        <v>33.775485238780774</v>
      </c>
      <c r="O19" s="321">
        <f t="shared" ca="1" si="9"/>
        <v>36.948806852373096</v>
      </c>
      <c r="Q19" s="252">
        <f>Intro!G21</f>
        <v>20</v>
      </c>
      <c r="R19" s="266">
        <f t="shared" si="10"/>
        <v>1.0939533981868226</v>
      </c>
      <c r="T19" s="268" t="str">
        <f t="shared" si="11"/>
        <v>99</v>
      </c>
      <c r="U19" s="295">
        <f t="shared" ca="1" si="12"/>
        <v>22.944471646356931</v>
      </c>
      <c r="V19" s="324">
        <f t="shared" ca="1" si="13"/>
        <v>9.2057247764515164</v>
      </c>
      <c r="W19" s="295">
        <f t="shared" ca="1" si="14"/>
        <v>33.775485238780774</v>
      </c>
      <c r="X19" s="295">
        <f t="shared" ca="1" si="15"/>
        <v>13.551317550111685</v>
      </c>
    </row>
    <row r="20" spans="1:24" ht="12.75" customHeight="1" x14ac:dyDescent="0.2">
      <c r="A20" s="151">
        <f>Intro!C22</f>
        <v>2000</v>
      </c>
      <c r="C20" s="235">
        <f ca="1">'e3.1A'!Q22</f>
        <v>2388707.8695035465</v>
      </c>
      <c r="E20" s="308">
        <f>Intro!J22</f>
        <v>1.1276856835351232</v>
      </c>
      <c r="G20" s="290">
        <f>Intro!K22</f>
        <v>86853.122530000022</v>
      </c>
      <c r="I20" s="296">
        <f>Intro!L22</f>
        <v>0.77330581975421253</v>
      </c>
      <c r="K20" s="290">
        <f t="shared" si="16"/>
        <v>67164.02511627473</v>
      </c>
      <c r="M20" s="296">
        <f t="shared" ca="1" si="8"/>
        <v>40.106465655140035</v>
      </c>
      <c r="O20" s="321">
        <f t="shared" ca="1" si="9"/>
        <v>43.678053153512728</v>
      </c>
      <c r="Q20" s="252">
        <f>Intro!G22</f>
        <v>19</v>
      </c>
      <c r="R20" s="266">
        <f t="shared" si="10"/>
        <v>1.0890526612113716</v>
      </c>
      <c r="T20" s="268" t="str">
        <f t="shared" si="11"/>
        <v>00</v>
      </c>
      <c r="U20" s="295">
        <f t="shared" ca="1" si="12"/>
        <v>27.502843880811085</v>
      </c>
      <c r="V20" s="324">
        <f t="shared" ca="1" si="13"/>
        <v>9.3345776999763395</v>
      </c>
      <c r="W20" s="295">
        <f t="shared" ca="1" si="14"/>
        <v>40.106465655140035</v>
      </c>
      <c r="X20" s="295">
        <f t="shared" ca="1" si="15"/>
        <v>13.612298479087185</v>
      </c>
    </row>
    <row r="21" spans="1:24" ht="12.75" customHeight="1" x14ac:dyDescent="0.2">
      <c r="A21" s="151">
        <f>Intro!C23</f>
        <v>2001</v>
      </c>
      <c r="C21" s="235">
        <f ca="1">'e3.1A'!Q23</f>
        <v>1361665.6383934908</v>
      </c>
      <c r="E21" s="308">
        <f>Intro!J23</f>
        <v>1.1157888358226624</v>
      </c>
      <c r="G21" s="290">
        <f>Intro!K23</f>
        <v>91838.194909999977</v>
      </c>
      <c r="I21" s="296">
        <f>Intro!L23</f>
        <v>0.77330581975421253</v>
      </c>
      <c r="K21" s="290">
        <f t="shared" si="16"/>
        <v>71019.010599624686</v>
      </c>
      <c r="M21" s="296">
        <f t="shared" ca="1" si="8"/>
        <v>21.393304477418681</v>
      </c>
      <c r="O21" s="321">
        <f t="shared" ca="1" si="9"/>
        <v>23.194061894711762</v>
      </c>
      <c r="Q21" s="252">
        <f>Intro!G23</f>
        <v>18</v>
      </c>
      <c r="R21" s="266">
        <f t="shared" si="10"/>
        <v>1.0841738787569652</v>
      </c>
      <c r="T21" s="268" t="str">
        <f t="shared" si="11"/>
        <v>01</v>
      </c>
      <c r="U21" s="295">
        <f t="shared" ca="1" si="12"/>
        <v>14.826790092378255</v>
      </c>
      <c r="V21" s="324">
        <f t="shared" ca="1" si="13"/>
        <v>9.4765590118734444</v>
      </c>
      <c r="W21" s="295">
        <f t="shared" ca="1" si="14"/>
        <v>21.393304477418681</v>
      </c>
      <c r="X21" s="295">
        <f t="shared" ca="1" si="15"/>
        <v>13.673553822243077</v>
      </c>
    </row>
    <row r="22" spans="1:24" ht="12.75" customHeight="1" x14ac:dyDescent="0.2">
      <c r="A22" s="151">
        <f>Intro!C24</f>
        <v>2002</v>
      </c>
      <c r="C22" s="235">
        <f ca="1">'e3.1A'!Q24</f>
        <v>2986078.6731469617</v>
      </c>
      <c r="E22" s="308">
        <f>Intro!J24</f>
        <v>1.1044876209657188</v>
      </c>
      <c r="G22" s="290">
        <f>Intro!K24</f>
        <v>86098.134999999995</v>
      </c>
      <c r="I22" s="296">
        <f>Intro!L24</f>
        <v>0.77330581975421253</v>
      </c>
      <c r="K22" s="290">
        <f t="shared" si="16"/>
        <v>66580.188865483855</v>
      </c>
      <c r="M22" s="296">
        <f t="shared" ca="1" si="8"/>
        <v>49.535559840238527</v>
      </c>
      <c r="O22" s="321">
        <f t="shared" ca="1" si="9"/>
        <v>53.4645694857035</v>
      </c>
      <c r="Q22" s="252">
        <f>Intro!G24</f>
        <v>17</v>
      </c>
      <c r="R22" s="266">
        <f t="shared" si="10"/>
        <v>1.0793169524708466</v>
      </c>
      <c r="T22" s="268" t="str">
        <f t="shared" si="11"/>
        <v>02</v>
      </c>
      <c r="U22" s="295">
        <f t="shared" ca="1" si="12"/>
        <v>34.682268938194326</v>
      </c>
      <c r="V22" s="324">
        <f t="shared" ca="1" si="13"/>
        <v>9.616604858404548</v>
      </c>
      <c r="W22" s="295">
        <f t="shared" ca="1" si="14"/>
        <v>49.535559840238527</v>
      </c>
      <c r="X22" s="295">
        <f t="shared" ca="1" si="15"/>
        <v>13.735084814443169</v>
      </c>
    </row>
    <row r="23" spans="1:24" ht="12.75" customHeight="1" x14ac:dyDescent="0.2">
      <c r="A23" s="151">
        <f>Intro!C25</f>
        <v>2003</v>
      </c>
      <c r="C23" s="235">
        <f>'e3.1A'!Q25</f>
        <v>1243025.0200000005</v>
      </c>
      <c r="E23" s="308">
        <f>Intro!J25</f>
        <v>1.0980216306970509</v>
      </c>
      <c r="G23" s="290">
        <f>Intro!K25</f>
        <v>95877.160999999993</v>
      </c>
      <c r="I23" s="296">
        <f>Intro!L25</f>
        <v>0.79035991647913106</v>
      </c>
      <c r="K23" s="290">
        <f t="shared" si="16"/>
        <v>75777.464960216195</v>
      </c>
      <c r="M23" s="296">
        <f t="shared" si="8"/>
        <v>18.011533642280092</v>
      </c>
      <c r="O23" s="321">
        <f t="shared" si="9"/>
        <v>19.353064808473746</v>
      </c>
      <c r="Q23" s="252">
        <f>Intro!G25</f>
        <v>16</v>
      </c>
      <c r="R23" s="266">
        <f t="shared" si="10"/>
        <v>1.0744817844408627</v>
      </c>
      <c r="T23" s="268" t="str">
        <f t="shared" si="11"/>
        <v>03</v>
      </c>
      <c r="U23" s="295">
        <f t="shared" si="12"/>
        <v>12.96476665595053</v>
      </c>
      <c r="V23" s="324">
        <f t="shared" ca="1" si="13"/>
        <v>9.9310529538886527</v>
      </c>
      <c r="W23" s="295">
        <f t="shared" si="14"/>
        <v>18.011533642280092</v>
      </c>
      <c r="X23" s="295">
        <f t="shared" ca="1" si="15"/>
        <v>13.796892696108165</v>
      </c>
    </row>
    <row r="24" spans="1:24" ht="12.75" customHeight="1" x14ac:dyDescent="0.2">
      <c r="A24" s="151">
        <f>Intro!C26</f>
        <v>2004</v>
      </c>
      <c r="C24" s="291">
        <f ca="1">'e3.1A'!Q26</f>
        <v>2005552.8150348195</v>
      </c>
      <c r="E24" s="308">
        <f>Intro!J26</f>
        <v>1.1043638048521249</v>
      </c>
      <c r="G24" s="290">
        <f>Intro!K26</f>
        <v>102137.68700000001</v>
      </c>
      <c r="I24" s="296">
        <f>Intro!L26</f>
        <v>0.78169156504546589</v>
      </c>
      <c r="K24" s="290">
        <f t="shared" si="16"/>
        <v>79840.168401153933</v>
      </c>
      <c r="M24" s="296">
        <f t="shared" ca="1" si="8"/>
        <v>27.741173171319758</v>
      </c>
      <c r="O24" s="321">
        <f t="shared" ca="1" si="9"/>
        <v>29.673852913491938</v>
      </c>
      <c r="Q24" s="252">
        <f>Intro!G26</f>
        <v>15</v>
      </c>
      <c r="R24" s="266">
        <f t="shared" si="10"/>
        <v>1.0696682771934924</v>
      </c>
      <c r="T24" s="268" t="str">
        <f t="shared" si="11"/>
        <v>04</v>
      </c>
      <c r="U24" s="295">
        <f t="shared" ca="1" si="12"/>
        <v>19.635776704389432</v>
      </c>
      <c r="V24" s="324">
        <f t="shared" ca="1" si="13"/>
        <v>9.8096720597751581</v>
      </c>
      <c r="W24" s="295">
        <f t="shared" ca="1" si="14"/>
        <v>27.741173171319758</v>
      </c>
      <c r="X24" s="295">
        <f t="shared" ca="1" si="15"/>
        <v>13.858978713240646</v>
      </c>
    </row>
    <row r="25" spans="1:24" ht="12.75" customHeight="1" x14ac:dyDescent="0.2">
      <c r="A25" s="151">
        <f>Intro!C27</f>
        <v>2005</v>
      </c>
      <c r="C25" s="291">
        <f>'e3.1A'!Q27</f>
        <v>699839.89000000025</v>
      </c>
      <c r="E25" s="308">
        <f>Intro!J27</f>
        <v>1.0993295241734087</v>
      </c>
      <c r="G25" s="290">
        <f>Intro!K27</f>
        <v>111292.39200000001</v>
      </c>
      <c r="I25" s="296">
        <f>Intro!L27</f>
        <v>0.78441601299858521</v>
      </c>
      <c r="K25" s="290">
        <f t="shared" si="16"/>
        <v>87299.534409715649</v>
      </c>
      <c r="M25" s="296">
        <f t="shared" si="8"/>
        <v>8.8128150794083577</v>
      </c>
      <c r="O25" s="321">
        <f t="shared" si="9"/>
        <v>9.3845582112648778</v>
      </c>
      <c r="Q25" s="252">
        <f>Intro!G27</f>
        <v>14</v>
      </c>
      <c r="R25" s="266">
        <f t="shared" si="10"/>
        <v>1.064876333691879</v>
      </c>
      <c r="T25" s="268" t="str">
        <f t="shared" si="11"/>
        <v>05</v>
      </c>
      <c r="U25" s="295">
        <f t="shared" si="12"/>
        <v>6.2882994733368678</v>
      </c>
      <c r="V25" s="324">
        <f t="shared" ca="1" si="13"/>
        <v>9.9334412549344684</v>
      </c>
      <c r="W25" s="295">
        <f t="shared" si="14"/>
        <v>8.8128150794083577</v>
      </c>
      <c r="X25" s="295">
        <f t="shared" ca="1" si="15"/>
        <v>13.921344117450229</v>
      </c>
    </row>
    <row r="26" spans="1:24" ht="12.75" customHeight="1" x14ac:dyDescent="0.2">
      <c r="A26" s="151">
        <f>Intro!C28</f>
        <v>2006</v>
      </c>
      <c r="C26" s="291">
        <f>'e3.1A'!Q28</f>
        <v>1775477.7400000007</v>
      </c>
      <c r="E26" s="308">
        <f>Intro!J28</f>
        <v>1.0898938283807902</v>
      </c>
      <c r="G26" s="290">
        <f>Intro!K28</f>
        <v>107756.82399999999</v>
      </c>
      <c r="I26" s="296">
        <f>Intro!L28</f>
        <v>0.80317985362894262</v>
      </c>
      <c r="K26" s="290">
        <f t="shared" si="16"/>
        <v>86548.110127839725</v>
      </c>
      <c r="M26" s="296">
        <f t="shared" si="8"/>
        <v>22.358457375847664</v>
      </c>
      <c r="O26" s="321">
        <f t="shared" si="9"/>
        <v>23.702331625085925</v>
      </c>
      <c r="Q26" s="252">
        <f>Intro!G28</f>
        <v>13</v>
      </c>
      <c r="R26" s="266">
        <f t="shared" si="10"/>
        <v>1.0601058573338766</v>
      </c>
      <c r="T26" s="268" t="str">
        <f t="shared" si="11"/>
        <v>06</v>
      </c>
      <c r="U26" s="295">
        <f t="shared" si="12"/>
        <v>16.476708147968438</v>
      </c>
      <c r="V26" s="324">
        <f t="shared" ca="1" si="13"/>
        <v>10.305278259393207</v>
      </c>
      <c r="W26" s="295">
        <f t="shared" si="14"/>
        <v>22.358457375847664</v>
      </c>
      <c r="X26" s="295">
        <f t="shared" ca="1" si="15"/>
        <v>13.983990165978753</v>
      </c>
    </row>
    <row r="27" spans="1:24" ht="12.75" customHeight="1" x14ac:dyDescent="0.2">
      <c r="A27" s="151">
        <f>Intro!C29</f>
        <v>2007</v>
      </c>
      <c r="C27" s="291">
        <f>'e3.1A'!Q29</f>
        <v>1099670.4199999997</v>
      </c>
      <c r="E27" s="308">
        <f>Intro!J29</f>
        <v>1.0779438773143473</v>
      </c>
      <c r="G27" s="290">
        <f>Intro!K29</f>
        <v>104584.102</v>
      </c>
      <c r="I27" s="296">
        <f>Intro!L29</f>
        <v>0.82714970603473503</v>
      </c>
      <c r="K27" s="290">
        <f t="shared" si="16"/>
        <v>86506.709225206738</v>
      </c>
      <c r="M27" s="296">
        <f t="shared" si="8"/>
        <v>13.702786834911688</v>
      </c>
      <c r="O27" s="321">
        <f t="shared" si="9"/>
        <v>14.461328606757007</v>
      </c>
      <c r="Q27" s="252">
        <f>Intro!G29</f>
        <v>12</v>
      </c>
      <c r="R27" s="266">
        <f t="shared" si="10"/>
        <v>1.0553567519501013</v>
      </c>
      <c r="T27" s="268" t="str">
        <f t="shared" si="11"/>
        <v>07</v>
      </c>
      <c r="U27" s="295">
        <f t="shared" si="12"/>
        <v>10.51469964335497</v>
      </c>
      <c r="V27" s="324">
        <f t="shared" ca="1" si="13"/>
        <v>10.778765425179081</v>
      </c>
      <c r="W27" s="295">
        <f t="shared" si="14"/>
        <v>13.702786834911688</v>
      </c>
      <c r="X27" s="295">
        <f t="shared" ca="1" si="15"/>
        <v>14.046918121725657</v>
      </c>
    </row>
    <row r="28" spans="1:24" ht="12.75" customHeight="1" x14ac:dyDescent="0.2">
      <c r="A28" s="151">
        <f>Intro!C30</f>
        <v>2008</v>
      </c>
      <c r="C28" s="291">
        <f>'e3.1A'!Q30</f>
        <v>766269.99000000011</v>
      </c>
      <c r="E28" s="308">
        <f>Intro!J30</f>
        <v>1.0673951535966342</v>
      </c>
      <c r="G28" s="290">
        <f>Intro!K30</f>
        <v>106050.29700000001</v>
      </c>
      <c r="I28" s="296">
        <f>Intro!L30</f>
        <v>0.84174442498970214</v>
      </c>
      <c r="K28" s="290">
        <f t="shared" si="16"/>
        <v>89267.246268252144</v>
      </c>
      <c r="M28" s="296">
        <f t="shared" si="8"/>
        <v>9.1625193770924227</v>
      </c>
      <c r="O28" s="321">
        <f t="shared" si="9"/>
        <v>9.6264078541444764</v>
      </c>
      <c r="Q28" s="252">
        <f>Intro!G30</f>
        <v>11</v>
      </c>
      <c r="R28" s="266">
        <f t="shared" si="10"/>
        <v>1.0506289218019926</v>
      </c>
      <c r="T28" s="268" t="str">
        <f t="shared" si="11"/>
        <v>08</v>
      </c>
      <c r="U28" s="295">
        <f t="shared" si="12"/>
        <v>7.2255336540924544</v>
      </c>
      <c r="V28" s="324">
        <f t="shared" ca="1" si="13"/>
        <v>11.127203074518869</v>
      </c>
      <c r="W28" s="295">
        <f t="shared" si="14"/>
        <v>9.1625193770924227</v>
      </c>
      <c r="X28" s="295">
        <f t="shared" ca="1" si="15"/>
        <v>14.110129253273417</v>
      </c>
    </row>
    <row r="29" spans="1:24" ht="12.75" customHeight="1" x14ac:dyDescent="0.2">
      <c r="A29" s="151">
        <f>Intro!C31</f>
        <v>2009</v>
      </c>
      <c r="C29" s="291">
        <f>'e3.1A'!Q31</f>
        <v>1590221.4700000002</v>
      </c>
      <c r="E29" s="308">
        <f>Intro!J31</f>
        <v>1.0587300339527494</v>
      </c>
      <c r="G29" s="290">
        <f>Intro!K31</f>
        <v>110722.705</v>
      </c>
      <c r="I29" s="296">
        <f>Intro!L31</f>
        <v>0.84740356064125255</v>
      </c>
      <c r="K29" s="290">
        <f t="shared" si="16"/>
        <v>93826.814460831025</v>
      </c>
      <c r="M29" s="296">
        <f t="shared" si="8"/>
        <v>17.943860085203404</v>
      </c>
      <c r="O29" s="321">
        <f t="shared" si="9"/>
        <v>18.767882901227537</v>
      </c>
      <c r="Q29" s="252">
        <f>Intro!G31</f>
        <v>10</v>
      </c>
      <c r="R29" s="266">
        <f t="shared" si="10"/>
        <v>1.045922271579883</v>
      </c>
      <c r="T29" s="268" t="str">
        <f t="shared" si="11"/>
        <v>09</v>
      </c>
      <c r="U29" s="295">
        <f t="shared" si="12"/>
        <v>14.362198521071177</v>
      </c>
      <c r="V29" s="324">
        <f t="shared" ca="1" si="13"/>
        <v>11.34451632344523</v>
      </c>
      <c r="W29" s="295">
        <f t="shared" si="14"/>
        <v>17.943860085203404</v>
      </c>
      <c r="X29" s="295">
        <f t="shared" ca="1" si="15"/>
        <v>14.173624834913149</v>
      </c>
    </row>
    <row r="30" spans="1:24" ht="12.75" customHeight="1" x14ac:dyDescent="0.2">
      <c r="A30" s="151">
        <f>Intro!C32</f>
        <v>2010</v>
      </c>
      <c r="C30" s="291">
        <f ca="1">'e3.1A'!Q32</f>
        <v>1232465.5338992665</v>
      </c>
      <c r="E30" s="308">
        <f>Intro!J32</f>
        <v>1.0522219598580769</v>
      </c>
      <c r="G30" s="290">
        <f>Intro!K32</f>
        <v>128222.10400000001</v>
      </c>
      <c r="I30" s="296">
        <f>Intro!L32</f>
        <v>0.85565926747242615</v>
      </c>
      <c r="K30" s="290">
        <f t="shared" si="16"/>
        <v>109714.43158241325</v>
      </c>
      <c r="M30" s="296">
        <f t="shared" ca="1" si="8"/>
        <v>11.82002477552728</v>
      </c>
      <c r="O30" s="321">
        <f t="shared" ca="1" si="9"/>
        <v>12.307443666849171</v>
      </c>
      <c r="Q30" s="252">
        <f>Intro!G32</f>
        <v>9</v>
      </c>
      <c r="R30" s="266">
        <f t="shared" si="10"/>
        <v>1.0412367064010783</v>
      </c>
      <c r="T30" s="268" t="str">
        <f t="shared" si="11"/>
        <v>10</v>
      </c>
      <c r="U30" s="295">
        <f t="shared" ca="1" si="12"/>
        <v>9.6119584334637533</v>
      </c>
      <c r="V30" s="324">
        <f t="shared" ca="1" si="13"/>
        <v>11.577755434614234</v>
      </c>
      <c r="W30" s="295">
        <f t="shared" ca="1" si="14"/>
        <v>11.82002477552728</v>
      </c>
      <c r="X30" s="295">
        <f t="shared" ca="1" si="15"/>
        <v>14.237406146670256</v>
      </c>
    </row>
    <row r="31" spans="1:24" ht="12.75" customHeight="1" x14ac:dyDescent="0.2">
      <c r="A31" s="151">
        <f>Intro!C33</f>
        <v>2011</v>
      </c>
      <c r="C31" s="291">
        <f>'e3.1A'!Q33</f>
        <v>1212882.8100000003</v>
      </c>
      <c r="E31" s="308">
        <f>Intro!J33</f>
        <v>1.0474460237870546</v>
      </c>
      <c r="G31" s="290">
        <f>Intro!K33</f>
        <v>143214.37400000001</v>
      </c>
      <c r="I31" s="296">
        <f>Intro!L33</f>
        <v>0.84809073426823689</v>
      </c>
      <c r="K31" s="290">
        <f t="shared" si="16"/>
        <v>121458.78360342591</v>
      </c>
      <c r="M31" s="296">
        <f t="shared" si="8"/>
        <v>10.459756297265731</v>
      </c>
      <c r="O31" s="321">
        <f t="shared" si="9"/>
        <v>10.84229188324829</v>
      </c>
      <c r="Q31" s="252">
        <f>Intro!G33</f>
        <v>8</v>
      </c>
      <c r="R31" s="266">
        <f t="shared" si="10"/>
        <v>1.0365721318079426</v>
      </c>
      <c r="T31" s="268" t="str">
        <f t="shared" si="11"/>
        <v>11</v>
      </c>
      <c r="U31" s="295">
        <f t="shared" si="12"/>
        <v>8.4690019313284868</v>
      </c>
      <c r="V31" s="324">
        <f t="shared" ca="1" si="13"/>
        <v>11.57954463772829</v>
      </c>
      <c r="W31" s="295">
        <f t="shared" si="14"/>
        <v>10.459756297265731</v>
      </c>
      <c r="X31" s="295">
        <f t="shared" ca="1" si="15"/>
        <v>14.301474474330272</v>
      </c>
    </row>
    <row r="32" spans="1:24" ht="12.75" customHeight="1" x14ac:dyDescent="0.2">
      <c r="A32" s="151">
        <f>Intro!C34</f>
        <v>2012</v>
      </c>
      <c r="C32" s="291">
        <f>'e3.1A'!Q34</f>
        <v>1828733.7599999993</v>
      </c>
      <c r="E32" s="308">
        <f>Intro!J34</f>
        <v>1.0451717334298189</v>
      </c>
      <c r="G32" s="290">
        <f>Intro!K34</f>
        <v>145569.85699999999</v>
      </c>
      <c r="I32" s="296">
        <f>Intro!L34</f>
        <v>0.82949789894567727</v>
      </c>
      <c r="K32" s="290">
        <f t="shared" si="16"/>
        <v>120749.89053132269</v>
      </c>
      <c r="M32" s="296">
        <f t="shared" si="8"/>
        <v>15.828923947761471</v>
      </c>
      <c r="O32" s="321">
        <f t="shared" si="9"/>
        <v>16.33431701419304</v>
      </c>
      <c r="Q32" s="252">
        <f>Intro!G34</f>
        <v>7</v>
      </c>
      <c r="R32" s="266">
        <f t="shared" si="10"/>
        <v>1.0319284537659961</v>
      </c>
      <c r="T32" s="268" t="str">
        <f t="shared" si="11"/>
        <v>12</v>
      </c>
      <c r="U32" s="295">
        <f t="shared" si="12"/>
        <v>12.562585398431761</v>
      </c>
      <c r="V32" s="324">
        <f t="shared" ca="1" si="13"/>
        <v>11.401405473151003</v>
      </c>
      <c r="W32" s="295">
        <f t="shared" si="14"/>
        <v>15.828923947761471</v>
      </c>
      <c r="X32" s="295">
        <f t="shared" ca="1" si="15"/>
        <v>14.365831109464752</v>
      </c>
    </row>
    <row r="33" spans="1:24" ht="12.75" customHeight="1" x14ac:dyDescent="0.2">
      <c r="A33" s="151">
        <f>Intro!C35</f>
        <v>2013</v>
      </c>
      <c r="C33" s="291">
        <f ca="1">'e3.1A'!Q35</f>
        <v>1943820.757447863</v>
      </c>
      <c r="E33" s="308">
        <f>Intro!J35</f>
        <v>1.0424066175137374</v>
      </c>
      <c r="G33" s="290">
        <f>Intro!K35</f>
        <v>157968.50285000002</v>
      </c>
      <c r="I33" s="296">
        <f>Intro!L35</f>
        <v>0.89214561352770161</v>
      </c>
      <c r="K33" s="290">
        <f t="shared" si="16"/>
        <v>140930.90689316575</v>
      </c>
      <c r="M33" s="296">
        <f t="shared" ca="1" si="8"/>
        <v>14.377624223764064</v>
      </c>
      <c r="O33" s="321">
        <f t="shared" ca="1" si="9"/>
        <v>14.770213572978973</v>
      </c>
      <c r="Q33" s="252">
        <f>Intro!G35</f>
        <v>6</v>
      </c>
      <c r="R33" s="266">
        <f t="shared" si="10"/>
        <v>1.0273055786620169</v>
      </c>
      <c r="T33" s="268" t="str">
        <f t="shared" si="11"/>
        <v>13</v>
      </c>
      <c r="U33" s="295">
        <f t="shared" ca="1" si="12"/>
        <v>12.305116035021426</v>
      </c>
      <c r="V33" s="324">
        <f t="shared" ca="1" si="13"/>
        <v>12.350350479485096</v>
      </c>
      <c r="W33" s="295">
        <f t="shared" ca="1" si="14"/>
        <v>14.377624223764064</v>
      </c>
      <c r="X33" s="295">
        <f t="shared" ca="1" si="15"/>
        <v>14.430477349457345</v>
      </c>
    </row>
    <row r="34" spans="1:24" ht="12.75" customHeight="1" x14ac:dyDescent="0.2">
      <c r="A34" s="151">
        <f>Intro!C36</f>
        <v>2014</v>
      </c>
      <c r="C34" s="291">
        <f>'e3.1A'!Q36</f>
        <v>2173195.9299999997</v>
      </c>
      <c r="E34" s="308">
        <f>Intro!J36</f>
        <v>1.0412119709838517</v>
      </c>
      <c r="G34" s="290">
        <f>Intro!K36</f>
        <v>182546.24444841431</v>
      </c>
      <c r="I34" s="296">
        <f>Intro!L36</f>
        <v>0.93609121355209535</v>
      </c>
      <c r="K34" s="290">
        <f t="shared" si="16"/>
        <v>170879.93549509358</v>
      </c>
      <c r="M34" s="296">
        <f t="shared" si="8"/>
        <v>13.241798172813295</v>
      </c>
      <c r="O34" s="321">
        <f t="shared" si="9"/>
        <v>13.542432189594427</v>
      </c>
      <c r="Q34" s="252">
        <f>Intro!G36</f>
        <v>5</v>
      </c>
      <c r="R34" s="266">
        <f t="shared" si="10"/>
        <v>1.0227034133021573</v>
      </c>
      <c r="T34" s="268" t="str">
        <f t="shared" si="11"/>
        <v>14</v>
      </c>
      <c r="U34" s="295">
        <f t="shared" si="12"/>
        <v>11.904906269458326</v>
      </c>
      <c r="V34" s="324">
        <f t="shared" ca="1" si="13"/>
        <v>13.031957493834698</v>
      </c>
      <c r="W34" s="295">
        <f t="shared" si="14"/>
        <v>13.241798172813295</v>
      </c>
      <c r="X34" s="295">
        <f t="shared" ca="1" si="15"/>
        <v>14.495414497529902</v>
      </c>
    </row>
    <row r="35" spans="1:24" ht="12.75" customHeight="1" x14ac:dyDescent="0.2">
      <c r="A35" s="151">
        <f>Intro!C37</f>
        <v>2015</v>
      </c>
      <c r="C35" s="291">
        <f>'e3.1A'!Q37</f>
        <v>3071802.6300000018</v>
      </c>
      <c r="E35" s="308">
        <f>Intro!J37</f>
        <v>1.0428069267716835</v>
      </c>
      <c r="G35" s="290">
        <f>Intro!K37</f>
        <v>196912.10476000005</v>
      </c>
      <c r="I35" s="296">
        <f>Intro!L37</f>
        <v>0.91648703979937651</v>
      </c>
      <c r="K35" s="290">
        <f t="shared" si="16"/>
        <v>180467.39199215715</v>
      </c>
      <c r="M35" s="296">
        <f t="shared" si="8"/>
        <v>17.750004723172857</v>
      </c>
      <c r="O35" s="321">
        <f t="shared" si="9"/>
        <v>18.07166791091916</v>
      </c>
      <c r="Q35" s="252">
        <f>Intro!G37</f>
        <v>4</v>
      </c>
      <c r="R35" s="266">
        <f t="shared" si="10"/>
        <v>1.0181218649100621</v>
      </c>
      <c r="T35" s="268" t="str">
        <f t="shared" si="11"/>
        <v>15</v>
      </c>
      <c r="U35" s="295">
        <f t="shared" si="12"/>
        <v>15.59986692409778</v>
      </c>
      <c r="V35" s="324">
        <f t="shared" ca="1" si="13"/>
        <v>12.796847670233834</v>
      </c>
      <c r="W35" s="295">
        <f t="shared" si="14"/>
        <v>17.750004723172857</v>
      </c>
      <c r="X35" s="295">
        <f t="shared" ca="1" si="15"/>
        <v>14.560643862768785</v>
      </c>
    </row>
    <row r="36" spans="1:24" ht="12.75" customHeight="1" x14ac:dyDescent="0.2">
      <c r="A36" s="151">
        <f>Intro!C38</f>
        <v>2016</v>
      </c>
      <c r="C36" s="291">
        <f ca="1">'e3.1A'!Q38</f>
        <v>2765962.2720213775</v>
      </c>
      <c r="E36" s="308">
        <f>Intro!J38</f>
        <v>1.0342758961601715</v>
      </c>
      <c r="G36" s="290">
        <f>Intro!K38</f>
        <v>221894.58274919298</v>
      </c>
      <c r="I36" s="296">
        <f>Intro!L38</f>
        <v>0.92696847191952003</v>
      </c>
      <c r="K36" s="290">
        <f t="shared" si="16"/>
        <v>205689.28229823892</v>
      </c>
      <c r="M36" s="296">
        <f t="shared" ca="1" si="8"/>
        <v>13.908202098212231</v>
      </c>
      <c r="O36" s="321">
        <f t="shared" ca="1" si="9"/>
        <v>14.096809017200476</v>
      </c>
      <c r="Q36" s="252">
        <f>Intro!G38</f>
        <v>3</v>
      </c>
      <c r="R36" s="266">
        <f t="shared" si="10"/>
        <v>1.0135608411249999</v>
      </c>
      <c r="T36" s="268" t="str">
        <f t="shared" si="11"/>
        <v>16</v>
      </c>
      <c r="U36" s="295">
        <f t="shared" ca="1" si="12"/>
        <v>12.465208648864309</v>
      </c>
      <c r="V36" s="324">
        <f t="shared" ca="1" si="13"/>
        <v>13.108683574694691</v>
      </c>
      <c r="W36" s="295">
        <f t="shared" ca="1" si="14"/>
        <v>13.908202098212231</v>
      </c>
      <c r="X36" s="295">
        <f t="shared" ca="1" si="15"/>
        <v>14.626166760151241</v>
      </c>
    </row>
    <row r="37" spans="1:24" ht="12.75" customHeight="1" x14ac:dyDescent="0.2">
      <c r="A37" s="151">
        <f>Intro!C39</f>
        <v>2017</v>
      </c>
      <c r="C37" s="291">
        <f ca="1">'e3.1A'!Q39</f>
        <v>3119810.9942307575</v>
      </c>
      <c r="E37" s="308">
        <f>Intro!J39</f>
        <v>1.0165895076831004</v>
      </c>
      <c r="G37" s="290">
        <f>Intro!K39</f>
        <v>307509.66981400014</v>
      </c>
      <c r="I37" s="296">
        <f>Intro!L39</f>
        <v>0.80226943072853818</v>
      </c>
      <c r="K37" s="290">
        <f t="shared" si="16"/>
        <v>246705.60774519862</v>
      </c>
      <c r="M37" s="296">
        <f t="shared" ca="1" si="8"/>
        <v>12.855675035830613</v>
      </c>
      <c r="O37" s="321">
        <f t="shared" ca="1" si="9"/>
        <v>12.971636438572562</v>
      </c>
      <c r="Q37" s="252">
        <f>Intro!G39</f>
        <v>2</v>
      </c>
      <c r="R37" s="266">
        <f t="shared" si="10"/>
        <v>1.0090202499999998</v>
      </c>
      <c r="T37" s="268" t="str">
        <f t="shared" si="11"/>
        <v>17</v>
      </c>
      <c r="U37" s="295">
        <f t="shared" ca="1" si="12"/>
        <v>10.145407772437862</v>
      </c>
      <c r="V37" s="324">
        <f t="shared" ca="1" si="13"/>
        <v>11.594581648233335</v>
      </c>
      <c r="W37" s="295">
        <f t="shared" ca="1" si="14"/>
        <v>12.855675035830613</v>
      </c>
      <c r="X37" s="295">
        <f t="shared" ca="1" si="15"/>
        <v>14.691984510571922</v>
      </c>
    </row>
    <row r="38" spans="1:24" ht="12.75" customHeight="1" x14ac:dyDescent="0.2">
      <c r="A38" s="151">
        <f>Intro!C40</f>
        <v>2018</v>
      </c>
      <c r="C38" s="291">
        <f ca="1">'e3.1A'!Q40</f>
        <v>8722941.3906945344</v>
      </c>
      <c r="E38" s="308">
        <f>Intro!J40</f>
        <v>1.0000032636733147</v>
      </c>
      <c r="G38" s="290">
        <f>Intro!K40</f>
        <v>536896.27333</v>
      </c>
      <c r="I38" s="296">
        <f>Intro!L40</f>
        <v>1.018452231841392</v>
      </c>
      <c r="K38" s="290">
        <f t="shared" si="16"/>
        <v>546803.20784026454</v>
      </c>
      <c r="M38" s="296">
        <f t="shared" ca="1" si="8"/>
        <v>15.952667677241907</v>
      </c>
      <c r="O38" s="321">
        <f t="shared" ca="1" si="9"/>
        <v>16.024454681789496</v>
      </c>
      <c r="Q38" s="252">
        <f>Intro!G40</f>
        <v>1</v>
      </c>
      <c r="R38" s="266">
        <f t="shared" si="10"/>
        <v>1.0044999999999999</v>
      </c>
      <c r="T38" s="268" t="str">
        <f t="shared" si="11"/>
        <v>18</v>
      </c>
      <c r="U38" s="295">
        <f t="shared" ca="1" si="12"/>
        <v>16.246976974885857</v>
      </c>
      <c r="V38" s="324">
        <f t="shared" ca="1" si="13"/>
        <v>15.0303692406235</v>
      </c>
      <c r="W38" s="295">
        <f t="shared" ca="1" si="14"/>
        <v>15.952667677241907</v>
      </c>
      <c r="X38" s="295">
        <f t="shared" ca="1" si="15"/>
        <v>14.758098440869494</v>
      </c>
    </row>
    <row r="39" spans="1:24" ht="12.75" customHeight="1" x14ac:dyDescent="0.2">
      <c r="A39" s="151">
        <f>Intro!C41</f>
        <v>2019</v>
      </c>
      <c r="C39" s="292">
        <f ca="1">'e3.1A'!Q41</f>
        <v>7826148.334131144</v>
      </c>
      <c r="E39" s="308">
        <f>Intro!J41</f>
        <v>1</v>
      </c>
      <c r="G39" s="292">
        <f>Intro!K41</f>
        <v>543133.22666000458</v>
      </c>
      <c r="I39" s="296">
        <f>Intro!L41</f>
        <v>1</v>
      </c>
      <c r="K39" s="292">
        <f t="shared" si="16"/>
        <v>543133.22666000458</v>
      </c>
      <c r="M39" s="320">
        <f t="shared" ca="1" si="8"/>
        <v>14.409260840582354</v>
      </c>
      <c r="O39" s="321">
        <f t="shared" ca="1" si="9"/>
        <v>14.409260840582354</v>
      </c>
      <c r="Q39" s="252">
        <f>Intro!G41</f>
        <v>0</v>
      </c>
      <c r="R39" s="266">
        <f t="shared" si="10"/>
        <v>1</v>
      </c>
      <c r="T39" s="268" t="str">
        <f t="shared" si="11"/>
        <v>19</v>
      </c>
      <c r="U39" s="295">
        <f t="shared" ca="1" si="12"/>
        <v>14.409260840582354</v>
      </c>
      <c r="V39" s="324">
        <f t="shared" ca="1" si="13"/>
        <v>14.824509883853406</v>
      </c>
      <c r="W39" s="295">
        <f t="shared" ca="1" si="14"/>
        <v>14.409260840582354</v>
      </c>
      <c r="X39" s="295">
        <f t="shared" ca="1" si="15"/>
        <v>14.824509883853406</v>
      </c>
    </row>
    <row r="40" spans="1:24" ht="12.75" customHeight="1" x14ac:dyDescent="0.2"/>
    <row r="41" spans="1:24" ht="12.75" customHeight="1" x14ac:dyDescent="0.2">
      <c r="A41" s="151" t="s">
        <v>78</v>
      </c>
      <c r="B41" s="148"/>
      <c r="C41" s="249">
        <f ca="1">SUM(C16:C39)</f>
        <v>57100876.402140543</v>
      </c>
      <c r="G41" s="249">
        <f>SUM(G16:G39)</f>
        <v>3896630.2405416127</v>
      </c>
      <c r="K41" s="249">
        <f>SUM(K16:K39)</f>
        <v>3445206.9428144014</v>
      </c>
    </row>
    <row r="42" spans="1:24" ht="12.75" customHeight="1" x14ac:dyDescent="0.2"/>
    <row r="43" spans="1:24" ht="12.75" customHeight="1" x14ac:dyDescent="0.2"/>
    <row r="44" spans="1:24" ht="12.75" customHeight="1" x14ac:dyDescent="0.2">
      <c r="A44" s="245" t="str">
        <f>"AVERAGES AT THE "&amp;cpy_l&amp;" LEVEL:"</f>
        <v>AVERAGES AT THE 2018/19 LEVEL: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148"/>
      <c r="L44" s="148"/>
      <c r="M44" s="148"/>
      <c r="N44" s="148"/>
      <c r="O44" s="148"/>
      <c r="P44" s="148"/>
      <c r="Q44" s="244" t="s">
        <v>21</v>
      </c>
      <c r="R44" s="244" t="s">
        <v>22</v>
      </c>
    </row>
    <row r="45" spans="1:24" ht="12.75" customHeight="1" x14ac:dyDescent="0.2">
      <c r="A45" s="148" t="str">
        <f>"Policy Periods "&amp;U45&amp;" - Straight Average:"</f>
        <v>Policy Periods 2010 through 2018 - Straight Average:</v>
      </c>
      <c r="B45" s="148"/>
      <c r="C45" s="148"/>
      <c r="D45" s="148"/>
      <c r="E45" s="148"/>
      <c r="F45" s="148"/>
      <c r="G45" s="148"/>
      <c r="H45" s="148"/>
      <c r="I45" s="227"/>
      <c r="J45" s="148"/>
      <c r="K45" s="148"/>
      <c r="L45" s="148"/>
      <c r="N45" s="148"/>
      <c r="O45" s="322">
        <f ca="1">AVERAGE(INDIRECT(S45))</f>
        <v>14.329029597260622</v>
      </c>
      <c r="P45" s="148"/>
      <c r="Q45" s="267">
        <v>2010</v>
      </c>
      <c r="R45" s="267">
        <v>2018</v>
      </c>
      <c r="S45" s="264" t="str">
        <f ca="1">"O"&amp;ROW(OFFSET($A$40, (INDEX($Q$16:$Q$39, MATCH(Q45, $A$16:$A$39, 0))+1)*-1, 0))&amp;":O"&amp;ROW(OFFSET($A$40, (INDEX($Q$16:$Q$39, MATCH(R45, $A$16:$A$39, 0))+1)*-1, 0))</f>
        <v>O30:O38</v>
      </c>
      <c r="T45" s="268" t="str">
        <f ca="1">SUBSTITUTE(S45, "O", "K")</f>
        <v>K30:K38</v>
      </c>
      <c r="U45" s="222" t="str">
        <f>Q45&amp;" through "&amp;R45</f>
        <v>2010 through 2018</v>
      </c>
    </row>
    <row r="46" spans="1:24" ht="12.75" customHeight="1" x14ac:dyDescent="0.2">
      <c r="A46" s="148" t="str">
        <f>"Policy Periods "&amp;U46&amp;" - Straight Average Excluding Extremes:"</f>
        <v>Policy Periods 2010 through 2018 - Straight Average Excluding Extremes:</v>
      </c>
      <c r="B46" s="148"/>
      <c r="C46" s="148"/>
      <c r="D46" s="148"/>
      <c r="E46" s="148"/>
      <c r="F46" s="148"/>
      <c r="G46" s="148"/>
      <c r="H46" s="148"/>
      <c r="I46" s="227"/>
      <c r="J46" s="148"/>
      <c r="K46" s="148"/>
      <c r="L46" s="148"/>
      <c r="N46" s="148"/>
      <c r="O46" s="269">
        <f ca="1">(SUM(INDIRECT(S46))-MIN(INDIRECT(S46))-MAX(INDIRECT(S46)))/(COUNT(INDIRECT(S46))-2)</f>
        <v>14.292472368739734</v>
      </c>
      <c r="P46" s="148"/>
      <c r="Q46" s="267">
        <v>2010</v>
      </c>
      <c r="R46" s="267">
        <v>2018</v>
      </c>
      <c r="S46" s="264" t="str">
        <f ca="1">"O"&amp;ROW(OFFSET($A$40, (INDEX($Q$16:$Q$39, MATCH(Q46, $A$16:$A$39, 0))+1)*-1, 0))&amp;":O"&amp;ROW(OFFSET($A$40, (INDEX($Q$16:$Q$39, MATCH(R46, $A$16:$A$39, 0))+1)*-1, 0))</f>
        <v>O30:O38</v>
      </c>
      <c r="T46" s="268" t="str">
        <f ca="1">SUBSTITUTE(S46, "O", "K")</f>
        <v>K30:K38</v>
      </c>
      <c r="U46" s="222" t="str">
        <f>Q46&amp;" through "&amp;R46</f>
        <v>2010 through 2018</v>
      </c>
    </row>
    <row r="47" spans="1:24" ht="12.75" customHeight="1" x14ac:dyDescent="0.2">
      <c r="A47" s="148" t="str">
        <f>"Policy Periods "&amp;U47&amp;" - Weighted Average:"</f>
        <v>Policy Periods 2010 through 2018 - Weighted Average:</v>
      </c>
      <c r="B47" s="148"/>
      <c r="C47" s="148"/>
      <c r="D47" s="148"/>
      <c r="E47" s="148"/>
      <c r="F47" s="148"/>
      <c r="G47" s="148"/>
      <c r="H47" s="148"/>
      <c r="I47" s="227"/>
      <c r="J47" s="148"/>
      <c r="K47" s="148"/>
      <c r="L47" s="148"/>
      <c r="N47" s="148"/>
      <c r="O47" s="269">
        <f ca="1">SUMPRODUCT(INDIRECT(S47),INDIRECT(T47))/SUM(INDIRECT(T47))</f>
        <v>14.732878678160818</v>
      </c>
      <c r="P47" s="148"/>
      <c r="Q47" s="267">
        <v>2010</v>
      </c>
      <c r="R47" s="267">
        <v>2018</v>
      </c>
      <c r="S47" s="264" t="str">
        <f ca="1">"O"&amp;ROW(OFFSET($A$40, (INDEX($Q$16:$Q$39, MATCH(Q47, $A$16:$A$39, 0))+1)*-1, 0))&amp;":O"&amp;ROW(OFFSET($A$40, (INDEX($Q$16:$Q$39, MATCH(R47, $A$16:$A$39, 0))+1)*-1, 0))</f>
        <v>O30:O38</v>
      </c>
      <c r="T47" s="268" t="str">
        <f ca="1">SUBSTITUTE(S47, "O", "K")</f>
        <v>K30:K38</v>
      </c>
      <c r="U47" s="222" t="str">
        <f>Q47&amp;" through "&amp;R47</f>
        <v>2010 through 2018</v>
      </c>
    </row>
    <row r="48" spans="1:24" ht="12.75" customHeight="1" x14ac:dyDescent="0.2">
      <c r="A48" s="148" t="str">
        <f>"Policy Periods "&amp;U48&amp;" - Weighted Average:"</f>
        <v>Policy Periods 2012 through 2018 - Weighted Average:</v>
      </c>
      <c r="B48" s="148"/>
      <c r="C48" s="148"/>
      <c r="D48" s="148"/>
      <c r="E48" s="148"/>
      <c r="F48" s="148"/>
      <c r="G48" s="148"/>
      <c r="H48" s="148"/>
      <c r="I48" s="227"/>
      <c r="J48" s="148"/>
      <c r="K48" s="148"/>
      <c r="L48" s="148"/>
      <c r="N48" s="148"/>
      <c r="O48" s="269">
        <f ca="1">SUMPRODUCT(INDIRECT(S48),INDIRECT(T48))/SUM(INDIRECT(T48))</f>
        <v>15.191034706623755</v>
      </c>
      <c r="P48" s="148"/>
      <c r="Q48" s="267">
        <v>2012</v>
      </c>
      <c r="R48" s="267">
        <v>2018</v>
      </c>
      <c r="S48" s="264" t="str">
        <f ca="1">"O"&amp;ROW(OFFSET($A$40, (INDEX($Q$16:$Q$39, MATCH(Q48, $A$16:$A$39, 0))+1)*-1, 0))&amp;":O"&amp;ROW(OFFSET($A$40, (INDEX($Q$16:$Q$39, MATCH(R48, $A$16:$A$39, 0))+1)*-1, 0))</f>
        <v>O32:O38</v>
      </c>
      <c r="T48" s="268" t="str">
        <f ca="1">SUBSTITUTE(S48, "O", "K")</f>
        <v>K32:K38</v>
      </c>
      <c r="U48" s="222" t="str">
        <f>Q48&amp;" through "&amp;R48</f>
        <v>2012 through 2018</v>
      </c>
    </row>
    <row r="49" spans="1:21" ht="12.75" customHeight="1" x14ac:dyDescent="0.2">
      <c r="A49" s="148" t="str">
        <f>"Policy Periods "&amp;U49&amp;" - Weighted Average:"</f>
        <v>Policy Periods 2015 through 2018 - Weighted Average:</v>
      </c>
      <c r="B49" s="148"/>
      <c r="C49" s="148"/>
      <c r="D49" s="148"/>
      <c r="E49" s="148"/>
      <c r="F49" s="148"/>
      <c r="G49" s="148"/>
      <c r="H49" s="148"/>
      <c r="I49" s="227"/>
      <c r="J49" s="148"/>
      <c r="K49" s="148"/>
      <c r="L49" s="148"/>
      <c r="N49" s="148"/>
      <c r="O49" s="269">
        <f ca="1">SUMPRODUCT(INDIRECT(S49),INDIRECT(T49))/SUM(INDIRECT(T49))</f>
        <v>15.363090754739025</v>
      </c>
      <c r="P49" s="148"/>
      <c r="Q49" s="267">
        <v>2015</v>
      </c>
      <c r="R49" s="267">
        <v>2018</v>
      </c>
      <c r="S49" s="264" t="str">
        <f ca="1">"O"&amp;ROW(OFFSET($A$40, (INDEX($Q$16:$Q$39, MATCH(Q49, $A$16:$A$39, 0))+1)*-1, 0))&amp;":O"&amp;ROW(OFFSET($A$40, (INDEX($Q$16:$Q$39, MATCH(R49, $A$16:$A$39, 0))+1)*-1, 0))</f>
        <v>O35:O38</v>
      </c>
      <c r="T49" s="268" t="str">
        <f ca="1">SUBSTITUTE(S49, "O", "K")</f>
        <v>K35:K38</v>
      </c>
      <c r="U49" s="222" t="str">
        <f>Q49&amp;" through "&amp;R49</f>
        <v>2015 through 2018</v>
      </c>
    </row>
    <row r="50" spans="1:21" ht="12.75" customHeight="1" x14ac:dyDescent="0.2">
      <c r="N50" s="148"/>
      <c r="P50" s="148"/>
    </row>
    <row r="51" spans="1:21" ht="12.75" customHeight="1" x14ac:dyDescent="0.2">
      <c r="A51" s="148" t="str">
        <f>"Selected Policy Period "&amp;cpy_l&amp;" Loss &amp; ALAE Cost Limited to $250,000:"</f>
        <v>Selected Policy Period 2018/19 Loss &amp; ALAE Cost Limited to $250,000:</v>
      </c>
      <c r="B51" s="148"/>
      <c r="C51" s="148"/>
      <c r="D51" s="148"/>
      <c r="E51" s="148"/>
      <c r="F51" s="148"/>
      <c r="G51" s="148"/>
      <c r="H51" s="148"/>
      <c r="I51" s="227"/>
      <c r="J51" s="148"/>
      <c r="K51" s="148"/>
      <c r="L51" s="148"/>
      <c r="N51"/>
      <c r="O51" s="323">
        <f ca="1">0.8*O47+0.2*O48</f>
        <v>14.824509883853406</v>
      </c>
      <c r="P51" s="148"/>
      <c r="Q51" s="272">
        <v>14.798226905609122</v>
      </c>
      <c r="R51" s="263" t="s">
        <v>354</v>
      </c>
      <c r="T51" s="325">
        <f ca="1">'e6.2'!M44 * 'e5.1'!K44/1000</f>
        <v>14.873155187544656</v>
      </c>
      <c r="U51" s="286" t="s">
        <v>418</v>
      </c>
    </row>
    <row r="52" spans="1:21" ht="12.75" customHeight="1" x14ac:dyDescent="0.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273">
        <f>Q51*(1+Trend!$V$43*trend_prior)</f>
        <v>14.798226905609122</v>
      </c>
      <c r="R52" s="263" t="s">
        <v>355</v>
      </c>
      <c r="T52" s="326">
        <f ca="1">O51/T51-1</f>
        <v>-3.2706781498513804E-3</v>
      </c>
      <c r="U52" s="286" t="s">
        <v>356</v>
      </c>
    </row>
    <row r="53" spans="1:21" ht="12.75" customHeight="1" x14ac:dyDescent="0.2">
      <c r="A53" s="163" t="s">
        <v>83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532">
        <f ca="1">O51/Q52-1</f>
        <v>1.7760896904697177E-3</v>
      </c>
      <c r="R53" s="263" t="s">
        <v>356</v>
      </c>
    </row>
    <row r="54" spans="1:21" ht="12.75" customHeight="1" x14ac:dyDescent="0.2">
      <c r="A54" s="327" t="s">
        <v>595</v>
      </c>
    </row>
    <row r="55" spans="1:21" ht="12.75" customHeight="1" x14ac:dyDescent="0.2">
      <c r="A55" s="327" t="s">
        <v>594</v>
      </c>
    </row>
    <row r="56" spans="1:21" ht="12.75" customHeight="1" x14ac:dyDescent="0.2">
      <c r="A56" s="327" t="s">
        <v>419</v>
      </c>
    </row>
    <row r="57" spans="1:21" ht="12.75" customHeight="1" x14ac:dyDescent="0.2">
      <c r="A57" s="327" t="s">
        <v>420</v>
      </c>
    </row>
    <row r="58" spans="1:21" ht="12.75" customHeight="1" x14ac:dyDescent="0.2">
      <c r="A58" s="414" t="s">
        <v>596</v>
      </c>
    </row>
    <row r="59" spans="1:21" ht="12.75" customHeight="1" x14ac:dyDescent="0.2">
      <c r="A59" s="327" t="s">
        <v>421</v>
      </c>
    </row>
    <row r="60" spans="1:21" ht="12.75" customHeight="1" x14ac:dyDescent="0.2">
      <c r="A60" s="327" t="s">
        <v>422</v>
      </c>
    </row>
    <row r="61" spans="1:21" ht="12.75" customHeight="1" x14ac:dyDescent="0.2">
      <c r="A61" s="327" t="str">
        <f>"The selected loss cost trend used in Column (7) is "&amp;TEXT(lctrnd_250k, "0.00%")&amp;"."</f>
        <v>The selected loss cost trend used in Column (7) is 0.45%.</v>
      </c>
    </row>
    <row r="62" spans="1:21" ht="12.75" customHeight="1" x14ac:dyDescent="0.2"/>
    <row r="63" spans="1:21" ht="12.75" customHeight="1" x14ac:dyDescent="0.2"/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4
Sheet 3
</oddHeader>
    <oddFooter xml:space="preserve">&amp;L&amp;"Arial"&amp;10 Oliver Wyman Actuarial Consulting, Inc.
&amp;C&amp;"Arial"&amp;10 &amp;R&amp;"Arial"&amp;10 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4">
    <tabColor theme="9" tint="0.79998168889431442"/>
    <pageSetUpPr fitToPage="1"/>
  </sheetPr>
  <dimension ref="A1:X64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1.625" style="222" customWidth="1"/>
    <col min="4" max="4" width="2.625" style="222" customWidth="1"/>
    <col min="5" max="5" width="9.125" style="222" customWidth="1"/>
    <col min="6" max="6" width="2.625" style="222" customWidth="1"/>
    <col min="7" max="7" width="11.625" style="222" customWidth="1"/>
    <col min="8" max="8" width="2.625" style="222" customWidth="1"/>
    <col min="9" max="9" width="10.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9" style="222"/>
    <col min="14" max="14" width="2.625" style="222" customWidth="1"/>
    <col min="15" max="15" width="10.25" style="222" customWidth="1"/>
    <col min="16" max="16" width="2.625" style="222" customWidth="1"/>
    <col min="17" max="16384" width="9" style="222"/>
  </cols>
  <sheetData>
    <row r="1" spans="1:24" x14ac:dyDescent="0.2">
      <c r="A1" s="1" t="str">
        <f>[1]!getlabels()</f>
        <v>Exhibit 4, Sheet 4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24" ht="12.75" customHeight="1" x14ac:dyDescent="0.2">
      <c r="A7" s="224" t="str">
        <f>VLOOKUP($A$1, index_lkups, 3, FALSE)</f>
        <v>Loss Cost Method - Loss &amp; ALAE Limited to $350,000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8" spans="1:24" ht="12.75" customHeight="1" x14ac:dyDescent="0.2"/>
    <row r="9" spans="1:24" ht="12.75" customHeight="1" x14ac:dyDescent="0.2"/>
    <row r="10" spans="1:24" ht="12.75" customHeight="1" x14ac:dyDescent="0.2">
      <c r="C10" s="285" t="s">
        <v>373</v>
      </c>
      <c r="E10" s="285" t="s">
        <v>345</v>
      </c>
    </row>
    <row r="11" spans="1:24" ht="12.75" customHeight="1" x14ac:dyDescent="0.2">
      <c r="A11" s="181" t="str">
        <f>Intro!M9</f>
        <v>Policy</v>
      </c>
      <c r="C11" s="285" t="s">
        <v>330</v>
      </c>
      <c r="E11" s="306" t="str">
        <f>"to "&amp;cpy_l</f>
        <v>to 2018/19</v>
      </c>
      <c r="I11" s="285" t="s">
        <v>345</v>
      </c>
      <c r="K11" s="285" t="s">
        <v>55</v>
      </c>
      <c r="O11" s="285" t="s">
        <v>374</v>
      </c>
    </row>
    <row r="12" spans="1:24" ht="12.75" customHeight="1" x14ac:dyDescent="0.2">
      <c r="A12" s="181" t="str">
        <f>Intro!M10</f>
        <v>Period</v>
      </c>
      <c r="C12" s="285" t="s">
        <v>245</v>
      </c>
      <c r="E12" s="285" t="s">
        <v>375</v>
      </c>
      <c r="G12" s="268" t="s">
        <v>5</v>
      </c>
      <c r="I12" s="318" t="str">
        <f>E11</f>
        <v>to 2018/19</v>
      </c>
      <c r="K12" s="285" t="s">
        <v>5</v>
      </c>
      <c r="M12" s="285" t="s">
        <v>332</v>
      </c>
      <c r="O12" s="318" t="str">
        <f>I12</f>
        <v>to 2018/19</v>
      </c>
      <c r="R12" s="293" t="s">
        <v>353</v>
      </c>
      <c r="U12" s="300" t="s">
        <v>417</v>
      </c>
      <c r="V12" s="301"/>
      <c r="W12" s="300" t="s">
        <v>55</v>
      </c>
      <c r="X12" s="301"/>
    </row>
    <row r="13" spans="1:24" ht="12.75" customHeight="1" x14ac:dyDescent="0.2">
      <c r="A13" s="176" t="str">
        <f>Intro!M11</f>
        <v>Ending 9/30</v>
      </c>
      <c r="C13" s="251" t="s">
        <v>8</v>
      </c>
      <c r="E13" s="251" t="s">
        <v>350</v>
      </c>
      <c r="G13" s="251" t="s">
        <v>6</v>
      </c>
      <c r="I13" s="251" t="s">
        <v>11</v>
      </c>
      <c r="K13" s="251" t="s">
        <v>6</v>
      </c>
      <c r="M13" s="251" t="s">
        <v>416</v>
      </c>
      <c r="O13" s="251" t="s">
        <v>416</v>
      </c>
      <c r="Q13" s="299" t="s">
        <v>352</v>
      </c>
      <c r="R13" s="299" t="s">
        <v>229</v>
      </c>
      <c r="U13" s="303" t="s">
        <v>332</v>
      </c>
      <c r="V13" s="303" t="s">
        <v>336</v>
      </c>
      <c r="W13" s="303" t="s">
        <v>332</v>
      </c>
      <c r="X13" s="303" t="s">
        <v>336</v>
      </c>
    </row>
    <row r="14" spans="1:24" ht="12.75" customHeight="1" x14ac:dyDescent="0.2">
      <c r="C14" s="288">
        <v>1</v>
      </c>
      <c r="E14" s="288">
        <f>C14+1</f>
        <v>2</v>
      </c>
      <c r="G14" s="288">
        <f>E14+1</f>
        <v>3</v>
      </c>
      <c r="I14" s="288">
        <f>G14+1</f>
        <v>4</v>
      </c>
      <c r="K14" s="288">
        <f>I14+1</f>
        <v>5</v>
      </c>
      <c r="M14" s="288">
        <f>K14+1</f>
        <v>6</v>
      </c>
      <c r="O14" s="288">
        <f>M14+1</f>
        <v>7</v>
      </c>
    </row>
    <row r="15" spans="1:24" ht="12.75" customHeight="1" x14ac:dyDescent="0.2"/>
    <row r="16" spans="1:24" ht="12.75" customHeight="1" x14ac:dyDescent="0.2">
      <c r="A16" s="151">
        <f>Intro!C18</f>
        <v>1996</v>
      </c>
      <c r="C16" s="249">
        <f>'e3.1A'!Q54</f>
        <v>783326</v>
      </c>
      <c r="E16" s="308">
        <f>Intro!J18</f>
        <v>1.1429772558804836</v>
      </c>
      <c r="G16" s="289">
        <f>Intro!K18</f>
        <v>51718.748</v>
      </c>
      <c r="I16" s="296">
        <f>Intro!L18</f>
        <v>0.77330581975421253</v>
      </c>
      <c r="K16" s="289">
        <f t="shared" ref="K16" si="0">G16*I16</f>
        <v>39994.408818801538</v>
      </c>
      <c r="M16" s="319">
        <f>(C16*E16) / K16</f>
        <v>22.386224184389999</v>
      </c>
      <c r="O16" s="297">
        <f>M16*R16</f>
        <v>26.282015759323105</v>
      </c>
      <c r="Q16" s="252">
        <f>Intro!G18</f>
        <v>23</v>
      </c>
      <c r="R16" s="266">
        <f t="shared" ref="R16" si="1">(1 + lctrnd_350k) ^ Q16</f>
        <v>1.1740262914748105</v>
      </c>
      <c r="T16" s="268" t="str">
        <f>RIGHT(A16,2)</f>
        <v>96</v>
      </c>
      <c r="U16" s="295">
        <f t="shared" ref="U16" si="2">C16 / G16</f>
        <v>15.145880948239505</v>
      </c>
      <c r="V16" s="324">
        <f t="shared" ref="V16" ca="1" si="3">$O$51 / (E16 * R16) * I16</f>
        <v>9.1001001884116732</v>
      </c>
      <c r="W16" s="295">
        <f t="shared" ref="W16" si="4">M16</f>
        <v>22.386224184389999</v>
      </c>
      <c r="X16" s="295">
        <f t="shared" ref="X16" ca="1" si="5">$O$51/R16</f>
        <v>13.450315872308014</v>
      </c>
    </row>
    <row r="17" spans="1:24" ht="12.75" customHeight="1" x14ac:dyDescent="0.2">
      <c r="A17" s="151">
        <f>Intro!C19</f>
        <v>1997</v>
      </c>
      <c r="C17" s="235">
        <f>'e3.1A'!Q55</f>
        <v>1450545</v>
      </c>
      <c r="E17" s="308">
        <f>Intro!J19</f>
        <v>1.1586516942611411</v>
      </c>
      <c r="G17" s="290">
        <f>Intro!K19</f>
        <v>71279.833180000031</v>
      </c>
      <c r="I17" s="296">
        <f>Intro!L19</f>
        <v>0.77330581975421253</v>
      </c>
      <c r="K17" s="290">
        <f t="shared" ref="K17" si="6">G17*I17</f>
        <v>55121.109829203444</v>
      </c>
      <c r="M17" s="296">
        <f t="shared" ref="M17:M39" si="7">(C17*E17) / K17</f>
        <v>30.490612889684524</v>
      </c>
      <c r="O17" s="321">
        <f t="shared" ref="O17:O39" si="8">M17*R17</f>
        <v>35.54794555677298</v>
      </c>
      <c r="Q17" s="252">
        <f>Intro!G19</f>
        <v>22</v>
      </c>
      <c r="R17" s="266">
        <f t="shared" ref="R17:R39" si="9">(1 + lctrnd_350k) ^ Q17</f>
        <v>1.1658652348309939</v>
      </c>
      <c r="T17" s="268" t="str">
        <f t="shared" ref="T17:T39" si="10">RIGHT(A17,2)</f>
        <v>97</v>
      </c>
      <c r="U17" s="295">
        <f t="shared" ref="U17:U39" si="11">C17 / G17</f>
        <v>20.350005538551112</v>
      </c>
      <c r="V17" s="324">
        <f t="shared" ref="V17:V39" ca="1" si="12">$O$51 / (E17 * R17) * I17</f>
        <v>9.0398314232462411</v>
      </c>
      <c r="W17" s="295">
        <f t="shared" ref="W17:W39" si="13">M17</f>
        <v>30.490612889684524</v>
      </c>
      <c r="X17" s="295">
        <f t="shared" ref="X17:X39" ca="1" si="14">$O$51/R17</f>
        <v>13.544468083414166</v>
      </c>
    </row>
    <row r="18" spans="1:24" ht="12.75" customHeight="1" x14ac:dyDescent="0.2">
      <c r="A18" s="151">
        <f>Intro!C20</f>
        <v>1998</v>
      </c>
      <c r="C18" s="235">
        <f ca="1">'e3.1A'!Q56</f>
        <v>2708056.4441664326</v>
      </c>
      <c r="E18" s="308">
        <f>Intro!J20</f>
        <v>1.1472092745516156</v>
      </c>
      <c r="G18" s="290">
        <f>Intro!K20</f>
        <v>90725.935539999991</v>
      </c>
      <c r="I18" s="296">
        <f>Intro!L20</f>
        <v>0.77330581975421253</v>
      </c>
      <c r="K18" s="290">
        <f t="shared" ref="K18:K39" si="15">G18*I18</f>
        <v>70158.893955727544</v>
      </c>
      <c r="M18" s="296">
        <f t="shared" ca="1" si="7"/>
        <v>44.281021173415738</v>
      </c>
      <c r="O18" s="321">
        <f t="shared" ca="1" si="8"/>
        <v>51.266835301788042</v>
      </c>
      <c r="Q18" s="252">
        <f>Intro!G20</f>
        <v>21</v>
      </c>
      <c r="R18" s="266">
        <f t="shared" si="9"/>
        <v>1.1577609084716922</v>
      </c>
      <c r="T18" s="268" t="str">
        <f t="shared" si="10"/>
        <v>98</v>
      </c>
      <c r="U18" s="295">
        <f t="shared" ca="1" si="11"/>
        <v>29.848757447890769</v>
      </c>
      <c r="V18" s="324">
        <f t="shared" ca="1" si="12"/>
        <v>9.1939058899802042</v>
      </c>
      <c r="W18" s="295">
        <f t="shared" ca="1" si="13"/>
        <v>44.281021173415738</v>
      </c>
      <c r="X18" s="295">
        <f t="shared" ca="1" si="14"/>
        <v>13.639279359998064</v>
      </c>
    </row>
    <row r="19" spans="1:24" ht="12.75" customHeight="1" x14ac:dyDescent="0.2">
      <c r="A19" s="151">
        <f>Intro!C21</f>
        <v>1999</v>
      </c>
      <c r="C19" s="235">
        <f ca="1">'e3.1A'!Q57</f>
        <v>3057616.0194703522</v>
      </c>
      <c r="E19" s="308">
        <f>Intro!J21</f>
        <v>1.1383473850581671</v>
      </c>
      <c r="G19" s="290">
        <f>Intro!K21</f>
        <v>115828.16377000001</v>
      </c>
      <c r="I19" s="296">
        <f>Intro!L21</f>
        <v>0.77330581975421253</v>
      </c>
      <c r="K19" s="290">
        <f t="shared" si="15"/>
        <v>89570.593134785042</v>
      </c>
      <c r="M19" s="296">
        <f t="shared" ca="1" si="7"/>
        <v>38.859061645806193</v>
      </c>
      <c r="O19" s="321">
        <f t="shared" ca="1" si="8"/>
        <v>44.676765157304935</v>
      </c>
      <c r="Q19" s="252">
        <f>Intro!G21</f>
        <v>20</v>
      </c>
      <c r="R19" s="266">
        <f t="shared" si="9"/>
        <v>1.1497129180453747</v>
      </c>
      <c r="T19" s="268" t="str">
        <f t="shared" si="10"/>
        <v>99</v>
      </c>
      <c r="U19" s="295">
        <f t="shared" ca="1" si="11"/>
        <v>26.397863178957586</v>
      </c>
      <c r="V19" s="324">
        <f t="shared" ca="1" si="12"/>
        <v>9.3303376319889164</v>
      </c>
      <c r="W19" s="295">
        <f t="shared" ca="1" si="13"/>
        <v>38.859061645806193</v>
      </c>
      <c r="X19" s="295">
        <f t="shared" ca="1" si="14"/>
        <v>13.73475431551805</v>
      </c>
    </row>
    <row r="20" spans="1:24" ht="12.75" customHeight="1" x14ac:dyDescent="0.2">
      <c r="A20" s="151">
        <f>Intro!C22</f>
        <v>2000</v>
      </c>
      <c r="C20" s="235">
        <f ca="1">'e3.1A'!Q58</f>
        <v>2573406.8442261238</v>
      </c>
      <c r="E20" s="308">
        <f>Intro!J22</f>
        <v>1.1276856835351232</v>
      </c>
      <c r="G20" s="290">
        <f>Intro!K22</f>
        <v>86853.122530000022</v>
      </c>
      <c r="I20" s="296">
        <f>Intro!L22</f>
        <v>0.77330581975421253</v>
      </c>
      <c r="K20" s="290">
        <f t="shared" si="15"/>
        <v>67164.02511627473</v>
      </c>
      <c r="M20" s="296">
        <f t="shared" ca="1" si="7"/>
        <v>43.207566120719427</v>
      </c>
      <c r="O20" s="321">
        <f t="shared" ca="1" si="8"/>
        <v>49.330980065829991</v>
      </c>
      <c r="Q20" s="252">
        <f>Intro!G22</f>
        <v>19</v>
      </c>
      <c r="R20" s="266">
        <f t="shared" si="9"/>
        <v>1.1417208719417822</v>
      </c>
      <c r="T20" s="268" t="str">
        <f t="shared" si="10"/>
        <v>00</v>
      </c>
      <c r="U20" s="295">
        <f t="shared" ca="1" si="11"/>
        <v>29.629410771469278</v>
      </c>
      <c r="V20" s="324">
        <f t="shared" ca="1" si="12"/>
        <v>9.4844811451992328</v>
      </c>
      <c r="W20" s="295">
        <f t="shared" ca="1" si="13"/>
        <v>43.207566120719427</v>
      </c>
      <c r="X20" s="295">
        <f t="shared" ca="1" si="14"/>
        <v>13.830897595726677</v>
      </c>
    </row>
    <row r="21" spans="1:24" ht="12.75" customHeight="1" x14ac:dyDescent="0.2">
      <c r="A21" s="151">
        <f>Intro!C23</f>
        <v>2001</v>
      </c>
      <c r="C21" s="235">
        <f ca="1">'e3.1A'!Q59</f>
        <v>1461665.6383934908</v>
      </c>
      <c r="E21" s="308">
        <f>Intro!J23</f>
        <v>1.1157888358226624</v>
      </c>
      <c r="G21" s="290">
        <f>Intro!K23</f>
        <v>91838.194909999977</v>
      </c>
      <c r="I21" s="296">
        <f>Intro!L23</f>
        <v>0.77330581975421253</v>
      </c>
      <c r="K21" s="290">
        <f t="shared" si="15"/>
        <v>71019.010599624686</v>
      </c>
      <c r="M21" s="296">
        <f t="shared" ca="1" si="7"/>
        <v>22.964417375784741</v>
      </c>
      <c r="O21" s="321">
        <f t="shared" ca="1" si="8"/>
        <v>26.036697745696099</v>
      </c>
      <c r="Q21" s="252">
        <f>Intro!G23</f>
        <v>18</v>
      </c>
      <c r="R21" s="266">
        <f t="shared" si="9"/>
        <v>1.1337843812728723</v>
      </c>
      <c r="T21" s="268" t="str">
        <f t="shared" si="10"/>
        <v>01</v>
      </c>
      <c r="U21" s="295">
        <f t="shared" ca="1" si="11"/>
        <v>15.915661668066328</v>
      </c>
      <c r="V21" s="324">
        <f t="shared" ca="1" si="12"/>
        <v>9.652706545034988</v>
      </c>
      <c r="W21" s="295">
        <f t="shared" ca="1" si="13"/>
        <v>22.964417375784741</v>
      </c>
      <c r="X21" s="295">
        <f t="shared" ca="1" si="14"/>
        <v>13.92771387889676</v>
      </c>
    </row>
    <row r="22" spans="1:24" ht="12.75" customHeight="1" x14ac:dyDescent="0.2">
      <c r="A22" s="151">
        <f>Intro!C24</f>
        <v>2002</v>
      </c>
      <c r="C22" s="235">
        <f ca="1">'e3.1A'!Q60</f>
        <v>3514524.0190217947</v>
      </c>
      <c r="E22" s="308">
        <f>Intro!J24</f>
        <v>1.1044876209657188</v>
      </c>
      <c r="G22" s="290">
        <f>Intro!K24</f>
        <v>86098.134999999995</v>
      </c>
      <c r="I22" s="296">
        <f>Intro!L24</f>
        <v>0.77330581975421253</v>
      </c>
      <c r="K22" s="290">
        <f t="shared" si="15"/>
        <v>66580.188865483855</v>
      </c>
      <c r="M22" s="296">
        <f t="shared" ca="1" si="7"/>
        <v>58.301851327559298</v>
      </c>
      <c r="O22" s="321">
        <f t="shared" ca="1" si="8"/>
        <v>65.642232804845904</v>
      </c>
      <c r="Q22" s="252">
        <f>Intro!G24</f>
        <v>17</v>
      </c>
      <c r="R22" s="266">
        <f t="shared" si="9"/>
        <v>1.1259030598538953</v>
      </c>
      <c r="T22" s="268" t="str">
        <f t="shared" si="10"/>
        <v>02</v>
      </c>
      <c r="U22" s="295">
        <f t="shared" ca="1" si="11"/>
        <v>40.819978493399361</v>
      </c>
      <c r="V22" s="324">
        <f t="shared" ca="1" si="12"/>
        <v>9.8197342079110257</v>
      </c>
      <c r="W22" s="295">
        <f t="shared" ca="1" si="13"/>
        <v>58.301851327559298</v>
      </c>
      <c r="X22" s="295">
        <f t="shared" ca="1" si="14"/>
        <v>14.025207876049034</v>
      </c>
    </row>
    <row r="23" spans="1:24" ht="12.75" customHeight="1" x14ac:dyDescent="0.2">
      <c r="A23" s="151">
        <f>Intro!C25</f>
        <v>2003</v>
      </c>
      <c r="C23" s="235">
        <f>'e3.1A'!Q61</f>
        <v>1343025.0200000005</v>
      </c>
      <c r="E23" s="308">
        <f>Intro!J25</f>
        <v>1.0980216306970509</v>
      </c>
      <c r="G23" s="290">
        <f>Intro!K25</f>
        <v>95877.160999999993</v>
      </c>
      <c r="I23" s="296">
        <f>Intro!L25</f>
        <v>0.79035991647913106</v>
      </c>
      <c r="K23" s="290">
        <f t="shared" si="15"/>
        <v>75777.464960216195</v>
      </c>
      <c r="M23" s="296">
        <f t="shared" si="7"/>
        <v>19.460541775863767</v>
      </c>
      <c r="O23" s="321">
        <f t="shared" si="8"/>
        <v>21.758374907507026</v>
      </c>
      <c r="Q23" s="252">
        <f>Intro!G25</f>
        <v>16</v>
      </c>
      <c r="R23" s="266">
        <f t="shared" si="9"/>
        <v>1.1180765241846031</v>
      </c>
      <c r="T23" s="268" t="str">
        <f t="shared" si="10"/>
        <v>03</v>
      </c>
      <c r="U23" s="295">
        <f t="shared" si="11"/>
        <v>14.007767918785168</v>
      </c>
      <c r="V23" s="324">
        <f t="shared" ca="1" si="12"/>
        <v>10.166062806348286</v>
      </c>
      <c r="W23" s="295">
        <f t="shared" si="13"/>
        <v>19.460541775863767</v>
      </c>
      <c r="X23" s="295">
        <f t="shared" ca="1" si="14"/>
        <v>14.123384331181377</v>
      </c>
    </row>
    <row r="24" spans="1:24" ht="12.75" customHeight="1" x14ac:dyDescent="0.2">
      <c r="A24" s="151">
        <f>Intro!C26</f>
        <v>2004</v>
      </c>
      <c r="C24" s="291">
        <f ca="1">'e3.1A'!Q62</f>
        <v>2422357.3090926795</v>
      </c>
      <c r="E24" s="308">
        <f>Intro!J26</f>
        <v>1.1043638048521249</v>
      </c>
      <c r="G24" s="290">
        <f>Intro!K26</f>
        <v>102137.68700000001</v>
      </c>
      <c r="I24" s="296">
        <f>Intro!L26</f>
        <v>0.78169156504546589</v>
      </c>
      <c r="K24" s="290">
        <f t="shared" si="15"/>
        <v>79840.168401153933</v>
      </c>
      <c r="M24" s="296">
        <f t="shared" ca="1" si="7"/>
        <v>33.506489128876666</v>
      </c>
      <c r="O24" s="321">
        <f t="shared" ca="1" si="8"/>
        <v>37.20240208822603</v>
      </c>
      <c r="Q24" s="252">
        <f>Intro!G26</f>
        <v>15</v>
      </c>
      <c r="R24" s="266">
        <f t="shared" si="9"/>
        <v>1.110304393430589</v>
      </c>
      <c r="T24" s="268" t="str">
        <f t="shared" si="10"/>
        <v>04</v>
      </c>
      <c r="U24" s="295">
        <f t="shared" ca="1" si="11"/>
        <v>23.716586700193037</v>
      </c>
      <c r="V24" s="324">
        <f t="shared" ca="1" si="12"/>
        <v>10.066801597033026</v>
      </c>
      <c r="W24" s="295">
        <f t="shared" ca="1" si="13"/>
        <v>33.506489128876666</v>
      </c>
      <c r="X24" s="295">
        <f t="shared" ca="1" si="14"/>
        <v>14.222248021499647</v>
      </c>
    </row>
    <row r="25" spans="1:24" ht="12.75" customHeight="1" x14ac:dyDescent="0.2">
      <c r="A25" s="151">
        <f>Intro!C27</f>
        <v>2005</v>
      </c>
      <c r="C25" s="291">
        <f>'e3.1A'!Q63</f>
        <v>699839.89000000025</v>
      </c>
      <c r="E25" s="308">
        <f>Intro!J27</f>
        <v>1.0993295241734087</v>
      </c>
      <c r="G25" s="290">
        <f>Intro!K27</f>
        <v>111292.39200000001</v>
      </c>
      <c r="I25" s="296">
        <f>Intro!L27</f>
        <v>0.78441601299858521</v>
      </c>
      <c r="K25" s="290">
        <f t="shared" si="15"/>
        <v>87299.534409715649</v>
      </c>
      <c r="M25" s="296">
        <f t="shared" si="7"/>
        <v>8.8128150794083577</v>
      </c>
      <c r="O25" s="321">
        <f t="shared" si="8"/>
        <v>9.7168890776151411</v>
      </c>
      <c r="Q25" s="252">
        <f>Intro!G27</f>
        <v>14</v>
      </c>
      <c r="R25" s="266">
        <f t="shared" si="9"/>
        <v>1.102586289404756</v>
      </c>
      <c r="T25" s="268" t="str">
        <f t="shared" si="10"/>
        <v>05</v>
      </c>
      <c r="U25" s="295">
        <f t="shared" si="11"/>
        <v>6.2882994733368678</v>
      </c>
      <c r="V25" s="324">
        <f t="shared" ca="1" si="12"/>
        <v>10.219185381172375</v>
      </c>
      <c r="W25" s="295">
        <f t="shared" si="13"/>
        <v>8.8128150794083577</v>
      </c>
      <c r="X25" s="295">
        <f t="shared" ca="1" si="14"/>
        <v>14.321803757650141</v>
      </c>
    </row>
    <row r="26" spans="1:24" ht="12.75" customHeight="1" x14ac:dyDescent="0.2">
      <c r="A26" s="151">
        <f>Intro!C28</f>
        <v>2006</v>
      </c>
      <c r="C26" s="291">
        <f>'e3.1A'!Q64</f>
        <v>2005481.3700000008</v>
      </c>
      <c r="E26" s="308">
        <f>Intro!J28</f>
        <v>1.0898938283807902</v>
      </c>
      <c r="G26" s="290">
        <f>Intro!K28</f>
        <v>107756.82399999999</v>
      </c>
      <c r="I26" s="296">
        <f>Intro!L28</f>
        <v>0.80317985362894262</v>
      </c>
      <c r="K26" s="290">
        <f t="shared" si="15"/>
        <v>86548.110127839725</v>
      </c>
      <c r="M26" s="296">
        <f t="shared" si="7"/>
        <v>25.254875754849838</v>
      </c>
      <c r="O26" s="321">
        <f t="shared" si="8"/>
        <v>27.652114943314817</v>
      </c>
      <c r="Q26" s="252">
        <f>Intro!G28</f>
        <v>13</v>
      </c>
      <c r="R26" s="266">
        <f t="shared" si="9"/>
        <v>1.0949218365489137</v>
      </c>
      <c r="T26" s="268" t="str">
        <f t="shared" si="10"/>
        <v>06</v>
      </c>
      <c r="U26" s="295">
        <f t="shared" si="11"/>
        <v>18.611177422972311</v>
      </c>
      <c r="V26" s="324">
        <f t="shared" ca="1" si="12"/>
        <v>10.628104163780257</v>
      </c>
      <c r="W26" s="295">
        <f t="shared" si="13"/>
        <v>25.254875754849838</v>
      </c>
      <c r="X26" s="295">
        <f t="shared" ca="1" si="14"/>
        <v>14.42205638395369</v>
      </c>
    </row>
    <row r="27" spans="1:24" ht="12.75" customHeight="1" x14ac:dyDescent="0.2">
      <c r="A27" s="151">
        <f>Intro!C29</f>
        <v>2007</v>
      </c>
      <c r="C27" s="291">
        <f>'e3.1A'!Q65</f>
        <v>1099670.4199999997</v>
      </c>
      <c r="E27" s="308">
        <f>Intro!J29</f>
        <v>1.0779438773143473</v>
      </c>
      <c r="G27" s="290">
        <f>Intro!K29</f>
        <v>104584.102</v>
      </c>
      <c r="I27" s="296">
        <f>Intro!L29</f>
        <v>0.82714970603473503</v>
      </c>
      <c r="K27" s="290">
        <f t="shared" si="15"/>
        <v>86506.709225206738</v>
      </c>
      <c r="M27" s="296">
        <f t="shared" si="7"/>
        <v>13.702786834911688</v>
      </c>
      <c r="O27" s="321">
        <f t="shared" si="8"/>
        <v>14.899186223554899</v>
      </c>
      <c r="Q27" s="252">
        <f>Intro!G29</f>
        <v>12</v>
      </c>
      <c r="R27" s="266">
        <f t="shared" si="9"/>
        <v>1.0873106619155053</v>
      </c>
      <c r="T27" s="268" t="str">
        <f t="shared" si="10"/>
        <v>07</v>
      </c>
      <c r="U27" s="295">
        <f t="shared" si="11"/>
        <v>10.51469964335497</v>
      </c>
      <c r="V27" s="324">
        <f t="shared" ca="1" si="12"/>
        <v>11.144090475490849</v>
      </c>
      <c r="W27" s="295">
        <f t="shared" si="13"/>
        <v>13.702786834911688</v>
      </c>
      <c r="X27" s="295">
        <f t="shared" ca="1" si="14"/>
        <v>14.523010778641364</v>
      </c>
    </row>
    <row r="28" spans="1:24" ht="12.75" customHeight="1" x14ac:dyDescent="0.2">
      <c r="A28" s="151">
        <f>Intro!C30</f>
        <v>2008</v>
      </c>
      <c r="C28" s="291">
        <f>'e3.1A'!Q66</f>
        <v>766269.99000000011</v>
      </c>
      <c r="E28" s="308">
        <f>Intro!J30</f>
        <v>1.0673951535966342</v>
      </c>
      <c r="G28" s="290">
        <f>Intro!K30</f>
        <v>106050.29700000001</v>
      </c>
      <c r="I28" s="296">
        <f>Intro!L30</f>
        <v>0.84174442498970214</v>
      </c>
      <c r="K28" s="290">
        <f t="shared" si="15"/>
        <v>89267.246268252144</v>
      </c>
      <c r="M28" s="296">
        <f t="shared" si="7"/>
        <v>9.1625193770924227</v>
      </c>
      <c r="O28" s="321">
        <f t="shared" si="8"/>
        <v>9.8932522430188747</v>
      </c>
      <c r="Q28" s="252">
        <f>Intro!G30</f>
        <v>11</v>
      </c>
      <c r="R28" s="266">
        <f t="shared" si="9"/>
        <v>1.0797523951494592</v>
      </c>
      <c r="T28" s="268" t="str">
        <f t="shared" si="10"/>
        <v>08</v>
      </c>
      <c r="U28" s="295">
        <f t="shared" si="11"/>
        <v>7.2255336540924544</v>
      </c>
      <c r="V28" s="324">
        <f t="shared" ca="1" si="12"/>
        <v>11.532969733847633</v>
      </c>
      <c r="W28" s="295">
        <f t="shared" si="13"/>
        <v>9.1625193770924227</v>
      </c>
      <c r="X28" s="295">
        <f t="shared" ca="1" si="14"/>
        <v>14.624671854091853</v>
      </c>
    </row>
    <row r="29" spans="1:24" ht="12.75" customHeight="1" x14ac:dyDescent="0.2">
      <c r="A29" s="151">
        <f>Intro!C31</f>
        <v>2009</v>
      </c>
      <c r="C29" s="291">
        <f ca="1">'e3.1A'!Q67</f>
        <v>1786555.7366137598</v>
      </c>
      <c r="E29" s="308">
        <f>Intro!J31</f>
        <v>1.0587300339527494</v>
      </c>
      <c r="G29" s="290">
        <f>Intro!K31</f>
        <v>110722.705</v>
      </c>
      <c r="I29" s="296">
        <f>Intro!L31</f>
        <v>0.84740356064125255</v>
      </c>
      <c r="K29" s="290">
        <f t="shared" si="15"/>
        <v>93826.814460831025</v>
      </c>
      <c r="M29" s="296">
        <f t="shared" ca="1" si="7"/>
        <v>20.159271382629996</v>
      </c>
      <c r="O29" s="321">
        <f t="shared" ca="1" si="8"/>
        <v>21.615711578811013</v>
      </c>
      <c r="Q29" s="252">
        <f>Intro!G31</f>
        <v>10</v>
      </c>
      <c r="R29" s="266">
        <f t="shared" si="9"/>
        <v>1.0722466684701681</v>
      </c>
      <c r="T29" s="268" t="str">
        <f t="shared" si="10"/>
        <v>09</v>
      </c>
      <c r="U29" s="295">
        <f t="shared" ca="1" si="11"/>
        <v>16.135405440227998</v>
      </c>
      <c r="V29" s="324">
        <f t="shared" ca="1" si="12"/>
        <v>11.787471399853457</v>
      </c>
      <c r="W29" s="295">
        <f t="shared" ca="1" si="13"/>
        <v>20.159271382629996</v>
      </c>
      <c r="X29" s="295">
        <f t="shared" ca="1" si="14"/>
        <v>14.727044557070494</v>
      </c>
    </row>
    <row r="30" spans="1:24" ht="12.75" customHeight="1" x14ac:dyDescent="0.2">
      <c r="A30" s="151">
        <f>Intro!C32</f>
        <v>2010</v>
      </c>
      <c r="C30" s="291">
        <f ca="1">'e3.1A'!Q68</f>
        <v>1232465.5338992665</v>
      </c>
      <c r="E30" s="308">
        <f>Intro!J32</f>
        <v>1.0522219598580769</v>
      </c>
      <c r="G30" s="290">
        <f>Intro!K32</f>
        <v>128222.10400000001</v>
      </c>
      <c r="I30" s="296">
        <f>Intro!L32</f>
        <v>0.85565926747242615</v>
      </c>
      <c r="K30" s="290">
        <f t="shared" si="15"/>
        <v>109714.43158241325</v>
      </c>
      <c r="M30" s="296">
        <f t="shared" ca="1" si="7"/>
        <v>11.82002477552728</v>
      </c>
      <c r="O30" s="321">
        <f t="shared" ca="1" si="8"/>
        <v>12.58588101965638</v>
      </c>
      <c r="Q30" s="252">
        <f>Intro!G32</f>
        <v>9</v>
      </c>
      <c r="R30" s="266">
        <f t="shared" si="9"/>
        <v>1.0647931166535931</v>
      </c>
      <c r="T30" s="268" t="str">
        <f t="shared" si="10"/>
        <v>10</v>
      </c>
      <c r="U30" s="295">
        <f t="shared" ca="1" si="11"/>
        <v>9.6119584334637533</v>
      </c>
      <c r="V30" s="324">
        <f t="shared" ca="1" si="12"/>
        <v>12.059757320168869</v>
      </c>
      <c r="W30" s="295">
        <f t="shared" ca="1" si="13"/>
        <v>11.82002477552728</v>
      </c>
      <c r="X30" s="295">
        <f t="shared" ca="1" si="14"/>
        <v>14.830133868969986</v>
      </c>
    </row>
    <row r="31" spans="1:24" ht="12.75" customHeight="1" x14ac:dyDescent="0.2">
      <c r="A31" s="151">
        <f>Intro!C33</f>
        <v>2011</v>
      </c>
      <c r="C31" s="291">
        <f>'e3.1A'!Q69</f>
        <v>1212882.8100000003</v>
      </c>
      <c r="E31" s="308">
        <f>Intro!J33</f>
        <v>1.0474460237870546</v>
      </c>
      <c r="G31" s="290">
        <f>Intro!K33</f>
        <v>143214.37400000001</v>
      </c>
      <c r="I31" s="296">
        <f>Intro!L33</f>
        <v>0.84809073426823689</v>
      </c>
      <c r="K31" s="290">
        <f t="shared" si="15"/>
        <v>121458.78360342591</v>
      </c>
      <c r="M31" s="296">
        <f t="shared" si="7"/>
        <v>10.459756297265731</v>
      </c>
      <c r="O31" s="321">
        <f t="shared" si="8"/>
        <v>11.060056114401814</v>
      </c>
      <c r="Q31" s="252">
        <f>Intro!G33</f>
        <v>8</v>
      </c>
      <c r="R31" s="266">
        <f t="shared" si="9"/>
        <v>1.0573913770144918</v>
      </c>
      <c r="T31" s="268" t="str">
        <f t="shared" si="10"/>
        <v>11</v>
      </c>
      <c r="U31" s="295">
        <f t="shared" si="11"/>
        <v>8.4690019313284868</v>
      </c>
      <c r="V31" s="324">
        <f t="shared" ca="1" si="12"/>
        <v>12.091639978062943</v>
      </c>
      <c r="W31" s="295">
        <f t="shared" si="13"/>
        <v>10.459756297265731</v>
      </c>
      <c r="X31" s="295">
        <f t="shared" ca="1" si="14"/>
        <v>14.933944806052773</v>
      </c>
    </row>
    <row r="32" spans="1:24" ht="12.75" customHeight="1" x14ac:dyDescent="0.2">
      <c r="A32" s="151">
        <f>Intro!C34</f>
        <v>2012</v>
      </c>
      <c r="C32" s="291">
        <f>'e3.1A'!Q70</f>
        <v>1928733.7599999993</v>
      </c>
      <c r="E32" s="308">
        <f>Intro!J34</f>
        <v>1.0451717334298189</v>
      </c>
      <c r="G32" s="290">
        <f>Intro!K34</f>
        <v>145569.85699999999</v>
      </c>
      <c r="I32" s="296">
        <f>Intro!L34</f>
        <v>0.82949789894567727</v>
      </c>
      <c r="K32" s="290">
        <f t="shared" si="15"/>
        <v>120749.89053132269</v>
      </c>
      <c r="M32" s="296">
        <f t="shared" si="7"/>
        <v>16.694491385405399</v>
      </c>
      <c r="O32" s="321">
        <f t="shared" si="8"/>
        <v>17.529901921122526</v>
      </c>
      <c r="Q32" s="252">
        <f>Intro!G34</f>
        <v>7</v>
      </c>
      <c r="R32" s="266">
        <f t="shared" si="9"/>
        <v>1.0500410893887704</v>
      </c>
      <c r="T32" s="268" t="str">
        <f t="shared" si="10"/>
        <v>12</v>
      </c>
      <c r="U32" s="295">
        <f t="shared" si="11"/>
        <v>13.249540802942462</v>
      </c>
      <c r="V32" s="324">
        <f t="shared" ca="1" si="12"/>
        <v>11.935253481772671</v>
      </c>
      <c r="W32" s="295">
        <f t="shared" si="13"/>
        <v>16.694491385405399</v>
      </c>
      <c r="X32" s="295">
        <f t="shared" ca="1" si="14"/>
        <v>15.038482419695143</v>
      </c>
    </row>
    <row r="33" spans="1:24" ht="12.75" customHeight="1" x14ac:dyDescent="0.2">
      <c r="A33" s="151">
        <f>Intro!C35</f>
        <v>2013</v>
      </c>
      <c r="C33" s="291">
        <f ca="1">'e3.1A'!Q71</f>
        <v>2043820.757447863</v>
      </c>
      <c r="E33" s="308">
        <f>Intro!J35</f>
        <v>1.0424066175137374</v>
      </c>
      <c r="G33" s="290">
        <f>Intro!K35</f>
        <v>157968.50285000002</v>
      </c>
      <c r="I33" s="296">
        <f>Intro!L35</f>
        <v>0.89214561352770161</v>
      </c>
      <c r="K33" s="290">
        <f t="shared" si="15"/>
        <v>140930.90689316575</v>
      </c>
      <c r="M33" s="296">
        <f t="shared" ca="1" si="7"/>
        <v>15.117282145857722</v>
      </c>
      <c r="O33" s="321">
        <f t="shared" ca="1" si="8"/>
        <v>15.763423448891613</v>
      </c>
      <c r="Q33" s="252">
        <f>Intro!G35</f>
        <v>6</v>
      </c>
      <c r="R33" s="266">
        <f t="shared" si="9"/>
        <v>1.0427418961159589</v>
      </c>
      <c r="T33" s="268" t="str">
        <f t="shared" si="10"/>
        <v>13</v>
      </c>
      <c r="U33" s="295">
        <f t="shared" ca="1" si="11"/>
        <v>12.938153622868642</v>
      </c>
      <c r="V33" s="324">
        <f t="shared" ca="1" si="12"/>
        <v>12.960807721983151</v>
      </c>
      <c r="W33" s="295">
        <f t="shared" ca="1" si="13"/>
        <v>15.117282145857722</v>
      </c>
      <c r="X33" s="295">
        <f t="shared" ca="1" si="14"/>
        <v>15.143751796633007</v>
      </c>
    </row>
    <row r="34" spans="1:24" ht="12.75" customHeight="1" x14ac:dyDescent="0.2">
      <c r="A34" s="151">
        <f>Intro!C36</f>
        <v>2014</v>
      </c>
      <c r="C34" s="291">
        <f>'e3.1A'!Q72</f>
        <v>2275241.92</v>
      </c>
      <c r="E34" s="308">
        <f>Intro!J36</f>
        <v>1.0412119709838517</v>
      </c>
      <c r="G34" s="290">
        <f>Intro!K36</f>
        <v>182546.24444841431</v>
      </c>
      <c r="I34" s="296">
        <f>Intro!L36</f>
        <v>0.93609121355209535</v>
      </c>
      <c r="K34" s="290">
        <f t="shared" si="15"/>
        <v>170879.93549509358</v>
      </c>
      <c r="M34" s="296">
        <f t="shared" si="7"/>
        <v>13.863588589991616</v>
      </c>
      <c r="O34" s="321">
        <f t="shared" si="8"/>
        <v>14.355655067824662</v>
      </c>
      <c r="Q34" s="252">
        <f>Intro!G36</f>
        <v>5</v>
      </c>
      <c r="R34" s="266">
        <f t="shared" si="9"/>
        <v>1.0354934420218065</v>
      </c>
      <c r="T34" s="268" t="str">
        <f t="shared" si="10"/>
        <v>14</v>
      </c>
      <c r="U34" s="295">
        <f t="shared" si="11"/>
        <v>12.463920728004679</v>
      </c>
      <c r="V34" s="324">
        <f t="shared" ca="1" si="12"/>
        <v>13.710142531815553</v>
      </c>
      <c r="W34" s="295">
        <f t="shared" si="13"/>
        <v>13.863588589991616</v>
      </c>
      <c r="X34" s="295">
        <f t="shared" ca="1" si="14"/>
        <v>15.249758059209434</v>
      </c>
    </row>
    <row r="35" spans="1:24" ht="12.75" customHeight="1" x14ac:dyDescent="0.2">
      <c r="A35" s="151">
        <f>Intro!C37</f>
        <v>2015</v>
      </c>
      <c r="C35" s="291">
        <f>'e3.1A'!Q73</f>
        <v>3506190.600000002</v>
      </c>
      <c r="E35" s="308">
        <f>Intro!J37</f>
        <v>1.0428069267716835</v>
      </c>
      <c r="G35" s="290">
        <f>Intro!K37</f>
        <v>196912.10476000005</v>
      </c>
      <c r="I35" s="296">
        <f>Intro!L37</f>
        <v>0.91648703979937651</v>
      </c>
      <c r="K35" s="290">
        <f t="shared" si="15"/>
        <v>180467.39199215715</v>
      </c>
      <c r="M35" s="296">
        <f t="shared" si="7"/>
        <v>20.260058085289248</v>
      </c>
      <c r="O35" s="321">
        <f t="shared" si="8"/>
        <v>20.833324014198503</v>
      </c>
      <c r="Q35" s="252">
        <f>Intro!G37</f>
        <v>4</v>
      </c>
      <c r="R35" s="266">
        <f t="shared" si="9"/>
        <v>1.0282953744009995</v>
      </c>
      <c r="T35" s="268" t="str">
        <f t="shared" si="10"/>
        <v>15</v>
      </c>
      <c r="U35" s="295">
        <f t="shared" si="11"/>
        <v>17.805866248158836</v>
      </c>
      <c r="V35" s="324">
        <f t="shared" ca="1" si="12"/>
        <v>13.496303773375642</v>
      </c>
      <c r="W35" s="295">
        <f t="shared" si="13"/>
        <v>20.260058085289248</v>
      </c>
      <c r="X35" s="295">
        <f t="shared" ca="1" si="14"/>
        <v>15.356506365623899</v>
      </c>
    </row>
    <row r="36" spans="1:24" ht="12.75" customHeight="1" x14ac:dyDescent="0.2">
      <c r="A36" s="151">
        <f>Intro!C38</f>
        <v>2016</v>
      </c>
      <c r="C36" s="291">
        <f ca="1">'e3.1A'!Q74</f>
        <v>2979677.1167968484</v>
      </c>
      <c r="E36" s="308">
        <f>Intro!J38</f>
        <v>1.0342758961601715</v>
      </c>
      <c r="G36" s="290">
        <f>Intro!K38</f>
        <v>221894.58274919298</v>
      </c>
      <c r="I36" s="296">
        <f>Intro!L38</f>
        <v>0.92696847191952003</v>
      </c>
      <c r="K36" s="290">
        <f t="shared" si="15"/>
        <v>205689.28229823892</v>
      </c>
      <c r="M36" s="296">
        <f t="shared" ca="1" si="7"/>
        <v>14.982833260969583</v>
      </c>
      <c r="O36" s="321">
        <f t="shared" ca="1" si="8"/>
        <v>15.299680375051109</v>
      </c>
      <c r="Q36" s="252">
        <f>Intro!G38</f>
        <v>3</v>
      </c>
      <c r="R36" s="266">
        <f t="shared" si="9"/>
        <v>1.0211473429999995</v>
      </c>
      <c r="T36" s="268" t="str">
        <f t="shared" si="10"/>
        <v>16</v>
      </c>
      <c r="U36" s="295">
        <f t="shared" ca="1" si="11"/>
        <v>13.428345477747746</v>
      </c>
      <c r="V36" s="324">
        <f t="shared" ca="1" si="12"/>
        <v>13.859592274809438</v>
      </c>
      <c r="W36" s="295">
        <f t="shared" ca="1" si="13"/>
        <v>14.982833260969583</v>
      </c>
      <c r="X36" s="295">
        <f t="shared" ca="1" si="14"/>
        <v>15.464001910183265</v>
      </c>
    </row>
    <row r="37" spans="1:24" ht="12.75" customHeight="1" x14ac:dyDescent="0.2">
      <c r="A37" s="151">
        <f>Intro!C39</f>
        <v>2017</v>
      </c>
      <c r="C37" s="291">
        <f ca="1">'e3.1A'!Q75</f>
        <v>3182127.6644803137</v>
      </c>
      <c r="E37" s="308">
        <f>Intro!J39</f>
        <v>1.0165895076831004</v>
      </c>
      <c r="G37" s="290">
        <f>Intro!K39</f>
        <v>307509.66981400014</v>
      </c>
      <c r="I37" s="296">
        <f>Intro!L39</f>
        <v>0.80226943072853818</v>
      </c>
      <c r="K37" s="290">
        <f t="shared" si="15"/>
        <v>246705.60774519862</v>
      </c>
      <c r="M37" s="296">
        <f t="shared" ca="1" si="7"/>
        <v>13.112460739684074</v>
      </c>
      <c r="O37" s="321">
        <f t="shared" ca="1" si="8"/>
        <v>13.296677700615893</v>
      </c>
      <c r="Q37" s="252">
        <f>Intro!G39</f>
        <v>2</v>
      </c>
      <c r="R37" s="266">
        <f t="shared" si="9"/>
        <v>1.0140489999999998</v>
      </c>
      <c r="T37" s="268" t="str">
        <f t="shared" si="10"/>
        <v>17</v>
      </c>
      <c r="U37" s="295">
        <f t="shared" ca="1" si="11"/>
        <v>10.348057238021331</v>
      </c>
      <c r="V37" s="324">
        <f t="shared" ca="1" si="12"/>
        <v>12.289267188882979</v>
      </c>
      <c r="W37" s="295">
        <f t="shared" ca="1" si="13"/>
        <v>13.112460739684074</v>
      </c>
      <c r="X37" s="295">
        <f t="shared" ca="1" si="14"/>
        <v>15.572249923554546</v>
      </c>
    </row>
    <row r="38" spans="1:24" ht="12.75" customHeight="1" x14ac:dyDescent="0.2">
      <c r="A38" s="151">
        <f>Intro!C40</f>
        <v>2018</v>
      </c>
      <c r="C38" s="291">
        <f ca="1">'e3.1A'!Q76</f>
        <v>9136612.3041557781</v>
      </c>
      <c r="E38" s="308">
        <f>Intro!J40</f>
        <v>1.0000032636733147</v>
      </c>
      <c r="G38" s="290">
        <f>Intro!K40</f>
        <v>536896.27333</v>
      </c>
      <c r="I38" s="296">
        <f>Intro!L40</f>
        <v>1.018452231841392</v>
      </c>
      <c r="K38" s="290">
        <f t="shared" si="15"/>
        <v>546803.20784026454</v>
      </c>
      <c r="M38" s="296">
        <f t="shared" ca="1" si="7"/>
        <v>16.709196274032454</v>
      </c>
      <c r="O38" s="321">
        <f t="shared" ca="1" si="8"/>
        <v>16.82616064795068</v>
      </c>
      <c r="Q38" s="252">
        <f>Intro!G40</f>
        <v>1</v>
      </c>
      <c r="R38" s="266">
        <f t="shared" si="9"/>
        <v>1.0069999999999999</v>
      </c>
      <c r="T38" s="268" t="str">
        <f t="shared" si="10"/>
        <v>18</v>
      </c>
      <c r="U38" s="295">
        <f t="shared" ca="1" si="11"/>
        <v>17.017462698125332</v>
      </c>
      <c r="V38" s="324">
        <f t="shared" ca="1" si="12"/>
        <v>15.970557715579087</v>
      </c>
      <c r="W38" s="295">
        <f t="shared" ca="1" si="13"/>
        <v>16.709196274032454</v>
      </c>
      <c r="X38" s="295">
        <f t="shared" ca="1" si="14"/>
        <v>15.681255673019425</v>
      </c>
    </row>
    <row r="39" spans="1:24" ht="12.75" customHeight="1" x14ac:dyDescent="0.2">
      <c r="A39" s="151">
        <f>Intro!C41</f>
        <v>2019</v>
      </c>
      <c r="C39" s="292">
        <f ca="1">'e3.1A'!Q77</f>
        <v>8256507.0849764422</v>
      </c>
      <c r="E39" s="308">
        <f>Intro!J41</f>
        <v>1</v>
      </c>
      <c r="G39" s="292">
        <f>Intro!K41</f>
        <v>543133.22666000458</v>
      </c>
      <c r="I39" s="296">
        <f>Intro!L41</f>
        <v>1</v>
      </c>
      <c r="K39" s="292">
        <f t="shared" si="15"/>
        <v>543133.22666000458</v>
      </c>
      <c r="M39" s="320">
        <f t="shared" ca="1" si="7"/>
        <v>15.201623984136997</v>
      </c>
      <c r="O39" s="321">
        <f t="shared" ca="1" si="8"/>
        <v>15.201623984136997</v>
      </c>
      <c r="Q39" s="252">
        <f>Intro!G41</f>
        <v>0</v>
      </c>
      <c r="R39" s="266">
        <f t="shared" si="9"/>
        <v>1</v>
      </c>
      <c r="T39" s="268" t="str">
        <f t="shared" si="10"/>
        <v>19</v>
      </c>
      <c r="U39" s="295">
        <f t="shared" ca="1" si="11"/>
        <v>15.201623984136997</v>
      </c>
      <c r="V39" s="324">
        <f t="shared" ca="1" si="12"/>
        <v>15.79102446273056</v>
      </c>
      <c r="W39" s="295">
        <f t="shared" ca="1" si="13"/>
        <v>15.201623984136997</v>
      </c>
      <c r="X39" s="295">
        <f t="shared" ca="1" si="14"/>
        <v>15.79102446273056</v>
      </c>
    </row>
    <row r="40" spans="1:24" ht="12.75" customHeight="1" x14ac:dyDescent="0.2"/>
    <row r="41" spans="1:24" ht="12.75" customHeight="1" x14ac:dyDescent="0.2">
      <c r="A41" s="151" t="s">
        <v>78</v>
      </c>
      <c r="B41" s="148"/>
      <c r="C41" s="249">
        <f ca="1">SUM(C16:C39)</f>
        <v>61426599.252741151</v>
      </c>
      <c r="G41" s="249">
        <f>SUM(G16:G39)</f>
        <v>3896630.2405416127</v>
      </c>
      <c r="K41" s="249">
        <f>SUM(K16:K39)</f>
        <v>3445206.9428144014</v>
      </c>
    </row>
    <row r="42" spans="1:24" ht="12.75" customHeight="1" x14ac:dyDescent="0.2"/>
    <row r="43" spans="1:24" ht="12.75" customHeight="1" x14ac:dyDescent="0.2"/>
    <row r="44" spans="1:24" ht="12.75" customHeight="1" x14ac:dyDescent="0.2">
      <c r="A44" s="245" t="str">
        <f>"AVERAGES AT THE "&amp;cpy_l&amp;" LEVEL:"</f>
        <v>AVERAGES AT THE 2018/19 LEVEL: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148"/>
      <c r="L44" s="148"/>
      <c r="M44" s="148"/>
      <c r="N44" s="148"/>
      <c r="O44" s="148"/>
      <c r="P44" s="148"/>
      <c r="Q44" s="244" t="s">
        <v>21</v>
      </c>
      <c r="R44" s="244" t="s">
        <v>22</v>
      </c>
    </row>
    <row r="45" spans="1:24" ht="12.75" customHeight="1" x14ac:dyDescent="0.2">
      <c r="A45" s="148" t="str">
        <f>"Policy Periods "&amp;U45&amp;" - Straight Average:"</f>
        <v>Policy Periods 2010 through 2018 - Straight Average:</v>
      </c>
      <c r="B45" s="148"/>
      <c r="C45" s="148"/>
      <c r="D45" s="148"/>
      <c r="E45" s="148"/>
      <c r="F45" s="148"/>
      <c r="G45" s="148"/>
      <c r="H45" s="148"/>
      <c r="I45" s="227"/>
      <c r="J45" s="148"/>
      <c r="K45" s="148"/>
      <c r="L45" s="148"/>
      <c r="N45" s="148"/>
      <c r="O45" s="322">
        <f ca="1">AVERAGE(INDIRECT(S45))</f>
        <v>15.283417812190354</v>
      </c>
      <c r="P45" s="148"/>
      <c r="Q45" s="267">
        <v>2010</v>
      </c>
      <c r="R45" s="267">
        <v>2018</v>
      </c>
      <c r="S45" s="264" t="str">
        <f ca="1">"O"&amp;ROW(OFFSET($A$40, (INDEX($Q$16:$Q$39, MATCH(Q45, $A$16:$A$39, 0))+1)*-1, 0))&amp;":O"&amp;ROW(OFFSET($A$40, (INDEX($Q$16:$Q$39, MATCH(R45, $A$16:$A$39, 0))+1)*-1, 0))</f>
        <v>O30:O38</v>
      </c>
      <c r="T45" s="268" t="str">
        <f ca="1">SUBSTITUTE(S45, "O", "K")</f>
        <v>K30:K38</v>
      </c>
      <c r="U45" s="222" t="str">
        <f>Q45&amp;" through "&amp;R45</f>
        <v>2010 through 2018</v>
      </c>
    </row>
    <row r="46" spans="1:24" ht="12.75" customHeight="1" x14ac:dyDescent="0.2">
      <c r="A46" s="148" t="str">
        <f>"Policy Periods "&amp;U46&amp;" - Straight Average Excluding Extremes:"</f>
        <v>Policy Periods 2010 through 2018 - Straight Average Excluding Extremes:</v>
      </c>
      <c r="B46" s="148"/>
      <c r="C46" s="148"/>
      <c r="D46" s="148"/>
      <c r="E46" s="148"/>
      <c r="F46" s="148"/>
      <c r="G46" s="148"/>
      <c r="H46" s="148"/>
      <c r="I46" s="227"/>
      <c r="J46" s="148"/>
      <c r="K46" s="148"/>
      <c r="L46" s="148"/>
      <c r="N46" s="148"/>
      <c r="O46" s="269">
        <f ca="1">(SUM(INDIRECT(S46))-MIN(INDIRECT(S46))-MAX(INDIRECT(S46)))/(COUNT(INDIRECT(S46))-2)</f>
        <v>15.093911454444696</v>
      </c>
      <c r="P46" s="148"/>
      <c r="Q46" s="267">
        <v>2010</v>
      </c>
      <c r="R46" s="267">
        <v>2018</v>
      </c>
      <c r="S46" s="264" t="str">
        <f ca="1">"O"&amp;ROW(OFFSET($A$40, (INDEX($Q$16:$Q$39, MATCH(Q46, $A$16:$A$39, 0))+1)*-1, 0))&amp;":O"&amp;ROW(OFFSET($A$40, (INDEX($Q$16:$Q$39, MATCH(R46, $A$16:$A$39, 0))+1)*-1, 0))</f>
        <v>O30:O38</v>
      </c>
      <c r="T46" s="268" t="str">
        <f ca="1">SUBSTITUTE(S46, "O", "K")</f>
        <v>K30:K38</v>
      </c>
      <c r="U46" s="222" t="str">
        <f>Q46&amp;" through "&amp;R46</f>
        <v>2010 through 2018</v>
      </c>
    </row>
    <row r="47" spans="1:24" ht="12.75" customHeight="1" x14ac:dyDescent="0.2">
      <c r="A47" s="148" t="str">
        <f>"Policy Periods "&amp;U47&amp;" - Weighted Average:"</f>
        <v>Policy Periods 2010 through 2018 - Weighted Average:</v>
      </c>
      <c r="B47" s="148"/>
      <c r="C47" s="148"/>
      <c r="D47" s="148"/>
      <c r="E47" s="148"/>
      <c r="F47" s="148"/>
      <c r="G47" s="148"/>
      <c r="H47" s="148"/>
      <c r="I47" s="227"/>
      <c r="J47" s="148"/>
      <c r="K47" s="148"/>
      <c r="L47" s="148"/>
      <c r="N47" s="148"/>
      <c r="O47" s="269">
        <f ca="1">SUMPRODUCT(INDIRECT(S47),INDIRECT(T47))/SUM(INDIRECT(T47))</f>
        <v>15.679322321192684</v>
      </c>
      <c r="P47" s="148"/>
      <c r="Q47" s="267">
        <v>2010</v>
      </c>
      <c r="R47" s="267">
        <v>2018</v>
      </c>
      <c r="S47" s="264" t="str">
        <f ca="1">"O"&amp;ROW(OFFSET($A$40, (INDEX($Q$16:$Q$39, MATCH(Q47, $A$16:$A$39, 0))+1)*-1, 0))&amp;":O"&amp;ROW(OFFSET($A$40, (INDEX($Q$16:$Q$39, MATCH(R47, $A$16:$A$39, 0))+1)*-1, 0))</f>
        <v>O30:O38</v>
      </c>
      <c r="T47" s="268" t="str">
        <f ca="1">SUBSTITUTE(S47, "O", "K")</f>
        <v>K30:K38</v>
      </c>
      <c r="U47" s="222" t="str">
        <f>Q47&amp;" through "&amp;R47</f>
        <v>2010 through 2018</v>
      </c>
    </row>
    <row r="48" spans="1:24" ht="12.75" customHeight="1" x14ac:dyDescent="0.2">
      <c r="A48" s="148" t="str">
        <f>"Policy Periods "&amp;U48&amp;" - Weighted Average:"</f>
        <v>Policy Periods 2012 through 2018 - Weighted Average:</v>
      </c>
      <c r="B48" s="148"/>
      <c r="C48" s="148"/>
      <c r="D48" s="148"/>
      <c r="E48" s="148"/>
      <c r="F48" s="148"/>
      <c r="G48" s="148"/>
      <c r="H48" s="148"/>
      <c r="I48" s="227"/>
      <c r="J48" s="148"/>
      <c r="K48" s="148"/>
      <c r="L48" s="148"/>
      <c r="N48" s="148"/>
      <c r="O48" s="269">
        <f ca="1">SUMPRODUCT(INDIRECT(S48),INDIRECT(T48))/SUM(INDIRECT(T48))</f>
        <v>16.237833028882054</v>
      </c>
      <c r="P48" s="148"/>
      <c r="Q48" s="267">
        <v>2012</v>
      </c>
      <c r="R48" s="267">
        <v>2018</v>
      </c>
      <c r="S48" s="264" t="str">
        <f ca="1">"O"&amp;ROW(OFFSET($A$40, (INDEX($Q$16:$Q$39, MATCH(Q48, $A$16:$A$39, 0))+1)*-1, 0))&amp;":O"&amp;ROW(OFFSET($A$40, (INDEX($Q$16:$Q$39, MATCH(R48, $A$16:$A$39, 0))+1)*-1, 0))</f>
        <v>O32:O38</v>
      </c>
      <c r="T48" s="268" t="str">
        <f ca="1">SUBSTITUTE(S48, "O", "K")</f>
        <v>K32:K38</v>
      </c>
      <c r="U48" s="222" t="str">
        <f>Q48&amp;" through "&amp;R48</f>
        <v>2012 through 2018</v>
      </c>
    </row>
    <row r="49" spans="1:21" ht="12.75" customHeight="1" x14ac:dyDescent="0.2">
      <c r="A49" s="148" t="str">
        <f>"Policy Periods "&amp;U49&amp;" - Weighted Average:"</f>
        <v>Policy Periods 2015 through 2018 - Weighted Average:</v>
      </c>
      <c r="B49" s="148"/>
      <c r="C49" s="148"/>
      <c r="D49" s="148"/>
      <c r="E49" s="148"/>
      <c r="F49" s="148"/>
      <c r="G49" s="148"/>
      <c r="H49" s="148"/>
      <c r="I49" s="227"/>
      <c r="J49" s="148"/>
      <c r="K49" s="148"/>
      <c r="L49" s="148"/>
      <c r="N49" s="148"/>
      <c r="O49" s="269">
        <f ca="1">SUMPRODUCT(INDIRECT(S49),INDIRECT(T49))/SUM(INDIRECT(T49))</f>
        <v>16.434895879004198</v>
      </c>
      <c r="P49" s="148"/>
      <c r="Q49" s="267">
        <v>2015</v>
      </c>
      <c r="R49" s="267">
        <v>2018</v>
      </c>
      <c r="S49" s="264" t="str">
        <f ca="1">"O"&amp;ROW(OFFSET($A$40, (INDEX($Q$16:$Q$39, MATCH(Q49, $A$16:$A$39, 0))+1)*-1, 0))&amp;":O"&amp;ROW(OFFSET($A$40, (INDEX($Q$16:$Q$39, MATCH(R49, $A$16:$A$39, 0))+1)*-1, 0))</f>
        <v>O35:O38</v>
      </c>
      <c r="T49" s="268" t="str">
        <f ca="1">SUBSTITUTE(S49, "O", "K")</f>
        <v>K35:K38</v>
      </c>
      <c r="U49" s="222" t="str">
        <f>Q49&amp;" through "&amp;R49</f>
        <v>2015 through 2018</v>
      </c>
    </row>
    <row r="50" spans="1:21" ht="12.75" customHeight="1" x14ac:dyDescent="0.2">
      <c r="N50" s="148"/>
      <c r="P50" s="148"/>
    </row>
    <row r="51" spans="1:21" ht="12.75" customHeight="1" x14ac:dyDescent="0.2">
      <c r="A51" s="148" t="str">
        <f>"Indicated Policy Period "&amp;cpy_l&amp;" Loss &amp; ALAE Cost Limited to $350,000:"</f>
        <v>Indicated Policy Period 2018/19 Loss &amp; ALAE Cost Limited to $350,000:</v>
      </c>
      <c r="B51" s="148"/>
      <c r="C51" s="148"/>
      <c r="D51" s="148"/>
      <c r="E51" s="148"/>
      <c r="F51" s="148"/>
      <c r="G51" s="148"/>
      <c r="H51" s="148"/>
      <c r="I51" s="227"/>
      <c r="J51" s="148"/>
      <c r="K51" s="148"/>
      <c r="L51" s="148"/>
      <c r="N51"/>
      <c r="O51" s="323">
        <f ca="1">0.8*O47+0.2*O48</f>
        <v>15.79102446273056</v>
      </c>
      <c r="P51" s="148"/>
      <c r="Q51" s="272">
        <v>15.803590930776457</v>
      </c>
      <c r="R51" s="263" t="s">
        <v>354</v>
      </c>
      <c r="T51" s="325">
        <f ca="1">'e6.2'!M44 * 'e5.2'!K44/1000</f>
        <v>15.921862964390069</v>
      </c>
      <c r="U51" s="286" t="s">
        <v>418</v>
      </c>
    </row>
    <row r="52" spans="1:21" ht="12.75" customHeight="1" x14ac:dyDescent="0.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273">
        <f>Q51*(1+Trend!$W$43*trend_prior)</f>
        <v>15.803590930776457</v>
      </c>
      <c r="R52" s="263" t="s">
        <v>355</v>
      </c>
      <c r="T52" s="326">
        <f ca="1">O51/T51-1</f>
        <v>-8.2175372286606985E-3</v>
      </c>
      <c r="U52" s="286" t="s">
        <v>356</v>
      </c>
    </row>
    <row r="53" spans="1:21" ht="12.75" customHeight="1" x14ac:dyDescent="0.2">
      <c r="A53" s="163" t="s">
        <v>83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532">
        <f ca="1">O51/Q52-1</f>
        <v>-7.9516535836321456E-4</v>
      </c>
      <c r="R53" s="263" t="s">
        <v>356</v>
      </c>
    </row>
    <row r="54" spans="1:21" ht="12.75" customHeight="1" x14ac:dyDescent="0.2">
      <c r="A54" s="327" t="s">
        <v>595</v>
      </c>
    </row>
    <row r="55" spans="1:21" ht="12.75" customHeight="1" x14ac:dyDescent="0.2">
      <c r="A55" s="327" t="s">
        <v>594</v>
      </c>
    </row>
    <row r="56" spans="1:21" ht="12.75" customHeight="1" x14ac:dyDescent="0.2">
      <c r="A56" s="327" t="s">
        <v>419</v>
      </c>
    </row>
    <row r="57" spans="1:21" ht="12.75" customHeight="1" x14ac:dyDescent="0.2">
      <c r="A57" s="327" t="s">
        <v>420</v>
      </c>
    </row>
    <row r="58" spans="1:21" ht="12.75" customHeight="1" x14ac:dyDescent="0.2">
      <c r="A58" s="327" t="s">
        <v>596</v>
      </c>
    </row>
    <row r="59" spans="1:21" ht="12.75" customHeight="1" x14ac:dyDescent="0.2">
      <c r="A59" s="327" t="s">
        <v>421</v>
      </c>
    </row>
    <row r="60" spans="1:21" ht="12.75" customHeight="1" x14ac:dyDescent="0.2">
      <c r="A60" s="327" t="s">
        <v>422</v>
      </c>
    </row>
    <row r="61" spans="1:21" ht="12.75" customHeight="1" x14ac:dyDescent="0.2">
      <c r="A61" s="327" t="str">
        <f>"The selected loss cost trend used in Column (7) is "&amp;TEXT(lctrnd_350k, "0.00%")&amp;"."</f>
        <v>The selected loss cost trend used in Column (7) is 0.70%.</v>
      </c>
    </row>
    <row r="62" spans="1:21" ht="12.75" customHeight="1" x14ac:dyDescent="0.2"/>
    <row r="63" spans="1:21" ht="12.75" customHeight="1" x14ac:dyDescent="0.2"/>
    <row r="64" spans="1:21" ht="12.75" customHeight="1" x14ac:dyDescent="0.2"/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4
Sheet 4
</oddHeader>
    <oddFooter xml:space="preserve">&amp;L&amp;"Arial"&amp;10 Oliver Wyman Actuarial Consulting, Inc.
&amp;C&amp;"Arial"&amp;10 &amp;R&amp;"Arial"&amp;10 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5">
    <tabColor theme="9" tint="0.79998168889431442"/>
    <pageSetUpPr fitToPage="1"/>
  </sheetPr>
  <dimension ref="A1:X61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1.625" style="222" customWidth="1"/>
    <col min="4" max="4" width="2.625" style="222" customWidth="1"/>
    <col min="5" max="5" width="9.125" style="222" customWidth="1"/>
    <col min="6" max="6" width="2.625" style="222" customWidth="1"/>
    <col min="7" max="7" width="11.625" style="222" customWidth="1"/>
    <col min="8" max="8" width="2.625" style="222" customWidth="1"/>
    <col min="9" max="9" width="10.25" style="222" customWidth="1"/>
    <col min="10" max="10" width="2.625" style="222" customWidth="1"/>
    <col min="11" max="11" width="11.625" style="222" customWidth="1"/>
    <col min="12" max="12" width="2.625" style="222" customWidth="1"/>
    <col min="13" max="13" width="9" style="222"/>
    <col min="14" max="14" width="2.625" style="222" customWidth="1"/>
    <col min="15" max="15" width="10.25" style="222" customWidth="1"/>
    <col min="16" max="16" width="2.625" style="222" customWidth="1"/>
    <col min="17" max="16384" width="9" style="222"/>
  </cols>
  <sheetData>
    <row r="1" spans="1:24" x14ac:dyDescent="0.2">
      <c r="A1" s="1" t="str">
        <f>[1]!getlabels()</f>
        <v>Exhibit 4, Sheet 5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24" x14ac:dyDescent="0.2">
      <c r="A7" s="224" t="str">
        <f>VLOOKUP($A$1, index_lkups, 3, FALSE)</f>
        <v>Loss Cost Method - Loss &amp; ALAE Limited to $500,000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10" spans="1:24" x14ac:dyDescent="0.2">
      <c r="C10" s="285" t="s">
        <v>373</v>
      </c>
      <c r="E10" s="285" t="s">
        <v>345</v>
      </c>
    </row>
    <row r="11" spans="1:24" x14ac:dyDescent="0.2">
      <c r="A11" s="181" t="str">
        <f>Intro!M9</f>
        <v>Policy</v>
      </c>
      <c r="C11" s="285" t="s">
        <v>330</v>
      </c>
      <c r="E11" s="306" t="str">
        <f>"to "&amp;cpy_l</f>
        <v>to 2018/19</v>
      </c>
      <c r="I11" s="285" t="s">
        <v>345</v>
      </c>
      <c r="K11" s="285" t="s">
        <v>55</v>
      </c>
      <c r="O11" s="285" t="s">
        <v>374</v>
      </c>
    </row>
    <row r="12" spans="1:24" x14ac:dyDescent="0.2">
      <c r="A12" s="181" t="str">
        <f>Intro!M10</f>
        <v>Period</v>
      </c>
      <c r="C12" s="285" t="s">
        <v>245</v>
      </c>
      <c r="E12" s="285" t="s">
        <v>375</v>
      </c>
      <c r="G12" s="268" t="s">
        <v>5</v>
      </c>
      <c r="I12" s="318" t="str">
        <f>E11</f>
        <v>to 2018/19</v>
      </c>
      <c r="K12" s="285" t="s">
        <v>5</v>
      </c>
      <c r="M12" s="285" t="s">
        <v>332</v>
      </c>
      <c r="O12" s="318" t="str">
        <f>I12</f>
        <v>to 2018/19</v>
      </c>
      <c r="R12" s="293" t="s">
        <v>353</v>
      </c>
      <c r="U12" s="300" t="s">
        <v>417</v>
      </c>
      <c r="V12" s="301"/>
      <c r="W12" s="300" t="s">
        <v>55</v>
      </c>
      <c r="X12" s="301"/>
    </row>
    <row r="13" spans="1:24" x14ac:dyDescent="0.2">
      <c r="A13" s="176" t="str">
        <f>Intro!M11</f>
        <v>Ending 9/30</v>
      </c>
      <c r="C13" s="251" t="s">
        <v>8</v>
      </c>
      <c r="E13" s="251" t="s">
        <v>350</v>
      </c>
      <c r="G13" s="251" t="s">
        <v>6</v>
      </c>
      <c r="I13" s="251" t="s">
        <v>11</v>
      </c>
      <c r="K13" s="251" t="s">
        <v>6</v>
      </c>
      <c r="M13" s="251" t="s">
        <v>416</v>
      </c>
      <c r="O13" s="251" t="s">
        <v>416</v>
      </c>
      <c r="Q13" s="299" t="s">
        <v>352</v>
      </c>
      <c r="R13" s="299" t="s">
        <v>229</v>
      </c>
      <c r="U13" s="303" t="s">
        <v>332</v>
      </c>
      <c r="V13" s="303" t="s">
        <v>336</v>
      </c>
      <c r="W13" s="303" t="s">
        <v>332</v>
      </c>
      <c r="X13" s="303" t="s">
        <v>336</v>
      </c>
    </row>
    <row r="14" spans="1:24" x14ac:dyDescent="0.2">
      <c r="C14" s="288">
        <v>1</v>
      </c>
      <c r="E14" s="288">
        <f>C14+1</f>
        <v>2</v>
      </c>
      <c r="G14" s="288">
        <f>E14+1</f>
        <v>3</v>
      </c>
      <c r="I14" s="288">
        <f>G14+1</f>
        <v>4</v>
      </c>
      <c r="K14" s="288">
        <f>I14+1</f>
        <v>5</v>
      </c>
      <c r="M14" s="288">
        <f>K14+1</f>
        <v>6</v>
      </c>
      <c r="O14" s="288">
        <f>M14+1</f>
        <v>7</v>
      </c>
    </row>
    <row r="16" spans="1:24" x14ac:dyDescent="0.2">
      <c r="A16" s="151">
        <f>Intro!C18</f>
        <v>1996</v>
      </c>
      <c r="C16" s="249">
        <f>'e3.1A'!Q90</f>
        <v>824780.2</v>
      </c>
      <c r="E16" s="308">
        <f>Intro!J18</f>
        <v>1.1429772558804836</v>
      </c>
      <c r="G16" s="289">
        <f>Intro!K18</f>
        <v>51718.748</v>
      </c>
      <c r="I16" s="296">
        <f>Intro!L18</f>
        <v>0.77330581975421253</v>
      </c>
      <c r="K16" s="289">
        <f t="shared" ref="K16" si="0">G16*I16</f>
        <v>39994.408818801538</v>
      </c>
      <c r="M16" s="319">
        <f>(C16*E16) / K16</f>
        <v>23.570919974628726</v>
      </c>
      <c r="O16" s="297">
        <f>M16*R16</f>
        <v>29.296920247918166</v>
      </c>
      <c r="Q16" s="252">
        <f>Intro!G18</f>
        <v>23</v>
      </c>
      <c r="R16" s="266">
        <f t="shared" ref="R16" si="1">(1 + lctrnd_500k) ^ Q16</f>
        <v>1.2429264652993093</v>
      </c>
      <c r="T16" s="268" t="str">
        <f>RIGHT(A16,2)</f>
        <v>96</v>
      </c>
      <c r="U16" s="295">
        <f t="shared" ref="U16" si="2">C16 / G16</f>
        <v>15.947412338751896</v>
      </c>
      <c r="V16" s="324">
        <f t="shared" ref="V16" ca="1" si="3">$O$51 / (E16 * R16) * I16</f>
        <v>8.9195011932011035</v>
      </c>
      <c r="W16" s="295">
        <f t="shared" ref="W16" si="4">M16</f>
        <v>23.570919974628726</v>
      </c>
      <c r="X16" s="295">
        <f t="shared" ref="X16" ca="1" si="5">$O$51/R16</f>
        <v>13.18338325821472</v>
      </c>
    </row>
    <row r="17" spans="1:24" x14ac:dyDescent="0.2">
      <c r="A17" s="151">
        <f>Intro!C19</f>
        <v>1997</v>
      </c>
      <c r="C17" s="235">
        <f>'e3.1A'!Q91</f>
        <v>1506771</v>
      </c>
      <c r="E17" s="308">
        <f>Intro!J19</f>
        <v>1.1586516942611411</v>
      </c>
      <c r="G17" s="290">
        <f>Intro!K19</f>
        <v>71279.833180000031</v>
      </c>
      <c r="I17" s="296">
        <f>Intro!L19</f>
        <v>0.77330581975421253</v>
      </c>
      <c r="K17" s="290">
        <f t="shared" ref="K17" si="6">G17*I17</f>
        <v>55121.109829203444</v>
      </c>
      <c r="M17" s="296">
        <f t="shared" ref="M17:M39" si="7">(C17*E17) / K17</f>
        <v>31.67248949491594</v>
      </c>
      <c r="O17" s="321">
        <f t="shared" ref="O17:O39" si="8">M17*R17</f>
        <v>38.996112347840885</v>
      </c>
      <c r="Q17" s="252">
        <f>Intro!G19</f>
        <v>22</v>
      </c>
      <c r="R17" s="266">
        <f t="shared" ref="R17:R39" si="9">(1 + lctrnd_500k) ^ Q17</f>
        <v>1.2312297823668243</v>
      </c>
      <c r="T17" s="268" t="str">
        <f t="shared" ref="T17:T39" si="10">RIGHT(A17,2)</f>
        <v>97</v>
      </c>
      <c r="U17" s="295">
        <f t="shared" ref="U17:U39" si="11">C17 / G17</f>
        <v>21.138812098437622</v>
      </c>
      <c r="V17" s="324">
        <f t="shared" ref="V17:V39" ca="1" si="12">$O$51 / (E17 * R17) * I17</f>
        <v>8.8824256030351023</v>
      </c>
      <c r="W17" s="295">
        <f t="shared" ref="W17:W39" si="13">M17</f>
        <v>31.67248949491594</v>
      </c>
      <c r="X17" s="295">
        <f t="shared" ref="X17:X39" ca="1" si="14">$O$51/R17</f>
        <v>13.308625399167761</v>
      </c>
    </row>
    <row r="18" spans="1:24" x14ac:dyDescent="0.2">
      <c r="A18" s="151">
        <f>Intro!C20</f>
        <v>1998</v>
      </c>
      <c r="C18" s="235">
        <f ca="1">'e3.1A'!Q92</f>
        <v>2757961.4441664326</v>
      </c>
      <c r="E18" s="308">
        <f>Intro!J20</f>
        <v>1.1472092745516156</v>
      </c>
      <c r="G18" s="290">
        <f>Intro!K20</f>
        <v>90725.935539999991</v>
      </c>
      <c r="I18" s="296">
        <f>Intro!L20</f>
        <v>0.77330581975421253</v>
      </c>
      <c r="K18" s="290">
        <f t="shared" ref="K18:K39" si="15">G18*I18</f>
        <v>70158.893955727544</v>
      </c>
      <c r="M18" s="296">
        <f t="shared" ca="1" si="7"/>
        <v>45.097047134181679</v>
      </c>
      <c r="O18" s="321">
        <f t="shared" ca="1" si="8"/>
        <v>55.002305624967732</v>
      </c>
      <c r="Q18" s="252">
        <f>Intro!G20</f>
        <v>21</v>
      </c>
      <c r="R18" s="266">
        <f t="shared" si="9"/>
        <v>1.2196431722306333</v>
      </c>
      <c r="T18" s="268" t="str">
        <f t="shared" si="10"/>
        <v>98</v>
      </c>
      <c r="U18" s="295">
        <f t="shared" ca="1" si="11"/>
        <v>30.398820665238333</v>
      </c>
      <c r="V18" s="324">
        <f t="shared" ca="1" si="12"/>
        <v>9.056244802562146</v>
      </c>
      <c r="W18" s="295">
        <f t="shared" ca="1" si="13"/>
        <v>45.097047134181679</v>
      </c>
      <c r="X18" s="295">
        <f t="shared" ca="1" si="14"/>
        <v>13.435057340459855</v>
      </c>
    </row>
    <row r="19" spans="1:24" x14ac:dyDescent="0.2">
      <c r="A19" s="151">
        <f>Intro!C21</f>
        <v>1999</v>
      </c>
      <c r="C19" s="235">
        <f ca="1">'e3.1A'!Q93</f>
        <v>3427749.0194703522</v>
      </c>
      <c r="E19" s="308">
        <f>Intro!J21</f>
        <v>1.1383473850581671</v>
      </c>
      <c r="G19" s="290">
        <f>Intro!K21</f>
        <v>115828.16377000001</v>
      </c>
      <c r="I19" s="296">
        <f>Intro!L21</f>
        <v>0.77330581975421253</v>
      </c>
      <c r="K19" s="290">
        <f t="shared" si="15"/>
        <v>89570.593134785042</v>
      </c>
      <c r="M19" s="296">
        <f t="shared" ca="1" si="7"/>
        <v>43.563060111460054</v>
      </c>
      <c r="O19" s="321">
        <f t="shared" ca="1" si="8"/>
        <v>52.631390615567014</v>
      </c>
      <c r="Q19" s="252">
        <f>Intro!G21</f>
        <v>20</v>
      </c>
      <c r="R19" s="266">
        <f t="shared" si="9"/>
        <v>1.2081655990397555</v>
      </c>
      <c r="T19" s="268" t="str">
        <f t="shared" si="10"/>
        <v>99</v>
      </c>
      <c r="U19" s="295">
        <f t="shared" ca="1" si="11"/>
        <v>29.593398599297778</v>
      </c>
      <c r="V19" s="324">
        <f t="shared" ca="1" si="12"/>
        <v>9.2134506074868145</v>
      </c>
      <c r="W19" s="295">
        <f t="shared" ca="1" si="13"/>
        <v>43.563060111460054</v>
      </c>
      <c r="X19" s="295">
        <f t="shared" ca="1" si="14"/>
        <v>13.562690385194225</v>
      </c>
    </row>
    <row r="20" spans="1:24" x14ac:dyDescent="0.2">
      <c r="A20" s="151">
        <f>Intro!C22</f>
        <v>2000</v>
      </c>
      <c r="C20" s="235">
        <f ca="1">'e3.1A'!Q94</f>
        <v>2723406.8442261238</v>
      </c>
      <c r="E20" s="308">
        <f>Intro!J22</f>
        <v>1.1276856835351232</v>
      </c>
      <c r="G20" s="290">
        <f>Intro!K22</f>
        <v>86853.122530000022</v>
      </c>
      <c r="I20" s="296">
        <f>Intro!L22</f>
        <v>0.77330581975421253</v>
      </c>
      <c r="K20" s="290">
        <f t="shared" si="15"/>
        <v>67164.02511627473</v>
      </c>
      <c r="M20" s="296">
        <f t="shared" ca="1" si="7"/>
        <v>45.726069921488218</v>
      </c>
      <c r="O20" s="321">
        <f t="shared" ca="1" si="8"/>
        <v>54.724779255501304</v>
      </c>
      <c r="Q20" s="252">
        <f>Intro!G22</f>
        <v>19</v>
      </c>
      <c r="R20" s="266">
        <f t="shared" si="9"/>
        <v>1.1967960366911894</v>
      </c>
      <c r="T20" s="268" t="str">
        <f t="shared" si="10"/>
        <v>00</v>
      </c>
      <c r="U20" s="295">
        <f t="shared" ca="1" si="11"/>
        <v>31.356464395225736</v>
      </c>
      <c r="V20" s="324">
        <f t="shared" ca="1" si="12"/>
        <v>9.3889144655671952</v>
      </c>
      <c r="W20" s="295">
        <f t="shared" ca="1" si="13"/>
        <v>45.726069921488218</v>
      </c>
      <c r="X20" s="295">
        <f t="shared" ca="1" si="14"/>
        <v>13.691535943853568</v>
      </c>
    </row>
    <row r="21" spans="1:24" x14ac:dyDescent="0.2">
      <c r="A21" s="151">
        <f>Intro!C23</f>
        <v>2001</v>
      </c>
      <c r="C21" s="235">
        <f ca="1">'e3.1A'!Q95</f>
        <v>1611665.6383934908</v>
      </c>
      <c r="E21" s="308">
        <f>Intro!J23</f>
        <v>1.1157888358226624</v>
      </c>
      <c r="G21" s="290">
        <f>Intro!K23</f>
        <v>91838.194909999977</v>
      </c>
      <c r="I21" s="296">
        <f>Intro!L23</f>
        <v>0.77330581975421253</v>
      </c>
      <c r="K21" s="290">
        <f t="shared" si="15"/>
        <v>71019.010599624686</v>
      </c>
      <c r="M21" s="296">
        <f t="shared" ca="1" si="7"/>
        <v>25.321086723333828</v>
      </c>
      <c r="O21" s="321">
        <f t="shared" ca="1" si="8"/>
        <v>30.018995775334144</v>
      </c>
      <c r="Q21" s="252">
        <f>Intro!G23</f>
        <v>18</v>
      </c>
      <c r="R21" s="266">
        <f t="shared" si="9"/>
        <v>1.1855334687381767</v>
      </c>
      <c r="T21" s="268" t="str">
        <f t="shared" si="10"/>
        <v>01</v>
      </c>
      <c r="U21" s="295">
        <f t="shared" ca="1" si="11"/>
        <v>17.548969031598435</v>
      </c>
      <c r="V21" s="324">
        <f t="shared" ca="1" si="12"/>
        <v>9.5791673618330417</v>
      </c>
      <c r="W21" s="295">
        <f t="shared" ca="1" si="13"/>
        <v>25.321086723333828</v>
      </c>
      <c r="X21" s="295">
        <f t="shared" ca="1" si="14"/>
        <v>13.821605535320177</v>
      </c>
    </row>
    <row r="22" spans="1:24" x14ac:dyDescent="0.2">
      <c r="A22" s="151">
        <f>Intro!C24</f>
        <v>2002</v>
      </c>
      <c r="C22" s="235">
        <f ca="1">'e3.1A'!Q96</f>
        <v>4047066.7530592731</v>
      </c>
      <c r="E22" s="308">
        <f>Intro!J24</f>
        <v>1.1044876209657188</v>
      </c>
      <c r="G22" s="290">
        <f>Intro!K24</f>
        <v>86098.134999999995</v>
      </c>
      <c r="I22" s="296">
        <f>Intro!L24</f>
        <v>0.77330581975421253</v>
      </c>
      <c r="K22" s="290">
        <f t="shared" si="15"/>
        <v>66580.188865483855</v>
      </c>
      <c r="M22" s="296">
        <f t="shared" ca="1" si="7"/>
        <v>67.136113702032048</v>
      </c>
      <c r="O22" s="321">
        <f t="shared" ca="1" si="8"/>
        <v>78.843100301902595</v>
      </c>
      <c r="Q22" s="252">
        <f>Intro!G24</f>
        <v>17</v>
      </c>
      <c r="R22" s="266">
        <f t="shared" si="9"/>
        <v>1.1743768882993328</v>
      </c>
      <c r="T22" s="268" t="str">
        <f t="shared" si="10"/>
        <v>02</v>
      </c>
      <c r="U22" s="295">
        <f t="shared" ca="1" si="11"/>
        <v>47.005277792129569</v>
      </c>
      <c r="V22" s="324">
        <f t="shared" ca="1" si="12"/>
        <v>9.7691154794153423</v>
      </c>
      <c r="W22" s="295">
        <f t="shared" ca="1" si="13"/>
        <v>67.136113702032048</v>
      </c>
      <c r="X22" s="295">
        <f t="shared" ca="1" si="14"/>
        <v>13.952910787905722</v>
      </c>
    </row>
    <row r="23" spans="1:24" x14ac:dyDescent="0.2">
      <c r="A23" s="151">
        <f>Intro!C25</f>
        <v>2003</v>
      </c>
      <c r="C23" s="235">
        <f>'e3.1A'!Q97</f>
        <v>1493025.0200000005</v>
      </c>
      <c r="E23" s="308">
        <f>Intro!J25</f>
        <v>1.0980216306970509</v>
      </c>
      <c r="G23" s="290">
        <f>Intro!K25</f>
        <v>95877.160999999993</v>
      </c>
      <c r="I23" s="296">
        <f>Intro!L25</f>
        <v>0.79035991647913106</v>
      </c>
      <c r="K23" s="290">
        <f t="shared" si="15"/>
        <v>75777.464960216195</v>
      </c>
      <c r="M23" s="296">
        <f t="shared" si="7"/>
        <v>21.634053976239276</v>
      </c>
      <c r="O23" s="321">
        <f t="shared" si="8"/>
        <v>25.167442288177998</v>
      </c>
      <c r="Q23" s="252">
        <f>Intro!G25</f>
        <v>16</v>
      </c>
      <c r="R23" s="266">
        <f t="shared" si="9"/>
        <v>1.1633252979686308</v>
      </c>
      <c r="T23" s="268" t="str">
        <f t="shared" si="10"/>
        <v>03</v>
      </c>
      <c r="U23" s="295">
        <f t="shared" si="11"/>
        <v>15.572269813037128</v>
      </c>
      <c r="V23" s="324">
        <f t="shared" ca="1" si="12"/>
        <v>10.13876721285528</v>
      </c>
      <c r="W23" s="295">
        <f t="shared" si="13"/>
        <v>21.634053976239276</v>
      </c>
      <c r="X23" s="295">
        <f t="shared" ca="1" si="14"/>
        <v>14.085463440390827</v>
      </c>
    </row>
    <row r="24" spans="1:24" x14ac:dyDescent="0.2">
      <c r="A24" s="151">
        <f>Intro!C26</f>
        <v>2004</v>
      </c>
      <c r="C24" s="291">
        <f>'e3.1A'!Q98</f>
        <v>2879567.7077702624</v>
      </c>
      <c r="E24" s="308">
        <f>Intro!J26</f>
        <v>1.1043638048521249</v>
      </c>
      <c r="G24" s="290">
        <f>Intro!K26</f>
        <v>102137.68700000001</v>
      </c>
      <c r="I24" s="296">
        <f>Intro!L26</f>
        <v>0.78169156504546589</v>
      </c>
      <c r="K24" s="290">
        <f t="shared" si="15"/>
        <v>79840.168401153933</v>
      </c>
      <c r="M24" s="296">
        <f t="shared" si="7"/>
        <v>39.830706945709764</v>
      </c>
      <c r="O24" s="321">
        <f t="shared" si="8"/>
        <v>45.900018846873721</v>
      </c>
      <c r="Q24" s="252">
        <f>Intro!G26</f>
        <v>15</v>
      </c>
      <c r="R24" s="266">
        <f t="shared" si="9"/>
        <v>1.1523777097262315</v>
      </c>
      <c r="T24" s="268" t="str">
        <f t="shared" si="10"/>
        <v>04</v>
      </c>
      <c r="U24" s="295">
        <f t="shared" si="11"/>
        <v>28.192999003103157</v>
      </c>
      <c r="V24" s="324">
        <f t="shared" ca="1" si="12"/>
        <v>10.064697473699493</v>
      </c>
      <c r="W24" s="295">
        <f t="shared" si="13"/>
        <v>39.830706945709764</v>
      </c>
      <c r="X24" s="295">
        <f t="shared" ca="1" si="14"/>
        <v>14.219275343074541</v>
      </c>
    </row>
    <row r="25" spans="1:24" x14ac:dyDescent="0.2">
      <c r="A25" s="151">
        <f>Intro!C27</f>
        <v>2005</v>
      </c>
      <c r="C25" s="291">
        <f>'e3.1A'!Q99</f>
        <v>699839.89000000025</v>
      </c>
      <c r="E25" s="308">
        <f>Intro!J27</f>
        <v>1.0993295241734087</v>
      </c>
      <c r="G25" s="290">
        <f>Intro!K27</f>
        <v>111292.39200000001</v>
      </c>
      <c r="I25" s="296">
        <f>Intro!L27</f>
        <v>0.78441601299858521</v>
      </c>
      <c r="K25" s="290">
        <f t="shared" si="15"/>
        <v>87299.534409715649</v>
      </c>
      <c r="M25" s="296">
        <f t="shared" si="7"/>
        <v>8.8128150794083577</v>
      </c>
      <c r="O25" s="321">
        <f t="shared" si="8"/>
        <v>10.060120512579893</v>
      </c>
      <c r="Q25" s="252">
        <f>Intro!G27</f>
        <v>14</v>
      </c>
      <c r="R25" s="266">
        <f t="shared" si="9"/>
        <v>1.1415331448501551</v>
      </c>
      <c r="T25" s="268" t="str">
        <f t="shared" si="10"/>
        <v>05</v>
      </c>
      <c r="U25" s="295">
        <f t="shared" si="11"/>
        <v>6.2882994733368678</v>
      </c>
      <c r="V25" s="324">
        <f t="shared" ca="1" si="12"/>
        <v>10.242414475220407</v>
      </c>
      <c r="W25" s="295">
        <f t="shared" si="13"/>
        <v>8.8128150794083577</v>
      </c>
      <c r="X25" s="295">
        <f t="shared" ca="1" si="14"/>
        <v>14.354358458833747</v>
      </c>
    </row>
    <row r="26" spans="1:24" x14ac:dyDescent="0.2">
      <c r="A26" s="151">
        <f>Intro!C28</f>
        <v>2006</v>
      </c>
      <c r="C26" s="291">
        <f>'e3.1A'!Q100</f>
        <v>2229103.2700000005</v>
      </c>
      <c r="E26" s="308">
        <f>Intro!J28</f>
        <v>1.0898938283807902</v>
      </c>
      <c r="G26" s="290">
        <f>Intro!K28</f>
        <v>107756.82399999999</v>
      </c>
      <c r="I26" s="296">
        <f>Intro!L28</f>
        <v>0.80317985362894262</v>
      </c>
      <c r="K26" s="290">
        <f t="shared" si="15"/>
        <v>86548.110127839725</v>
      </c>
      <c r="M26" s="296">
        <f t="shared" si="7"/>
        <v>28.070929488903442</v>
      </c>
      <c r="O26" s="321">
        <f t="shared" si="8"/>
        <v>31.742344148920161</v>
      </c>
      <c r="Q26" s="252">
        <f>Intro!G28</f>
        <v>13</v>
      </c>
      <c r="R26" s="266">
        <f t="shared" si="9"/>
        <v>1.1307906338287816</v>
      </c>
      <c r="T26" s="268" t="str">
        <f t="shared" si="10"/>
        <v>06</v>
      </c>
      <c r="U26" s="295">
        <f t="shared" si="11"/>
        <v>20.686423256127153</v>
      </c>
      <c r="V26" s="324">
        <f t="shared" ca="1" si="12"/>
        <v>10.67870830380847</v>
      </c>
      <c r="W26" s="295">
        <f t="shared" si="13"/>
        <v>28.070929488903442</v>
      </c>
      <c r="X26" s="295">
        <f t="shared" ca="1" si="14"/>
        <v>14.49072486419267</v>
      </c>
    </row>
    <row r="27" spans="1:24" x14ac:dyDescent="0.2">
      <c r="A27" s="151">
        <f>Intro!C29</f>
        <v>2007</v>
      </c>
      <c r="C27" s="291">
        <f>'e3.1A'!Q101</f>
        <v>1099670.4199999997</v>
      </c>
      <c r="E27" s="308">
        <f>Intro!J29</f>
        <v>1.0779438773143473</v>
      </c>
      <c r="G27" s="290">
        <f>Intro!K29</f>
        <v>104584.102</v>
      </c>
      <c r="I27" s="296">
        <f>Intro!L29</f>
        <v>0.82714970603473503</v>
      </c>
      <c r="K27" s="290">
        <f t="shared" si="15"/>
        <v>86506.709225206738</v>
      </c>
      <c r="M27" s="296">
        <f t="shared" si="7"/>
        <v>13.702786834911688</v>
      </c>
      <c r="O27" s="321">
        <f t="shared" si="8"/>
        <v>15.349165933898435</v>
      </c>
      <c r="Q27" s="252">
        <f>Intro!G29</f>
        <v>12</v>
      </c>
      <c r="R27" s="266">
        <f t="shared" si="9"/>
        <v>1.1201492162741769</v>
      </c>
      <c r="T27" s="268" t="str">
        <f t="shared" si="10"/>
        <v>07</v>
      </c>
      <c r="U27" s="295">
        <f t="shared" si="11"/>
        <v>10.51469964335497</v>
      </c>
      <c r="V27" s="324">
        <f t="shared" ca="1" si="12"/>
        <v>11.224949698220057</v>
      </c>
      <c r="W27" s="295">
        <f t="shared" si="13"/>
        <v>13.702786834911688</v>
      </c>
      <c r="X27" s="295">
        <f t="shared" ca="1" si="14"/>
        <v>14.6283867504025</v>
      </c>
    </row>
    <row r="28" spans="1:24" x14ac:dyDescent="0.2">
      <c r="A28" s="151">
        <f>Intro!C30</f>
        <v>2008</v>
      </c>
      <c r="C28" s="291">
        <f>'e3.1A'!Q102</f>
        <v>766269.99000000011</v>
      </c>
      <c r="E28" s="308">
        <f>Intro!J30</f>
        <v>1.0673951535966342</v>
      </c>
      <c r="G28" s="290">
        <f>Intro!K30</f>
        <v>106050.29700000001</v>
      </c>
      <c r="I28" s="296">
        <f>Intro!L30</f>
        <v>0.84174442498970214</v>
      </c>
      <c r="K28" s="290">
        <f t="shared" si="15"/>
        <v>89267.246268252144</v>
      </c>
      <c r="M28" s="296">
        <f t="shared" si="7"/>
        <v>9.1625193770924227</v>
      </c>
      <c r="O28" s="321">
        <f t="shared" si="8"/>
        <v>10.166804258887606</v>
      </c>
      <c r="Q28" s="252">
        <f>Intro!G30</f>
        <v>11</v>
      </c>
      <c r="R28" s="266">
        <f t="shared" si="9"/>
        <v>1.1096079408362327</v>
      </c>
      <c r="T28" s="268" t="str">
        <f t="shared" si="10"/>
        <v>08</v>
      </c>
      <c r="U28" s="295">
        <f t="shared" si="11"/>
        <v>7.2255336540924544</v>
      </c>
      <c r="V28" s="324">
        <f t="shared" ca="1" si="12"/>
        <v>11.645490332516999</v>
      </c>
      <c r="W28" s="295">
        <f t="shared" si="13"/>
        <v>9.1625193770924227</v>
      </c>
      <c r="X28" s="295">
        <f t="shared" ca="1" si="14"/>
        <v>14.767356424531323</v>
      </c>
    </row>
    <row r="29" spans="1:24" x14ac:dyDescent="0.2">
      <c r="A29" s="151">
        <f>Intro!C31</f>
        <v>2009</v>
      </c>
      <c r="C29" s="291">
        <f ca="1">'e3.1A'!Q103</f>
        <v>1936555.7366137598</v>
      </c>
      <c r="E29" s="308">
        <f>Intro!J31</f>
        <v>1.0587300339527494</v>
      </c>
      <c r="G29" s="290">
        <f>Intro!K31</f>
        <v>110722.705</v>
      </c>
      <c r="I29" s="296">
        <f>Intro!L31</f>
        <v>0.84740356064125255</v>
      </c>
      <c r="K29" s="290">
        <f t="shared" si="15"/>
        <v>93826.814460831025</v>
      </c>
      <c r="M29" s="296">
        <f t="shared" ca="1" si="7"/>
        <v>21.851852613331474</v>
      </c>
      <c r="O29" s="321">
        <f t="shared" ca="1" si="8"/>
        <v>24.018810482155111</v>
      </c>
      <c r="Q29" s="252">
        <f>Intro!G31</f>
        <v>10</v>
      </c>
      <c r="R29" s="266">
        <f t="shared" si="9"/>
        <v>1.0991658651176153</v>
      </c>
      <c r="T29" s="268" t="str">
        <f t="shared" si="10"/>
        <v>09</v>
      </c>
      <c r="U29" s="295">
        <f t="shared" ca="1" si="11"/>
        <v>17.490141128811473</v>
      </c>
      <c r="V29" s="324">
        <f t="shared" ca="1" si="12"/>
        <v>11.932024368089738</v>
      </c>
      <c r="W29" s="295">
        <f t="shared" ca="1" si="13"/>
        <v>21.851852613331474</v>
      </c>
      <c r="X29" s="295">
        <f t="shared" ca="1" si="14"/>
        <v>14.907646310564372</v>
      </c>
    </row>
    <row r="30" spans="1:24" x14ac:dyDescent="0.2">
      <c r="A30" s="151">
        <f>Intro!C32</f>
        <v>2010</v>
      </c>
      <c r="C30" s="291">
        <f ca="1">'e3.1A'!Q104</f>
        <v>1232465.5338992665</v>
      </c>
      <c r="E30" s="308">
        <f>Intro!J32</f>
        <v>1.0522219598580769</v>
      </c>
      <c r="G30" s="290">
        <f>Intro!K32</f>
        <v>128222.10400000001</v>
      </c>
      <c r="I30" s="296">
        <f>Intro!L32</f>
        <v>0.85565926747242615</v>
      </c>
      <c r="K30" s="290">
        <f t="shared" si="15"/>
        <v>109714.43158241325</v>
      </c>
      <c r="M30" s="296">
        <f t="shared" ca="1" si="7"/>
        <v>11.82002477552728</v>
      </c>
      <c r="O30" s="321">
        <f t="shared" ca="1" si="8"/>
        <v>12.869903673208608</v>
      </c>
      <c r="Q30" s="252">
        <f>Intro!G32</f>
        <v>9</v>
      </c>
      <c r="R30" s="266">
        <f t="shared" si="9"/>
        <v>1.0888220555895149</v>
      </c>
      <c r="T30" s="268" t="str">
        <f t="shared" si="10"/>
        <v>10</v>
      </c>
      <c r="U30" s="295">
        <f t="shared" ca="1" si="11"/>
        <v>9.6119584334637533</v>
      </c>
      <c r="V30" s="324">
        <f t="shared" ca="1" si="12"/>
        <v>12.23795637940289</v>
      </c>
      <c r="W30" s="295">
        <f t="shared" ca="1" si="13"/>
        <v>11.82002477552728</v>
      </c>
      <c r="X30" s="295">
        <f t="shared" ca="1" si="14"/>
        <v>15.049268950514733</v>
      </c>
    </row>
    <row r="31" spans="1:24" x14ac:dyDescent="0.2">
      <c r="A31" s="151">
        <f>Intro!C33</f>
        <v>2011</v>
      </c>
      <c r="C31" s="291">
        <f>'e3.1A'!Q105</f>
        <v>1212882.8100000003</v>
      </c>
      <c r="E31" s="308">
        <f>Intro!J33</f>
        <v>1.0474460237870546</v>
      </c>
      <c r="G31" s="290">
        <f>Intro!K33</f>
        <v>143214.37400000001</v>
      </c>
      <c r="I31" s="296">
        <f>Intro!L33</f>
        <v>0.84809073426823689</v>
      </c>
      <c r="K31" s="290">
        <f t="shared" si="15"/>
        <v>121458.78360342591</v>
      </c>
      <c r="M31" s="296">
        <f t="shared" si="7"/>
        <v>10.459756297265731</v>
      </c>
      <c r="O31" s="321">
        <f t="shared" si="8"/>
        <v>11.281637793515845</v>
      </c>
      <c r="Q31" s="252">
        <f>Intro!G33</f>
        <v>8</v>
      </c>
      <c r="R31" s="266">
        <f t="shared" si="9"/>
        <v>1.0785755875081871</v>
      </c>
      <c r="T31" s="268" t="str">
        <f t="shared" si="10"/>
        <v>11</v>
      </c>
      <c r="U31" s="295">
        <f t="shared" si="11"/>
        <v>8.4690019313284868</v>
      </c>
      <c r="V31" s="324">
        <f t="shared" ca="1" si="12"/>
        <v>12.300772683852218</v>
      </c>
      <c r="W31" s="295">
        <f t="shared" si="13"/>
        <v>10.459756297265731</v>
      </c>
      <c r="X31" s="295">
        <f t="shared" ca="1" si="14"/>
        <v>15.192237005544625</v>
      </c>
    </row>
    <row r="32" spans="1:24" x14ac:dyDescent="0.2">
      <c r="A32" s="151">
        <f>Intro!C34</f>
        <v>2012</v>
      </c>
      <c r="C32" s="291">
        <f>'e3.1A'!Q106</f>
        <v>1930458.7599999993</v>
      </c>
      <c r="E32" s="308">
        <f>Intro!J34</f>
        <v>1.0451717334298189</v>
      </c>
      <c r="G32" s="290">
        <f>Intro!K34</f>
        <v>145569.85699999999</v>
      </c>
      <c r="I32" s="296">
        <f>Intro!L34</f>
        <v>0.82949789894567727</v>
      </c>
      <c r="K32" s="290">
        <f t="shared" si="15"/>
        <v>120749.89053132269</v>
      </c>
      <c r="M32" s="296">
        <f t="shared" si="7"/>
        <v>16.709422423704758</v>
      </c>
      <c r="O32" s="321">
        <f t="shared" si="8"/>
        <v>17.852773756879479</v>
      </c>
      <c r="Q32" s="252">
        <f>Intro!G34</f>
        <v>7</v>
      </c>
      <c r="R32" s="266">
        <f t="shared" si="9"/>
        <v>1.0684255448322804</v>
      </c>
      <c r="T32" s="268" t="str">
        <f t="shared" si="10"/>
        <v>12</v>
      </c>
      <c r="U32" s="295">
        <f t="shared" si="11"/>
        <v>13.261390783670272</v>
      </c>
      <c r="V32" s="324">
        <f t="shared" ca="1" si="12"/>
        <v>12.171824583374951</v>
      </c>
      <c r="W32" s="295">
        <f t="shared" si="13"/>
        <v>16.709422423704758</v>
      </c>
      <c r="X32" s="295">
        <f t="shared" ca="1" si="14"/>
        <v>15.336563257097298</v>
      </c>
    </row>
    <row r="33" spans="1:24" x14ac:dyDescent="0.2">
      <c r="A33" s="151">
        <f>Intro!C35</f>
        <v>2013</v>
      </c>
      <c r="C33" s="291">
        <f ca="1">'e3.1A'!Q107</f>
        <v>2193820.757447863</v>
      </c>
      <c r="E33" s="308">
        <f>Intro!J35</f>
        <v>1.0424066175137374</v>
      </c>
      <c r="G33" s="290">
        <f>Intro!K35</f>
        <v>157968.50285000002</v>
      </c>
      <c r="I33" s="296">
        <f>Intro!L35</f>
        <v>0.89214561352770161</v>
      </c>
      <c r="K33" s="290">
        <f t="shared" si="15"/>
        <v>140930.90689316575</v>
      </c>
      <c r="M33" s="296">
        <f t="shared" ca="1" si="7"/>
        <v>16.226769028998209</v>
      </c>
      <c r="O33" s="321">
        <f t="shared" ca="1" si="8"/>
        <v>17.173942090812265</v>
      </c>
      <c r="Q33" s="252">
        <f>Intro!G35</f>
        <v>6</v>
      </c>
      <c r="R33" s="266">
        <f t="shared" si="9"/>
        <v>1.0583710201409413</v>
      </c>
      <c r="T33" s="268" t="str">
        <f t="shared" si="10"/>
        <v>13</v>
      </c>
      <c r="U33" s="295">
        <f t="shared" ca="1" si="11"/>
        <v>13.887710004639464</v>
      </c>
      <c r="V33" s="324">
        <f t="shared" ca="1" si="12"/>
        <v>13.250521108451556</v>
      </c>
      <c r="W33" s="295">
        <f t="shared" ca="1" si="13"/>
        <v>16.226769028998209</v>
      </c>
      <c r="X33" s="295">
        <f t="shared" ca="1" si="14"/>
        <v>15.482260608039725</v>
      </c>
    </row>
    <row r="34" spans="1:24" x14ac:dyDescent="0.2">
      <c r="A34" s="151">
        <f>Intro!C36</f>
        <v>2014</v>
      </c>
      <c r="C34" s="291">
        <f>'e3.1A'!Q108</f>
        <v>2342502.8100000005</v>
      </c>
      <c r="E34" s="308">
        <f>Intro!J36</f>
        <v>1.0412119709838517</v>
      </c>
      <c r="G34" s="290">
        <f>Intro!K36</f>
        <v>182546.24444841431</v>
      </c>
      <c r="I34" s="296">
        <f>Intro!L36</f>
        <v>0.93609121355209535</v>
      </c>
      <c r="K34" s="290">
        <f t="shared" si="15"/>
        <v>170879.93549509358</v>
      </c>
      <c r="M34" s="296">
        <f t="shared" si="7"/>
        <v>14.273425143616951</v>
      </c>
      <c r="O34" s="321">
        <f t="shared" si="8"/>
        <v>14.964417563303849</v>
      </c>
      <c r="Q34" s="252">
        <f>Intro!G36</f>
        <v>5</v>
      </c>
      <c r="R34" s="266">
        <f t="shared" si="9"/>
        <v>1.0484111145526909</v>
      </c>
      <c r="T34" s="268" t="str">
        <f t="shared" si="10"/>
        <v>14</v>
      </c>
      <c r="U34" s="295">
        <f t="shared" si="11"/>
        <v>12.832380184419339</v>
      </c>
      <c r="V34" s="324">
        <f t="shared" ca="1" si="12"/>
        <v>14.051403754449494</v>
      </c>
      <c r="W34" s="295">
        <f t="shared" si="13"/>
        <v>14.273425143616951</v>
      </c>
      <c r="X34" s="295">
        <f t="shared" ca="1" si="14"/>
        <v>15.6293420838161</v>
      </c>
    </row>
    <row r="35" spans="1:24" x14ac:dyDescent="0.2">
      <c r="A35" s="151">
        <f>Intro!C37</f>
        <v>2015</v>
      </c>
      <c r="C35" s="291">
        <f ca="1">'e3.1A'!Q109</f>
        <v>3627506.6580092385</v>
      </c>
      <c r="E35" s="308">
        <f>Intro!J37</f>
        <v>1.0428069267716835</v>
      </c>
      <c r="G35" s="290">
        <f>Intro!K37</f>
        <v>196912.10476000005</v>
      </c>
      <c r="I35" s="296">
        <f>Intro!L37</f>
        <v>0.91648703979937651</v>
      </c>
      <c r="K35" s="290">
        <f t="shared" si="15"/>
        <v>180467.39199215715</v>
      </c>
      <c r="M35" s="296">
        <f t="shared" ca="1" si="7"/>
        <v>20.96106686157923</v>
      </c>
      <c r="O35" s="321">
        <f t="shared" ca="1" si="8"/>
        <v>21.769009876732788</v>
      </c>
      <c r="Q35" s="252">
        <f>Intro!G37</f>
        <v>4</v>
      </c>
      <c r="R35" s="266">
        <f t="shared" si="9"/>
        <v>1.0385449376450626</v>
      </c>
      <c r="T35" s="268" t="str">
        <f t="shared" si="10"/>
        <v>15</v>
      </c>
      <c r="U35" s="295">
        <f t="shared" ca="1" si="11"/>
        <v>18.421958682684885</v>
      </c>
      <c r="V35" s="324">
        <f t="shared" ca="1" si="12"/>
        <v>13.866582527456005</v>
      </c>
      <c r="W35" s="295">
        <f t="shared" ca="1" si="13"/>
        <v>20.96106686157923</v>
      </c>
      <c r="X35" s="295">
        <f t="shared" ca="1" si="14"/>
        <v>15.777820833612356</v>
      </c>
    </row>
    <row r="36" spans="1:24" x14ac:dyDescent="0.2">
      <c r="A36" s="151">
        <f>Intro!C38</f>
        <v>2016</v>
      </c>
      <c r="C36" s="291">
        <f ca="1">'e3.1A'!Q110</f>
        <v>3047826.7734841765</v>
      </c>
      <c r="E36" s="308">
        <f>Intro!J38</f>
        <v>1.0342758961601715</v>
      </c>
      <c r="G36" s="290">
        <f>Intro!K38</f>
        <v>221894.58274919298</v>
      </c>
      <c r="I36" s="296">
        <f>Intro!L38</f>
        <v>0.92696847191952003</v>
      </c>
      <c r="K36" s="290">
        <f t="shared" si="15"/>
        <v>205689.28229823892</v>
      </c>
      <c r="M36" s="296">
        <f t="shared" ca="1" si="7"/>
        <v>15.325512988642968</v>
      </c>
      <c r="O36" s="321">
        <f t="shared" ca="1" si="8"/>
        <v>15.766452631172669</v>
      </c>
      <c r="Q36" s="252">
        <f>Intro!G38</f>
        <v>3</v>
      </c>
      <c r="R36" s="266">
        <f t="shared" si="9"/>
        <v>1.0287716073750002</v>
      </c>
      <c r="T36" s="268" t="str">
        <f t="shared" si="10"/>
        <v>16</v>
      </c>
      <c r="U36" s="295">
        <f t="shared" ca="1" si="11"/>
        <v>13.735471752950044</v>
      </c>
      <c r="V36" s="324">
        <f t="shared" ca="1" si="12"/>
        <v>14.27519018534344</v>
      </c>
      <c r="W36" s="295">
        <f t="shared" ca="1" si="13"/>
        <v>15.325512988642968</v>
      </c>
      <c r="X36" s="295">
        <f t="shared" ca="1" si="14"/>
        <v>15.927710131531672</v>
      </c>
    </row>
    <row r="37" spans="1:24" x14ac:dyDescent="0.2">
      <c r="A37" s="151">
        <f>Intro!C39</f>
        <v>2017</v>
      </c>
      <c r="C37" s="291">
        <f ca="1">'e3.1A'!Q111</f>
        <v>3265066.7370095071</v>
      </c>
      <c r="E37" s="308">
        <f>Intro!J39</f>
        <v>1.0165895076831004</v>
      </c>
      <c r="G37" s="290">
        <f>Intro!K39</f>
        <v>307509.66981400014</v>
      </c>
      <c r="I37" s="296">
        <f>Intro!L39</f>
        <v>0.80226943072853818</v>
      </c>
      <c r="K37" s="290">
        <f t="shared" si="15"/>
        <v>246705.60774519862</v>
      </c>
      <c r="M37" s="296">
        <f t="shared" ca="1" si="7"/>
        <v>13.454224316445686</v>
      </c>
      <c r="O37" s="321">
        <f t="shared" ca="1" si="8"/>
        <v>13.711068822202714</v>
      </c>
      <c r="Q37" s="252">
        <f>Intro!G39</f>
        <v>2</v>
      </c>
      <c r="R37" s="266">
        <f t="shared" si="9"/>
        <v>1.0190902500000001</v>
      </c>
      <c r="T37" s="268" t="str">
        <f t="shared" si="10"/>
        <v>17</v>
      </c>
      <c r="U37" s="295">
        <f t="shared" ca="1" si="11"/>
        <v>10.617769317577594</v>
      </c>
      <c r="V37" s="324">
        <f t="shared" ca="1" si="12"/>
        <v>12.689201329023165</v>
      </c>
      <c r="W37" s="295">
        <f t="shared" ca="1" si="13"/>
        <v>13.454224316445686</v>
      </c>
      <c r="X37" s="295">
        <f t="shared" ca="1" si="14"/>
        <v>16.079023377781226</v>
      </c>
    </row>
    <row r="38" spans="1:24" x14ac:dyDescent="0.2">
      <c r="A38" s="151">
        <f>Intro!C40</f>
        <v>2018</v>
      </c>
      <c r="C38" s="291">
        <f ca="1">'e3.1A'!Q112</f>
        <v>9423140.706474971</v>
      </c>
      <c r="E38" s="308">
        <f>Intro!J40</f>
        <v>1.0000032636733147</v>
      </c>
      <c r="G38" s="290">
        <f>Intro!K40</f>
        <v>536896.27333</v>
      </c>
      <c r="I38" s="296">
        <f>Intro!L40</f>
        <v>1.018452231841392</v>
      </c>
      <c r="K38" s="290">
        <f t="shared" si="15"/>
        <v>546803.20784026454</v>
      </c>
      <c r="M38" s="296">
        <f t="shared" ca="1" si="7"/>
        <v>17.233204424215064</v>
      </c>
      <c r="O38" s="321">
        <f t="shared" ca="1" si="8"/>
        <v>17.396919866245106</v>
      </c>
      <c r="Q38" s="252">
        <f>Intro!G40</f>
        <v>1</v>
      </c>
      <c r="R38" s="266">
        <f t="shared" si="9"/>
        <v>1.0095000000000001</v>
      </c>
      <c r="T38" s="268" t="str">
        <f t="shared" si="10"/>
        <v>18</v>
      </c>
      <c r="U38" s="295">
        <f t="shared" ca="1" si="11"/>
        <v>17.55113822643931</v>
      </c>
      <c r="V38" s="324">
        <f t="shared" ca="1" si="12"/>
        <v>16.531232606215337</v>
      </c>
      <c r="W38" s="295">
        <f t="shared" ca="1" si="13"/>
        <v>17.233204424215064</v>
      </c>
      <c r="X38" s="295">
        <f t="shared" ca="1" si="14"/>
        <v>16.231774099870147</v>
      </c>
    </row>
    <row r="39" spans="1:24" x14ac:dyDescent="0.2">
      <c r="A39" s="151">
        <f>Intro!C41</f>
        <v>2019</v>
      </c>
      <c r="C39" s="292">
        <f ca="1">'e3.1A'!Q113</f>
        <v>8591986.0959810279</v>
      </c>
      <c r="E39" s="308">
        <f>Intro!J41</f>
        <v>1</v>
      </c>
      <c r="G39" s="292">
        <f>Intro!K41</f>
        <v>543133.22666000458</v>
      </c>
      <c r="I39" s="296">
        <f>Intro!L41</f>
        <v>1</v>
      </c>
      <c r="K39" s="292">
        <f t="shared" si="15"/>
        <v>543133.22666000458</v>
      </c>
      <c r="M39" s="320">
        <f t="shared" ca="1" si="7"/>
        <v>15.819297502414663</v>
      </c>
      <c r="O39" s="321">
        <f t="shared" ca="1" si="8"/>
        <v>15.819297502414663</v>
      </c>
      <c r="Q39" s="252">
        <f>Intro!G41</f>
        <v>0</v>
      </c>
      <c r="R39" s="266">
        <f t="shared" si="9"/>
        <v>1</v>
      </c>
      <c r="T39" s="268" t="str">
        <f t="shared" si="10"/>
        <v>19</v>
      </c>
      <c r="U39" s="295">
        <f t="shared" ca="1" si="11"/>
        <v>15.819297502414663</v>
      </c>
      <c r="V39" s="324">
        <f t="shared" ca="1" si="12"/>
        <v>16.385975953818914</v>
      </c>
      <c r="W39" s="295">
        <f t="shared" ca="1" si="13"/>
        <v>15.819297502414663</v>
      </c>
      <c r="X39" s="295">
        <f t="shared" ca="1" si="14"/>
        <v>16.385975953818914</v>
      </c>
    </row>
    <row r="41" spans="1:24" x14ac:dyDescent="0.2">
      <c r="A41" s="151" t="s">
        <v>78</v>
      </c>
      <c r="B41" s="148"/>
      <c r="C41" s="249">
        <f ca="1">SUM(C16:C39)</f>
        <v>64871090.576005742</v>
      </c>
      <c r="G41" s="249">
        <f>SUM(G16:G39)</f>
        <v>3896630.2405416127</v>
      </c>
      <c r="K41" s="249">
        <f>SUM(K16:K39)</f>
        <v>3445206.9428144014</v>
      </c>
    </row>
    <row r="44" spans="1:24" x14ac:dyDescent="0.2">
      <c r="A44" s="245" t="str">
        <f>"AVERAGES AT THE "&amp;cpy_l&amp;" LEVEL:"</f>
        <v>AVERAGES AT THE 2018/19 LEVEL: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148"/>
      <c r="L44" s="148"/>
      <c r="M44" s="148"/>
      <c r="N44" s="148"/>
      <c r="O44" s="148"/>
      <c r="P44" s="148"/>
      <c r="Q44" s="244" t="s">
        <v>21</v>
      </c>
      <c r="R44" s="244" t="s">
        <v>22</v>
      </c>
    </row>
    <row r="45" spans="1:24" x14ac:dyDescent="0.2">
      <c r="A45" s="148" t="str">
        <f>"Policy Periods "&amp;U45&amp;" - Straight Average:"</f>
        <v>Policy Periods 2010 through 2018 - Straight Average:</v>
      </c>
      <c r="B45" s="148"/>
      <c r="C45" s="148"/>
      <c r="D45" s="148"/>
      <c r="E45" s="148"/>
      <c r="F45" s="148"/>
      <c r="G45" s="148"/>
      <c r="H45" s="148"/>
      <c r="I45" s="227"/>
      <c r="J45" s="148"/>
      <c r="K45" s="148"/>
      <c r="L45" s="148"/>
      <c r="N45" s="148"/>
      <c r="O45" s="322">
        <f ca="1">AVERAGE(INDIRECT(S45))</f>
        <v>15.865125119341482</v>
      </c>
      <c r="P45" s="148"/>
      <c r="Q45" s="267">
        <v>2010</v>
      </c>
      <c r="R45" s="267">
        <v>2018</v>
      </c>
      <c r="S45" s="264" t="str">
        <f ca="1">"O"&amp;ROW(OFFSET($A$40, (INDEX($Q$16:$Q$39, MATCH(Q45, $A$16:$A$39, 0))+1)*-1, 0))&amp;":O"&amp;ROW(OFFSET($A$40, (INDEX($Q$16:$Q$39, MATCH(R45, $A$16:$A$39, 0))+1)*-1, 0))</f>
        <v>O30:O38</v>
      </c>
      <c r="T45" s="268" t="str">
        <f ca="1">SUBSTITUTE(S45, "O", "K")</f>
        <v>K30:K38</v>
      </c>
      <c r="U45" s="222" t="str">
        <f>Q45&amp;" through "&amp;R45</f>
        <v>2010 through 2018</v>
      </c>
    </row>
    <row r="46" spans="1:24" x14ac:dyDescent="0.2">
      <c r="A46" s="148" t="str">
        <f>"Policy Periods "&amp;U46&amp;" - Straight Average Excluding Extremes:"</f>
        <v>Policy Periods 2010 through 2018 - Straight Average Excluding Extremes:</v>
      </c>
      <c r="B46" s="148"/>
      <c r="C46" s="148"/>
      <c r="D46" s="148"/>
      <c r="E46" s="148"/>
      <c r="F46" s="148"/>
      <c r="G46" s="148"/>
      <c r="H46" s="148"/>
      <c r="I46" s="227"/>
      <c r="J46" s="148"/>
      <c r="K46" s="148"/>
      <c r="L46" s="148"/>
      <c r="N46" s="148"/>
      <c r="O46" s="269">
        <f ca="1">(SUM(INDIRECT(S46))-MIN(INDIRECT(S46))-MAX(INDIRECT(S46)))/(COUNT(INDIRECT(S46))-2)</f>
        <v>15.676496914832102</v>
      </c>
      <c r="P46" s="148"/>
      <c r="Q46" s="267">
        <v>2010</v>
      </c>
      <c r="R46" s="267">
        <v>2018</v>
      </c>
      <c r="S46" s="264" t="str">
        <f ca="1">"O"&amp;ROW(OFFSET($A$40, (INDEX($Q$16:$Q$39, MATCH(Q46, $A$16:$A$39, 0))+1)*-1, 0))&amp;":O"&amp;ROW(OFFSET($A$40, (INDEX($Q$16:$Q$39, MATCH(R46, $A$16:$A$39, 0))+1)*-1, 0))</f>
        <v>O30:O38</v>
      </c>
      <c r="T46" s="268" t="str">
        <f ca="1">SUBSTITUTE(S46, "O", "K")</f>
        <v>K30:K38</v>
      </c>
      <c r="U46" s="222" t="str">
        <f>Q46&amp;" through "&amp;R46</f>
        <v>2010 through 2018</v>
      </c>
    </row>
    <row r="47" spans="1:24" x14ac:dyDescent="0.2">
      <c r="A47" s="148" t="str">
        <f>"Policy Periods "&amp;U47&amp;" - Weighted Average:"</f>
        <v>Policy Periods 2010 through 2018 - Weighted Average:</v>
      </c>
      <c r="B47" s="148"/>
      <c r="C47" s="148"/>
      <c r="D47" s="148"/>
      <c r="E47" s="148"/>
      <c r="F47" s="148"/>
      <c r="G47" s="148"/>
      <c r="H47" s="148"/>
      <c r="I47" s="227"/>
      <c r="J47" s="148"/>
      <c r="K47" s="148"/>
      <c r="L47" s="148"/>
      <c r="N47" s="148"/>
      <c r="O47" s="269">
        <f ca="1">SUMPRODUCT(INDIRECT(S47),INDIRECT(T47))/SUM(INDIRECT(T47))</f>
        <v>16.264691141323095</v>
      </c>
      <c r="P47" s="148"/>
      <c r="Q47" s="267">
        <v>2010</v>
      </c>
      <c r="R47" s="267">
        <v>2018</v>
      </c>
      <c r="S47" s="264" t="str">
        <f ca="1">"O"&amp;ROW(OFFSET($A$40, (INDEX($Q$16:$Q$39, MATCH(Q47, $A$16:$A$39, 0))+1)*-1, 0))&amp;":O"&amp;ROW(OFFSET($A$40, (INDEX($Q$16:$Q$39, MATCH(R47, $A$16:$A$39, 0))+1)*-1, 0))</f>
        <v>O30:O38</v>
      </c>
      <c r="T47" s="268" t="str">
        <f ca="1">SUBSTITUTE(S47, "O", "K")</f>
        <v>K30:K38</v>
      </c>
      <c r="U47" s="222" t="str">
        <f>Q47&amp;" through "&amp;R47</f>
        <v>2010 through 2018</v>
      </c>
    </row>
    <row r="48" spans="1:24" x14ac:dyDescent="0.2">
      <c r="A48" s="148" t="str">
        <f>"Policy Periods "&amp;U48&amp;" - Weighted Average:"</f>
        <v>Policy Periods 2012 through 2018 - Weighted Average:</v>
      </c>
      <c r="B48" s="148"/>
      <c r="C48" s="148"/>
      <c r="D48" s="148"/>
      <c r="E48" s="148"/>
      <c r="F48" s="148"/>
      <c r="G48" s="148"/>
      <c r="H48" s="148"/>
      <c r="I48" s="227"/>
      <c r="J48" s="148"/>
      <c r="K48" s="148"/>
      <c r="L48" s="148"/>
      <c r="N48" s="148"/>
      <c r="O48" s="269">
        <f ca="1">SUMPRODUCT(INDIRECT(S48),INDIRECT(T48))/SUM(INDIRECT(T48))</f>
        <v>16.871115203802187</v>
      </c>
      <c r="P48" s="148"/>
      <c r="Q48" s="267">
        <v>2012</v>
      </c>
      <c r="R48" s="267">
        <v>2018</v>
      </c>
      <c r="S48" s="264" t="str">
        <f ca="1">"O"&amp;ROW(OFFSET($A$40, (INDEX($Q$16:$Q$39, MATCH(Q48, $A$16:$A$39, 0))+1)*-1, 0))&amp;":O"&amp;ROW(OFFSET($A$40, (INDEX($Q$16:$Q$39, MATCH(R48, $A$16:$A$39, 0))+1)*-1, 0))</f>
        <v>O32:O38</v>
      </c>
      <c r="T48" s="268" t="str">
        <f ca="1">SUBSTITUTE(S48, "O", "K")</f>
        <v>K32:K38</v>
      </c>
      <c r="U48" s="222" t="str">
        <f>Q48&amp;" through "&amp;R48</f>
        <v>2012 through 2018</v>
      </c>
    </row>
    <row r="49" spans="1:21" x14ac:dyDescent="0.2">
      <c r="A49" s="148" t="str">
        <f>"Policy Periods "&amp;U49&amp;" - Weighted Average:"</f>
        <v>Policy Periods 2015 through 2018 - Weighted Average:</v>
      </c>
      <c r="B49" s="148"/>
      <c r="C49" s="148"/>
      <c r="D49" s="148"/>
      <c r="E49" s="148"/>
      <c r="F49" s="148"/>
      <c r="G49" s="148"/>
      <c r="H49" s="148"/>
      <c r="I49" s="227"/>
      <c r="J49" s="148"/>
      <c r="K49" s="148"/>
      <c r="L49" s="148"/>
      <c r="N49" s="148"/>
      <c r="O49" s="269">
        <f ca="1">SUMPRODUCT(INDIRECT(S49),INDIRECT(T49))/SUM(INDIRECT(T49))</f>
        <v>17.010649284088913</v>
      </c>
      <c r="P49" s="148"/>
      <c r="Q49" s="267">
        <v>2015</v>
      </c>
      <c r="R49" s="267">
        <v>2018</v>
      </c>
      <c r="S49" s="264" t="str">
        <f ca="1">"O"&amp;ROW(OFFSET($A$40, (INDEX($Q$16:$Q$39, MATCH(Q49, $A$16:$A$39, 0))+1)*-1, 0))&amp;":O"&amp;ROW(OFFSET($A$40, (INDEX($Q$16:$Q$39, MATCH(R49, $A$16:$A$39, 0))+1)*-1, 0))</f>
        <v>O35:O38</v>
      </c>
      <c r="T49" s="268" t="str">
        <f ca="1">SUBSTITUTE(S49, "O", "K")</f>
        <v>K35:K38</v>
      </c>
      <c r="U49" s="222" t="str">
        <f>Q49&amp;" through "&amp;R49</f>
        <v>2015 through 2018</v>
      </c>
    </row>
    <row r="50" spans="1:21" x14ac:dyDescent="0.2">
      <c r="N50" s="148"/>
      <c r="P50" s="148"/>
    </row>
    <row r="51" spans="1:21" ht="14.25" x14ac:dyDescent="0.2">
      <c r="A51" s="148" t="str">
        <f>"Indicated Policy Period "&amp;cpy_l&amp;" Loss &amp; ALAE Cost Limited to $500,000:"</f>
        <v>Indicated Policy Period 2018/19 Loss &amp; ALAE Cost Limited to $500,000:</v>
      </c>
      <c r="B51" s="148"/>
      <c r="C51" s="148"/>
      <c r="D51" s="148"/>
      <c r="E51" s="148"/>
      <c r="F51" s="148"/>
      <c r="G51" s="148"/>
      <c r="H51" s="148"/>
      <c r="I51" s="227"/>
      <c r="J51" s="148"/>
      <c r="K51" s="148"/>
      <c r="L51" s="148"/>
      <c r="N51"/>
      <c r="O51" s="323">
        <f ca="1">0.8*O47+0.2*O48</f>
        <v>16.385975953818914</v>
      </c>
      <c r="P51" s="148"/>
      <c r="Q51" s="272">
        <v>16.4763994203065</v>
      </c>
      <c r="R51" s="263" t="s">
        <v>354</v>
      </c>
      <c r="T51" s="325">
        <f ca="1">'e6.2'!M44 * 'e5.3'!K44/1000</f>
        <v>16.479109494464247</v>
      </c>
      <c r="U51" s="286" t="s">
        <v>418</v>
      </c>
    </row>
    <row r="52" spans="1:21" x14ac:dyDescent="0.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273">
        <f>Q51*(1+Trend!$X$43*trend_prior)</f>
        <v>16.4763994203065</v>
      </c>
      <c r="R52" s="263" t="s">
        <v>355</v>
      </c>
      <c r="T52" s="669">
        <f ca="1">O51/T51-1</f>
        <v>-5.6516124658688716E-3</v>
      </c>
      <c r="U52" s="286" t="s">
        <v>356</v>
      </c>
    </row>
    <row r="53" spans="1:21" x14ac:dyDescent="0.2">
      <c r="A53" s="163" t="s">
        <v>83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532">
        <f ca="1">O51/Q52-1</f>
        <v>-5.4880598716332551E-3</v>
      </c>
      <c r="R53" s="263" t="s">
        <v>356</v>
      </c>
    </row>
    <row r="54" spans="1:21" x14ac:dyDescent="0.2">
      <c r="A54" s="327" t="s">
        <v>595</v>
      </c>
    </row>
    <row r="55" spans="1:21" x14ac:dyDescent="0.2">
      <c r="A55" s="327" t="s">
        <v>594</v>
      </c>
    </row>
    <row r="56" spans="1:21" x14ac:dyDescent="0.2">
      <c r="A56" s="327" t="s">
        <v>419</v>
      </c>
    </row>
    <row r="57" spans="1:21" x14ac:dyDescent="0.2">
      <c r="A57" s="327" t="s">
        <v>420</v>
      </c>
    </row>
    <row r="58" spans="1:21" x14ac:dyDescent="0.2">
      <c r="A58" s="327" t="s">
        <v>596</v>
      </c>
    </row>
    <row r="59" spans="1:21" x14ac:dyDescent="0.2">
      <c r="A59" s="327" t="s">
        <v>421</v>
      </c>
    </row>
    <row r="60" spans="1:21" x14ac:dyDescent="0.2">
      <c r="A60" s="327" t="s">
        <v>422</v>
      </c>
    </row>
    <row r="61" spans="1:21" x14ac:dyDescent="0.2">
      <c r="A61" s="327" t="str">
        <f>"The selected loss cost trend used in Column (7) is "&amp;TEXT(lctrnd_500k, "0.00%")&amp;"."</f>
        <v>The selected loss cost trend used in Column (7) is 0.95%.</v>
      </c>
    </row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4
Sheet 5
</oddHeader>
    <oddFooter xml:space="preserve">&amp;L&amp;"Arial"&amp;10 Oliver Wyman Actuarial Consulting, Inc.
&amp;C&amp;"Arial"&amp;10 &amp;R&amp;"Arial"&amp;10 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6">
    <tabColor theme="9" tint="0.79998168889431442"/>
    <pageSetUpPr fitToPage="1"/>
  </sheetPr>
  <dimension ref="A1:X177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1.625" style="222" customWidth="1"/>
    <col min="4" max="4" width="2.625" style="222" customWidth="1"/>
    <col min="5" max="5" width="9.125" style="222" customWidth="1"/>
    <col min="6" max="6" width="2.625" style="222" customWidth="1"/>
    <col min="7" max="7" width="11.625" style="222" customWidth="1"/>
    <col min="8" max="8" width="2.625" style="222" customWidth="1"/>
    <col min="9" max="9" width="10.25" style="222" bestFit="1" customWidth="1"/>
    <col min="10" max="10" width="2.625" style="222" customWidth="1"/>
    <col min="11" max="11" width="11.625" style="222" customWidth="1"/>
    <col min="12" max="12" width="2.625" style="222" customWidth="1"/>
    <col min="13" max="13" width="9" style="222"/>
    <col min="14" max="14" width="2.625" style="222" customWidth="1"/>
    <col min="15" max="15" width="10.25" style="222" bestFit="1" customWidth="1"/>
    <col min="16" max="16" width="2.625" style="222" customWidth="1"/>
    <col min="17" max="16384" width="9" style="222"/>
  </cols>
  <sheetData>
    <row r="1" spans="1:24" x14ac:dyDescent="0.2">
      <c r="A1" s="1" t="str">
        <f>[1]!getlabels()</f>
        <v>Exhibit 4, Sheet 6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24" x14ac:dyDescent="0.2">
      <c r="A7" s="224" t="str">
        <f>VLOOKUP($A$1, index_lkups, 3, FALSE)</f>
        <v xml:space="preserve">Loss Cost Method - Unlimited Loss &amp; ALAE 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8" spans="1:24" ht="12.75" customHeight="1" x14ac:dyDescent="0.2"/>
    <row r="9" spans="1:24" ht="12.75" customHeight="1" x14ac:dyDescent="0.2"/>
    <row r="10" spans="1:24" ht="12.75" customHeight="1" x14ac:dyDescent="0.2">
      <c r="C10" s="285" t="s">
        <v>373</v>
      </c>
      <c r="E10" s="285" t="s">
        <v>345</v>
      </c>
    </row>
    <row r="11" spans="1:24" ht="12.75" customHeight="1" x14ac:dyDescent="0.2">
      <c r="A11" s="181" t="str">
        <f>Intro!M9</f>
        <v>Policy</v>
      </c>
      <c r="C11" s="285" t="s">
        <v>330</v>
      </c>
      <c r="E11" s="306" t="str">
        <f>"to "&amp;cpy_l</f>
        <v>to 2018/19</v>
      </c>
      <c r="I11" s="285" t="s">
        <v>345</v>
      </c>
      <c r="K11" s="285" t="s">
        <v>55</v>
      </c>
      <c r="O11" s="285" t="s">
        <v>374</v>
      </c>
    </row>
    <row r="12" spans="1:24" ht="12.75" customHeight="1" x14ac:dyDescent="0.2">
      <c r="A12" s="181" t="str">
        <f>Intro!M10</f>
        <v>Period</v>
      </c>
      <c r="C12" s="285" t="s">
        <v>245</v>
      </c>
      <c r="E12" s="285" t="s">
        <v>375</v>
      </c>
      <c r="G12" s="268" t="s">
        <v>5</v>
      </c>
      <c r="I12" s="318" t="str">
        <f>E11</f>
        <v>to 2018/19</v>
      </c>
      <c r="K12" s="285" t="s">
        <v>5</v>
      </c>
      <c r="M12" s="285" t="s">
        <v>332</v>
      </c>
      <c r="O12" s="318" t="str">
        <f>I12</f>
        <v>to 2018/19</v>
      </c>
      <c r="R12" s="293" t="s">
        <v>353</v>
      </c>
      <c r="U12" s="300" t="s">
        <v>417</v>
      </c>
      <c r="V12" s="301"/>
      <c r="W12" s="300" t="s">
        <v>55</v>
      </c>
      <c r="X12" s="301"/>
    </row>
    <row r="13" spans="1:24" ht="12.75" customHeight="1" x14ac:dyDescent="0.2">
      <c r="A13" s="176" t="str">
        <f>Intro!M11</f>
        <v>Ending 9/30</v>
      </c>
      <c r="C13" s="251" t="s">
        <v>8</v>
      </c>
      <c r="E13" s="251" t="s">
        <v>350</v>
      </c>
      <c r="G13" s="251" t="s">
        <v>6</v>
      </c>
      <c r="I13" s="251" t="s">
        <v>11</v>
      </c>
      <c r="K13" s="251" t="s">
        <v>6</v>
      </c>
      <c r="M13" s="251" t="s">
        <v>416</v>
      </c>
      <c r="O13" s="251" t="s">
        <v>416</v>
      </c>
      <c r="Q13" s="299" t="s">
        <v>352</v>
      </c>
      <c r="R13" s="299" t="s">
        <v>229</v>
      </c>
      <c r="U13" s="303" t="s">
        <v>332</v>
      </c>
      <c r="V13" s="303" t="s">
        <v>336</v>
      </c>
      <c r="W13" s="303" t="s">
        <v>332</v>
      </c>
      <c r="X13" s="303" t="s">
        <v>336</v>
      </c>
    </row>
    <row r="14" spans="1:24" ht="12.75" customHeight="1" x14ac:dyDescent="0.2">
      <c r="C14" s="288">
        <v>1</v>
      </c>
      <c r="E14" s="288">
        <f>C14+1</f>
        <v>2</v>
      </c>
      <c r="G14" s="288">
        <f>E14+1</f>
        <v>3</v>
      </c>
      <c r="I14" s="288">
        <f>G14+1</f>
        <v>4</v>
      </c>
      <c r="K14" s="288">
        <f>I14+1</f>
        <v>5</v>
      </c>
      <c r="M14" s="288">
        <f>K14+1</f>
        <v>6</v>
      </c>
      <c r="O14" s="288">
        <f>M14+1</f>
        <v>7</v>
      </c>
    </row>
    <row r="15" spans="1:24" ht="12.75" customHeight="1" x14ac:dyDescent="0.2"/>
    <row r="16" spans="1:24" ht="12.75" customHeight="1" x14ac:dyDescent="0.2">
      <c r="A16" s="151">
        <f>Intro!C18</f>
        <v>1996</v>
      </c>
      <c r="C16" s="249">
        <f>'e3.1B'!Q18</f>
        <v>824780.2</v>
      </c>
      <c r="E16" s="308">
        <f>Intro!J18</f>
        <v>1.1429772558804836</v>
      </c>
      <c r="G16" s="289">
        <f>Intro!K18</f>
        <v>51718.748</v>
      </c>
      <c r="I16" s="296">
        <f>Intro!L18</f>
        <v>0.77330581975421253</v>
      </c>
      <c r="K16" s="289">
        <f t="shared" ref="K16" si="0">G16*I16</f>
        <v>39994.408818801538</v>
      </c>
      <c r="M16" s="319">
        <f>(C16*E16) / K16</f>
        <v>23.570919974628726</v>
      </c>
      <c r="O16" s="297">
        <f>M16*R16</f>
        <v>31.011896151006976</v>
      </c>
      <c r="Q16" s="252">
        <f>Intro!G18</f>
        <v>23</v>
      </c>
      <c r="R16" s="266">
        <f t="shared" ref="R16" si="1">(1 + lctrnd_unl) ^ Q16</f>
        <v>1.3156845886536279</v>
      </c>
      <c r="T16" s="268" t="str">
        <f>RIGHT(A16,2)</f>
        <v>96</v>
      </c>
      <c r="U16" s="295">
        <f t="shared" ref="U16" si="2">C16 / G16</f>
        <v>15.947412338751896</v>
      </c>
      <c r="V16" s="324">
        <f t="shared" ref="V16" ca="1" si="3">$O$51 / (E16 * R16) * I16</f>
        <v>9.0484796282052233</v>
      </c>
      <c r="W16" s="295">
        <f t="shared" ref="W16" si="4">M16</f>
        <v>23.570919974628726</v>
      </c>
      <c r="X16" s="295">
        <f t="shared" ref="X16" ca="1" si="5">$O$51/R16</f>
        <v>13.374018598002575</v>
      </c>
    </row>
    <row r="17" spans="1:24" ht="12.75" customHeight="1" x14ac:dyDescent="0.2">
      <c r="A17" s="151">
        <f>Intro!C19</f>
        <v>1997</v>
      </c>
      <c r="C17" s="235">
        <f>'e3.1B'!Q19</f>
        <v>1506771</v>
      </c>
      <c r="E17" s="308">
        <f>Intro!J19</f>
        <v>1.1586516942611411</v>
      </c>
      <c r="G17" s="290">
        <f>Intro!K19</f>
        <v>71279.833180000031</v>
      </c>
      <c r="I17" s="296">
        <f>Intro!L19</f>
        <v>0.77330581975421253</v>
      </c>
      <c r="K17" s="290">
        <f t="shared" ref="K17" si="6">G17*I17</f>
        <v>55121.109829203444</v>
      </c>
      <c r="M17" s="296">
        <f t="shared" ref="M17:M39" si="7">(C17*E17) / K17</f>
        <v>31.67248949491594</v>
      </c>
      <c r="O17" s="321">
        <f t="shared" ref="O17:O39" si="8">M17*R17</f>
        <v>41.176883708255751</v>
      </c>
      <c r="Q17" s="252">
        <f>Intro!G19</f>
        <v>22</v>
      </c>
      <c r="R17" s="266">
        <f t="shared" ref="R17:R39" si="9">(1 + lctrnd_unl) ^ Q17</f>
        <v>1.3000835856261141</v>
      </c>
      <c r="T17" s="268" t="str">
        <f t="shared" ref="T17:T39" si="10">RIGHT(A17,2)</f>
        <v>97</v>
      </c>
      <c r="U17" s="295">
        <f t="shared" ref="U17:U39" si="11">C17 / G17</f>
        <v>21.138812098437622</v>
      </c>
      <c r="V17" s="324">
        <f t="shared" ref="V17:V39" ca="1" si="12">$O$51 / (E17 * R17) * I17</f>
        <v>9.0331830904495884</v>
      </c>
      <c r="W17" s="295">
        <f t="shared" ref="W17:W39" si="13">M17</f>
        <v>31.67248949491594</v>
      </c>
      <c r="X17" s="295">
        <f t="shared" ref="X17:X39" ca="1" si="14">$O$51/R17</f>
        <v>13.53450682117861</v>
      </c>
    </row>
    <row r="18" spans="1:24" ht="12.75" customHeight="1" x14ac:dyDescent="0.2">
      <c r="A18" s="151">
        <f>Intro!C20</f>
        <v>1998</v>
      </c>
      <c r="C18" s="235">
        <f ca="1">'e3.1B'!Q20</f>
        <v>2757961.4441664326</v>
      </c>
      <c r="E18" s="308">
        <f>Intro!J20</f>
        <v>1.1472092745516156</v>
      </c>
      <c r="G18" s="290">
        <f>Intro!K20</f>
        <v>90725.935539999991</v>
      </c>
      <c r="I18" s="296">
        <f>Intro!L20</f>
        <v>0.77330581975421253</v>
      </c>
      <c r="K18" s="290">
        <f t="shared" ref="K18:K39" si="15">G18*I18</f>
        <v>70158.893955727544</v>
      </c>
      <c r="M18" s="296">
        <f t="shared" ca="1" si="7"/>
        <v>45.097047134181679</v>
      </c>
      <c r="O18" s="321">
        <f t="shared" ca="1" si="8"/>
        <v>57.934714169324906</v>
      </c>
      <c r="Q18" s="252">
        <f>Intro!G20</f>
        <v>21</v>
      </c>
      <c r="R18" s="266">
        <f t="shared" si="9"/>
        <v>1.2846675747293621</v>
      </c>
      <c r="T18" s="268" t="str">
        <f t="shared" si="10"/>
        <v>98</v>
      </c>
      <c r="U18" s="295">
        <f t="shared" ca="1" si="11"/>
        <v>30.398820665238333</v>
      </c>
      <c r="V18" s="324">
        <f t="shared" ca="1" si="12"/>
        <v>9.2327606496802215</v>
      </c>
      <c r="W18" s="295">
        <f t="shared" ca="1" si="13"/>
        <v>45.097047134181679</v>
      </c>
      <c r="X18" s="295">
        <f t="shared" ca="1" si="14"/>
        <v>13.696920903032749</v>
      </c>
    </row>
    <row r="19" spans="1:24" ht="12.75" customHeight="1" x14ac:dyDescent="0.2">
      <c r="A19" s="151">
        <f>Intro!C21</f>
        <v>1999</v>
      </c>
      <c r="C19" s="235">
        <f ca="1">'e3.1B'!Q21</f>
        <v>4187560.4216599772</v>
      </c>
      <c r="E19" s="308">
        <f>Intro!J21</f>
        <v>1.1383473850581671</v>
      </c>
      <c r="G19" s="290">
        <f>Intro!K21</f>
        <v>115828.16377000001</v>
      </c>
      <c r="I19" s="296">
        <f>Intro!L21</f>
        <v>0.77330581975421253</v>
      </c>
      <c r="K19" s="290">
        <f t="shared" si="15"/>
        <v>89570.593134785042</v>
      </c>
      <c r="M19" s="296">
        <f t="shared" ca="1" si="7"/>
        <v>53.219458406360268</v>
      </c>
      <c r="O19" s="321">
        <f t="shared" ca="1" si="8"/>
        <v>67.558609248329049</v>
      </c>
      <c r="Q19" s="252">
        <f>Intro!G21</f>
        <v>20</v>
      </c>
      <c r="R19" s="266">
        <f t="shared" si="9"/>
        <v>1.2694343623807924</v>
      </c>
      <c r="T19" s="268" t="str">
        <f t="shared" si="10"/>
        <v>99</v>
      </c>
      <c r="U19" s="295">
        <f t="shared" ca="1" si="11"/>
        <v>36.153214256035483</v>
      </c>
      <c r="V19" s="324">
        <f t="shared" ca="1" si="12"/>
        <v>9.4162921543013631</v>
      </c>
      <c r="W19" s="295">
        <f t="shared" ca="1" si="13"/>
        <v>53.219458406360268</v>
      </c>
      <c r="X19" s="295">
        <f t="shared" ca="1" si="14"/>
        <v>13.861283953869144</v>
      </c>
    </row>
    <row r="20" spans="1:24" ht="12.75" customHeight="1" x14ac:dyDescent="0.2">
      <c r="A20" s="151">
        <f>Intro!C22</f>
        <v>2000</v>
      </c>
      <c r="C20" s="235">
        <f ca="1">'e3.1B'!Q22</f>
        <v>3538591.4317273567</v>
      </c>
      <c r="E20" s="308">
        <f>Intro!J22</f>
        <v>1.1276856835351232</v>
      </c>
      <c r="G20" s="290">
        <f>Intro!K22</f>
        <v>86853.122530000022</v>
      </c>
      <c r="I20" s="296">
        <f>Intro!L22</f>
        <v>0.77330581975421253</v>
      </c>
      <c r="K20" s="290">
        <f t="shared" si="15"/>
        <v>67164.02511627473</v>
      </c>
      <c r="M20" s="296">
        <f t="shared" ca="1" si="7"/>
        <v>59.413039801154852</v>
      </c>
      <c r="O20" s="321">
        <f t="shared" ca="1" si="8"/>
        <v>74.526634680912707</v>
      </c>
      <c r="Q20" s="252">
        <f>Intro!G22</f>
        <v>19</v>
      </c>
      <c r="R20" s="266">
        <f t="shared" si="9"/>
        <v>1.2543817810086884</v>
      </c>
      <c r="T20" s="268" t="str">
        <f t="shared" si="10"/>
        <v>00</v>
      </c>
      <c r="U20" s="295">
        <f t="shared" ca="1" si="11"/>
        <v>40.742247701055177</v>
      </c>
      <c r="V20" s="324">
        <f t="shared" ca="1" si="12"/>
        <v>9.619382286912165</v>
      </c>
      <c r="W20" s="295">
        <f t="shared" ca="1" si="13"/>
        <v>59.413039801154852</v>
      </c>
      <c r="X20" s="295">
        <f t="shared" ca="1" si="14"/>
        <v>14.027619361315573</v>
      </c>
    </row>
    <row r="21" spans="1:24" ht="12.75" customHeight="1" x14ac:dyDescent="0.2">
      <c r="A21" s="151">
        <f>Intro!C23</f>
        <v>2001</v>
      </c>
      <c r="C21" s="235">
        <f ca="1">'e3.1B'!Q23</f>
        <v>1651317.6383934908</v>
      </c>
      <c r="E21" s="308">
        <f>Intro!J23</f>
        <v>1.1157888358226624</v>
      </c>
      <c r="G21" s="290">
        <f>Intro!K23</f>
        <v>91838.194909999977</v>
      </c>
      <c r="I21" s="296">
        <f>Intro!L23</f>
        <v>0.77330581975421253</v>
      </c>
      <c r="K21" s="290">
        <f t="shared" si="15"/>
        <v>71019.010599624686</v>
      </c>
      <c r="M21" s="296">
        <f t="shared" ca="1" si="7"/>
        <v>25.944064409793938</v>
      </c>
      <c r="O21" s="321">
        <f t="shared" ca="1" si="8"/>
        <v>32.157867313203006</v>
      </c>
      <c r="Q21" s="252">
        <f>Intro!G23</f>
        <v>18</v>
      </c>
      <c r="R21" s="266">
        <f t="shared" si="9"/>
        <v>1.239507688743763</v>
      </c>
      <c r="T21" s="268" t="str">
        <f t="shared" si="10"/>
        <v>01</v>
      </c>
      <c r="U21" s="295">
        <f t="shared" ca="1" si="11"/>
        <v>17.980728388790272</v>
      </c>
      <c r="V21" s="324">
        <f t="shared" ca="1" si="12"/>
        <v>9.8386101502630421</v>
      </c>
      <c r="W21" s="295">
        <f t="shared" ca="1" si="13"/>
        <v>25.944064409793938</v>
      </c>
      <c r="X21" s="295">
        <f t="shared" ca="1" si="14"/>
        <v>14.195950793651361</v>
      </c>
    </row>
    <row r="22" spans="1:24" ht="12.75" customHeight="1" x14ac:dyDescent="0.2">
      <c r="A22" s="151">
        <f>Intro!C24</f>
        <v>2002</v>
      </c>
      <c r="C22" s="235">
        <f ca="1">'e3.1B'!Q24</f>
        <v>4489707.5828631772</v>
      </c>
      <c r="E22" s="308">
        <f>Intro!J24</f>
        <v>1.1044876209657188</v>
      </c>
      <c r="G22" s="290">
        <f>Intro!K24</f>
        <v>86098.134999999995</v>
      </c>
      <c r="I22" s="296">
        <f>Intro!L24</f>
        <v>0.77330581975421253</v>
      </c>
      <c r="K22" s="290">
        <f t="shared" si="15"/>
        <v>66580.188865483855</v>
      </c>
      <c r="M22" s="296">
        <f t="shared" ca="1" si="7"/>
        <v>74.479008418659305</v>
      </c>
      <c r="O22" s="321">
        <f t="shared" ca="1" si="8"/>
        <v>91.222632000928542</v>
      </c>
      <c r="Q22" s="252">
        <f>Intro!G24</f>
        <v>17</v>
      </c>
      <c r="R22" s="266">
        <f t="shared" si="9"/>
        <v>1.2248099691143906</v>
      </c>
      <c r="T22" s="268" t="str">
        <f t="shared" si="10"/>
        <v>02</v>
      </c>
      <c r="U22" s="295">
        <f t="shared" ca="1" si="11"/>
        <v>52.146397629439676</v>
      </c>
      <c r="V22" s="324">
        <f t="shared" ca="1" si="12"/>
        <v>10.05855103414323</v>
      </c>
      <c r="W22" s="295">
        <f t="shared" ca="1" si="13"/>
        <v>74.479008418659305</v>
      </c>
      <c r="X22" s="295">
        <f t="shared" ca="1" si="14"/>
        <v>14.366302203175175</v>
      </c>
    </row>
    <row r="23" spans="1:24" ht="12.75" customHeight="1" x14ac:dyDescent="0.2">
      <c r="A23" s="151">
        <f>Intro!C25</f>
        <v>2003</v>
      </c>
      <c r="C23" s="235">
        <f>'e3.1B'!Q25</f>
        <v>1499605.6200000003</v>
      </c>
      <c r="E23" s="308">
        <f>Intro!J25</f>
        <v>1.0980216306970509</v>
      </c>
      <c r="G23" s="290">
        <f>Intro!K25</f>
        <v>95877.160999999993</v>
      </c>
      <c r="I23" s="296">
        <f>Intro!L25</f>
        <v>0.79035991647913106</v>
      </c>
      <c r="K23" s="290">
        <f t="shared" si="15"/>
        <v>75777.464960216195</v>
      </c>
      <c r="M23" s="296">
        <f t="shared" si="7"/>
        <v>21.729407405477883</v>
      </c>
      <c r="O23" s="321">
        <f t="shared" si="8"/>
        <v>26.298809103930211</v>
      </c>
      <c r="Q23" s="252">
        <f>Intro!G25</f>
        <v>16</v>
      </c>
      <c r="R23" s="266">
        <f t="shared" si="9"/>
        <v>1.2102865307454451</v>
      </c>
      <c r="T23" s="268" t="str">
        <f t="shared" si="10"/>
        <v>03</v>
      </c>
      <c r="U23" s="295">
        <f t="shared" si="11"/>
        <v>15.640905554139222</v>
      </c>
      <c r="V23" s="324">
        <f t="shared" ca="1" si="12"/>
        <v>10.46500695531274</v>
      </c>
      <c r="W23" s="295">
        <f t="shared" si="13"/>
        <v>21.729407405477883</v>
      </c>
      <c r="X23" s="295">
        <f t="shared" ca="1" si="14"/>
        <v>14.538697829613279</v>
      </c>
    </row>
    <row r="24" spans="1:24" ht="12.75" customHeight="1" x14ac:dyDescent="0.2">
      <c r="A24" s="151">
        <f>Intro!C26</f>
        <v>2004</v>
      </c>
      <c r="C24" s="291">
        <f ca="1">'e3.1B'!Q26</f>
        <v>2852490.9106062623</v>
      </c>
      <c r="E24" s="308">
        <f>Intro!J26</f>
        <v>1.1043638048521249</v>
      </c>
      <c r="G24" s="290">
        <f>Intro!K26</f>
        <v>102137.68700000001</v>
      </c>
      <c r="I24" s="296">
        <f>Intro!L26</f>
        <v>0.78169156504546589</v>
      </c>
      <c r="K24" s="290">
        <f t="shared" si="15"/>
        <v>79840.168401153933</v>
      </c>
      <c r="M24" s="296">
        <f t="shared" ca="1" si="7"/>
        <v>39.456175737446273</v>
      </c>
      <c r="O24" s="321">
        <f t="shared" ca="1" si="8"/>
        <v>47.187033646004402</v>
      </c>
      <c r="Q24" s="252">
        <f>Intro!G26</f>
        <v>15</v>
      </c>
      <c r="R24" s="266">
        <f t="shared" si="9"/>
        <v>1.1959353070607166</v>
      </c>
      <c r="T24" s="268" t="str">
        <f t="shared" si="10"/>
        <v>04</v>
      </c>
      <c r="U24" s="295">
        <f t="shared" ca="1" si="11"/>
        <v>27.927898059863665</v>
      </c>
      <c r="V24" s="324">
        <f t="shared" ca="1" si="12"/>
        <v>10.414280818643249</v>
      </c>
      <c r="W24" s="295">
        <f t="shared" ca="1" si="13"/>
        <v>39.456175737446273</v>
      </c>
      <c r="X24" s="295">
        <f t="shared" ca="1" si="14"/>
        <v>14.713162203568636</v>
      </c>
    </row>
    <row r="25" spans="1:24" ht="12.75" customHeight="1" x14ac:dyDescent="0.2">
      <c r="A25" s="151">
        <f>Intro!C27</f>
        <v>2005</v>
      </c>
      <c r="C25" s="291">
        <f>'e3.1B'!Q27</f>
        <v>699839.89000000025</v>
      </c>
      <c r="E25" s="308">
        <f>Intro!J27</f>
        <v>1.0993295241734087</v>
      </c>
      <c r="G25" s="290">
        <f>Intro!K27</f>
        <v>111292.39200000001</v>
      </c>
      <c r="I25" s="296">
        <f>Intro!L27</f>
        <v>0.78441601299858521</v>
      </c>
      <c r="K25" s="290">
        <f t="shared" si="15"/>
        <v>87299.534409715649</v>
      </c>
      <c r="M25" s="296">
        <f t="shared" si="7"/>
        <v>8.8128150794083577</v>
      </c>
      <c r="O25" s="321">
        <f t="shared" si="8"/>
        <v>10.414581727333543</v>
      </c>
      <c r="Q25" s="252">
        <f>Intro!G27</f>
        <v>14</v>
      </c>
      <c r="R25" s="266">
        <f t="shared" si="9"/>
        <v>1.1817542559888501</v>
      </c>
      <c r="T25" s="268" t="str">
        <f t="shared" si="10"/>
        <v>05</v>
      </c>
      <c r="U25" s="295">
        <f t="shared" si="11"/>
        <v>6.2882994733368678</v>
      </c>
      <c r="V25" s="324">
        <f t="shared" ca="1" si="12"/>
        <v>10.624416662982593</v>
      </c>
      <c r="W25" s="295">
        <f t="shared" si="13"/>
        <v>8.8128150794083577</v>
      </c>
      <c r="X25" s="295">
        <f t="shared" ca="1" si="14"/>
        <v>14.889720150011463</v>
      </c>
    </row>
    <row r="26" spans="1:24" ht="12.75" customHeight="1" x14ac:dyDescent="0.2">
      <c r="A26" s="151">
        <f>Intro!C28</f>
        <v>2006</v>
      </c>
      <c r="C26" s="291">
        <f>'e3.1B'!Q28</f>
        <v>2316148.9500000007</v>
      </c>
      <c r="E26" s="308">
        <f>Intro!J28</f>
        <v>1.0898938283807902</v>
      </c>
      <c r="G26" s="290">
        <f>Intro!K28</f>
        <v>107756.82399999999</v>
      </c>
      <c r="I26" s="296">
        <f>Intro!L28</f>
        <v>0.80317985362894262</v>
      </c>
      <c r="K26" s="290">
        <f t="shared" si="15"/>
        <v>86548.110127839725</v>
      </c>
      <c r="M26" s="296">
        <f t="shared" si="7"/>
        <v>29.167089177186369</v>
      </c>
      <c r="O26" s="321">
        <f t="shared" si="8"/>
        <v>34.059616373464742</v>
      </c>
      <c r="Q26" s="252">
        <f>Intro!G28</f>
        <v>13</v>
      </c>
      <c r="R26" s="266">
        <f t="shared" si="9"/>
        <v>1.1677413596727768</v>
      </c>
      <c r="T26" s="268" t="str">
        <f t="shared" si="10"/>
        <v>06</v>
      </c>
      <c r="U26" s="295">
        <f t="shared" si="11"/>
        <v>21.494220635159039</v>
      </c>
      <c r="V26" s="324">
        <f t="shared" ca="1" si="12"/>
        <v>11.104414406722944</v>
      </c>
      <c r="W26" s="295">
        <f t="shared" si="13"/>
        <v>29.167089177186369</v>
      </c>
      <c r="X26" s="295">
        <f t="shared" ca="1" si="14"/>
        <v>15.068396791811601</v>
      </c>
    </row>
    <row r="27" spans="1:24" ht="12.75" customHeight="1" x14ac:dyDescent="0.2">
      <c r="A27" s="151">
        <f>Intro!C29</f>
        <v>2007</v>
      </c>
      <c r="C27" s="291">
        <f>'e3.1B'!Q29</f>
        <v>1099670.4199999997</v>
      </c>
      <c r="E27" s="308">
        <f>Intro!J29</f>
        <v>1.0779438773143473</v>
      </c>
      <c r="G27" s="290">
        <f>Intro!K29</f>
        <v>104584.102</v>
      </c>
      <c r="I27" s="296">
        <f>Intro!L29</f>
        <v>0.82714970603473503</v>
      </c>
      <c r="K27" s="290">
        <f t="shared" si="15"/>
        <v>86506.709225206738</v>
      </c>
      <c r="M27" s="296">
        <f t="shared" si="7"/>
        <v>13.702786834911688</v>
      </c>
      <c r="O27" s="321">
        <f t="shared" si="8"/>
        <v>15.811572065124507</v>
      </c>
      <c r="Q27" s="252">
        <f>Intro!G29</f>
        <v>12</v>
      </c>
      <c r="R27" s="266">
        <f t="shared" si="9"/>
        <v>1.1538946241825858</v>
      </c>
      <c r="T27" s="268" t="str">
        <f t="shared" si="10"/>
        <v>07</v>
      </c>
      <c r="U27" s="295">
        <f t="shared" si="11"/>
        <v>10.51469964335497</v>
      </c>
      <c r="V27" s="324">
        <f t="shared" ca="1" si="12"/>
        <v>11.701338151211157</v>
      </c>
      <c r="W27" s="295">
        <f t="shared" si="13"/>
        <v>13.702786834911688</v>
      </c>
      <c r="X27" s="295">
        <f t="shared" ca="1" si="14"/>
        <v>15.24921755331334</v>
      </c>
    </row>
    <row r="28" spans="1:24" ht="12.75" customHeight="1" x14ac:dyDescent="0.2">
      <c r="A28" s="151">
        <f>Intro!C30</f>
        <v>2008</v>
      </c>
      <c r="C28" s="291">
        <f>'e3.1B'!Q30</f>
        <v>766269.99000000011</v>
      </c>
      <c r="E28" s="308">
        <f>Intro!J30</f>
        <v>1.0673951535966342</v>
      </c>
      <c r="G28" s="290">
        <f>Intro!K30</f>
        <v>106050.29700000001</v>
      </c>
      <c r="I28" s="296">
        <f>Intro!L30</f>
        <v>0.84174442498970214</v>
      </c>
      <c r="K28" s="290">
        <f t="shared" si="15"/>
        <v>89267.246268252144</v>
      </c>
      <c r="M28" s="296">
        <f t="shared" si="7"/>
        <v>9.1625193770924227</v>
      </c>
      <c r="O28" s="321">
        <f t="shared" si="8"/>
        <v>10.447215269956247</v>
      </c>
      <c r="Q28" s="252">
        <f>Intro!G30</f>
        <v>11</v>
      </c>
      <c r="R28" s="266">
        <f t="shared" si="9"/>
        <v>1.1402120792318042</v>
      </c>
      <c r="T28" s="268" t="str">
        <f t="shared" si="10"/>
        <v>08</v>
      </c>
      <c r="U28" s="295">
        <f t="shared" si="11"/>
        <v>7.2255336540924544</v>
      </c>
      <c r="V28" s="324">
        <f t="shared" ca="1" si="12"/>
        <v>12.169790300731462</v>
      </c>
      <c r="W28" s="295">
        <f t="shared" si="13"/>
        <v>9.1625193770924227</v>
      </c>
      <c r="X28" s="295">
        <f t="shared" ca="1" si="14"/>
        <v>15.432208163953099</v>
      </c>
    </row>
    <row r="29" spans="1:24" ht="12.75" customHeight="1" x14ac:dyDescent="0.2">
      <c r="A29" s="151">
        <f>Intro!C31</f>
        <v>2009</v>
      </c>
      <c r="C29" s="291">
        <f ca="1">'e3.1B'!Q31</f>
        <v>2020299.0166137598</v>
      </c>
      <c r="E29" s="308">
        <f>Intro!J31</f>
        <v>1.0587300339527494</v>
      </c>
      <c r="G29" s="290">
        <f>Intro!K31</f>
        <v>110722.705</v>
      </c>
      <c r="I29" s="296">
        <f>Intro!L31</f>
        <v>0.84740356064125255</v>
      </c>
      <c r="K29" s="290">
        <f t="shared" si="15"/>
        <v>93826.814460831025</v>
      </c>
      <c r="M29" s="296">
        <f t="shared" ca="1" si="7"/>
        <v>22.796801306167328</v>
      </c>
      <c r="O29" s="321">
        <f t="shared" ca="1" si="8"/>
        <v>25.684968594011227</v>
      </c>
      <c r="Q29" s="252">
        <f>Intro!G31</f>
        <v>10</v>
      </c>
      <c r="R29" s="266">
        <f t="shared" si="9"/>
        <v>1.1266917778970398</v>
      </c>
      <c r="T29" s="268" t="str">
        <f t="shared" si="10"/>
        <v>09</v>
      </c>
      <c r="U29" s="295">
        <f t="shared" ca="1" si="11"/>
        <v>18.246474529445067</v>
      </c>
      <c r="V29" s="324">
        <f t="shared" ca="1" si="12"/>
        <v>12.500104294804382</v>
      </c>
      <c r="W29" s="295">
        <f t="shared" ca="1" si="13"/>
        <v>22.796801306167328</v>
      </c>
      <c r="X29" s="295">
        <f t="shared" ca="1" si="14"/>
        <v>15.617394661920535</v>
      </c>
    </row>
    <row r="30" spans="1:24" ht="12.75" customHeight="1" x14ac:dyDescent="0.2">
      <c r="A30" s="151">
        <f>Intro!C32</f>
        <v>2010</v>
      </c>
      <c r="C30" s="291">
        <f ca="1">'e3.1B'!Q32</f>
        <v>1232465.5338992665</v>
      </c>
      <c r="E30" s="308">
        <f>Intro!J32</f>
        <v>1.0522219598580769</v>
      </c>
      <c r="G30" s="290">
        <f>Intro!K32</f>
        <v>128222.10400000001</v>
      </c>
      <c r="I30" s="296">
        <f>Intro!L32</f>
        <v>0.85565926747242615</v>
      </c>
      <c r="K30" s="290">
        <f t="shared" si="15"/>
        <v>109714.43158241325</v>
      </c>
      <c r="M30" s="296">
        <f t="shared" ca="1" si="7"/>
        <v>11.82002477552728</v>
      </c>
      <c r="O30" s="321">
        <f t="shared" ca="1" si="8"/>
        <v>13.159609416132302</v>
      </c>
      <c r="Q30" s="252">
        <f>Intro!G32</f>
        <v>9</v>
      </c>
      <c r="R30" s="266">
        <f t="shared" si="9"/>
        <v>1.1133317963409484</v>
      </c>
      <c r="T30" s="268" t="str">
        <f t="shared" si="10"/>
        <v>10</v>
      </c>
      <c r="U30" s="295">
        <f t="shared" ca="1" si="11"/>
        <v>9.6119584334637533</v>
      </c>
      <c r="V30" s="324">
        <f t="shared" ca="1" si="12"/>
        <v>12.852351513159551</v>
      </c>
      <c r="W30" s="295">
        <f t="shared" ca="1" si="13"/>
        <v>11.82002477552728</v>
      </c>
      <c r="X30" s="295">
        <f t="shared" ca="1" si="14"/>
        <v>15.804803397863582</v>
      </c>
    </row>
    <row r="31" spans="1:24" ht="12.75" customHeight="1" x14ac:dyDescent="0.2">
      <c r="A31" s="151">
        <f>Intro!C33</f>
        <v>2011</v>
      </c>
      <c r="C31" s="291">
        <f>'e3.1B'!Q33</f>
        <v>1212882.8100000003</v>
      </c>
      <c r="E31" s="308">
        <f>Intro!J33</f>
        <v>1.0474460237870546</v>
      </c>
      <c r="G31" s="290">
        <f>Intro!K33</f>
        <v>143214.37400000001</v>
      </c>
      <c r="I31" s="296">
        <f>Intro!L33</f>
        <v>0.84809073426823689</v>
      </c>
      <c r="K31" s="290">
        <f t="shared" si="15"/>
        <v>121458.78360342591</v>
      </c>
      <c r="M31" s="296">
        <f t="shared" si="7"/>
        <v>10.459756297265731</v>
      </c>
      <c r="O31" s="321">
        <f t="shared" si="8"/>
        <v>11.507094138066604</v>
      </c>
      <c r="Q31" s="252">
        <f>Intro!G33</f>
        <v>8</v>
      </c>
      <c r="R31" s="266">
        <f t="shared" si="9"/>
        <v>1.1001302335384866</v>
      </c>
      <c r="T31" s="268" t="str">
        <f t="shared" si="10"/>
        <v>11</v>
      </c>
      <c r="U31" s="295">
        <f t="shared" si="11"/>
        <v>8.4690019313284868</v>
      </c>
      <c r="V31" s="324">
        <f t="shared" ca="1" si="12"/>
        <v>12.950313332079505</v>
      </c>
      <c r="W31" s="295">
        <f t="shared" si="13"/>
        <v>10.459756297265731</v>
      </c>
      <c r="X31" s="295">
        <f t="shared" ca="1" si="14"/>
        <v>15.994461038637944</v>
      </c>
    </row>
    <row r="32" spans="1:24" ht="12.75" customHeight="1" x14ac:dyDescent="0.2">
      <c r="A32" s="151">
        <f>Intro!C34</f>
        <v>2012</v>
      </c>
      <c r="C32" s="291">
        <f>'e3.1B'!Q34</f>
        <v>1930458.7599999993</v>
      </c>
      <c r="E32" s="308">
        <f>Intro!J34</f>
        <v>1.0451717334298189</v>
      </c>
      <c r="G32" s="290">
        <f>Intro!K34</f>
        <v>145569.85699999999</v>
      </c>
      <c r="I32" s="296">
        <f>Intro!L34</f>
        <v>0.82949789894567727</v>
      </c>
      <c r="K32" s="290">
        <f t="shared" si="15"/>
        <v>120749.89053132269</v>
      </c>
      <c r="M32" s="296">
        <f t="shared" si="7"/>
        <v>16.709422423704758</v>
      </c>
      <c r="O32" s="321">
        <f t="shared" si="8"/>
        <v>18.164566001268323</v>
      </c>
      <c r="Q32" s="252">
        <f>Intro!G34</f>
        <v>7</v>
      </c>
      <c r="R32" s="266">
        <f t="shared" si="9"/>
        <v>1.0870852110064098</v>
      </c>
      <c r="T32" s="268" t="str">
        <f t="shared" si="10"/>
        <v>12</v>
      </c>
      <c r="U32" s="295">
        <f t="shared" si="11"/>
        <v>13.261390783670272</v>
      </c>
      <c r="V32" s="324">
        <f t="shared" ca="1" si="12"/>
        <v>12.846291053216719</v>
      </c>
      <c r="W32" s="295">
        <f t="shared" si="13"/>
        <v>16.709422423704758</v>
      </c>
      <c r="X32" s="295">
        <f t="shared" ca="1" si="14"/>
        <v>16.186394571101598</v>
      </c>
    </row>
    <row r="33" spans="1:24" ht="12.75" customHeight="1" x14ac:dyDescent="0.2">
      <c r="A33" s="151">
        <f>Intro!C35</f>
        <v>2013</v>
      </c>
      <c r="C33" s="291">
        <f ca="1">'e3.1B'!Q35</f>
        <v>2258615.9974478637</v>
      </c>
      <c r="E33" s="308">
        <f>Intro!J35</f>
        <v>1.0424066175137374</v>
      </c>
      <c r="G33" s="290">
        <f>Intro!K35</f>
        <v>157968.50285000002</v>
      </c>
      <c r="I33" s="296">
        <f>Intro!L35</f>
        <v>0.89214561352770161</v>
      </c>
      <c r="K33" s="290">
        <f t="shared" si="15"/>
        <v>140930.90689316575</v>
      </c>
      <c r="M33" s="296">
        <f t="shared" ca="1" si="7"/>
        <v>16.706032154797811</v>
      </c>
      <c r="O33" s="321">
        <f t="shared" ca="1" si="8"/>
        <v>17.945534081104981</v>
      </c>
      <c r="Q33" s="252">
        <f>Intro!G35</f>
        <v>6</v>
      </c>
      <c r="R33" s="266">
        <f t="shared" si="9"/>
        <v>1.0741948725359778</v>
      </c>
      <c r="T33" s="268" t="str">
        <f t="shared" si="10"/>
        <v>13</v>
      </c>
      <c r="U33" s="295">
        <f t="shared" ca="1" si="11"/>
        <v>14.297888228975284</v>
      </c>
      <c r="V33" s="324">
        <f t="shared" ca="1" si="12"/>
        <v>14.019393316283843</v>
      </c>
      <c r="W33" s="295">
        <f t="shared" ca="1" si="13"/>
        <v>16.706032154797811</v>
      </c>
      <c r="X33" s="295">
        <f t="shared" ca="1" si="14"/>
        <v>16.380631305954822</v>
      </c>
    </row>
    <row r="34" spans="1:24" ht="12.75" customHeight="1" x14ac:dyDescent="0.2">
      <c r="A34" s="151">
        <f>Intro!C36</f>
        <v>2014</v>
      </c>
      <c r="C34" s="291">
        <f>'e3.1B'!Q36</f>
        <v>2342502.8100000005</v>
      </c>
      <c r="E34" s="308">
        <f>Intro!J36</f>
        <v>1.0412119709838517</v>
      </c>
      <c r="G34" s="290">
        <f>Intro!K36</f>
        <v>182546.24444841431</v>
      </c>
      <c r="I34" s="296">
        <f>Intro!L36</f>
        <v>0.93609121355209535</v>
      </c>
      <c r="K34" s="290">
        <f t="shared" si="15"/>
        <v>170879.93549509358</v>
      </c>
      <c r="M34" s="296">
        <f t="shared" si="7"/>
        <v>14.273425143616951</v>
      </c>
      <c r="O34" s="321">
        <f t="shared" si="8"/>
        <v>15.150632512647661</v>
      </c>
      <c r="Q34" s="252">
        <f>Intro!G36</f>
        <v>5</v>
      </c>
      <c r="R34" s="266">
        <f t="shared" si="9"/>
        <v>1.0614573839288319</v>
      </c>
      <c r="T34" s="268" t="str">
        <f t="shared" si="10"/>
        <v>14</v>
      </c>
      <c r="U34" s="295">
        <f t="shared" si="11"/>
        <v>12.832380184419339</v>
      </c>
      <c r="V34" s="324">
        <f t="shared" ca="1" si="12"/>
        <v>14.90356493282831</v>
      </c>
      <c r="W34" s="295">
        <f t="shared" si="13"/>
        <v>14.273425143616951</v>
      </c>
      <c r="X34" s="295">
        <f t="shared" ca="1" si="14"/>
        <v>16.577198881626277</v>
      </c>
    </row>
    <row r="35" spans="1:24" ht="12.75" customHeight="1" x14ac:dyDescent="0.2">
      <c r="A35" s="151">
        <f>Intro!C37</f>
        <v>2015</v>
      </c>
      <c r="C35" s="291">
        <f ca="1">'e3.1B'!Q37</f>
        <v>3627506.6580092385</v>
      </c>
      <c r="E35" s="308">
        <f>Intro!J37</f>
        <v>1.0428069267716835</v>
      </c>
      <c r="G35" s="290">
        <f>Intro!K37</f>
        <v>196912.10476000005</v>
      </c>
      <c r="I35" s="296">
        <f>Intro!L37</f>
        <v>0.91648703979937651</v>
      </c>
      <c r="K35" s="290">
        <f t="shared" si="15"/>
        <v>180467.39199215715</v>
      </c>
      <c r="M35" s="296">
        <f t="shared" ca="1" si="7"/>
        <v>20.96106686157923</v>
      </c>
      <c r="O35" s="321">
        <f t="shared" ca="1" si="8"/>
        <v>21.985453750246265</v>
      </c>
      <c r="Q35" s="252">
        <f>Intro!G37</f>
        <v>4</v>
      </c>
      <c r="R35" s="266">
        <f t="shared" si="9"/>
        <v>1.048870932736</v>
      </c>
      <c r="T35" s="268" t="str">
        <f t="shared" si="10"/>
        <v>15</v>
      </c>
      <c r="U35" s="295">
        <f t="shared" ca="1" si="11"/>
        <v>18.421958682684885</v>
      </c>
      <c r="V35" s="324">
        <f t="shared" ca="1" si="12"/>
        <v>14.743957861844676</v>
      </c>
      <c r="W35" s="295">
        <f t="shared" ca="1" si="13"/>
        <v>20.96106686157923</v>
      </c>
      <c r="X35" s="295">
        <f t="shared" ca="1" si="14"/>
        <v>16.776125268205792</v>
      </c>
    </row>
    <row r="36" spans="1:24" ht="12.75" customHeight="1" x14ac:dyDescent="0.2">
      <c r="A36" s="151">
        <f>Intro!C38</f>
        <v>2016</v>
      </c>
      <c r="C36" s="291">
        <f ca="1">'e3.1B'!Q38</f>
        <v>3140794.2114600036</v>
      </c>
      <c r="E36" s="308">
        <f>Intro!J38</f>
        <v>1.0342758961601715</v>
      </c>
      <c r="G36" s="290">
        <f>Intro!K38</f>
        <v>221894.58274919298</v>
      </c>
      <c r="I36" s="296">
        <f>Intro!L38</f>
        <v>0.92696847191952003</v>
      </c>
      <c r="K36" s="290">
        <f t="shared" si="15"/>
        <v>205689.28229823892</v>
      </c>
      <c r="M36" s="296">
        <f t="shared" ca="1" si="7"/>
        <v>15.792984988894032</v>
      </c>
      <c r="O36" s="321">
        <f t="shared" ca="1" si="8"/>
        <v>16.36838230828748</v>
      </c>
      <c r="Q36" s="252">
        <f>Intro!G38</f>
        <v>3</v>
      </c>
      <c r="R36" s="266">
        <f t="shared" si="9"/>
        <v>1.036433728</v>
      </c>
      <c r="T36" s="268" t="str">
        <f t="shared" si="10"/>
        <v>16</v>
      </c>
      <c r="U36" s="295">
        <f t="shared" ca="1" si="11"/>
        <v>14.154442945594743</v>
      </c>
      <c r="V36" s="324">
        <f t="shared" ca="1" si="12"/>
        <v>15.216008159410098</v>
      </c>
      <c r="W36" s="295">
        <f t="shared" ca="1" si="13"/>
        <v>15.792984988894032</v>
      </c>
      <c r="X36" s="295">
        <f t="shared" ca="1" si="14"/>
        <v>16.977438771424261</v>
      </c>
    </row>
    <row r="37" spans="1:24" ht="12.75" customHeight="1" x14ac:dyDescent="0.2">
      <c r="A37" s="151">
        <f>Intro!C39</f>
        <v>2017</v>
      </c>
      <c r="C37" s="291">
        <f ca="1">'e3.1B'!Q39</f>
        <v>3375931.2625302225</v>
      </c>
      <c r="E37" s="308">
        <f>Intro!J39</f>
        <v>1.0165895076831004</v>
      </c>
      <c r="G37" s="290">
        <f>Intro!K39</f>
        <v>307509.66981400014</v>
      </c>
      <c r="I37" s="296">
        <f>Intro!L39</f>
        <v>0.80226943072853818</v>
      </c>
      <c r="K37" s="290">
        <f t="shared" si="15"/>
        <v>246705.60774519862</v>
      </c>
      <c r="M37" s="296">
        <f t="shared" ca="1" si="7"/>
        <v>13.911059142571837</v>
      </c>
      <c r="O37" s="321">
        <f t="shared" ca="1" si="8"/>
        <v>14.246927754510091</v>
      </c>
      <c r="Q37" s="252">
        <f>Intro!G39</f>
        <v>2</v>
      </c>
      <c r="R37" s="266">
        <f t="shared" si="9"/>
        <v>1.0241439999999999</v>
      </c>
      <c r="T37" s="268" t="str">
        <f t="shared" si="10"/>
        <v>17</v>
      </c>
      <c r="U37" s="295">
        <f t="shared" ca="1" si="11"/>
        <v>10.97829302269481</v>
      </c>
      <c r="V37" s="324">
        <f t="shared" ca="1" si="12"/>
        <v>13.55898894870017</v>
      </c>
      <c r="W37" s="295">
        <f t="shared" ca="1" si="13"/>
        <v>13.911059142571837</v>
      </c>
      <c r="X37" s="295">
        <f t="shared" ca="1" si="14"/>
        <v>17.181168036681353</v>
      </c>
    </row>
    <row r="38" spans="1:24" ht="12.75" customHeight="1" x14ac:dyDescent="0.2">
      <c r="A38" s="151">
        <f>Intro!C40</f>
        <v>2018</v>
      </c>
      <c r="C38" s="291">
        <f ca="1">'e3.1B'!Q40</f>
        <v>9790607.4435719829</v>
      </c>
      <c r="E38" s="308">
        <f>Intro!J40</f>
        <v>1.0000032636733147</v>
      </c>
      <c r="G38" s="290">
        <f>Intro!K40</f>
        <v>536896.27333</v>
      </c>
      <c r="I38" s="296">
        <f>Intro!L40</f>
        <v>1.018452231841392</v>
      </c>
      <c r="K38" s="290">
        <f t="shared" si="15"/>
        <v>546803.20784026454</v>
      </c>
      <c r="M38" s="296">
        <f t="shared" ca="1" si="7"/>
        <v>17.905234015701552</v>
      </c>
      <c r="O38" s="321">
        <f t="shared" ca="1" si="8"/>
        <v>18.12009682388997</v>
      </c>
      <c r="Q38" s="252">
        <f>Intro!G40</f>
        <v>1</v>
      </c>
      <c r="R38" s="266">
        <f t="shared" si="9"/>
        <v>1.012</v>
      </c>
      <c r="T38" s="268" t="str">
        <f t="shared" si="10"/>
        <v>18</v>
      </c>
      <c r="U38" s="295">
        <f t="shared" ca="1" si="11"/>
        <v>18.235566030003426</v>
      </c>
      <c r="V38" s="324">
        <f t="shared" ca="1" si="12"/>
        <v>17.70811952627416</v>
      </c>
      <c r="W38" s="295">
        <f t="shared" ca="1" si="13"/>
        <v>17.905234015701552</v>
      </c>
      <c r="X38" s="295">
        <f t="shared" ca="1" si="14"/>
        <v>17.387342053121529</v>
      </c>
    </row>
    <row r="39" spans="1:24" ht="12.75" customHeight="1" x14ac:dyDescent="0.2">
      <c r="A39" s="151">
        <f>Intro!C41</f>
        <v>2019</v>
      </c>
      <c r="C39" s="292">
        <f ca="1">'e3.1B'!Q41</f>
        <v>8935893.3526830617</v>
      </c>
      <c r="E39" s="308">
        <f>Intro!J41</f>
        <v>1</v>
      </c>
      <c r="G39" s="292">
        <f>Intro!K41</f>
        <v>543133.22666000458</v>
      </c>
      <c r="I39" s="296">
        <f>Intro!L41</f>
        <v>1</v>
      </c>
      <c r="K39" s="292">
        <f t="shared" si="15"/>
        <v>543133.22666000458</v>
      </c>
      <c r="M39" s="320">
        <f t="shared" ca="1" si="7"/>
        <v>16.452488844466945</v>
      </c>
      <c r="O39" s="321">
        <f t="shared" ca="1" si="8"/>
        <v>16.452488844466945</v>
      </c>
      <c r="Q39" s="252">
        <f>Intro!G41</f>
        <v>0</v>
      </c>
      <c r="R39" s="266">
        <f t="shared" si="9"/>
        <v>1</v>
      </c>
      <c r="T39" s="268" t="str">
        <f t="shared" si="10"/>
        <v>19</v>
      </c>
      <c r="U39" s="295">
        <f t="shared" ca="1" si="11"/>
        <v>16.452488844466945</v>
      </c>
      <c r="V39" s="324">
        <f t="shared" ca="1" si="12"/>
        <v>17.595990157758987</v>
      </c>
      <c r="W39" s="295">
        <f t="shared" ca="1" si="13"/>
        <v>16.452488844466945</v>
      </c>
      <c r="X39" s="295">
        <f t="shared" ca="1" si="14"/>
        <v>17.595990157758987</v>
      </c>
    </row>
    <row r="40" spans="1:24" ht="12.75" customHeight="1" x14ac:dyDescent="0.2"/>
    <row r="41" spans="1:24" ht="12.75" customHeight="1" x14ac:dyDescent="0.2">
      <c r="A41" s="151" t="s">
        <v>78</v>
      </c>
      <c r="B41" s="148"/>
      <c r="C41" s="249">
        <f ca="1">SUM(C16:C39)</f>
        <v>68058673.355632097</v>
      </c>
      <c r="G41" s="249">
        <f>SUM(G16:G39)</f>
        <v>3896630.2405416127</v>
      </c>
      <c r="K41" s="249">
        <f>SUM(K16:K39)</f>
        <v>3445206.9428144014</v>
      </c>
    </row>
    <row r="42" spans="1:24" ht="12.75" customHeight="1" x14ac:dyDescent="0.2"/>
    <row r="43" spans="1:24" ht="12.75" customHeight="1" x14ac:dyDescent="0.2"/>
    <row r="44" spans="1:24" ht="12.75" customHeight="1" x14ac:dyDescent="0.2">
      <c r="A44" s="245" t="str">
        <f>"AVERAGES AT THE "&amp;cpy_l&amp;" LEVEL:"</f>
        <v>AVERAGES AT THE 2018/19 LEVEL: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148"/>
      <c r="L44" s="148"/>
      <c r="M44" s="148"/>
      <c r="N44" s="148"/>
      <c r="O44" s="148"/>
      <c r="P44" s="148"/>
      <c r="Q44" s="244" t="s">
        <v>21</v>
      </c>
      <c r="R44" s="244" t="s">
        <v>22</v>
      </c>
    </row>
    <row r="45" spans="1:24" ht="12.75" customHeight="1" x14ac:dyDescent="0.2">
      <c r="A45" s="148" t="str">
        <f>"Policy Periods "&amp;U45&amp;" - Straight Average:"</f>
        <v>Policy Periods 2010 through 2018 - Straight Average:</v>
      </c>
      <c r="B45" s="148"/>
      <c r="C45" s="148"/>
      <c r="D45" s="148"/>
      <c r="E45" s="148"/>
      <c r="F45" s="148"/>
      <c r="G45" s="148"/>
      <c r="H45" s="148"/>
      <c r="I45" s="227"/>
      <c r="J45" s="148"/>
      <c r="K45" s="148"/>
      <c r="L45" s="148"/>
      <c r="N45" s="148"/>
      <c r="O45" s="322">
        <f ca="1">AVERAGE(INDIRECT(S45))</f>
        <v>16.294255198461521</v>
      </c>
      <c r="P45" s="148"/>
      <c r="Q45" s="267">
        <v>2010</v>
      </c>
      <c r="R45" s="267">
        <v>2018</v>
      </c>
      <c r="S45" s="264" t="str">
        <f ca="1">"O"&amp;ROW(OFFSET($A$40, (INDEX($Q$16:$Q$39, MATCH(Q45, $A$16:$A$39, 0))+1)*-1, 0))&amp;":O"&amp;ROW(OFFSET($A$40, (INDEX($Q$16:$Q$39, MATCH(R45, $A$16:$A$39, 0))+1)*-1, 0))</f>
        <v>O30:O38</v>
      </c>
      <c r="T45" s="268" t="str">
        <f ca="1">SUBSTITUTE(S45, "O", "K")</f>
        <v>K30:K38</v>
      </c>
      <c r="U45" s="222" t="str">
        <f>Q45&amp;" through "&amp;R45</f>
        <v>2010 through 2018</v>
      </c>
    </row>
    <row r="46" spans="1:24" ht="12.75" customHeight="1" x14ac:dyDescent="0.2">
      <c r="A46" s="148" t="str">
        <f>"Policy Periods "&amp;U46&amp;" - Straight Average Excluding Extremes:"</f>
        <v>Policy Periods 2010 through 2018 - Straight Average Excluding Extremes:</v>
      </c>
      <c r="B46" s="148"/>
      <c r="C46" s="148"/>
      <c r="D46" s="148"/>
      <c r="E46" s="148"/>
      <c r="F46" s="148"/>
      <c r="G46" s="148"/>
      <c r="H46" s="148"/>
      <c r="I46" s="227"/>
      <c r="J46" s="148"/>
      <c r="K46" s="148"/>
      <c r="L46" s="148"/>
      <c r="N46" s="148"/>
      <c r="O46" s="269">
        <f ca="1">(SUM(INDIRECT(S46))-MIN(INDIRECT(S46))-MAX(INDIRECT(S46)))/(COUNT(INDIRECT(S46))-2)</f>
        <v>16.165106985405831</v>
      </c>
      <c r="P46" s="148"/>
      <c r="Q46" s="267">
        <v>2010</v>
      </c>
      <c r="R46" s="267">
        <v>2018</v>
      </c>
      <c r="S46" s="264" t="str">
        <f ca="1">"O"&amp;ROW(OFFSET($A$40, (INDEX($Q$16:$Q$39, MATCH(Q46, $A$16:$A$39, 0))+1)*-1, 0))&amp;":O"&amp;ROW(OFFSET($A$40, (INDEX($Q$16:$Q$39, MATCH(R46, $A$16:$A$39, 0))+1)*-1, 0))</f>
        <v>O30:O38</v>
      </c>
      <c r="T46" s="268" t="str">
        <f ca="1">SUBSTITUTE(S46, "O", "K")</f>
        <v>K30:K38</v>
      </c>
      <c r="U46" s="222" t="str">
        <f>Q46&amp;" through "&amp;R46</f>
        <v>2010 through 2018</v>
      </c>
    </row>
    <row r="47" spans="1:24" ht="12.75" customHeight="1" x14ac:dyDescent="0.2">
      <c r="A47" s="148" t="str">
        <f>"Policy Periods "&amp;U47&amp;" - Weighted Average:"</f>
        <v>Policy Periods 2010 through 2018 - Weighted Average:</v>
      </c>
      <c r="B47" s="148"/>
      <c r="C47" s="148"/>
      <c r="D47" s="148"/>
      <c r="E47" s="148"/>
      <c r="F47" s="148"/>
      <c r="G47" s="148"/>
      <c r="H47" s="148"/>
      <c r="I47" s="227"/>
      <c r="J47" s="148"/>
      <c r="K47" s="148"/>
      <c r="L47" s="148"/>
      <c r="N47" s="148"/>
      <c r="O47" s="269">
        <f ca="1">SUMPRODUCT(INDIRECT(S47),INDIRECT(T47))/SUM(INDIRECT(T47))</f>
        <v>16.768046735609467</v>
      </c>
      <c r="P47" s="148"/>
      <c r="Q47" s="267">
        <v>2010</v>
      </c>
      <c r="R47" s="267">
        <v>2018</v>
      </c>
      <c r="S47" s="264" t="str">
        <f ca="1">"O"&amp;ROW(OFFSET($A$40, (INDEX($Q$16:$Q$39, MATCH(Q47, $A$16:$A$39, 0))+1)*-1, 0))&amp;":O"&amp;ROW(OFFSET($A$40, (INDEX($Q$16:$Q$39, MATCH(R47, $A$16:$A$39, 0))+1)*-1, 0))</f>
        <v>O30:O38</v>
      </c>
      <c r="T47" s="268" t="str">
        <f ca="1">SUBSTITUTE(S47, "O", "K")</f>
        <v>K30:K38</v>
      </c>
      <c r="U47" s="222" t="str">
        <f>Q47&amp;" through "&amp;R47</f>
        <v>2010 through 2018</v>
      </c>
    </row>
    <row r="48" spans="1:24" ht="12.75" customHeight="1" x14ac:dyDescent="0.2">
      <c r="A48" s="148" t="str">
        <f>"Policy Periods "&amp;U48&amp;" - Weighted Average:"</f>
        <v>Policy Periods 2012 through 2018 - Weighted Average:</v>
      </c>
      <c r="B48" s="148"/>
      <c r="C48" s="148"/>
      <c r="D48" s="148"/>
      <c r="E48" s="148"/>
      <c r="F48" s="148"/>
      <c r="G48" s="148"/>
      <c r="H48" s="148"/>
      <c r="I48" s="227"/>
      <c r="J48" s="148"/>
      <c r="K48" s="148"/>
      <c r="L48" s="148"/>
      <c r="N48" s="148"/>
      <c r="O48" s="269">
        <f ca="1">SUMPRODUCT(INDIRECT(S48),INDIRECT(T48))/SUM(INDIRECT(T48))</f>
        <v>17.409945830083725</v>
      </c>
      <c r="P48" s="148"/>
      <c r="Q48" s="267">
        <v>2012</v>
      </c>
      <c r="R48" s="267">
        <v>2018</v>
      </c>
      <c r="S48" s="264" t="str">
        <f ca="1">"O"&amp;ROW(OFFSET($A$40, (INDEX($Q$16:$Q$39, MATCH(Q48, $A$16:$A$39, 0))+1)*-1, 0))&amp;":O"&amp;ROW(OFFSET($A$40, (INDEX($Q$16:$Q$39, MATCH(R48, $A$16:$A$39, 0))+1)*-1, 0))</f>
        <v>O32:O38</v>
      </c>
      <c r="T48" s="268" t="str">
        <f ca="1">SUBSTITUTE(S48, "O", "K")</f>
        <v>K32:K38</v>
      </c>
      <c r="U48" s="222" t="str">
        <f>Q48&amp;" through "&amp;R48</f>
        <v>2012 through 2018</v>
      </c>
    </row>
    <row r="49" spans="1:21" ht="12.75" customHeight="1" x14ac:dyDescent="0.2">
      <c r="A49" s="148" t="str">
        <f>"Policy Periods "&amp;U49&amp;" - Weighted Average:"</f>
        <v>Policy Periods 2015 through 2018 - Weighted Average:</v>
      </c>
      <c r="B49" s="148"/>
      <c r="C49" s="148"/>
      <c r="D49" s="148"/>
      <c r="E49" s="148"/>
      <c r="F49" s="148"/>
      <c r="G49" s="148"/>
      <c r="H49" s="148"/>
      <c r="I49" s="227"/>
      <c r="J49" s="148"/>
      <c r="K49" s="148"/>
      <c r="L49" s="148"/>
      <c r="N49" s="148"/>
      <c r="O49" s="269">
        <f ca="1">SUMPRODUCT(INDIRECT(S49),INDIRECT(T49))/SUM(INDIRECT(T49))</f>
        <v>17.595990157758987</v>
      </c>
      <c r="P49" s="148"/>
      <c r="Q49" s="267">
        <v>2015</v>
      </c>
      <c r="R49" s="267">
        <v>2018</v>
      </c>
      <c r="S49" s="264" t="str">
        <f ca="1">"O"&amp;ROW(OFFSET($A$40, (INDEX($Q$16:$Q$39, MATCH(Q49, $A$16:$A$39, 0))+1)*-1, 0))&amp;":O"&amp;ROW(OFFSET($A$40, (INDEX($Q$16:$Q$39, MATCH(R49, $A$16:$A$39, 0))+1)*-1, 0))</f>
        <v>O35:O38</v>
      </c>
      <c r="T49" s="268" t="str">
        <f ca="1">SUBSTITUTE(S49, "O", "K")</f>
        <v>K35:K38</v>
      </c>
      <c r="U49" s="222" t="str">
        <f>Q49&amp;" through "&amp;R49</f>
        <v>2015 through 2018</v>
      </c>
    </row>
    <row r="50" spans="1:21" ht="12.75" customHeight="1" x14ac:dyDescent="0.2">
      <c r="N50" s="148"/>
      <c r="P50" s="148"/>
    </row>
    <row r="51" spans="1:21" ht="12.75" customHeight="1" x14ac:dyDescent="0.2">
      <c r="A51" s="148" t="str">
        <f>"Indicated Policy Period "&amp;cpy_l&amp;" Unlimited Loss &amp; ALAE Cost:"</f>
        <v>Indicated Policy Period 2018/19 Unlimited Loss &amp; ALAE Cost:</v>
      </c>
      <c r="B51" s="148"/>
      <c r="C51" s="148"/>
      <c r="D51" s="148"/>
      <c r="E51" s="148"/>
      <c r="F51" s="148"/>
      <c r="G51" s="148"/>
      <c r="H51" s="148"/>
      <c r="I51" s="227"/>
      <c r="J51" s="148"/>
      <c r="K51" s="148"/>
      <c r="L51" s="148"/>
      <c r="N51"/>
      <c r="O51" s="323">
        <f ca="1">O49</f>
        <v>17.595990157758987</v>
      </c>
      <c r="P51" s="148"/>
      <c r="Q51" s="272">
        <f>'e4.2'!U67</f>
        <v>18.178635758012547</v>
      </c>
      <c r="R51" s="263" t="s">
        <v>354</v>
      </c>
      <c r="T51" s="325">
        <f ca="1">'e6.2'!M44 * 'e5.4'!K44/1000</f>
        <v>17.040264141705698</v>
      </c>
      <c r="U51" s="286" t="s">
        <v>418</v>
      </c>
    </row>
    <row r="52" spans="1:21" ht="12.75" customHeight="1" x14ac:dyDescent="0.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273">
        <f>Q51*(1+Trend!$Z$43*trend_prior)</f>
        <v>18.178635758012547</v>
      </c>
      <c r="R52" s="263" t="s">
        <v>355</v>
      </c>
      <c r="T52" s="669">
        <f ca="1">O51/T51-1</f>
        <v>3.2612523575450858E-2</v>
      </c>
      <c r="U52" s="286" t="s">
        <v>356</v>
      </c>
    </row>
    <row r="53" spans="1:21" ht="12.75" customHeight="1" x14ac:dyDescent="0.2">
      <c r="A53" s="163" t="s">
        <v>83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532">
        <f ca="1">O51/Q52-1</f>
        <v>-3.2051118027201175E-2</v>
      </c>
      <c r="R53" s="263" t="s">
        <v>356</v>
      </c>
    </row>
    <row r="54" spans="1:21" ht="12.75" customHeight="1" x14ac:dyDescent="0.2">
      <c r="A54" s="327" t="s">
        <v>745</v>
      </c>
    </row>
    <row r="55" spans="1:21" ht="12.75" customHeight="1" x14ac:dyDescent="0.2">
      <c r="A55" s="327" t="s">
        <v>746</v>
      </c>
      <c r="Q55" s="696"/>
      <c r="R55" s="693"/>
    </row>
    <row r="56" spans="1:21" ht="12.75" customHeight="1" x14ac:dyDescent="0.2">
      <c r="A56" s="327" t="s">
        <v>419</v>
      </c>
    </row>
    <row r="57" spans="1:21" ht="12.75" customHeight="1" x14ac:dyDescent="0.2">
      <c r="A57" s="327" t="s">
        <v>420</v>
      </c>
    </row>
    <row r="58" spans="1:21" ht="12.75" customHeight="1" x14ac:dyDescent="0.2">
      <c r="A58" s="327" t="s">
        <v>596</v>
      </c>
    </row>
    <row r="59" spans="1:21" ht="12.75" customHeight="1" x14ac:dyDescent="0.2">
      <c r="A59" s="327" t="s">
        <v>421</v>
      </c>
    </row>
    <row r="60" spans="1:21" ht="12.75" customHeight="1" x14ac:dyDescent="0.2">
      <c r="A60" s="327" t="s">
        <v>422</v>
      </c>
    </row>
    <row r="61" spans="1:21" ht="12.75" customHeight="1" x14ac:dyDescent="0.2">
      <c r="A61" s="327" t="str">
        <f>"The selected loss cost trend used in Column (7) is "&amp;TEXT(lctrnd_unl, "0.00%")&amp;"."</f>
        <v>The selected loss cost trend used in Column (7) is 1.20%.</v>
      </c>
    </row>
    <row r="62" spans="1:21" ht="12.75" customHeight="1" x14ac:dyDescent="0.2"/>
    <row r="63" spans="1:21" ht="12.75" customHeight="1" x14ac:dyDescent="0.2"/>
    <row r="64" spans="1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4
Sheet 6
</oddHeader>
    <oddFooter xml:space="preserve">&amp;L&amp;"Arial"&amp;10 Oliver Wyman Actuarial Consulting, Inc.
&amp;C&amp;"Arial"&amp;10 &amp;R&amp;"Arial"&amp;10 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7">
    <tabColor rgb="FFFFCCCC"/>
    <pageSetUpPr fitToPage="1"/>
  </sheetPr>
  <dimension ref="A1:X57"/>
  <sheetViews>
    <sheetView zoomScale="85" zoomScaleNormal="85" zoomScaleSheetLayoutView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625" style="222" customWidth="1"/>
    <col min="8" max="8" width="2.625" style="222" customWidth="1"/>
    <col min="9" max="9" width="9" style="222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10.75" style="222" customWidth="1"/>
    <col min="16" max="16" width="2.625" style="222" customWidth="1"/>
    <col min="17" max="17" width="9" style="222"/>
    <col min="18" max="18" width="2.625" style="222" customWidth="1"/>
    <col min="19" max="24" width="9" style="222"/>
    <col min="25" max="25" width="2.625" style="222" customWidth="1"/>
    <col min="26" max="16384" width="9" style="222"/>
  </cols>
  <sheetData>
    <row r="1" spans="1:24" x14ac:dyDescent="0.2">
      <c r="A1" s="1" t="str">
        <f>[1]!getlabels()</f>
        <v>Exhibit 5, Sheet 1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</row>
    <row r="7" spans="1:24" x14ac:dyDescent="0.2">
      <c r="A7" s="224" t="str">
        <f>VLOOKUP($A$1, index_lkups, 3, FALSE)</f>
        <v>Average Severity Method - Loss &amp; ALAE Limited to $250,000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10" spans="1:24" x14ac:dyDescent="0.2">
      <c r="A10" s="151"/>
      <c r="B10" s="148"/>
      <c r="C10" s="151" t="s">
        <v>373</v>
      </c>
      <c r="D10" s="148"/>
      <c r="E10" s="151" t="s">
        <v>345</v>
      </c>
      <c r="F10" s="148"/>
      <c r="G10" s="151" t="s">
        <v>105</v>
      </c>
      <c r="H10" s="148"/>
      <c r="I10" s="151"/>
      <c r="J10" s="148"/>
      <c r="K10" s="151" t="s">
        <v>374</v>
      </c>
      <c r="L10" s="148"/>
      <c r="M10" s="151"/>
      <c r="N10" s="148"/>
      <c r="P10" s="148"/>
      <c r="Q10" s="151"/>
      <c r="R10" s="151"/>
      <c r="S10" s="148"/>
      <c r="T10" s="148"/>
      <c r="U10" s="148"/>
      <c r="V10" s="148"/>
      <c r="W10" s="148"/>
    </row>
    <row r="11" spans="1:24" x14ac:dyDescent="0.2">
      <c r="A11" s="181" t="str">
        <f>Intro!M9</f>
        <v>Policy</v>
      </c>
      <c r="B11" s="148"/>
      <c r="C11" s="151" t="s">
        <v>330</v>
      </c>
      <c r="D11" s="148"/>
      <c r="E11" s="306" t="str">
        <f>"to "&amp;cpy_l</f>
        <v>to 2018/19</v>
      </c>
      <c r="F11" s="148"/>
      <c r="G11" s="151" t="s">
        <v>245</v>
      </c>
      <c r="H11" s="148"/>
      <c r="I11" s="151" t="s">
        <v>332</v>
      </c>
      <c r="J11" s="148"/>
      <c r="K11" s="306" t="str">
        <f>E11</f>
        <v>to 2018/19</v>
      </c>
      <c r="L11" s="148"/>
      <c r="M11" s="151"/>
      <c r="N11" s="148"/>
      <c r="O11" s="181" t="s">
        <v>330</v>
      </c>
      <c r="P11" s="148"/>
      <c r="Q11" s="151" t="s">
        <v>332</v>
      </c>
      <c r="R11" s="151"/>
      <c r="S11" s="148"/>
      <c r="T11" s="148"/>
      <c r="U11" s="148"/>
      <c r="V11" s="148"/>
      <c r="W11" s="148"/>
    </row>
    <row r="12" spans="1:24" x14ac:dyDescent="0.2">
      <c r="A12" s="181" t="str">
        <f>Intro!M10</f>
        <v>Period</v>
      </c>
      <c r="B12" s="148"/>
      <c r="C12" s="151" t="s">
        <v>245</v>
      </c>
      <c r="D12" s="148"/>
      <c r="E12" s="151" t="s">
        <v>375</v>
      </c>
      <c r="F12" s="148"/>
      <c r="G12" s="151" t="s">
        <v>84</v>
      </c>
      <c r="H12" s="148"/>
      <c r="I12" s="276" t="s">
        <v>376</v>
      </c>
      <c r="J12" s="148"/>
      <c r="K12" s="276" t="s">
        <v>376</v>
      </c>
      <c r="L12" s="148"/>
      <c r="M12" s="151" t="s">
        <v>336</v>
      </c>
      <c r="N12" s="148"/>
      <c r="O12" s="181" t="s">
        <v>245</v>
      </c>
      <c r="P12" s="148"/>
      <c r="Q12" s="151" t="s">
        <v>347</v>
      </c>
      <c r="R12" s="181"/>
      <c r="T12" s="293" t="s">
        <v>353</v>
      </c>
    </row>
    <row r="13" spans="1:24" x14ac:dyDescent="0.2">
      <c r="A13" s="176" t="str">
        <f>Intro!M11</f>
        <v>Ending 9/30</v>
      </c>
      <c r="B13" s="148"/>
      <c r="C13" s="179" t="s">
        <v>8</v>
      </c>
      <c r="D13" s="148"/>
      <c r="E13" s="176" t="s">
        <v>350</v>
      </c>
      <c r="F13" s="148"/>
      <c r="G13" s="176" t="s">
        <v>377</v>
      </c>
      <c r="H13" s="148"/>
      <c r="I13" s="277" t="s">
        <v>348</v>
      </c>
      <c r="J13" s="148"/>
      <c r="K13" s="277" t="s">
        <v>348</v>
      </c>
      <c r="L13" s="148"/>
      <c r="M13" s="277" t="s">
        <v>348</v>
      </c>
      <c r="N13" s="148"/>
      <c r="O13" s="179" t="s">
        <v>8</v>
      </c>
      <c r="P13" s="148"/>
      <c r="Q13" s="176" t="s">
        <v>349</v>
      </c>
      <c r="R13" s="148"/>
      <c r="S13" s="299" t="s">
        <v>352</v>
      </c>
      <c r="T13" s="299" t="s">
        <v>229</v>
      </c>
      <c r="V13" s="299" t="s">
        <v>41</v>
      </c>
      <c r="W13" s="299" t="s">
        <v>332</v>
      </c>
      <c r="X13" s="299" t="s">
        <v>336</v>
      </c>
    </row>
    <row r="14" spans="1:24" x14ac:dyDescent="0.2">
      <c r="A14" s="148"/>
      <c r="B14" s="148"/>
      <c r="C14" s="230" t="s">
        <v>253</v>
      </c>
      <c r="D14" s="148"/>
      <c r="E14" s="230" t="s">
        <v>230</v>
      </c>
      <c r="F14" s="148"/>
      <c r="G14" s="230" t="s">
        <v>231</v>
      </c>
      <c r="H14" s="148"/>
      <c r="I14" s="230" t="s">
        <v>232</v>
      </c>
      <c r="J14" s="148"/>
      <c r="K14" s="230" t="s">
        <v>233</v>
      </c>
      <c r="L14" s="148"/>
      <c r="M14" s="230" t="s">
        <v>234</v>
      </c>
      <c r="N14" s="148"/>
      <c r="O14" s="230" t="s">
        <v>235</v>
      </c>
      <c r="P14" s="148"/>
      <c r="Q14" s="230" t="s">
        <v>236</v>
      </c>
      <c r="R14" s="148"/>
    </row>
    <row r="15" spans="1:24" x14ac:dyDescent="0.2">
      <c r="A15" s="148"/>
      <c r="B15" s="148"/>
      <c r="C15" s="235"/>
      <c r="D15" s="280"/>
      <c r="E15" s="236"/>
      <c r="F15" s="148"/>
      <c r="G15" s="235"/>
      <c r="H15" s="148"/>
      <c r="I15" s="235"/>
      <c r="J15" s="235"/>
      <c r="K15" s="241"/>
      <c r="L15" s="241"/>
      <c r="M15" s="241"/>
      <c r="N15" s="148"/>
      <c r="O15" s="235"/>
      <c r="P15" s="148"/>
      <c r="Q15" s="238"/>
      <c r="R15" s="236"/>
    </row>
    <row r="16" spans="1:24" x14ac:dyDescent="0.2">
      <c r="A16" s="151">
        <f>Intro!C25</f>
        <v>2003</v>
      </c>
      <c r="B16" s="148"/>
      <c r="C16" s="315">
        <f>'e3.1A'!Q25</f>
        <v>1243025.0200000005</v>
      </c>
      <c r="D16" s="280"/>
      <c r="E16" s="308">
        <f>Intro!J25</f>
        <v>1.0980216306970509</v>
      </c>
      <c r="F16" s="148"/>
      <c r="G16" s="247">
        <f ca="1">'e6.1'!$G16</f>
        <v>38</v>
      </c>
      <c r="H16" s="148"/>
      <c r="I16" s="315">
        <f ca="1">(C16 * E16) / G16</f>
        <v>35917.588406779862</v>
      </c>
      <c r="J16" s="235"/>
      <c r="K16" s="312">
        <f ca="1">I16*T16</f>
        <v>53319.861870437388</v>
      </c>
      <c r="L16" s="241"/>
      <c r="M16" s="312">
        <f t="shared" ref="M16" ca="1" si="0">$K$44 / (T16 * E16)</f>
        <v>46728.486296021372</v>
      </c>
      <c r="N16" s="148"/>
      <c r="O16" s="315">
        <f ca="1">M16*G16</f>
        <v>1775682.4792488122</v>
      </c>
      <c r="P16" s="148"/>
      <c r="Q16" s="316">
        <f ca="1">O16/'e6.2'!I16</f>
        <v>18.52039068249854</v>
      </c>
      <c r="R16" s="236"/>
      <c r="S16" s="252">
        <f>Intro!G25</f>
        <v>16</v>
      </c>
      <c r="T16" s="266">
        <f t="shared" ref="T16" si="1">(1 + sevtrnd_250k) ^ S16</f>
        <v>1.4845056206605631</v>
      </c>
      <c r="V16" s="268" t="str">
        <f>RIGHT(A16,2)</f>
        <v>03</v>
      </c>
      <c r="W16" s="252">
        <f ca="1">I16</f>
        <v>35917.588406779862</v>
      </c>
      <c r="X16" s="252">
        <f ca="1">M16*E16</f>
        <v>51308.888722762182</v>
      </c>
    </row>
    <row r="17" spans="1:24" x14ac:dyDescent="0.2">
      <c r="A17" s="151">
        <f>Intro!C26</f>
        <v>2004</v>
      </c>
      <c r="B17" s="148"/>
      <c r="C17" s="247">
        <f ca="1">'e3.1A'!Q26</f>
        <v>2005552.8150348195</v>
      </c>
      <c r="D17" s="280"/>
      <c r="E17" s="308">
        <f>Intro!J26</f>
        <v>1.1043638048521249</v>
      </c>
      <c r="F17" s="148"/>
      <c r="G17" s="247">
        <f ca="1">'e6.1'!$G17</f>
        <v>30</v>
      </c>
      <c r="H17" s="148"/>
      <c r="I17" s="247">
        <f t="shared" ref="I17:I32" ca="1" si="2">(C17 * E17) / G17</f>
        <v>73828.664588124768</v>
      </c>
      <c r="J17" s="235"/>
      <c r="K17" s="241">
        <f t="shared" ref="K17:K32" ca="1" si="3">I17*T17</f>
        <v>106925.91955798508</v>
      </c>
      <c r="L17" s="241"/>
      <c r="M17" s="241">
        <f t="shared" ref="M17:M32" ca="1" si="4">$K$44 / (T17 * E17)</f>
        <v>47621.635832109954</v>
      </c>
      <c r="N17" s="148"/>
      <c r="O17" s="247">
        <f t="shared" ref="O17:O32" ca="1" si="5">M17*G17</f>
        <v>1428649.0749632986</v>
      </c>
      <c r="P17" s="148"/>
      <c r="Q17" s="255">
        <f ca="1">O17/'e6.2'!I17</f>
        <v>13.98748216183218</v>
      </c>
      <c r="R17" s="236"/>
      <c r="S17" s="252">
        <f>Intro!G26</f>
        <v>15</v>
      </c>
      <c r="T17" s="266">
        <f t="shared" ref="T17:T32" si="6">(1 + sevtrnd_250k) ^ S17</f>
        <v>1.4482981664981105</v>
      </c>
      <c r="V17" s="268" t="str">
        <f t="shared" ref="V17:V32" si="7">RIGHT(A17,2)</f>
        <v>04</v>
      </c>
      <c r="W17" s="252">
        <f t="shared" ref="W17:W32" ca="1" si="8">I17</f>
        <v>73828.664588124768</v>
      </c>
      <c r="X17" s="252">
        <f t="shared" ref="X17:X32" ca="1" si="9">M17*E17</f>
        <v>52591.61094083124</v>
      </c>
    </row>
    <row r="18" spans="1:24" x14ac:dyDescent="0.2">
      <c r="A18" s="151">
        <f>Intro!C27</f>
        <v>2005</v>
      </c>
      <c r="B18" s="148"/>
      <c r="C18" s="247">
        <f>'e3.1A'!Q27</f>
        <v>699839.89000000025</v>
      </c>
      <c r="D18" s="280"/>
      <c r="E18" s="308">
        <f>Intro!J27</f>
        <v>1.0993295241734087</v>
      </c>
      <c r="F18" s="148"/>
      <c r="G18" s="247">
        <f ca="1">'e6.1'!$G18</f>
        <v>26</v>
      </c>
      <c r="H18" s="148"/>
      <c r="I18" s="247">
        <f t="shared" ca="1" si="2"/>
        <v>29590.563587356573</v>
      </c>
      <c r="J18" s="235"/>
      <c r="K18" s="241">
        <f t="shared" ca="1" si="3"/>
        <v>41810.691696794413</v>
      </c>
      <c r="L18" s="241"/>
      <c r="M18" s="241">
        <f t="shared" ca="1" si="4"/>
        <v>49035.707700913896</v>
      </c>
      <c r="N18" s="148"/>
      <c r="O18" s="247">
        <f t="shared" ca="1" si="5"/>
        <v>1274928.4002237613</v>
      </c>
      <c r="P18" s="148"/>
      <c r="Q18" s="255">
        <f ca="1">O18/'e6.2'!I18</f>
        <v>11.455665363215136</v>
      </c>
      <c r="R18" s="236"/>
      <c r="S18" s="252">
        <f>Intro!G27</f>
        <v>14</v>
      </c>
      <c r="T18" s="266">
        <f t="shared" si="6"/>
        <v>1.4129738209737661</v>
      </c>
      <c r="V18" s="268" t="str">
        <f t="shared" si="7"/>
        <v>05</v>
      </c>
      <c r="W18" s="252">
        <f t="shared" ca="1" si="8"/>
        <v>29590.563587356573</v>
      </c>
      <c r="X18" s="252">
        <f t="shared" ca="1" si="9"/>
        <v>53906.401214352023</v>
      </c>
    </row>
    <row r="19" spans="1:24" x14ac:dyDescent="0.2">
      <c r="A19" s="151">
        <f>Intro!C28</f>
        <v>2006</v>
      </c>
      <c r="B19" s="148"/>
      <c r="C19" s="247">
        <f>'e3.1A'!Q28</f>
        <v>1775477.7400000007</v>
      </c>
      <c r="D19" s="280"/>
      <c r="E19" s="308">
        <f>Intro!J28</f>
        <v>1.0898938283807902</v>
      </c>
      <c r="F19" s="148"/>
      <c r="G19" s="247">
        <f ca="1">'e6.1'!$G19</f>
        <v>31</v>
      </c>
      <c r="H19" s="148"/>
      <c r="I19" s="247">
        <f t="shared" ca="1" si="2"/>
        <v>62422.007459789485</v>
      </c>
      <c r="J19" s="235"/>
      <c r="K19" s="241">
        <f t="shared" ca="1" si="3"/>
        <v>86049.426725182144</v>
      </c>
      <c r="L19" s="241"/>
      <c r="M19" s="241">
        <f t="shared" ca="1" si="4"/>
        <v>50696.737430653659</v>
      </c>
      <c r="N19" s="148"/>
      <c r="O19" s="247">
        <f t="shared" ca="1" si="5"/>
        <v>1571598.8603502633</v>
      </c>
      <c r="P19" s="148"/>
      <c r="Q19" s="255">
        <f ca="1">O19/'e6.2'!I19</f>
        <v>14.584680598513774</v>
      </c>
      <c r="R19" s="236"/>
      <c r="S19" s="252">
        <f>Intro!G28</f>
        <v>13</v>
      </c>
      <c r="T19" s="266">
        <f t="shared" si="6"/>
        <v>1.3785110448524549</v>
      </c>
      <c r="V19" s="268" t="str">
        <f t="shared" si="7"/>
        <v>06</v>
      </c>
      <c r="W19" s="252">
        <f t="shared" ca="1" si="8"/>
        <v>62422.007459789485</v>
      </c>
      <c r="X19" s="252">
        <f t="shared" ca="1" si="9"/>
        <v>55254.061244710821</v>
      </c>
    </row>
    <row r="20" spans="1:24" x14ac:dyDescent="0.2">
      <c r="A20" s="151">
        <f>Intro!C29</f>
        <v>2007</v>
      </c>
      <c r="B20" s="148"/>
      <c r="C20" s="247">
        <f>'e3.1A'!Q29</f>
        <v>1099670.4199999997</v>
      </c>
      <c r="D20" s="280"/>
      <c r="E20" s="308">
        <f>Intro!J29</f>
        <v>1.0779438773143473</v>
      </c>
      <c r="F20" s="148"/>
      <c r="G20" s="247">
        <f ca="1">'e6.1'!$G20</f>
        <v>34</v>
      </c>
      <c r="H20" s="148"/>
      <c r="I20" s="247">
        <f t="shared" ca="1" si="2"/>
        <v>34864.205773608715</v>
      </c>
      <c r="J20" s="235"/>
      <c r="K20" s="241">
        <f t="shared" ca="1" si="3"/>
        <v>46888.480711149605</v>
      </c>
      <c r="L20" s="241"/>
      <c r="M20" s="241">
        <f t="shared" ca="1" si="4"/>
        <v>52540.224002137642</v>
      </c>
      <c r="N20" s="148"/>
      <c r="O20" s="247">
        <f t="shared" ca="1" si="5"/>
        <v>1786367.6160726799</v>
      </c>
      <c r="P20" s="148"/>
      <c r="Q20" s="255">
        <f ca="1">O20/'e6.2'!I20</f>
        <v>17.080680351136731</v>
      </c>
      <c r="R20" s="236"/>
      <c r="S20" s="252">
        <f>Intro!G29</f>
        <v>12</v>
      </c>
      <c r="T20" s="266">
        <f t="shared" si="6"/>
        <v>1.3448888242462975</v>
      </c>
      <c r="V20" s="268" t="str">
        <f t="shared" si="7"/>
        <v>07</v>
      </c>
      <c r="W20" s="252">
        <f t="shared" ca="1" si="8"/>
        <v>34864.205773608715</v>
      </c>
      <c r="X20" s="252">
        <f t="shared" ca="1" si="9"/>
        <v>56635.412775828583</v>
      </c>
    </row>
    <row r="21" spans="1:24" x14ac:dyDescent="0.2">
      <c r="A21" s="151">
        <f>Intro!C30</f>
        <v>2008</v>
      </c>
      <c r="B21" s="148"/>
      <c r="C21" s="247">
        <f>'e3.1A'!Q30</f>
        <v>766269.99000000011</v>
      </c>
      <c r="D21" s="280"/>
      <c r="E21" s="308">
        <f>Intro!J30</f>
        <v>1.0673951535966342</v>
      </c>
      <c r="F21" s="148"/>
      <c r="G21" s="247">
        <f ca="1">'e6.1'!$G21</f>
        <v>24</v>
      </c>
      <c r="H21" s="148"/>
      <c r="I21" s="247">
        <f t="shared" ca="1" si="2"/>
        <v>34079.703069689225</v>
      </c>
      <c r="J21" s="235"/>
      <c r="K21" s="241">
        <f t="shared" ca="1" si="3"/>
        <v>44715.523699568083</v>
      </c>
      <c r="L21" s="241"/>
      <c r="M21" s="241">
        <f t="shared" ca="1" si="4"/>
        <v>54385.948727252442</v>
      </c>
      <c r="N21" s="148"/>
      <c r="O21" s="247">
        <f t="shared" ca="1" si="5"/>
        <v>1305262.7694540587</v>
      </c>
      <c r="P21" s="148"/>
      <c r="Q21" s="255">
        <f ca="1">O21/'e6.2'!I21</f>
        <v>12.307959585007655</v>
      </c>
      <c r="R21" s="236"/>
      <c r="S21" s="252">
        <f>Intro!G30</f>
        <v>11</v>
      </c>
      <c r="T21" s="266">
        <f t="shared" si="6"/>
        <v>1.312086657801266</v>
      </c>
      <c r="V21" s="268" t="str">
        <f t="shared" si="7"/>
        <v>08</v>
      </c>
      <c r="W21" s="252">
        <f t="shared" ca="1" si="8"/>
        <v>34079.703069689225</v>
      </c>
      <c r="X21" s="252">
        <f t="shared" ca="1" si="9"/>
        <v>58051.298095224294</v>
      </c>
    </row>
    <row r="22" spans="1:24" x14ac:dyDescent="0.2">
      <c r="A22" s="151">
        <f>Intro!C31</f>
        <v>2009</v>
      </c>
      <c r="B22" s="148"/>
      <c r="C22" s="247">
        <f>'e3.1A'!Q31</f>
        <v>1590221.4700000002</v>
      </c>
      <c r="D22" s="280"/>
      <c r="E22" s="308">
        <f>Intro!J31</f>
        <v>1.0587300339527494</v>
      </c>
      <c r="F22" s="148"/>
      <c r="G22" s="247">
        <f ca="1">'e6.1'!$G22</f>
        <v>31</v>
      </c>
      <c r="H22" s="148"/>
      <c r="I22" s="247">
        <f t="shared" ca="1" si="2"/>
        <v>54310.168739531975</v>
      </c>
      <c r="J22" s="235"/>
      <c r="K22" s="241">
        <f t="shared" ca="1" si="3"/>
        <v>69521.60759617103</v>
      </c>
      <c r="L22" s="241"/>
      <c r="M22" s="241">
        <f t="shared" ca="1" si="4"/>
        <v>56201.844322346355</v>
      </c>
      <c r="N22" s="148"/>
      <c r="O22" s="247">
        <f t="shared" ca="1" si="5"/>
        <v>1742257.173992737</v>
      </c>
      <c r="P22" s="148"/>
      <c r="Q22" s="255">
        <f ca="1">O22/'e6.2'!I22</f>
        <v>15.735319815323667</v>
      </c>
      <c r="R22" s="236"/>
      <c r="S22" s="252">
        <f>Intro!G31</f>
        <v>10</v>
      </c>
      <c r="T22" s="266">
        <f t="shared" si="6"/>
        <v>1.2800845441963571</v>
      </c>
      <c r="V22" s="268" t="str">
        <f t="shared" si="7"/>
        <v>09</v>
      </c>
      <c r="W22" s="252">
        <f t="shared" ca="1" si="8"/>
        <v>54310.168739531975</v>
      </c>
      <c r="X22" s="252">
        <f t="shared" ca="1" si="9"/>
        <v>59502.580547604892</v>
      </c>
    </row>
    <row r="23" spans="1:24" x14ac:dyDescent="0.2">
      <c r="A23" s="151">
        <f>Intro!C32</f>
        <v>2010</v>
      </c>
      <c r="B23" s="148"/>
      <c r="C23" s="247">
        <f ca="1">'e3.1A'!Q32</f>
        <v>1232465.5338992665</v>
      </c>
      <c r="D23" s="280"/>
      <c r="E23" s="308">
        <f>Intro!J32</f>
        <v>1.0522219598580769</v>
      </c>
      <c r="F23" s="148"/>
      <c r="G23" s="247">
        <f ca="1">'e6.1'!$G23</f>
        <v>34</v>
      </c>
      <c r="H23" s="148"/>
      <c r="I23" s="247">
        <f t="shared" ca="1" si="2"/>
        <v>38141.979398147567</v>
      </c>
      <c r="J23" s="235"/>
      <c r="K23" s="241">
        <f t="shared" ca="1" si="3"/>
        <v>47634.105670853241</v>
      </c>
      <c r="L23" s="241"/>
      <c r="M23" s="241">
        <f t="shared" ca="1" si="4"/>
        <v>57963.193497236403</v>
      </c>
      <c r="N23" s="148"/>
      <c r="O23" s="247">
        <f t="shared" ca="1" si="5"/>
        <v>1970748.5789060376</v>
      </c>
      <c r="P23" s="148"/>
      <c r="Q23" s="255">
        <f ca="1">O23/'e6.2'!I23</f>
        <v>15.369803781304645</v>
      </c>
      <c r="R23" s="236"/>
      <c r="S23" s="252">
        <f>Intro!G32</f>
        <v>9</v>
      </c>
      <c r="T23" s="266">
        <f t="shared" si="6"/>
        <v>1.2488629699476654</v>
      </c>
      <c r="V23" s="268" t="str">
        <f t="shared" si="7"/>
        <v>10</v>
      </c>
      <c r="W23" s="252">
        <f t="shared" ca="1" si="8"/>
        <v>38141.979398147567</v>
      </c>
      <c r="X23" s="252">
        <f t="shared" ca="1" si="9"/>
        <v>60990.145061295028</v>
      </c>
    </row>
    <row r="24" spans="1:24" x14ac:dyDescent="0.2">
      <c r="A24" s="151">
        <f>Intro!C33</f>
        <v>2011</v>
      </c>
      <c r="B24" s="148"/>
      <c r="C24" s="247">
        <f>'e3.1A'!Q33</f>
        <v>1212882.8100000003</v>
      </c>
      <c r="D24" s="280"/>
      <c r="E24" s="308">
        <f>Intro!J33</f>
        <v>1.0474460237870546</v>
      </c>
      <c r="F24" s="148"/>
      <c r="G24" s="247">
        <f ca="1">'e6.1'!$G24</f>
        <v>30</v>
      </c>
      <c r="H24" s="148"/>
      <c r="I24" s="247">
        <f t="shared" ca="1" si="2"/>
        <v>42347.642555138998</v>
      </c>
      <c r="J24" s="235"/>
      <c r="K24" s="241">
        <f t="shared" ca="1" si="3"/>
        <v>51596.490391895648</v>
      </c>
      <c r="L24" s="241"/>
      <c r="M24" s="241">
        <f t="shared" ca="1" si="4"/>
        <v>59683.169603149538</v>
      </c>
      <c r="N24" s="148"/>
      <c r="O24" s="247">
        <f t="shared" ca="1" si="5"/>
        <v>1790495.0880944862</v>
      </c>
      <c r="P24" s="148"/>
      <c r="Q24" s="255">
        <f ca="1">O24/'e6.2'!I24</f>
        <v>12.50220238433948</v>
      </c>
      <c r="R24" s="236"/>
      <c r="S24" s="252">
        <f>Intro!G33</f>
        <v>8</v>
      </c>
      <c r="T24" s="266">
        <f t="shared" si="6"/>
        <v>1.2184028975099177</v>
      </c>
      <c r="V24" s="268" t="str">
        <f t="shared" si="7"/>
        <v>11</v>
      </c>
      <c r="W24" s="252">
        <f t="shared" ca="1" si="8"/>
        <v>42347.642555138998</v>
      </c>
      <c r="X24" s="252">
        <f t="shared" ca="1" si="9"/>
        <v>62514.898687827386</v>
      </c>
    </row>
    <row r="25" spans="1:24" x14ac:dyDescent="0.2">
      <c r="A25" s="151">
        <f>Intro!C34</f>
        <v>2012</v>
      </c>
      <c r="B25" s="148"/>
      <c r="C25" s="247">
        <f>'e3.1A'!Q34</f>
        <v>1828733.7599999993</v>
      </c>
      <c r="D25" s="280"/>
      <c r="E25" s="308">
        <f>Intro!J34</f>
        <v>1.0451717334298189</v>
      </c>
      <c r="F25" s="148"/>
      <c r="G25" s="247">
        <f ca="1">'e6.1'!$G25</f>
        <v>34</v>
      </c>
      <c r="H25" s="148"/>
      <c r="I25" s="247">
        <f t="shared" ca="1" si="2"/>
        <v>56215.906880024406</v>
      </c>
      <c r="J25" s="235"/>
      <c r="K25" s="241">
        <f t="shared" ca="1" si="3"/>
        <v>66823.047637823867</v>
      </c>
      <c r="L25" s="241"/>
      <c r="M25" s="241">
        <f t="shared" ca="1" si="4"/>
        <v>61308.365989526406</v>
      </c>
      <c r="N25" s="148"/>
      <c r="O25" s="247">
        <f t="shared" ca="1" si="5"/>
        <v>2084484.4436438978</v>
      </c>
      <c r="P25" s="148"/>
      <c r="Q25" s="255">
        <f ca="1">O25/'e6.2'!I25</f>
        <v>14.319478541796588</v>
      </c>
      <c r="R25" s="236"/>
      <c r="S25" s="252">
        <f>Intro!G34</f>
        <v>7</v>
      </c>
      <c r="T25" s="266">
        <f t="shared" si="6"/>
        <v>1.1886857536682125</v>
      </c>
      <c r="V25" s="268" t="str">
        <f t="shared" si="7"/>
        <v>12</v>
      </c>
      <c r="W25" s="252">
        <f t="shared" ca="1" si="8"/>
        <v>56215.906880024406</v>
      </c>
      <c r="X25" s="252">
        <f t="shared" ca="1" si="9"/>
        <v>64077.771155023074</v>
      </c>
    </row>
    <row r="26" spans="1:24" x14ac:dyDescent="0.2">
      <c r="A26" s="151">
        <f>Intro!C35</f>
        <v>2013</v>
      </c>
      <c r="B26" s="148"/>
      <c r="C26" s="247">
        <f ca="1">'e3.1A'!Q35</f>
        <v>1943820.757447863</v>
      </c>
      <c r="D26" s="280"/>
      <c r="E26" s="308">
        <f>Intro!J35</f>
        <v>1.0424066175137374</v>
      </c>
      <c r="F26" s="148"/>
      <c r="G26" s="247">
        <f ca="1">'e6.1'!$G26</f>
        <v>47</v>
      </c>
      <c r="H26" s="148"/>
      <c r="I26" s="247">
        <f t="shared" ca="1" si="2"/>
        <v>43111.736613281231</v>
      </c>
      <c r="J26" s="235"/>
      <c r="K26" s="241">
        <f t="shared" ca="1" si="3"/>
        <v>49996.39719814992</v>
      </c>
      <c r="L26" s="241"/>
      <c r="M26" s="241">
        <f t="shared" ca="1" si="4"/>
        <v>63007.769070530754</v>
      </c>
      <c r="N26" s="148"/>
      <c r="O26" s="247">
        <f t="shared" ca="1" si="5"/>
        <v>2961365.1463149455</v>
      </c>
      <c r="P26" s="148"/>
      <c r="Q26" s="255">
        <f ca="1">O26/'e6.2'!I26</f>
        <v>18.746554489580294</v>
      </c>
      <c r="R26" s="236"/>
      <c r="S26" s="252">
        <f>Intro!G35</f>
        <v>6</v>
      </c>
      <c r="T26" s="266">
        <f t="shared" si="6"/>
        <v>1.1596934182128902</v>
      </c>
      <c r="V26" s="268" t="str">
        <f t="shared" si="7"/>
        <v>13</v>
      </c>
      <c r="W26" s="252">
        <f t="shared" ca="1" si="8"/>
        <v>43111.736613281231</v>
      </c>
      <c r="X26" s="252">
        <f t="shared" ca="1" si="9"/>
        <v>65679.715433898644</v>
      </c>
    </row>
    <row r="27" spans="1:24" x14ac:dyDescent="0.2">
      <c r="A27" s="151">
        <f>Intro!C36</f>
        <v>2014</v>
      </c>
      <c r="B27" s="148"/>
      <c r="C27" s="247">
        <f>'e3.1A'!Q36</f>
        <v>2173195.9299999997</v>
      </c>
      <c r="D27" s="280"/>
      <c r="E27" s="308">
        <f>Intro!J36</f>
        <v>1.0412119709838517</v>
      </c>
      <c r="F27" s="148"/>
      <c r="G27" s="247">
        <f ca="1">'e6.1'!$G27</f>
        <v>43</v>
      </c>
      <c r="H27" s="148"/>
      <c r="I27" s="247">
        <f t="shared" ca="1" si="2"/>
        <v>52622.270176962418</v>
      </c>
      <c r="J27" s="235"/>
      <c r="K27" s="241">
        <f t="shared" ca="1" si="3"/>
        <v>59537.268659164663</v>
      </c>
      <c r="L27" s="241"/>
      <c r="M27" s="241">
        <f t="shared" ca="1" si="4"/>
        <v>64657.063303001742</v>
      </c>
      <c r="N27" s="148"/>
      <c r="O27" s="247">
        <f t="shared" ca="1" si="5"/>
        <v>2780253.722029075</v>
      </c>
      <c r="P27" s="148"/>
      <c r="Q27" s="255">
        <f ca="1">O27/'e6.2'!I27</f>
        <v>15.23040767247746</v>
      </c>
      <c r="R27" s="236"/>
      <c r="S27" s="252">
        <f>Intro!G36</f>
        <v>5</v>
      </c>
      <c r="T27" s="266">
        <f t="shared" si="6"/>
        <v>1.1314082128906247</v>
      </c>
      <c r="V27" s="268" t="str">
        <f t="shared" si="7"/>
        <v>14</v>
      </c>
      <c r="W27" s="252">
        <f t="shared" ca="1" si="8"/>
        <v>52622.270176962418</v>
      </c>
      <c r="X27" s="252">
        <f t="shared" ca="1" si="9"/>
        <v>67321.708319746103</v>
      </c>
    </row>
    <row r="28" spans="1:24" x14ac:dyDescent="0.2">
      <c r="A28" s="151">
        <f>Intro!C37</f>
        <v>2015</v>
      </c>
      <c r="B28" s="148"/>
      <c r="C28" s="247">
        <f>'e3.1A'!Q37</f>
        <v>3071802.6300000018</v>
      </c>
      <c r="D28" s="280"/>
      <c r="E28" s="308">
        <f>Intro!J37</f>
        <v>1.0428069267716835</v>
      </c>
      <c r="F28" s="148"/>
      <c r="G28" s="247">
        <f ca="1">'e6.1'!$G28</f>
        <v>38</v>
      </c>
      <c r="H28" s="148"/>
      <c r="I28" s="247">
        <f t="shared" ca="1" si="2"/>
        <v>84297.291058933595</v>
      </c>
      <c r="J28" s="235"/>
      <c r="K28" s="241">
        <f t="shared" ca="1" si="3"/>
        <v>93048.436515618436</v>
      </c>
      <c r="L28" s="241"/>
      <c r="M28" s="241">
        <f t="shared" ca="1" si="4"/>
        <v>66172.125689042281</v>
      </c>
      <c r="N28" s="148"/>
      <c r="O28" s="247">
        <f t="shared" ca="1" si="5"/>
        <v>2514540.7761836066</v>
      </c>
      <c r="P28" s="148"/>
      <c r="Q28" s="255">
        <f ca="1">O28/'e6.2'!I28</f>
        <v>12.769863890533156</v>
      </c>
      <c r="R28" s="236"/>
      <c r="S28" s="252">
        <f>Intro!G37</f>
        <v>4</v>
      </c>
      <c r="T28" s="266">
        <f t="shared" si="6"/>
        <v>1.1038128906249998</v>
      </c>
      <c r="V28" s="268" t="str">
        <f t="shared" si="7"/>
        <v>15</v>
      </c>
      <c r="W28" s="252">
        <f t="shared" ca="1" si="8"/>
        <v>84297.291058933595</v>
      </c>
      <c r="X28" s="252">
        <f t="shared" ca="1" si="9"/>
        <v>69004.751027739752</v>
      </c>
    </row>
    <row r="29" spans="1:24" x14ac:dyDescent="0.2">
      <c r="A29" s="151">
        <f>Intro!C38</f>
        <v>2016</v>
      </c>
      <c r="B29" s="148"/>
      <c r="C29" s="247">
        <f ca="1">'e3.1A'!Q38</f>
        <v>2765962.2720213775</v>
      </c>
      <c r="D29" s="280"/>
      <c r="E29" s="308">
        <f>Intro!J38</f>
        <v>1.0342758961601715</v>
      </c>
      <c r="F29" s="148"/>
      <c r="G29" s="247">
        <f ca="1">'e6.1'!$G29</f>
        <v>35</v>
      </c>
      <c r="H29" s="148"/>
      <c r="I29" s="247">
        <f t="shared" ca="1" si="2"/>
        <v>81736.231646860979</v>
      </c>
      <c r="J29" s="235"/>
      <c r="K29" s="241">
        <f t="shared" ca="1" si="3"/>
        <v>88020.98158333289</v>
      </c>
      <c r="L29" s="241"/>
      <c r="M29" s="241">
        <f t="shared" ca="1" si="4"/>
        <v>68385.882399486742</v>
      </c>
      <c r="N29" s="148"/>
      <c r="O29" s="247">
        <f t="shared" ca="1" si="5"/>
        <v>2393505.8839820358</v>
      </c>
      <c r="P29" s="148"/>
      <c r="Q29" s="255">
        <f ca="1">O29/'e6.2'!I29</f>
        <v>10.78668011777201</v>
      </c>
      <c r="R29" s="236"/>
      <c r="S29" s="252">
        <f>Intro!G38</f>
        <v>3</v>
      </c>
      <c r="T29" s="266">
        <f t="shared" si="6"/>
        <v>1.0768906249999999</v>
      </c>
      <c r="V29" s="268" t="str">
        <f t="shared" si="7"/>
        <v>16</v>
      </c>
      <c r="W29" s="252">
        <f t="shared" ca="1" si="8"/>
        <v>81736.231646860979</v>
      </c>
      <c r="X29" s="252">
        <f t="shared" ca="1" si="9"/>
        <v>70729.869803433248</v>
      </c>
    </row>
    <row r="30" spans="1:24" x14ac:dyDescent="0.2">
      <c r="A30" s="151">
        <f>Intro!C39</f>
        <v>2017</v>
      </c>
      <c r="B30" s="148"/>
      <c r="C30" s="247">
        <f ca="1">'e3.1A'!Q39</f>
        <v>3119810.9942307575</v>
      </c>
      <c r="D30" s="280"/>
      <c r="E30" s="308">
        <f>Intro!J39</f>
        <v>1.0165895076831004</v>
      </c>
      <c r="F30" s="148"/>
      <c r="G30" s="247">
        <f ca="1">'e6.1'!$G30</f>
        <v>46</v>
      </c>
      <c r="H30" s="148"/>
      <c r="I30" s="247">
        <f t="shared" ca="1" si="2"/>
        <v>68947.111362812386</v>
      </c>
      <c r="J30" s="235"/>
      <c r="K30" s="241">
        <f t="shared" ca="1" si="3"/>
        <v>72437.558875554751</v>
      </c>
      <c r="L30" s="241"/>
      <c r="M30" s="241">
        <f t="shared" ca="1" si="4"/>
        <v>71315.035223754021</v>
      </c>
      <c r="N30" s="148"/>
      <c r="O30" s="247">
        <f t="shared" ca="1" si="5"/>
        <v>3280491.620292685</v>
      </c>
      <c r="P30" s="148"/>
      <c r="Q30" s="255">
        <f ca="1">O30/'e6.2'!I30</f>
        <v>10.667929962257507</v>
      </c>
      <c r="R30" s="236"/>
      <c r="S30" s="252">
        <f>Intro!G39</f>
        <v>2</v>
      </c>
      <c r="T30" s="266">
        <f t="shared" si="6"/>
        <v>1.0506249999999999</v>
      </c>
      <c r="V30" s="268" t="str">
        <f t="shared" si="7"/>
        <v>17</v>
      </c>
      <c r="W30" s="252">
        <f t="shared" ca="1" si="8"/>
        <v>68947.111362812386</v>
      </c>
      <c r="X30" s="252">
        <f t="shared" ca="1" si="9"/>
        <v>72498.116548519058</v>
      </c>
    </row>
    <row r="31" spans="1:24" x14ac:dyDescent="0.2">
      <c r="A31" s="151">
        <f>Intro!C40</f>
        <v>2018</v>
      </c>
      <c r="B31" s="148"/>
      <c r="C31" s="247">
        <f ca="1">'e3.1A'!Q40</f>
        <v>8722941.3906945344</v>
      </c>
      <c r="D31" s="280"/>
      <c r="E31" s="308">
        <f>Intro!J40</f>
        <v>1.0000032636733147</v>
      </c>
      <c r="F31" s="148"/>
      <c r="G31" s="247">
        <f ca="1">'e6.1'!$G31</f>
        <v>129</v>
      </c>
      <c r="H31" s="148"/>
      <c r="I31" s="247">
        <f t="shared" ca="1" si="2"/>
        <v>67619.921391671131</v>
      </c>
      <c r="J31" s="235"/>
      <c r="K31" s="241">
        <f t="shared" ca="1" si="3"/>
        <v>69310.419426462904</v>
      </c>
      <c r="L31" s="241"/>
      <c r="M31" s="241">
        <f t="shared" ca="1" si="4"/>
        <v>74310.326937601014</v>
      </c>
      <c r="N31" s="148"/>
      <c r="O31" s="247">
        <f t="shared" ca="1" si="5"/>
        <v>9586032.1749505308</v>
      </c>
      <c r="P31" s="148"/>
      <c r="Q31" s="255">
        <f ca="1">O31/'e6.2'!I31</f>
        <v>17.854532897937503</v>
      </c>
      <c r="R31" s="236"/>
      <c r="S31" s="252">
        <f>Intro!G40</f>
        <v>1</v>
      </c>
      <c r="T31" s="266">
        <f t="shared" si="6"/>
        <v>1.0249999999999999</v>
      </c>
      <c r="V31" s="268" t="str">
        <f t="shared" si="7"/>
        <v>18</v>
      </c>
      <c r="W31" s="252">
        <f t="shared" ca="1" si="8"/>
        <v>67619.921391671131</v>
      </c>
      <c r="X31" s="252">
        <f t="shared" ca="1" si="9"/>
        <v>74310.569462232044</v>
      </c>
    </row>
    <row r="32" spans="1:24" x14ac:dyDescent="0.2">
      <c r="A32" s="151">
        <f>Intro!C41</f>
        <v>2019</v>
      </c>
      <c r="B32" s="148"/>
      <c r="C32" s="247">
        <f ca="1">'e3.1A'!Q41</f>
        <v>7826148.334131144</v>
      </c>
      <c r="D32" s="280"/>
      <c r="E32" s="308">
        <f>Intro!J41</f>
        <v>1</v>
      </c>
      <c r="F32" s="148"/>
      <c r="G32" s="248">
        <f ca="1">'e6.1'!$G32</f>
        <v>95</v>
      </c>
      <c r="H32" s="148"/>
      <c r="I32" s="247">
        <f t="shared" ca="1" si="2"/>
        <v>82380.508780327829</v>
      </c>
      <c r="J32" s="235"/>
      <c r="K32" s="241">
        <f t="shared" ca="1" si="3"/>
        <v>82380.508780327829</v>
      </c>
      <c r="L32" s="241"/>
      <c r="M32" s="241">
        <f t="shared" ca="1" si="4"/>
        <v>76168.333698787843</v>
      </c>
      <c r="N32" s="148"/>
      <c r="O32" s="248">
        <f t="shared" ca="1" si="5"/>
        <v>7235991.7013848452</v>
      </c>
      <c r="P32" s="148"/>
      <c r="Q32" s="261">
        <f ca="1">O32/'e6.2'!I32</f>
        <v>13.322682808198911</v>
      </c>
      <c r="R32" s="236"/>
      <c r="S32" s="252">
        <f>Intro!G41</f>
        <v>0</v>
      </c>
      <c r="T32" s="266">
        <f t="shared" si="6"/>
        <v>1</v>
      </c>
      <c r="V32" s="268" t="str">
        <f t="shared" si="7"/>
        <v>19</v>
      </c>
      <c r="W32" s="252">
        <f t="shared" ca="1" si="8"/>
        <v>82380.508780327829</v>
      </c>
      <c r="X32" s="252">
        <f t="shared" ca="1" si="9"/>
        <v>76168.333698787843</v>
      </c>
    </row>
    <row r="33" spans="1:23" x14ac:dyDescent="0.2">
      <c r="A33" s="151"/>
      <c r="B33" s="148"/>
      <c r="C33" s="234"/>
      <c r="D33" s="148"/>
      <c r="E33" s="148"/>
      <c r="F33" s="148"/>
      <c r="G33" s="234"/>
      <c r="H33" s="148"/>
      <c r="I33" s="148"/>
      <c r="J33" s="148"/>
      <c r="K33" s="148"/>
      <c r="L33" s="148"/>
      <c r="M33" s="148"/>
      <c r="N33" s="148"/>
      <c r="O33" s="234"/>
      <c r="P33" s="148"/>
      <c r="Q33" s="281"/>
      <c r="R33" s="148"/>
    </row>
    <row r="34" spans="1:23" x14ac:dyDescent="0.2">
      <c r="A34" s="151" t="s">
        <v>78</v>
      </c>
      <c r="B34" s="148"/>
      <c r="C34" s="249">
        <f ca="1">SUM(C16:C32)</f>
        <v>43077821.757459767</v>
      </c>
      <c r="D34" s="148"/>
      <c r="E34" s="148"/>
      <c r="F34" s="148"/>
      <c r="G34" s="235">
        <f ca="1">SUM(G16:G32)</f>
        <v>745</v>
      </c>
      <c r="H34" s="148"/>
      <c r="I34" s="235"/>
      <c r="J34" s="148"/>
      <c r="K34" s="235"/>
      <c r="L34" s="148"/>
      <c r="M34" s="148"/>
      <c r="N34" s="148"/>
      <c r="O34" s="249">
        <f ca="1">SUM(O16:O32)</f>
        <v>47482655.510087751</v>
      </c>
      <c r="P34" s="148"/>
      <c r="Q34" s="316">
        <f ca="1">O34/'e6.2'!I34</f>
        <v>14.378713777469191</v>
      </c>
      <c r="R34" s="235"/>
    </row>
    <row r="35" spans="1:23" x14ac:dyDescent="0.2">
      <c r="A35" s="151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23" x14ac:dyDescent="0.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23" x14ac:dyDescent="0.2">
      <c r="A37" s="245" t="str">
        <f>"AVERAGES AT THE "&amp;cpy_l&amp;" LEVEL:"</f>
        <v>AVERAGES AT THE 2018/19 LEVEL:</v>
      </c>
      <c r="B37" s="148"/>
      <c r="C37" s="148"/>
      <c r="D37" s="148"/>
      <c r="E37" s="148"/>
      <c r="F37" s="148"/>
      <c r="G37" s="148"/>
      <c r="H37" s="148"/>
      <c r="I37" s="227"/>
      <c r="J37" s="148"/>
      <c r="K37" s="148"/>
      <c r="L37" s="148"/>
      <c r="M37" s="148"/>
      <c r="N37" s="148"/>
      <c r="O37" s="148"/>
      <c r="P37" s="148"/>
      <c r="Q37" s="148"/>
      <c r="R37" s="148"/>
      <c r="S37" s="244" t="s">
        <v>21</v>
      </c>
      <c r="T37" s="244" t="s">
        <v>22</v>
      </c>
    </row>
    <row r="38" spans="1:23" x14ac:dyDescent="0.2">
      <c r="A38" s="148" t="str">
        <f>"Policy Periods "&amp;W38&amp;" - Straight Average:"</f>
        <v>Policy Periods 2010 through 2018 - Straight Average:</v>
      </c>
      <c r="B38" s="148"/>
      <c r="C38" s="148"/>
      <c r="D38" s="148"/>
      <c r="E38" s="148"/>
      <c r="F38" s="148"/>
      <c r="G38" s="148"/>
      <c r="H38" s="148"/>
      <c r="I38" s="227"/>
      <c r="J38" s="148"/>
      <c r="K38" s="312">
        <f ca="1">AVERAGE(INDIRECT(U38))</f>
        <v>66489.411773206259</v>
      </c>
      <c r="L38" s="148"/>
      <c r="N38" s="148"/>
      <c r="O38" s="148"/>
      <c r="P38" s="148"/>
      <c r="Q38" s="148"/>
      <c r="R38" s="148"/>
      <c r="S38" s="267">
        <v>2010</v>
      </c>
      <c r="T38" s="267">
        <v>2018</v>
      </c>
      <c r="U38" s="264" t="str">
        <f ca="1">"K"&amp;ROW(OFFSET($A$33, (INDEX($S$16:$S$32, MATCH(S38, $A$16:$A$32, 0))+1)*-1, 0))&amp;":K"&amp;ROW(OFFSET($A$33, (INDEX($S$16:$S$32, MATCH(T38, $A$16:$A$32, 0))+1)*-1, 0))</f>
        <v>K23:K31</v>
      </c>
      <c r="V38" s="268" t="str">
        <f ca="1">SUBSTITUTE(U38, "K", "G")</f>
        <v>G23:G31</v>
      </c>
      <c r="W38" s="222" t="str">
        <f>S38&amp;" through "&amp;T38</f>
        <v>2010 through 2018</v>
      </c>
    </row>
    <row r="39" spans="1:23" x14ac:dyDescent="0.2">
      <c r="A39" s="148" t="str">
        <f>"Policy Periods "&amp;W39&amp;" - Straight Average Excluding Extremes:"</f>
        <v>Policy Periods 2010 through 2018 - Straight Average Excluding Extremes:</v>
      </c>
      <c r="B39" s="148"/>
      <c r="C39" s="148"/>
      <c r="D39" s="148"/>
      <c r="E39" s="148"/>
      <c r="F39" s="148"/>
      <c r="G39" s="148"/>
      <c r="H39" s="148"/>
      <c r="I39" s="227"/>
      <c r="J39" s="148"/>
      <c r="K39" s="241">
        <f ca="1">(SUM(INDIRECT(U39))-MIN(INDIRECT(U39))-MAX(INDIRECT(U39)))/(COUNT(INDIRECT(U39))-2)</f>
        <v>65388.880538912075</v>
      </c>
      <c r="L39" s="148"/>
      <c r="N39" s="148"/>
      <c r="O39" s="148"/>
      <c r="P39" s="148"/>
      <c r="Q39" s="148"/>
      <c r="R39" s="148"/>
      <c r="S39" s="267">
        <v>2010</v>
      </c>
      <c r="T39" s="267">
        <v>2018</v>
      </c>
      <c r="U39" s="264" t="str">
        <f ca="1">"K"&amp;ROW(OFFSET($A$33, (INDEX($S$16:$S$32, MATCH(S39, $A$16:$A$32, 0))+1)*-1, 0))&amp;":K"&amp;ROW(OFFSET($A$33, (INDEX($S$16:$S$32, MATCH(T39, $A$16:$A$32, 0))+1)*-1, 0))</f>
        <v>K23:K31</v>
      </c>
      <c r="V39" s="268" t="str">
        <f ca="1">SUBSTITUTE(U39, "K", "G")</f>
        <v>G23:G31</v>
      </c>
      <c r="W39" s="222" t="str">
        <f>S39&amp;" through "&amp;T39</f>
        <v>2010 through 2018</v>
      </c>
    </row>
    <row r="40" spans="1:23" x14ac:dyDescent="0.2">
      <c r="A40" s="148" t="str">
        <f>"Policy Periods "&amp;W40&amp;" - Weighted Average:"</f>
        <v>Policy Periods 2010 through 2018 - Weighted Average:</v>
      </c>
      <c r="B40" s="148"/>
      <c r="C40" s="148"/>
      <c r="D40" s="148"/>
      <c r="E40" s="148"/>
      <c r="F40" s="148"/>
      <c r="G40" s="148"/>
      <c r="H40" s="148"/>
      <c r="I40" s="227"/>
      <c r="J40" s="148"/>
      <c r="K40" s="241">
        <f ca="1">SUMPRODUCT(INDIRECT(U40),INDIRECT(V40))/SUM(INDIRECT(V40))</f>
        <v>67062.19702341377</v>
      </c>
      <c r="L40" s="148"/>
      <c r="N40" s="148"/>
      <c r="O40" s="148"/>
      <c r="P40" s="148"/>
      <c r="Q40" s="148"/>
      <c r="R40" s="148"/>
      <c r="S40" s="267">
        <v>2010</v>
      </c>
      <c r="T40" s="267">
        <v>2018</v>
      </c>
      <c r="U40" s="264" t="str">
        <f ca="1">"K"&amp;ROW(OFFSET($A$33, (INDEX($S$16:$S$32, MATCH(S40, $A$16:$A$32, 0))+1)*-1, 0))&amp;":K"&amp;ROW(OFFSET($A$33, (INDEX($S$16:$S$32, MATCH(T40, $A$16:$A$32, 0))+1)*-1, 0))</f>
        <v>K23:K31</v>
      </c>
      <c r="V40" s="268" t="str">
        <f ca="1">SUBSTITUTE(U40, "K", "G")</f>
        <v>G23:G31</v>
      </c>
      <c r="W40" s="222" t="str">
        <f>S40&amp;" through "&amp;T40</f>
        <v>2010 through 2018</v>
      </c>
    </row>
    <row r="41" spans="1:23" x14ac:dyDescent="0.2">
      <c r="A41" s="148" t="str">
        <f>"Policy Periods "&amp;W41&amp;" - Weighted Average:"</f>
        <v>Policy Periods 2012 through 2018 - Weighted Average:</v>
      </c>
      <c r="B41" s="148"/>
      <c r="C41" s="148"/>
      <c r="D41" s="148"/>
      <c r="E41" s="148"/>
      <c r="F41" s="148"/>
      <c r="G41" s="148"/>
      <c r="H41" s="148"/>
      <c r="I41" s="227"/>
      <c r="J41" s="148"/>
      <c r="K41" s="241">
        <f ca="1">SUMPRODUCT(INDIRECT(U41),INDIRECT(V41))/SUM(INDIRECT(V41))</f>
        <v>70085.117197963773</v>
      </c>
      <c r="L41" s="148"/>
      <c r="N41" s="148"/>
      <c r="O41" s="148"/>
      <c r="P41" s="148"/>
      <c r="Q41" s="148"/>
      <c r="R41" s="148"/>
      <c r="S41" s="267">
        <v>2012</v>
      </c>
      <c r="T41" s="267">
        <v>2018</v>
      </c>
      <c r="U41" s="264" t="str">
        <f ca="1">"K"&amp;ROW(OFFSET($A$33, (INDEX($S$16:$S$32, MATCH(S41, $A$16:$A$32, 0))+1)*-1, 0))&amp;":K"&amp;ROW(OFFSET($A$33, (INDEX($S$16:$S$32, MATCH(T41, $A$16:$A$32, 0))+1)*-1, 0))</f>
        <v>K25:K31</v>
      </c>
      <c r="V41" s="268" t="str">
        <f ca="1">SUBSTITUTE(U41, "K", "G")</f>
        <v>G25:G31</v>
      </c>
      <c r="W41" s="222" t="str">
        <f>S41&amp;" through "&amp;T41</f>
        <v>2012 through 2018</v>
      </c>
    </row>
    <row r="42" spans="1:23" x14ac:dyDescent="0.2">
      <c r="A42" s="148" t="str">
        <f>"Policy Periods "&amp;W42&amp;" - Weighted Average:"</f>
        <v>Policy Periods 2015 through 2018 - Weighted Average:</v>
      </c>
      <c r="B42" s="148"/>
      <c r="C42" s="148"/>
      <c r="D42" s="148"/>
      <c r="E42" s="148"/>
      <c r="F42" s="148"/>
      <c r="G42" s="148"/>
      <c r="H42" s="148"/>
      <c r="I42" s="227"/>
      <c r="J42" s="148"/>
      <c r="K42" s="241">
        <f ca="1">SUMPRODUCT(INDIRECT(U42),INDIRECT(V42))/SUM(INDIRECT(V42))</f>
        <v>76168.333698787843</v>
      </c>
      <c r="L42" s="148"/>
      <c r="N42" s="148"/>
      <c r="O42" s="148"/>
      <c r="P42" s="148"/>
      <c r="Q42" s="148"/>
      <c r="R42" s="148"/>
      <c r="S42" s="267">
        <v>2015</v>
      </c>
      <c r="T42" s="267">
        <v>2018</v>
      </c>
      <c r="U42" s="264" t="str">
        <f ca="1">"K"&amp;ROW(OFFSET($A$33, (INDEX($S$16:$S$32, MATCH(S42, $A$16:$A$32, 0))+1)*-1, 0))&amp;":K"&amp;ROW(OFFSET($A$33, (INDEX($S$16:$S$32, MATCH(T42, $A$16:$A$32, 0))+1)*-1, 0))</f>
        <v>K28:K31</v>
      </c>
      <c r="V42" s="268" t="str">
        <f ca="1">SUBSTITUTE(U42, "K", "G")</f>
        <v>G28:G31</v>
      </c>
      <c r="W42" s="222" t="str">
        <f>S42&amp;" through "&amp;T42</f>
        <v>2015 through 2018</v>
      </c>
    </row>
    <row r="43" spans="1:23" x14ac:dyDescent="0.2">
      <c r="N43" s="148"/>
      <c r="O43" s="148"/>
      <c r="P43" s="148"/>
      <c r="Q43" s="148"/>
      <c r="R43" s="148"/>
    </row>
    <row r="44" spans="1:23" ht="14.25" x14ac:dyDescent="0.2">
      <c r="A44" s="148" t="str">
        <f>"Selected Policy Period "&amp;cpy_l&amp;" Loss &amp; ALAE Severity Limited to $250,000:"</f>
        <v>Selected Policy Period 2018/19 Loss &amp; ALAE Severity Limited to $250,000: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317">
        <f ca="1">K42</f>
        <v>76168.333698787843</v>
      </c>
      <c r="L44" s="148"/>
      <c r="N44"/>
      <c r="O44" s="148"/>
      <c r="P44" s="148"/>
      <c r="Q44" s="148"/>
      <c r="R44" s="148"/>
      <c r="S44" s="313">
        <v>78135.941880195634</v>
      </c>
      <c r="T44" s="263" t="s">
        <v>354</v>
      </c>
    </row>
    <row r="45" spans="1:23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314">
        <f>S44*(1+Trend!$I$43*trend_prior)</f>
        <v>78135.941880195634</v>
      </c>
      <c r="T45" s="263" t="s">
        <v>355</v>
      </c>
    </row>
    <row r="46" spans="1:2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532">
        <f ca="1">K44/S45-1</f>
        <v>-2.5181857850061995E-2</v>
      </c>
      <c r="T46" s="263" t="s">
        <v>356</v>
      </c>
    </row>
    <row r="47" spans="1:2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23" x14ac:dyDescent="0.2">
      <c r="A48" s="148" t="s">
        <v>595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23" x14ac:dyDescent="0.2">
      <c r="A49" s="282" t="s">
        <v>594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23" x14ac:dyDescent="0.2">
      <c r="A50" s="148" t="s">
        <v>378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3" x14ac:dyDescent="0.2">
      <c r="A51" s="148" t="s">
        <v>379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23" x14ac:dyDescent="0.2">
      <c r="A52" s="148" t="s">
        <v>598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23" x14ac:dyDescent="0.2">
      <c r="A53" s="283" t="str">
        <f>"Column (5) equals [ (4) x Trend ]. The selected severity trend used is "&amp;TEXT(sevtrnd_250k, "0.00%")&amp;"."</f>
        <v>Column (5) equals [ (4) x Trend ]. The selected severity trend used is 2.50%.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23" x14ac:dyDescent="0.2">
      <c r="A54" s="227" t="str">
        <f>"Column (6) for all policy periods is the selected policy period "&amp;cpy_l&amp;" severity,"</f>
        <v>Column (6) for all policy periods is the selected policy period 2018/19 severity,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23" x14ac:dyDescent="0.2">
      <c r="A55" s="284" t="str">
        <f>"detrended at an annual rate of "&amp;TEXT(sevtrnd_250k, "0.00%")&amp;" and adjusted to the benefit level of the respective policy period."</f>
        <v>detrended at an annual rate of 2.50% and adjusted to the benefit level of the respective policy period.</v>
      </c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</row>
    <row r="56" spans="1:23" x14ac:dyDescent="0.2">
      <c r="A56" s="415" t="s">
        <v>597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spans="1:23" x14ac:dyDescent="0.2">
      <c r="A57" s="148" t="s">
        <v>599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</sheetData>
  <printOptions horizontalCentered="1"/>
  <pageMargins left="0.7" right="0.7" top="0.75" bottom="0.75" header="0.3" footer="0.3"/>
  <pageSetup scale="77" orientation="portrait" blackAndWhite="1" r:id="rId1"/>
  <headerFooter>
    <oddHeader xml:space="preserve">&amp;L&amp;"Arial"&amp;10  
  &amp;R&amp;"Arial"&amp;10  Exhibit 5
Sheet 1
</oddHeader>
    <oddFooter xml:space="preserve">&amp;L&amp;"Arial"&amp;10 Oliver Wyman Actuarial Consulting, Inc.
&amp;C&amp;"Arial"&amp;10 &amp;R&amp;"Arial"&amp;10 </oddFooter>
  </headerFooter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8">
    <tabColor rgb="FFFFCCCC"/>
    <pageSetUpPr fitToPage="1"/>
  </sheetPr>
  <dimension ref="A1:X57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625" style="222" customWidth="1"/>
    <col min="8" max="8" width="2.625" style="222" customWidth="1"/>
    <col min="9" max="9" width="9" style="222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10.75" style="222" customWidth="1"/>
    <col min="16" max="16" width="2.625" style="222" customWidth="1"/>
    <col min="17" max="17" width="9" style="222"/>
    <col min="18" max="18" width="2.625" style="222" customWidth="1"/>
    <col min="19" max="16384" width="9" style="222"/>
  </cols>
  <sheetData>
    <row r="1" spans="1:24" x14ac:dyDescent="0.2">
      <c r="A1" s="1" t="str">
        <f>[1]!getlabels()</f>
        <v>Exhibit 5, Sheet 2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</row>
    <row r="7" spans="1:24" x14ac:dyDescent="0.2">
      <c r="A7" s="224" t="str">
        <f>VLOOKUP($A$1, index_lkups, 3, FALSE)</f>
        <v>Average Severity Method - Loss &amp; ALAE Limited to $350,000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10" spans="1:24" x14ac:dyDescent="0.2">
      <c r="A10" s="151"/>
      <c r="B10" s="148"/>
      <c r="C10" s="151" t="s">
        <v>373</v>
      </c>
      <c r="D10" s="148"/>
      <c r="E10" s="151" t="s">
        <v>345</v>
      </c>
      <c r="F10" s="148"/>
      <c r="G10" s="151" t="s">
        <v>105</v>
      </c>
      <c r="H10" s="148"/>
      <c r="I10" s="151"/>
      <c r="J10" s="148"/>
      <c r="K10" s="151" t="s">
        <v>374</v>
      </c>
      <c r="L10" s="148"/>
      <c r="M10" s="151"/>
      <c r="N10" s="148"/>
      <c r="P10" s="148"/>
      <c r="Q10" s="151"/>
      <c r="R10" s="151"/>
      <c r="S10" s="148"/>
      <c r="T10" s="148"/>
      <c r="U10" s="148"/>
      <c r="V10" s="148"/>
      <c r="W10" s="148"/>
    </row>
    <row r="11" spans="1:24" x14ac:dyDescent="0.2">
      <c r="A11" s="181" t="str">
        <f>Intro!M9</f>
        <v>Policy</v>
      </c>
      <c r="B11" s="148"/>
      <c r="C11" s="151" t="s">
        <v>330</v>
      </c>
      <c r="D11" s="148"/>
      <c r="E11" s="306" t="str">
        <f>"to "&amp;cpy_l</f>
        <v>to 2018/19</v>
      </c>
      <c r="F11" s="148"/>
      <c r="G11" s="151" t="s">
        <v>245</v>
      </c>
      <c r="H11" s="148"/>
      <c r="I11" s="151" t="s">
        <v>332</v>
      </c>
      <c r="J11" s="148"/>
      <c r="K11" s="306" t="str">
        <f>E11</f>
        <v>to 2018/19</v>
      </c>
      <c r="L11" s="148"/>
      <c r="M11" s="151"/>
      <c r="N11" s="148"/>
      <c r="O11" s="181" t="s">
        <v>330</v>
      </c>
      <c r="P11" s="148"/>
      <c r="Q11" s="151" t="s">
        <v>332</v>
      </c>
      <c r="R11" s="151"/>
      <c r="S11" s="148"/>
      <c r="T11" s="148"/>
      <c r="U11" s="148"/>
      <c r="V11" s="148"/>
      <c r="W11" s="148"/>
    </row>
    <row r="12" spans="1:24" x14ac:dyDescent="0.2">
      <c r="A12" s="181" t="str">
        <f>Intro!M10</f>
        <v>Period</v>
      </c>
      <c r="B12" s="148"/>
      <c r="C12" s="151" t="s">
        <v>245</v>
      </c>
      <c r="D12" s="148"/>
      <c r="E12" s="151" t="s">
        <v>375</v>
      </c>
      <c r="F12" s="148"/>
      <c r="G12" s="151" t="s">
        <v>84</v>
      </c>
      <c r="H12" s="148"/>
      <c r="I12" s="276" t="s">
        <v>376</v>
      </c>
      <c r="J12" s="148"/>
      <c r="K12" s="276" t="s">
        <v>376</v>
      </c>
      <c r="L12" s="148"/>
      <c r="M12" s="151" t="s">
        <v>336</v>
      </c>
      <c r="N12" s="148"/>
      <c r="O12" s="181" t="s">
        <v>245</v>
      </c>
      <c r="P12" s="148"/>
      <c r="Q12" s="151" t="s">
        <v>347</v>
      </c>
      <c r="R12" s="181"/>
      <c r="T12" s="293" t="s">
        <v>353</v>
      </c>
    </row>
    <row r="13" spans="1:24" x14ac:dyDescent="0.2">
      <c r="A13" s="176" t="str">
        <f>Intro!M11</f>
        <v>Ending 9/30</v>
      </c>
      <c r="B13" s="148"/>
      <c r="C13" s="179" t="s">
        <v>8</v>
      </c>
      <c r="D13" s="148"/>
      <c r="E13" s="176" t="s">
        <v>350</v>
      </c>
      <c r="F13" s="148"/>
      <c r="G13" s="176" t="s">
        <v>377</v>
      </c>
      <c r="H13" s="148"/>
      <c r="I13" s="277" t="s">
        <v>348</v>
      </c>
      <c r="J13" s="148"/>
      <c r="K13" s="277" t="s">
        <v>348</v>
      </c>
      <c r="L13" s="148"/>
      <c r="M13" s="277" t="s">
        <v>348</v>
      </c>
      <c r="N13" s="148"/>
      <c r="O13" s="179" t="s">
        <v>8</v>
      </c>
      <c r="P13" s="148"/>
      <c r="Q13" s="176" t="s">
        <v>349</v>
      </c>
      <c r="R13" s="148"/>
      <c r="S13" s="299" t="s">
        <v>352</v>
      </c>
      <c r="T13" s="299" t="s">
        <v>229</v>
      </c>
      <c r="V13" s="299" t="s">
        <v>41</v>
      </c>
      <c r="W13" s="299" t="s">
        <v>332</v>
      </c>
      <c r="X13" s="299" t="s">
        <v>336</v>
      </c>
    </row>
    <row r="14" spans="1:24" x14ac:dyDescent="0.2">
      <c r="A14" s="148"/>
      <c r="B14" s="148"/>
      <c r="C14" s="230" t="s">
        <v>253</v>
      </c>
      <c r="D14" s="148"/>
      <c r="E14" s="230" t="s">
        <v>230</v>
      </c>
      <c r="F14" s="148"/>
      <c r="G14" s="230" t="s">
        <v>231</v>
      </c>
      <c r="H14" s="148"/>
      <c r="I14" s="230" t="s">
        <v>232</v>
      </c>
      <c r="J14" s="148"/>
      <c r="K14" s="230" t="s">
        <v>233</v>
      </c>
      <c r="L14" s="148"/>
      <c r="M14" s="230" t="s">
        <v>234</v>
      </c>
      <c r="N14" s="148"/>
      <c r="O14" s="230" t="s">
        <v>235</v>
      </c>
      <c r="P14" s="148"/>
      <c r="Q14" s="230" t="s">
        <v>236</v>
      </c>
      <c r="R14" s="148"/>
    </row>
    <row r="15" spans="1:24" x14ac:dyDescent="0.2">
      <c r="A15" s="148"/>
      <c r="B15" s="148"/>
      <c r="C15" s="235"/>
      <c r="D15" s="280"/>
      <c r="E15" s="236"/>
      <c r="F15" s="148"/>
      <c r="G15" s="235"/>
      <c r="H15" s="148"/>
      <c r="I15" s="235"/>
      <c r="J15" s="235"/>
      <c r="K15" s="241"/>
      <c r="L15" s="241"/>
      <c r="M15" s="241"/>
      <c r="N15" s="148"/>
      <c r="O15" s="235"/>
      <c r="P15" s="148"/>
      <c r="Q15" s="238"/>
      <c r="R15" s="236"/>
    </row>
    <row r="16" spans="1:24" x14ac:dyDescent="0.2">
      <c r="A16" s="151">
        <f>Intro!C25</f>
        <v>2003</v>
      </c>
      <c r="B16" s="148"/>
      <c r="C16" s="315">
        <f>'e3.1A'!Q61</f>
        <v>1343025.0200000005</v>
      </c>
      <c r="D16" s="280"/>
      <c r="E16" s="308">
        <f>Intro!J25</f>
        <v>1.0980216306970509</v>
      </c>
      <c r="F16" s="148"/>
      <c r="G16" s="247">
        <f ca="1">'e6.1'!$G16</f>
        <v>38</v>
      </c>
      <c r="H16" s="148"/>
      <c r="I16" s="315">
        <f ca="1">(C16 * E16) / G16</f>
        <v>38807.119013877375</v>
      </c>
      <c r="J16" s="235"/>
      <c r="K16" s="312">
        <f ca="1">I16*T16</f>
        <v>59899.154375423685</v>
      </c>
      <c r="L16" s="241"/>
      <c r="M16" s="312">
        <f t="shared" ref="M16" ca="1" si="0">$K$44 / (T16 * E16)</f>
        <v>48111.072978928518</v>
      </c>
      <c r="N16" s="148"/>
      <c r="O16" s="315">
        <f ca="1">M16*G16</f>
        <v>1828220.7731992838</v>
      </c>
      <c r="P16" s="148"/>
      <c r="Q16" s="316">
        <f ca="1">O16/'e6.2'!I16</f>
        <v>19.068365751873731</v>
      </c>
      <c r="R16" s="236"/>
      <c r="S16" s="252">
        <f>Intro!G25</f>
        <v>16</v>
      </c>
      <c r="T16" s="266">
        <f t="shared" ref="T16" si="1">(1 + sevtrnd_350k) ^ S16</f>
        <v>1.5435094358332508</v>
      </c>
      <c r="V16" s="268" t="str">
        <f>RIGHT(A16,2)</f>
        <v>03</v>
      </c>
      <c r="W16" s="252">
        <f ca="1">I16</f>
        <v>38807.119013877375</v>
      </c>
      <c r="X16" s="252">
        <f ca="1">M16*E16</f>
        <v>52826.998806907919</v>
      </c>
    </row>
    <row r="17" spans="1:24" x14ac:dyDescent="0.2">
      <c r="A17" s="151">
        <f>Intro!C26</f>
        <v>2004</v>
      </c>
      <c r="B17" s="148"/>
      <c r="C17" s="247">
        <f ca="1">'e3.1A'!Q62</f>
        <v>2422357.3090926795</v>
      </c>
      <c r="D17" s="280"/>
      <c r="E17" s="308">
        <f>Intro!J26</f>
        <v>1.1043638048521249</v>
      </c>
      <c r="F17" s="148"/>
      <c r="G17" s="247">
        <f ca="1">'e6.1'!$G17</f>
        <v>30</v>
      </c>
      <c r="H17" s="148"/>
      <c r="I17" s="247">
        <f t="shared" ref="I17:I32" ca="1" si="2">(C17 * E17) / G17</f>
        <v>89172.124486031549</v>
      </c>
      <c r="J17" s="235"/>
      <c r="K17" s="241">
        <f t="shared" ref="K17:K32" ca="1" si="3">I17*T17</f>
        <v>133954.27304864913</v>
      </c>
      <c r="L17" s="241"/>
      <c r="M17" s="241">
        <f t="shared" ref="M17:M32" ca="1" si="4">$K$44 / (T17 * E17)</f>
        <v>49150.235670179325</v>
      </c>
      <c r="N17" s="148"/>
      <c r="O17" s="247">
        <f t="shared" ref="O17:O32" ca="1" si="5">M17*G17</f>
        <v>1474507.0701053797</v>
      </c>
      <c r="P17" s="148"/>
      <c r="Q17" s="255">
        <f ca="1">O17/'e6.2'!I17</f>
        <v>14.436464280862163</v>
      </c>
      <c r="R17" s="236"/>
      <c r="S17" s="252">
        <f>Intro!G26</f>
        <v>15</v>
      </c>
      <c r="T17" s="266">
        <f t="shared" ref="T17:T32" si="6">(1 + sevtrnd_350k) ^ S17</f>
        <v>1.5021989643145994</v>
      </c>
      <c r="V17" s="268" t="str">
        <f t="shared" ref="V17:V32" si="7">RIGHT(A17,2)</f>
        <v>04</v>
      </c>
      <c r="W17" s="252">
        <f t="shared" ref="W17:W32" ca="1" si="8">I17</f>
        <v>89172.124486031549</v>
      </c>
      <c r="X17" s="252">
        <f t="shared" ref="X17:X32" ca="1" si="9">M17*E17</f>
        <v>54279.741274097869</v>
      </c>
    </row>
    <row r="18" spans="1:24" x14ac:dyDescent="0.2">
      <c r="A18" s="151">
        <f>Intro!C27</f>
        <v>2005</v>
      </c>
      <c r="B18" s="148"/>
      <c r="C18" s="247">
        <f>'e3.1A'!Q63</f>
        <v>699839.89000000025</v>
      </c>
      <c r="D18" s="280"/>
      <c r="E18" s="308">
        <f>Intro!J27</f>
        <v>1.0993295241734087</v>
      </c>
      <c r="F18" s="148"/>
      <c r="G18" s="247">
        <f ca="1">'e6.1'!$G18</f>
        <v>26</v>
      </c>
      <c r="H18" s="148"/>
      <c r="I18" s="247">
        <f t="shared" ca="1" si="2"/>
        <v>29590.563587356573</v>
      </c>
      <c r="J18" s="235"/>
      <c r="K18" s="241">
        <f t="shared" ca="1" si="3"/>
        <v>43261.230145413472</v>
      </c>
      <c r="L18" s="241"/>
      <c r="M18" s="241">
        <f t="shared" ca="1" si="4"/>
        <v>50733.135909427278</v>
      </c>
      <c r="N18" s="148"/>
      <c r="O18" s="247">
        <f t="shared" ca="1" si="5"/>
        <v>1319061.5336451093</v>
      </c>
      <c r="P18" s="148"/>
      <c r="Q18" s="255">
        <f ca="1">O18/'e6.2'!I18</f>
        <v>11.852216579594311</v>
      </c>
      <c r="R18" s="236"/>
      <c r="S18" s="252">
        <f>Intro!G27</f>
        <v>14</v>
      </c>
      <c r="T18" s="266">
        <f t="shared" si="6"/>
        <v>1.4619941258536249</v>
      </c>
      <c r="V18" s="268" t="str">
        <f t="shared" si="7"/>
        <v>05</v>
      </c>
      <c r="W18" s="252">
        <f t="shared" ca="1" si="8"/>
        <v>29590.563587356573</v>
      </c>
      <c r="X18" s="252">
        <f t="shared" ca="1" si="9"/>
        <v>55772.434159135562</v>
      </c>
    </row>
    <row r="19" spans="1:24" x14ac:dyDescent="0.2">
      <c r="A19" s="151">
        <f>Intro!C28</f>
        <v>2006</v>
      </c>
      <c r="B19" s="148"/>
      <c r="C19" s="247">
        <f>'e3.1A'!Q64</f>
        <v>2005481.3700000008</v>
      </c>
      <c r="D19" s="280"/>
      <c r="E19" s="308">
        <f>Intro!J28</f>
        <v>1.0898938283807902</v>
      </c>
      <c r="F19" s="148"/>
      <c r="G19" s="247">
        <f ca="1">'e6.1'!$G19</f>
        <v>31</v>
      </c>
      <c r="H19" s="148"/>
      <c r="I19" s="247">
        <f t="shared" ca="1" si="2"/>
        <v>70508.444132117846</v>
      </c>
      <c r="J19" s="235"/>
      <c r="K19" s="241">
        <f t="shared" ca="1" si="3"/>
        <v>100324.02057833067</v>
      </c>
      <c r="L19" s="241"/>
      <c r="M19" s="241">
        <f t="shared" ca="1" si="4"/>
        <v>52579.595008487377</v>
      </c>
      <c r="N19" s="148"/>
      <c r="O19" s="247">
        <f t="shared" ca="1" si="5"/>
        <v>1629967.4452631087</v>
      </c>
      <c r="P19" s="148"/>
      <c r="Q19" s="255">
        <f ca="1">O19/'e6.2'!I19</f>
        <v>15.12635009791221</v>
      </c>
      <c r="R19" s="236"/>
      <c r="S19" s="252">
        <f>Intro!G28</f>
        <v>13</v>
      </c>
      <c r="T19" s="266">
        <f t="shared" si="6"/>
        <v>1.4228653292979316</v>
      </c>
      <c r="V19" s="268" t="str">
        <f t="shared" si="7"/>
        <v>06</v>
      </c>
      <c r="W19" s="252">
        <f t="shared" ca="1" si="8"/>
        <v>70508.444132117846</v>
      </c>
      <c r="X19" s="252">
        <f t="shared" ca="1" si="9"/>
        <v>57306.176098511794</v>
      </c>
    </row>
    <row r="20" spans="1:24" x14ac:dyDescent="0.2">
      <c r="A20" s="151">
        <f>Intro!C29</f>
        <v>2007</v>
      </c>
      <c r="B20" s="148"/>
      <c r="C20" s="247">
        <f>'e3.1A'!Q65</f>
        <v>1099670.4199999997</v>
      </c>
      <c r="D20" s="280"/>
      <c r="E20" s="308">
        <f>Intro!J29</f>
        <v>1.0779438773143473</v>
      </c>
      <c r="F20" s="148"/>
      <c r="G20" s="247">
        <f ca="1">'e6.1'!$G20</f>
        <v>34</v>
      </c>
      <c r="H20" s="148"/>
      <c r="I20" s="247">
        <f t="shared" ca="1" si="2"/>
        <v>34864.205773608715</v>
      </c>
      <c r="J20" s="235"/>
      <c r="K20" s="241">
        <f t="shared" ca="1" si="3"/>
        <v>48279.386500025888</v>
      </c>
      <c r="L20" s="241"/>
      <c r="M20" s="241">
        <f t="shared" ca="1" si="4"/>
        <v>54624.454185799732</v>
      </c>
      <c r="N20" s="148"/>
      <c r="O20" s="247">
        <f t="shared" ca="1" si="5"/>
        <v>1857231.4423171908</v>
      </c>
      <c r="P20" s="148"/>
      <c r="Q20" s="255">
        <f ca="1">O20/'e6.2'!I20</f>
        <v>17.758257773415608</v>
      </c>
      <c r="R20" s="236"/>
      <c r="S20" s="252">
        <f>Intro!G29</f>
        <v>12</v>
      </c>
      <c r="T20" s="266">
        <f t="shared" si="6"/>
        <v>1.3847837754724392</v>
      </c>
      <c r="V20" s="268" t="str">
        <f t="shared" si="7"/>
        <v>07</v>
      </c>
      <c r="W20" s="252">
        <f t="shared" ca="1" si="8"/>
        <v>34864.205773608715</v>
      </c>
      <c r="X20" s="252">
        <f t="shared" ca="1" si="9"/>
        <v>58882.09594122089</v>
      </c>
    </row>
    <row r="21" spans="1:24" x14ac:dyDescent="0.2">
      <c r="A21" s="151">
        <f>Intro!C30</f>
        <v>2008</v>
      </c>
      <c r="B21" s="148"/>
      <c r="C21" s="247">
        <f>'e3.1A'!Q66</f>
        <v>766269.99000000011</v>
      </c>
      <c r="D21" s="280"/>
      <c r="E21" s="308">
        <f>Intro!J30</f>
        <v>1.0673951535966342</v>
      </c>
      <c r="F21" s="148"/>
      <c r="G21" s="247">
        <f ca="1">'e6.1'!$G21</f>
        <v>24</v>
      </c>
      <c r="H21" s="148"/>
      <c r="I21" s="247">
        <f t="shared" ca="1" si="2"/>
        <v>34079.703069689225</v>
      </c>
      <c r="J21" s="235"/>
      <c r="K21" s="241">
        <f t="shared" ca="1" si="3"/>
        <v>45929.946358952722</v>
      </c>
      <c r="L21" s="241"/>
      <c r="M21" s="241">
        <f t="shared" ca="1" si="4"/>
        <v>56681.308113253581</v>
      </c>
      <c r="N21" s="148"/>
      <c r="O21" s="247">
        <f t="shared" ca="1" si="5"/>
        <v>1360351.3947180859</v>
      </c>
      <c r="P21" s="148"/>
      <c r="Q21" s="255">
        <f ca="1">O21/'e6.2'!I21</f>
        <v>12.827417114334775</v>
      </c>
      <c r="R21" s="236"/>
      <c r="S21" s="252">
        <f>Intro!G30</f>
        <v>11</v>
      </c>
      <c r="T21" s="266">
        <f t="shared" si="6"/>
        <v>1.3477214359829093</v>
      </c>
      <c r="V21" s="268" t="str">
        <f t="shared" si="7"/>
        <v>08</v>
      </c>
      <c r="W21" s="252">
        <f t="shared" ca="1" si="8"/>
        <v>34079.703069689225</v>
      </c>
      <c r="X21" s="252">
        <f t="shared" ca="1" si="9"/>
        <v>60501.353579604453</v>
      </c>
    </row>
    <row r="22" spans="1:24" x14ac:dyDescent="0.2">
      <c r="A22" s="151">
        <f>Intro!C31</f>
        <v>2009</v>
      </c>
      <c r="B22" s="148"/>
      <c r="C22" s="247">
        <f ca="1">'e3.1A'!Q67</f>
        <v>1786555.7366137598</v>
      </c>
      <c r="D22" s="280"/>
      <c r="E22" s="308">
        <f>Intro!J31</f>
        <v>1.0587300339527494</v>
      </c>
      <c r="F22" s="148"/>
      <c r="G22" s="247">
        <f ca="1">'e6.1'!$G22</f>
        <v>31</v>
      </c>
      <c r="H22" s="148"/>
      <c r="I22" s="247">
        <f t="shared" ca="1" si="2"/>
        <v>61015.490828502101</v>
      </c>
      <c r="J22" s="235"/>
      <c r="K22" s="241">
        <f t="shared" ca="1" si="3"/>
        <v>80031.03154899356</v>
      </c>
      <c r="L22" s="241"/>
      <c r="M22" s="241">
        <f t="shared" ca="1" si="4"/>
        <v>58716.70662912164</v>
      </c>
      <c r="N22" s="148"/>
      <c r="O22" s="247">
        <f t="shared" ca="1" si="5"/>
        <v>1820217.9055027708</v>
      </c>
      <c r="P22" s="148"/>
      <c r="Q22" s="255">
        <f ca="1">O22/'e6.2'!I22</f>
        <v>16.439427717221783</v>
      </c>
      <c r="R22" s="236"/>
      <c r="S22" s="252">
        <f>Intro!G31</f>
        <v>10</v>
      </c>
      <c r="T22" s="266">
        <f t="shared" si="6"/>
        <v>1.311651032586773</v>
      </c>
      <c r="V22" s="268" t="str">
        <f t="shared" si="7"/>
        <v>09</v>
      </c>
      <c r="W22" s="252">
        <f t="shared" ca="1" si="8"/>
        <v>61015.490828502101</v>
      </c>
      <c r="X22" s="252">
        <f t="shared" ca="1" si="9"/>
        <v>62165.140803043585</v>
      </c>
    </row>
    <row r="23" spans="1:24" x14ac:dyDescent="0.2">
      <c r="A23" s="151">
        <f>Intro!C32</f>
        <v>2010</v>
      </c>
      <c r="B23" s="148"/>
      <c r="C23" s="247">
        <f ca="1">'e3.1A'!Q68</f>
        <v>1232465.5338992665</v>
      </c>
      <c r="D23" s="280"/>
      <c r="E23" s="308">
        <f>Intro!J32</f>
        <v>1.0522219598580769</v>
      </c>
      <c r="F23" s="148"/>
      <c r="G23" s="247">
        <f ca="1">'e6.1'!$G23</f>
        <v>34</v>
      </c>
      <c r="H23" s="148"/>
      <c r="I23" s="247">
        <f t="shared" ca="1" si="2"/>
        <v>38141.979398147567</v>
      </c>
      <c r="J23" s="235"/>
      <c r="K23" s="241">
        <f t="shared" ca="1" si="3"/>
        <v>48689.991885628886</v>
      </c>
      <c r="L23" s="241"/>
      <c r="M23" s="241">
        <f t="shared" ca="1" si="4"/>
        <v>60704.570529722325</v>
      </c>
      <c r="N23" s="148"/>
      <c r="O23" s="247">
        <f t="shared" ca="1" si="5"/>
        <v>2063955.3980105591</v>
      </c>
      <c r="P23" s="148"/>
      <c r="Q23" s="255">
        <f ca="1">O23/'e6.2'!I23</f>
        <v>16.096720718375977</v>
      </c>
      <c r="R23" s="236"/>
      <c r="S23" s="252">
        <f>Intro!G32</f>
        <v>9</v>
      </c>
      <c r="T23" s="266">
        <f t="shared" si="6"/>
        <v>1.2765460171160807</v>
      </c>
      <c r="V23" s="268" t="str">
        <f t="shared" si="7"/>
        <v>10</v>
      </c>
      <c r="W23" s="252">
        <f t="shared" ca="1" si="8"/>
        <v>38141.979398147567</v>
      </c>
      <c r="X23" s="252">
        <f t="shared" ca="1" si="9"/>
        <v>63874.68217512728</v>
      </c>
    </row>
    <row r="24" spans="1:24" x14ac:dyDescent="0.2">
      <c r="A24" s="151">
        <f>Intro!C33</f>
        <v>2011</v>
      </c>
      <c r="B24" s="148"/>
      <c r="C24" s="247">
        <f>'e3.1A'!Q69</f>
        <v>1212882.8100000003</v>
      </c>
      <c r="D24" s="280"/>
      <c r="E24" s="308">
        <f>Intro!J33</f>
        <v>1.0474460237870546</v>
      </c>
      <c r="F24" s="148"/>
      <c r="G24" s="247">
        <f ca="1">'e6.1'!$G24</f>
        <v>30</v>
      </c>
      <c r="H24" s="148"/>
      <c r="I24" s="247">
        <f t="shared" ca="1" si="2"/>
        <v>42347.642555138998</v>
      </c>
      <c r="J24" s="235"/>
      <c r="K24" s="241">
        <f t="shared" ca="1" si="3"/>
        <v>52611.887530917884</v>
      </c>
      <c r="L24" s="241"/>
      <c r="M24" s="241">
        <f t="shared" ca="1" si="4"/>
        <v>62658.346534795848</v>
      </c>
      <c r="N24" s="148"/>
      <c r="O24" s="247">
        <f t="shared" ca="1" si="5"/>
        <v>1879750.3960438755</v>
      </c>
      <c r="P24" s="148"/>
      <c r="Q24" s="255">
        <f ca="1">O24/'e6.2'!I24</f>
        <v>13.125431083083011</v>
      </c>
      <c r="R24" s="236"/>
      <c r="S24" s="252">
        <f>Intro!G33</f>
        <v>8</v>
      </c>
      <c r="T24" s="266">
        <f t="shared" si="6"/>
        <v>1.2423805519377913</v>
      </c>
      <c r="V24" s="268" t="str">
        <f t="shared" si="7"/>
        <v>11</v>
      </c>
      <c r="W24" s="252">
        <f t="shared" ca="1" si="8"/>
        <v>42347.642555138998</v>
      </c>
      <c r="X24" s="252">
        <f t="shared" ca="1" si="9"/>
        <v>65631.235934943281</v>
      </c>
    </row>
    <row r="25" spans="1:24" x14ac:dyDescent="0.2">
      <c r="A25" s="151">
        <f>Intro!C34</f>
        <v>2012</v>
      </c>
      <c r="B25" s="148"/>
      <c r="C25" s="247">
        <f>'e3.1A'!Q70</f>
        <v>1928733.7599999993</v>
      </c>
      <c r="D25" s="280"/>
      <c r="E25" s="308">
        <f>Intro!J34</f>
        <v>1.0451717334298189</v>
      </c>
      <c r="F25" s="148"/>
      <c r="G25" s="247">
        <f ca="1">'e6.1'!$G25</f>
        <v>34</v>
      </c>
      <c r="H25" s="148"/>
      <c r="I25" s="247">
        <f t="shared" ca="1" si="2"/>
        <v>59289.941390112108</v>
      </c>
      <c r="J25" s="235"/>
      <c r="K25" s="241">
        <f t="shared" ca="1" si="3"/>
        <v>71689.216650712187</v>
      </c>
      <c r="L25" s="241"/>
      <c r="M25" s="241">
        <f t="shared" ca="1" si="4"/>
        <v>64521.544896604697</v>
      </c>
      <c r="N25" s="148"/>
      <c r="O25" s="247">
        <f t="shared" ca="1" si="5"/>
        <v>2193732.5264845598</v>
      </c>
      <c r="P25" s="148"/>
      <c r="Q25" s="255">
        <f ca="1">O25/'e6.2'!I25</f>
        <v>15.069964151194844</v>
      </c>
      <c r="R25" s="236"/>
      <c r="S25" s="252">
        <f>Intro!G34</f>
        <v>7</v>
      </c>
      <c r="T25" s="266">
        <f t="shared" si="6"/>
        <v>1.2091294909370232</v>
      </c>
      <c r="V25" s="268" t="str">
        <f t="shared" si="7"/>
        <v>12</v>
      </c>
      <c r="W25" s="252">
        <f t="shared" ca="1" si="8"/>
        <v>59289.941390112108</v>
      </c>
      <c r="X25" s="252">
        <f t="shared" ca="1" si="9"/>
        <v>67436.094923154218</v>
      </c>
    </row>
    <row r="26" spans="1:24" x14ac:dyDescent="0.2">
      <c r="A26" s="151">
        <f>Intro!C35</f>
        <v>2013</v>
      </c>
      <c r="B26" s="148"/>
      <c r="C26" s="247">
        <f ca="1">'e3.1A'!Q71</f>
        <v>2043820.757447863</v>
      </c>
      <c r="D26" s="280"/>
      <c r="E26" s="308">
        <f>Intro!J35</f>
        <v>1.0424066175137374</v>
      </c>
      <c r="F26" s="148"/>
      <c r="G26" s="247">
        <f ca="1">'e6.1'!$G26</f>
        <v>47</v>
      </c>
      <c r="H26" s="148"/>
      <c r="I26" s="247">
        <f t="shared" ca="1" si="2"/>
        <v>45329.623033523225</v>
      </c>
      <c r="J26" s="235"/>
      <c r="K26" s="241">
        <f t="shared" ca="1" si="3"/>
        <v>53342.466202327101</v>
      </c>
      <c r="L26" s="241"/>
      <c r="M26" s="241">
        <f t="shared" ca="1" si="4"/>
        <v>66471.745640685956</v>
      </c>
      <c r="N26" s="148"/>
      <c r="O26" s="247">
        <f t="shared" ca="1" si="5"/>
        <v>3124172.0451122401</v>
      </c>
      <c r="P26" s="148"/>
      <c r="Q26" s="255">
        <f ca="1">O26/'e6.2'!I26</f>
        <v>19.777183354575545</v>
      </c>
      <c r="R26" s="236"/>
      <c r="S26" s="252">
        <f>Intro!G35</f>
        <v>6</v>
      </c>
      <c r="T26" s="266">
        <f t="shared" si="6"/>
        <v>1.1767683610092683</v>
      </c>
      <c r="V26" s="268" t="str">
        <f t="shared" si="7"/>
        <v>13</v>
      </c>
      <c r="W26" s="252">
        <f t="shared" ca="1" si="8"/>
        <v>45329.623033523225</v>
      </c>
      <c r="X26" s="252">
        <f t="shared" ca="1" si="9"/>
        <v>69290.587533540966</v>
      </c>
    </row>
    <row r="27" spans="1:24" x14ac:dyDescent="0.2">
      <c r="A27" s="151">
        <f>Intro!C36</f>
        <v>2014</v>
      </c>
      <c r="B27" s="148"/>
      <c r="C27" s="247">
        <f>'e3.1A'!Q72</f>
        <v>2275241.92</v>
      </c>
      <c r="D27" s="280"/>
      <c r="E27" s="308">
        <f>Intro!J36</f>
        <v>1.0412119709838517</v>
      </c>
      <c r="F27" s="148"/>
      <c r="G27" s="247">
        <f ca="1">'e6.1'!$G27</f>
        <v>43</v>
      </c>
      <c r="H27" s="148"/>
      <c r="I27" s="247">
        <f t="shared" ca="1" si="2"/>
        <v>55093.235441587974</v>
      </c>
      <c r="J27" s="235"/>
      <c r="K27" s="241">
        <f t="shared" ca="1" si="3"/>
        <v>63096.813988608475</v>
      </c>
      <c r="L27" s="241"/>
      <c r="M27" s="241">
        <f t="shared" ca="1" si="4"/>
        <v>68378.083113508052</v>
      </c>
      <c r="N27" s="148"/>
      <c r="O27" s="247">
        <f t="shared" ca="1" si="5"/>
        <v>2940257.5738808461</v>
      </c>
      <c r="P27" s="148"/>
      <c r="Q27" s="255">
        <f ca="1">O27/'e6.2'!I27</f>
        <v>16.106919004360744</v>
      </c>
      <c r="R27" s="236"/>
      <c r="S27" s="252">
        <f>Intro!G36</f>
        <v>5</v>
      </c>
      <c r="T27" s="266">
        <f t="shared" si="6"/>
        <v>1.1452733440479497</v>
      </c>
      <c r="V27" s="268" t="str">
        <f t="shared" si="7"/>
        <v>14</v>
      </c>
      <c r="W27" s="252">
        <f t="shared" ca="1" si="8"/>
        <v>55093.235441587974</v>
      </c>
      <c r="X27" s="252">
        <f t="shared" ca="1" si="9"/>
        <v>71196.078690713344</v>
      </c>
    </row>
    <row r="28" spans="1:24" x14ac:dyDescent="0.2">
      <c r="A28" s="151">
        <f>Intro!C37</f>
        <v>2015</v>
      </c>
      <c r="B28" s="148"/>
      <c r="C28" s="247">
        <f>'e3.1A'!Q73</f>
        <v>3506190.600000002</v>
      </c>
      <c r="D28" s="280"/>
      <c r="E28" s="308">
        <f>Intro!J37</f>
        <v>1.0428069267716835</v>
      </c>
      <c r="F28" s="148"/>
      <c r="G28" s="247">
        <f ca="1">'e6.1'!$G28</f>
        <v>38</v>
      </c>
      <c r="H28" s="148"/>
      <c r="I28" s="247">
        <f t="shared" ca="1" si="2"/>
        <v>96217.890638467565</v>
      </c>
      <c r="J28" s="235"/>
      <c r="K28" s="241">
        <f t="shared" ca="1" si="3"/>
        <v>107246.50644161328</v>
      </c>
      <c r="L28" s="241"/>
      <c r="M28" s="241">
        <f t="shared" ca="1" si="4"/>
        <v>70151.021226122539</v>
      </c>
      <c r="N28" s="148"/>
      <c r="O28" s="247">
        <f t="shared" ca="1" si="5"/>
        <v>2665738.8065926563</v>
      </c>
      <c r="P28" s="148"/>
      <c r="Q28" s="255">
        <f ca="1">O28/'e6.2'!I28</f>
        <v>13.537709171519476</v>
      </c>
      <c r="R28" s="236"/>
      <c r="S28" s="252">
        <f>Intro!G37</f>
        <v>4</v>
      </c>
      <c r="T28" s="266">
        <f t="shared" si="6"/>
        <v>1.1146212594140628</v>
      </c>
      <c r="V28" s="268" t="str">
        <f t="shared" si="7"/>
        <v>15</v>
      </c>
      <c r="W28" s="252">
        <f t="shared" ca="1" si="8"/>
        <v>96217.890638467565</v>
      </c>
      <c r="X28" s="252">
        <f t="shared" ca="1" si="9"/>
        <v>73153.970854707979</v>
      </c>
    </row>
    <row r="29" spans="1:24" x14ac:dyDescent="0.2">
      <c r="A29" s="151">
        <f>Intro!C38</f>
        <v>2016</v>
      </c>
      <c r="B29" s="148"/>
      <c r="C29" s="247">
        <f ca="1">'e3.1A'!Q74</f>
        <v>2979677.1167968484</v>
      </c>
      <c r="D29" s="280"/>
      <c r="E29" s="308">
        <f>Intro!J38</f>
        <v>1.0342758961601715</v>
      </c>
      <c r="F29" s="148"/>
      <c r="G29" s="247">
        <f ca="1">'e6.1'!$G29</f>
        <v>35</v>
      </c>
      <c r="H29" s="148"/>
      <c r="I29" s="247">
        <f t="shared" ca="1" si="2"/>
        <v>88051.663435514754</v>
      </c>
      <c r="J29" s="235"/>
      <c r="K29" s="241">
        <f t="shared" ca="1" si="3"/>
        <v>95517.524079802068</v>
      </c>
      <c r="L29" s="241"/>
      <c r="M29" s="241">
        <f t="shared" ca="1" si="4"/>
        <v>72674.71409927553</v>
      </c>
      <c r="N29" s="148"/>
      <c r="O29" s="247">
        <f t="shared" ca="1" si="5"/>
        <v>2543614.9934746437</v>
      </c>
      <c r="P29" s="148"/>
      <c r="Q29" s="255">
        <f ca="1">O29/'e6.2'!I29</f>
        <v>11.463168509840038</v>
      </c>
      <c r="R29" s="236"/>
      <c r="S29" s="252">
        <f>Intro!G38</f>
        <v>3</v>
      </c>
      <c r="T29" s="266">
        <f t="shared" si="6"/>
        <v>1.0847895468750002</v>
      </c>
      <c r="V29" s="268" t="str">
        <f t="shared" si="7"/>
        <v>16</v>
      </c>
      <c r="W29" s="252">
        <f t="shared" ca="1" si="8"/>
        <v>88051.663435514754</v>
      </c>
      <c r="X29" s="252">
        <f t="shared" ca="1" si="9"/>
        <v>75165.705053212441</v>
      </c>
    </row>
    <row r="30" spans="1:24" x14ac:dyDescent="0.2">
      <c r="A30" s="151">
        <f>Intro!C39</f>
        <v>2017</v>
      </c>
      <c r="B30" s="148"/>
      <c r="C30" s="247">
        <f ca="1">'e3.1A'!Q75</f>
        <v>3182127.6644803137</v>
      </c>
      <c r="D30" s="280"/>
      <c r="E30" s="308">
        <f>Intro!J39</f>
        <v>1.0165895076831004</v>
      </c>
      <c r="F30" s="148"/>
      <c r="G30" s="247">
        <f ca="1">'e6.1'!$G30</f>
        <v>46</v>
      </c>
      <c r="H30" s="148"/>
      <c r="I30" s="247">
        <f t="shared" ca="1" si="2"/>
        <v>70324.295561278617</v>
      </c>
      <c r="J30" s="235"/>
      <c r="K30" s="241">
        <f t="shared" ca="1" si="3"/>
        <v>74245.31456566717</v>
      </c>
      <c r="L30" s="241"/>
      <c r="M30" s="241">
        <f t="shared" ca="1" si="4"/>
        <v>75972.416947521182</v>
      </c>
      <c r="N30" s="148"/>
      <c r="O30" s="247">
        <f t="shared" ca="1" si="5"/>
        <v>3494731.1795859742</v>
      </c>
      <c r="P30" s="148"/>
      <c r="Q30" s="255">
        <f ca="1">O30/'e6.2'!I30</f>
        <v>11.36462206765658</v>
      </c>
      <c r="R30" s="236"/>
      <c r="S30" s="252">
        <f>Intro!G39</f>
        <v>2</v>
      </c>
      <c r="T30" s="266">
        <f t="shared" si="6"/>
        <v>1.0557562500000002</v>
      </c>
      <c r="V30" s="268" t="str">
        <f t="shared" si="7"/>
        <v>17</v>
      </c>
      <c r="W30" s="252">
        <f t="shared" ca="1" si="8"/>
        <v>70324.295561278617</v>
      </c>
      <c r="X30" s="252">
        <f t="shared" ca="1" si="9"/>
        <v>77232.761942175799</v>
      </c>
    </row>
    <row r="31" spans="1:24" x14ac:dyDescent="0.2">
      <c r="A31" s="151">
        <f>Intro!C40</f>
        <v>2018</v>
      </c>
      <c r="B31" s="148"/>
      <c r="C31" s="247">
        <f ca="1">'e3.1A'!Q76</f>
        <v>9136612.3041557781</v>
      </c>
      <c r="D31" s="280"/>
      <c r="E31" s="308">
        <f>Intro!J40</f>
        <v>1.0000032636733147</v>
      </c>
      <c r="F31" s="148"/>
      <c r="G31" s="247">
        <f ca="1">'e6.1'!$G31</f>
        <v>129</v>
      </c>
      <c r="H31" s="148"/>
      <c r="I31" s="247">
        <f t="shared" ca="1" si="2"/>
        <v>70826.683124601099</v>
      </c>
      <c r="J31" s="235"/>
      <c r="K31" s="241">
        <f t="shared" ca="1" si="3"/>
        <v>72774.416910527638</v>
      </c>
      <c r="L31" s="241"/>
      <c r="M31" s="241">
        <f t="shared" ca="1" si="4"/>
        <v>79356.403902207865</v>
      </c>
      <c r="N31" s="148"/>
      <c r="O31" s="247">
        <f t="shared" ca="1" si="5"/>
        <v>10236976.103384815</v>
      </c>
      <c r="P31" s="148"/>
      <c r="Q31" s="255">
        <f ca="1">O31/'e6.2'!I31</f>
        <v>19.066953174943571</v>
      </c>
      <c r="R31" s="236"/>
      <c r="S31" s="252">
        <f>Intro!G40</f>
        <v>1</v>
      </c>
      <c r="T31" s="266">
        <f t="shared" si="6"/>
        <v>1.0275000000000001</v>
      </c>
      <c r="V31" s="268" t="str">
        <f t="shared" si="7"/>
        <v>18</v>
      </c>
      <c r="W31" s="252">
        <f t="shared" ca="1" si="8"/>
        <v>70826.683124601099</v>
      </c>
      <c r="X31" s="252">
        <f t="shared" ca="1" si="9"/>
        <v>79356.662895585629</v>
      </c>
    </row>
    <row r="32" spans="1:24" x14ac:dyDescent="0.2">
      <c r="A32" s="151">
        <f>Intro!C41</f>
        <v>2019</v>
      </c>
      <c r="B32" s="148"/>
      <c r="C32" s="247">
        <f ca="1">'e3.1A'!Q77</f>
        <v>8256507.0849764422</v>
      </c>
      <c r="D32" s="280"/>
      <c r="E32" s="308">
        <f>Intro!J41</f>
        <v>1</v>
      </c>
      <c r="F32" s="148"/>
      <c r="G32" s="248">
        <f ca="1">'e6.1'!$G32</f>
        <v>95</v>
      </c>
      <c r="H32" s="148"/>
      <c r="I32" s="247">
        <f t="shared" ca="1" si="2"/>
        <v>86910.60089448886</v>
      </c>
      <c r="J32" s="235"/>
      <c r="K32" s="241">
        <f t="shared" ca="1" si="3"/>
        <v>86910.60089448886</v>
      </c>
      <c r="L32" s="241"/>
      <c r="M32" s="241">
        <f t="shared" ca="1" si="4"/>
        <v>81538.971125214244</v>
      </c>
      <c r="N32" s="148"/>
      <c r="O32" s="248">
        <f t="shared" ca="1" si="5"/>
        <v>7746202.2568953531</v>
      </c>
      <c r="P32" s="148"/>
      <c r="Q32" s="261">
        <f ca="1">O32/'e6.2'!I32</f>
        <v>14.262066610305892</v>
      </c>
      <c r="R32" s="236"/>
      <c r="S32" s="252">
        <f>Intro!G41</f>
        <v>0</v>
      </c>
      <c r="T32" s="266">
        <f t="shared" si="6"/>
        <v>1</v>
      </c>
      <c r="V32" s="268" t="str">
        <f t="shared" si="7"/>
        <v>19</v>
      </c>
      <c r="W32" s="252">
        <f t="shared" ca="1" si="8"/>
        <v>86910.60089448886</v>
      </c>
      <c r="X32" s="252">
        <f t="shared" ca="1" si="9"/>
        <v>81538.971125214244</v>
      </c>
    </row>
    <row r="33" spans="1:23" x14ac:dyDescent="0.2">
      <c r="A33" s="151"/>
      <c r="B33" s="148"/>
      <c r="C33" s="234"/>
      <c r="D33" s="148"/>
      <c r="E33" s="148"/>
      <c r="F33" s="148"/>
      <c r="G33" s="234"/>
      <c r="H33" s="148"/>
      <c r="I33" s="148"/>
      <c r="J33" s="148"/>
      <c r="K33" s="148"/>
      <c r="L33" s="148"/>
      <c r="M33" s="148"/>
      <c r="N33" s="148"/>
      <c r="O33" s="234"/>
      <c r="P33" s="148"/>
      <c r="Q33" s="281"/>
      <c r="R33" s="148"/>
    </row>
    <row r="34" spans="1:23" x14ac:dyDescent="0.2">
      <c r="A34" s="151" t="s">
        <v>78</v>
      </c>
      <c r="B34" s="148"/>
      <c r="C34" s="249">
        <f ca="1">SUM(C16:C32)</f>
        <v>45877459.287462957</v>
      </c>
      <c r="D34" s="148"/>
      <c r="E34" s="148"/>
      <c r="F34" s="148"/>
      <c r="G34" s="235">
        <f ca="1">SUM(G16:G32)</f>
        <v>745</v>
      </c>
      <c r="H34" s="148"/>
      <c r="I34" s="235"/>
      <c r="J34" s="148"/>
      <c r="K34" s="235"/>
      <c r="L34" s="148"/>
      <c r="M34" s="148"/>
      <c r="N34" s="148"/>
      <c r="O34" s="249">
        <f ca="1">SUM(O16:O32)</f>
        <v>50178688.844216458</v>
      </c>
      <c r="P34" s="148"/>
      <c r="Q34" s="316">
        <f ca="1">O34/'e6.2'!I34</f>
        <v>15.195127502217943</v>
      </c>
      <c r="R34" s="235"/>
    </row>
    <row r="35" spans="1:23" x14ac:dyDescent="0.2">
      <c r="A35" s="151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23" x14ac:dyDescent="0.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23" x14ac:dyDescent="0.2">
      <c r="A37" s="245" t="str">
        <f>"AVERAGES AT THE "&amp;cpy_l&amp;" LEVEL:"</f>
        <v>AVERAGES AT THE 2018/19 LEVEL:</v>
      </c>
      <c r="B37" s="148"/>
      <c r="C37" s="148"/>
      <c r="D37" s="148"/>
      <c r="E37" s="148"/>
      <c r="F37" s="148"/>
      <c r="G37" s="148"/>
      <c r="H37" s="148"/>
      <c r="I37" s="227"/>
      <c r="J37" s="148"/>
      <c r="K37" s="148"/>
      <c r="L37" s="148"/>
      <c r="M37" s="148"/>
      <c r="N37" s="148"/>
      <c r="O37" s="148"/>
      <c r="P37" s="148"/>
      <c r="Q37" s="148"/>
      <c r="R37" s="148"/>
      <c r="S37" s="244" t="s">
        <v>21</v>
      </c>
      <c r="T37" s="244" t="s">
        <v>22</v>
      </c>
    </row>
    <row r="38" spans="1:23" x14ac:dyDescent="0.2">
      <c r="A38" s="148" t="str">
        <f>"Policy Periods "&amp;W38&amp;" - Straight Average:"</f>
        <v>Policy Periods 2010 through 2018 - Straight Average:</v>
      </c>
      <c r="B38" s="148"/>
      <c r="C38" s="148"/>
      <c r="D38" s="148"/>
      <c r="E38" s="148"/>
      <c r="F38" s="148"/>
      <c r="G38" s="148"/>
      <c r="H38" s="148"/>
      <c r="I38" s="227"/>
      <c r="J38" s="148"/>
      <c r="K38" s="312">
        <f ca="1">AVERAGE(INDIRECT(U38))</f>
        <v>71023.793139533867</v>
      </c>
      <c r="L38" s="148"/>
      <c r="N38" s="148"/>
      <c r="O38" s="148"/>
      <c r="P38" s="148"/>
      <c r="Q38" s="148"/>
      <c r="R38" s="148"/>
      <c r="S38" s="267">
        <v>2010</v>
      </c>
      <c r="T38" s="267">
        <v>2018</v>
      </c>
      <c r="U38" s="264" t="str">
        <f ca="1">"K"&amp;ROW(OFFSET($A$33, (INDEX($S$16:$S$32, MATCH(S38, $A$16:$A$32, 0))+1)*-1, 0))&amp;":K"&amp;ROW(OFFSET($A$33, (INDEX($S$16:$S$32, MATCH(T38, $A$16:$A$32, 0))+1)*-1, 0))</f>
        <v>K23:K31</v>
      </c>
      <c r="V38" s="268" t="str">
        <f ca="1">SUBSTITUTE(U38, "K", "G")</f>
        <v>G23:G31</v>
      </c>
      <c r="W38" s="222" t="str">
        <f>S38&amp;" through "&amp;T38</f>
        <v>2010 through 2018</v>
      </c>
    </row>
    <row r="39" spans="1:23" x14ac:dyDescent="0.2">
      <c r="A39" s="148" t="str">
        <f>"Policy Periods "&amp;W39&amp;" - Straight Average Excluding Extremes:"</f>
        <v>Policy Periods 2010 through 2018 - Straight Average Excluding Extremes:</v>
      </c>
      <c r="B39" s="148"/>
      <c r="C39" s="148"/>
      <c r="D39" s="148"/>
      <c r="E39" s="148"/>
      <c r="F39" s="148"/>
      <c r="G39" s="148"/>
      <c r="H39" s="148"/>
      <c r="I39" s="227"/>
      <c r="J39" s="148"/>
      <c r="K39" s="241">
        <f ca="1">(SUM(INDIRECT(U39))-MIN(INDIRECT(U39))-MAX(INDIRECT(U39)))/(COUNT(INDIRECT(U39))-2)</f>
        <v>69039.662846937514</v>
      </c>
      <c r="L39" s="148"/>
      <c r="N39" s="148"/>
      <c r="O39" s="148"/>
      <c r="P39" s="148"/>
      <c r="Q39" s="148"/>
      <c r="R39" s="148"/>
      <c r="S39" s="267">
        <v>2010</v>
      </c>
      <c r="T39" s="267">
        <v>2018</v>
      </c>
      <c r="U39" s="264" t="str">
        <f ca="1">"K"&amp;ROW(OFFSET($A$33, (INDEX($S$16:$S$32, MATCH(S39, $A$16:$A$32, 0))+1)*-1, 0))&amp;":K"&amp;ROW(OFFSET($A$33, (INDEX($S$16:$S$32, MATCH(T39, $A$16:$A$32, 0))+1)*-1, 0))</f>
        <v>K23:K31</v>
      </c>
      <c r="V39" s="268" t="str">
        <f ca="1">SUBSTITUTE(U39, "K", "G")</f>
        <v>G23:G31</v>
      </c>
      <c r="W39" s="222" t="str">
        <f>S39&amp;" through "&amp;T39</f>
        <v>2010 through 2018</v>
      </c>
    </row>
    <row r="40" spans="1:23" x14ac:dyDescent="0.2">
      <c r="A40" s="148" t="str">
        <f>"Policy Periods "&amp;W40&amp;" - Weighted Average:"</f>
        <v>Policy Periods 2010 through 2018 - Weighted Average:</v>
      </c>
      <c r="B40" s="148"/>
      <c r="C40" s="148"/>
      <c r="D40" s="148"/>
      <c r="E40" s="148"/>
      <c r="F40" s="148"/>
      <c r="G40" s="148"/>
      <c r="H40" s="148"/>
      <c r="I40" s="227"/>
      <c r="J40" s="148"/>
      <c r="K40" s="241">
        <f ca="1">SUMPRODUCT(INDIRECT(U40),INDIRECT(V40))/SUM(INDIRECT(V40))</f>
        <v>71360.489606045419</v>
      </c>
      <c r="L40" s="148"/>
      <c r="N40" s="148"/>
      <c r="O40" s="148"/>
      <c r="P40" s="148"/>
      <c r="Q40" s="148"/>
      <c r="R40" s="148"/>
      <c r="S40" s="267">
        <v>2010</v>
      </c>
      <c r="T40" s="267">
        <v>2018</v>
      </c>
      <c r="U40" s="264" t="str">
        <f ca="1">"K"&amp;ROW(OFFSET($A$33, (INDEX($S$16:$S$32, MATCH(S40, $A$16:$A$32, 0))+1)*-1, 0))&amp;":K"&amp;ROW(OFFSET($A$33, (INDEX($S$16:$S$32, MATCH(T40, $A$16:$A$32, 0))+1)*-1, 0))</f>
        <v>K23:K31</v>
      </c>
      <c r="V40" s="268" t="str">
        <f ca="1">SUBSTITUTE(U40, "K", "G")</f>
        <v>G23:G31</v>
      </c>
      <c r="W40" s="222" t="str">
        <f>S40&amp;" through "&amp;T40</f>
        <v>2010 through 2018</v>
      </c>
    </row>
    <row r="41" spans="1:23" x14ac:dyDescent="0.2">
      <c r="A41" s="148" t="str">
        <f>"Policy Periods "&amp;W41&amp;" - Weighted Average:"</f>
        <v>Policy Periods 2012 through 2018 - Weighted Average:</v>
      </c>
      <c r="B41" s="148"/>
      <c r="C41" s="148"/>
      <c r="D41" s="148"/>
      <c r="E41" s="148"/>
      <c r="F41" s="148"/>
      <c r="G41" s="148"/>
      <c r="H41" s="148"/>
      <c r="I41" s="227"/>
      <c r="J41" s="148"/>
      <c r="K41" s="241">
        <f ca="1">SUMPRODUCT(INDIRECT(U41),INDIRECT(V41))/SUM(INDIRECT(V41))</f>
        <v>74944.508382249682</v>
      </c>
      <c r="L41" s="148"/>
      <c r="N41" s="148"/>
      <c r="O41" s="148"/>
      <c r="P41" s="148"/>
      <c r="Q41" s="148"/>
      <c r="R41" s="148"/>
      <c r="S41" s="267">
        <v>2012</v>
      </c>
      <c r="T41" s="267">
        <v>2018</v>
      </c>
      <c r="U41" s="264" t="str">
        <f ca="1">"K"&amp;ROW(OFFSET($A$33, (INDEX($S$16:$S$32, MATCH(S41, $A$16:$A$32, 0))+1)*-1, 0))&amp;":K"&amp;ROW(OFFSET($A$33, (INDEX($S$16:$S$32, MATCH(T41, $A$16:$A$32, 0))+1)*-1, 0))</f>
        <v>K25:K31</v>
      </c>
      <c r="V41" s="268" t="str">
        <f ca="1">SUBSTITUTE(U41, "K", "G")</f>
        <v>G25:G31</v>
      </c>
      <c r="W41" s="222" t="str">
        <f>S41&amp;" through "&amp;T41</f>
        <v>2012 through 2018</v>
      </c>
    </row>
    <row r="42" spans="1:23" x14ac:dyDescent="0.2">
      <c r="A42" s="148" t="str">
        <f>"Policy Periods "&amp;W42&amp;" - Weighted Average:"</f>
        <v>Policy Periods 2015 through 2018 - Weighted Average:</v>
      </c>
      <c r="B42" s="148"/>
      <c r="C42" s="148"/>
      <c r="D42" s="148"/>
      <c r="E42" s="148"/>
      <c r="F42" s="148"/>
      <c r="G42" s="148"/>
      <c r="H42" s="148"/>
      <c r="I42" s="227"/>
      <c r="J42" s="148"/>
      <c r="K42" s="241">
        <f ca="1">SUMPRODUCT(INDIRECT(U42),INDIRECT(V42))/SUM(INDIRECT(V42))</f>
        <v>81538.971125214244</v>
      </c>
      <c r="L42" s="148"/>
      <c r="N42" s="148"/>
      <c r="O42" s="148"/>
      <c r="P42" s="148"/>
      <c r="Q42" s="148"/>
      <c r="R42" s="148"/>
      <c r="S42" s="267">
        <v>2015</v>
      </c>
      <c r="T42" s="267">
        <v>2018</v>
      </c>
      <c r="U42" s="264" t="str">
        <f ca="1">"K"&amp;ROW(OFFSET($A$33, (INDEX($S$16:$S$32, MATCH(S42, $A$16:$A$32, 0))+1)*-1, 0))&amp;":K"&amp;ROW(OFFSET($A$33, (INDEX($S$16:$S$32, MATCH(T42, $A$16:$A$32, 0))+1)*-1, 0))</f>
        <v>K28:K31</v>
      </c>
      <c r="V42" s="268" t="str">
        <f ca="1">SUBSTITUTE(U42, "K", "G")</f>
        <v>G28:G31</v>
      </c>
      <c r="W42" s="222" t="str">
        <f>S42&amp;" through "&amp;T42</f>
        <v>2015 through 2018</v>
      </c>
    </row>
    <row r="43" spans="1:23" x14ac:dyDescent="0.2">
      <c r="N43" s="148"/>
      <c r="O43" s="148"/>
      <c r="P43" s="148"/>
      <c r="Q43" s="148"/>
      <c r="R43" s="148"/>
    </row>
    <row r="44" spans="1:23" ht="14.25" x14ac:dyDescent="0.2">
      <c r="A44" s="148" t="str">
        <f>"Selected Policy Period "&amp;cpy_l&amp;" Loss &amp; ALAE Severity Limited to $350,000:"</f>
        <v>Selected Policy Period 2018/19 Loss &amp; ALAE Severity Limited to $350,000: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317">
        <f ca="1">K42</f>
        <v>81538.971125214244</v>
      </c>
      <c r="L44" s="148"/>
      <c r="N44"/>
      <c r="O44" s="148"/>
      <c r="P44" s="148"/>
      <c r="Q44" s="148"/>
      <c r="R44" s="148"/>
      <c r="S44" s="313">
        <v>84004.257120676833</v>
      </c>
      <c r="T44" s="263" t="s">
        <v>354</v>
      </c>
    </row>
    <row r="45" spans="1:23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314">
        <f>S44*(1+Trend!$J$43*trend_prior)</f>
        <v>84004.257120676833</v>
      </c>
      <c r="T45" s="263" t="s">
        <v>355</v>
      </c>
    </row>
    <row r="46" spans="1:2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532">
        <f ca="1">K44/S45-1</f>
        <v>-2.9347155489049426E-2</v>
      </c>
      <c r="T46" s="263" t="s">
        <v>356</v>
      </c>
    </row>
    <row r="47" spans="1:2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23" x14ac:dyDescent="0.2">
      <c r="A48" s="148" t="s">
        <v>595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23" x14ac:dyDescent="0.2">
      <c r="A49" s="282" t="s">
        <v>594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23" x14ac:dyDescent="0.2">
      <c r="A50" s="148" t="s">
        <v>378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3" x14ac:dyDescent="0.2">
      <c r="A51" s="148" t="s">
        <v>379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23" x14ac:dyDescent="0.2">
      <c r="A52" s="148" t="s">
        <v>598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23" x14ac:dyDescent="0.2">
      <c r="A53" s="283" t="str">
        <f>"Column (5) equals [ (4) x Trend ]. The selected severity trend used is "&amp;TEXT(sevtrnd_350k, "0.00%")&amp;"."</f>
        <v>Column (5) equals [ (4) x Trend ]. The selected severity trend used is 2.75%.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23" x14ac:dyDescent="0.2">
      <c r="A54" s="227" t="str">
        <f>"Column (6) for all policy periods is the selected policy period "&amp;cpy_l&amp;" severity,"</f>
        <v>Column (6) for all policy periods is the selected policy period 2018/19 severity,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23" x14ac:dyDescent="0.2">
      <c r="A55" s="284" t="str">
        <f>"detrended at an annual rate of "&amp;TEXT(sevtrnd_350k, "0.00%")&amp;" and adjusted to the benefit level of the respective policy period."</f>
        <v>detrended at an annual rate of 2.75% and adjusted to the benefit level of the respective policy period.</v>
      </c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1:23" x14ac:dyDescent="0.2">
      <c r="A56" s="415" t="s">
        <v>597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spans="1:23" x14ac:dyDescent="0.2">
      <c r="A57" s="148" t="s">
        <v>599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</sheetData>
  <printOptions horizontalCentered="1"/>
  <pageMargins left="0.7" right="0.7" top="0.75" bottom="0.75" header="0.3" footer="0.3"/>
  <pageSetup scale="77" orientation="portrait" blackAndWhite="1" r:id="rId1"/>
  <headerFooter>
    <oddHeader xml:space="preserve">&amp;L&amp;"Arial"&amp;10  
  &amp;R&amp;"Arial"&amp;10  Exhibit 5
Sheet 2
</oddHeader>
    <oddFooter xml:space="preserve">&amp;L&amp;"Arial"&amp;10 Oliver Wyman Actuarial Consulting, Inc.
&amp;C&amp;"Arial"&amp;10 &amp;R&amp;"Arial"&amp;10 </oddFooter>
  </headerFooter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49">
    <tabColor rgb="FFFFCCCC"/>
    <pageSetUpPr fitToPage="1"/>
  </sheetPr>
  <dimension ref="A1:X57"/>
  <sheetViews>
    <sheetView zoomScale="85" zoomScaleNormal="85" workbookViewId="0"/>
  </sheetViews>
  <sheetFormatPr defaultColWidth="9" defaultRowHeight="12.75" x14ac:dyDescent="0.2"/>
  <cols>
    <col min="1" max="1" width="9.5" style="222" customWidth="1"/>
    <col min="2" max="2" width="2.625" style="222" customWidth="1"/>
    <col min="3" max="3" width="10.75" style="222" customWidth="1"/>
    <col min="4" max="4" width="2.625" style="222" customWidth="1"/>
    <col min="5" max="5" width="9" style="222"/>
    <col min="6" max="6" width="2.625" style="222" customWidth="1"/>
    <col min="7" max="7" width="10.625" style="222" customWidth="1"/>
    <col min="8" max="8" width="2.625" style="222" customWidth="1"/>
    <col min="9" max="9" width="9" style="222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10.75" style="222" customWidth="1"/>
    <col min="16" max="16" width="2.625" style="222" customWidth="1"/>
    <col min="17" max="17" width="9" style="222"/>
    <col min="18" max="18" width="2.625" style="222" customWidth="1"/>
    <col min="19" max="16384" width="9" style="222"/>
  </cols>
  <sheetData>
    <row r="1" spans="1:24" x14ac:dyDescent="0.2">
      <c r="A1" s="1" t="str">
        <f>[1]!getlabels()</f>
        <v>Exhibit 5, Sheet 3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</row>
    <row r="6" spans="1:24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</row>
    <row r="7" spans="1:24" x14ac:dyDescent="0.2">
      <c r="A7" s="224" t="str">
        <f>VLOOKUP($A$1, index_lkups, 3, FALSE)</f>
        <v>Average Severity Method - Loss &amp; ALAE Limited to $500,000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10" spans="1:24" x14ac:dyDescent="0.2">
      <c r="A10" s="151"/>
      <c r="B10" s="148"/>
      <c r="C10" s="151" t="s">
        <v>373</v>
      </c>
      <c r="D10" s="148"/>
      <c r="E10" s="151" t="s">
        <v>345</v>
      </c>
      <c r="F10" s="148"/>
      <c r="G10" s="151" t="s">
        <v>105</v>
      </c>
      <c r="H10" s="148"/>
      <c r="I10" s="151"/>
      <c r="J10" s="148"/>
      <c r="K10" s="151" t="s">
        <v>374</v>
      </c>
      <c r="L10" s="148"/>
      <c r="M10" s="151"/>
      <c r="N10" s="148"/>
      <c r="P10" s="148"/>
      <c r="Q10" s="151"/>
      <c r="R10" s="151"/>
      <c r="S10" s="148"/>
      <c r="T10" s="148"/>
      <c r="U10" s="148"/>
      <c r="V10" s="148"/>
      <c r="W10" s="148"/>
    </row>
    <row r="11" spans="1:24" x14ac:dyDescent="0.2">
      <c r="A11" s="181" t="str">
        <f>Intro!M9</f>
        <v>Policy</v>
      </c>
      <c r="B11" s="148"/>
      <c r="C11" s="151" t="s">
        <v>330</v>
      </c>
      <c r="D11" s="148"/>
      <c r="E11" s="306" t="str">
        <f>"to "&amp;cpy_l</f>
        <v>to 2018/19</v>
      </c>
      <c r="F11" s="148"/>
      <c r="G11" s="151" t="s">
        <v>245</v>
      </c>
      <c r="H11" s="148"/>
      <c r="I11" s="151" t="s">
        <v>332</v>
      </c>
      <c r="J11" s="148"/>
      <c r="K11" s="306" t="str">
        <f>E11</f>
        <v>to 2018/19</v>
      </c>
      <c r="L11" s="148"/>
      <c r="M11" s="151"/>
      <c r="N11" s="148"/>
      <c r="O11" s="181" t="s">
        <v>330</v>
      </c>
      <c r="P11" s="148"/>
      <c r="Q11" s="151" t="s">
        <v>332</v>
      </c>
      <c r="R11" s="151"/>
      <c r="S11" s="148"/>
      <c r="T11" s="148"/>
      <c r="U11" s="148"/>
      <c r="V11" s="148"/>
      <c r="W11" s="148"/>
    </row>
    <row r="12" spans="1:24" x14ac:dyDescent="0.2">
      <c r="A12" s="181" t="str">
        <f>Intro!M10</f>
        <v>Period</v>
      </c>
      <c r="B12" s="148"/>
      <c r="C12" s="151" t="s">
        <v>245</v>
      </c>
      <c r="D12" s="148"/>
      <c r="E12" s="151" t="s">
        <v>375</v>
      </c>
      <c r="F12" s="148"/>
      <c r="G12" s="151" t="s">
        <v>84</v>
      </c>
      <c r="H12" s="148"/>
      <c r="I12" s="276" t="s">
        <v>376</v>
      </c>
      <c r="J12" s="148"/>
      <c r="K12" s="276" t="s">
        <v>376</v>
      </c>
      <c r="L12" s="148"/>
      <c r="M12" s="151" t="s">
        <v>336</v>
      </c>
      <c r="N12" s="148"/>
      <c r="O12" s="181" t="s">
        <v>245</v>
      </c>
      <c r="P12" s="148"/>
      <c r="Q12" s="151" t="s">
        <v>347</v>
      </c>
      <c r="R12" s="181"/>
      <c r="T12" s="293" t="s">
        <v>353</v>
      </c>
    </row>
    <row r="13" spans="1:24" x14ac:dyDescent="0.2">
      <c r="A13" s="176" t="str">
        <f>Intro!M11</f>
        <v>Ending 9/30</v>
      </c>
      <c r="B13" s="148"/>
      <c r="C13" s="179" t="s">
        <v>8</v>
      </c>
      <c r="D13" s="148"/>
      <c r="E13" s="176" t="s">
        <v>350</v>
      </c>
      <c r="F13" s="148"/>
      <c r="G13" s="176" t="s">
        <v>377</v>
      </c>
      <c r="H13" s="148"/>
      <c r="I13" s="277" t="s">
        <v>348</v>
      </c>
      <c r="J13" s="148"/>
      <c r="K13" s="277" t="s">
        <v>348</v>
      </c>
      <c r="L13" s="148"/>
      <c r="M13" s="277" t="s">
        <v>348</v>
      </c>
      <c r="N13" s="148"/>
      <c r="O13" s="179" t="s">
        <v>8</v>
      </c>
      <c r="P13" s="148"/>
      <c r="Q13" s="176" t="s">
        <v>349</v>
      </c>
      <c r="R13" s="148"/>
      <c r="S13" s="299" t="s">
        <v>352</v>
      </c>
      <c r="T13" s="299" t="s">
        <v>229</v>
      </c>
      <c r="V13" s="299" t="s">
        <v>41</v>
      </c>
      <c r="W13" s="299" t="s">
        <v>332</v>
      </c>
      <c r="X13" s="299" t="s">
        <v>336</v>
      </c>
    </row>
    <row r="14" spans="1:24" x14ac:dyDescent="0.2">
      <c r="A14" s="148"/>
      <c r="B14" s="148"/>
      <c r="C14" s="230" t="s">
        <v>253</v>
      </c>
      <c r="D14" s="148"/>
      <c r="E14" s="230" t="s">
        <v>230</v>
      </c>
      <c r="F14" s="148"/>
      <c r="G14" s="230" t="s">
        <v>231</v>
      </c>
      <c r="H14" s="148"/>
      <c r="I14" s="230" t="s">
        <v>232</v>
      </c>
      <c r="J14" s="148"/>
      <c r="K14" s="230" t="s">
        <v>233</v>
      </c>
      <c r="L14" s="148"/>
      <c r="M14" s="230" t="s">
        <v>234</v>
      </c>
      <c r="N14" s="148"/>
      <c r="O14" s="230" t="s">
        <v>235</v>
      </c>
      <c r="P14" s="148"/>
      <c r="Q14" s="230" t="s">
        <v>236</v>
      </c>
      <c r="R14" s="148"/>
    </row>
    <row r="15" spans="1:24" x14ac:dyDescent="0.2">
      <c r="A15" s="148"/>
      <c r="B15" s="148"/>
      <c r="C15" s="235"/>
      <c r="D15" s="280"/>
      <c r="E15" s="236"/>
      <c r="F15" s="148"/>
      <c r="G15" s="235"/>
      <c r="H15" s="148"/>
      <c r="I15" s="235"/>
      <c r="J15" s="235"/>
      <c r="K15" s="241"/>
      <c r="L15" s="241"/>
      <c r="M15" s="241"/>
      <c r="N15" s="148"/>
      <c r="O15" s="235"/>
      <c r="P15" s="148"/>
      <c r="Q15" s="238"/>
      <c r="R15" s="236"/>
    </row>
    <row r="16" spans="1:24" x14ac:dyDescent="0.2">
      <c r="A16" s="151">
        <f>Intro!C25</f>
        <v>2003</v>
      </c>
      <c r="B16" s="148"/>
      <c r="C16" s="315">
        <f>'e3.1A'!Q97</f>
        <v>1493025.0200000005</v>
      </c>
      <c r="D16" s="280"/>
      <c r="E16" s="308">
        <f>Intro!J25</f>
        <v>1.0980216306970509</v>
      </c>
      <c r="F16" s="148"/>
      <c r="G16" s="247">
        <f ca="1">'e6.1'!$G16</f>
        <v>38</v>
      </c>
      <c r="H16" s="148"/>
      <c r="I16" s="315">
        <f ca="1">(C16 * E16) / G16</f>
        <v>43141.414924523619</v>
      </c>
      <c r="J16" s="235"/>
      <c r="K16" s="312">
        <f ca="1">I16*T16</f>
        <v>69229.306321215568</v>
      </c>
      <c r="L16" s="241"/>
      <c r="M16" s="312">
        <f t="shared" ref="M16" ca="1" si="0">$K$44 / (T16 * E16)</f>
        <v>47895.928172797365</v>
      </c>
      <c r="N16" s="148"/>
      <c r="O16" s="315">
        <f ca="1">M16*G16</f>
        <v>1820045.2705662998</v>
      </c>
      <c r="P16" s="148"/>
      <c r="Q16" s="316">
        <f ca="1">O16/'e6.2'!I16</f>
        <v>18.983095156168631</v>
      </c>
      <c r="R16" s="236"/>
      <c r="S16" s="252">
        <f>Intro!G25</f>
        <v>16</v>
      </c>
      <c r="T16" s="266">
        <f t="shared" ref="T16" si="1">(1 + sevtrnd_500k) ^ S16</f>
        <v>1.6047064390987871</v>
      </c>
      <c r="V16" s="268" t="str">
        <f>RIGHT(A16,2)</f>
        <v>03</v>
      </c>
      <c r="W16" s="252">
        <f ca="1">I16</f>
        <v>43141.414924523619</v>
      </c>
      <c r="X16" s="252">
        <f ca="1">M16*E16</f>
        <v>52590.765156043788</v>
      </c>
    </row>
    <row r="17" spans="1:24" x14ac:dyDescent="0.2">
      <c r="A17" s="151">
        <f>Intro!C26</f>
        <v>2004</v>
      </c>
      <c r="B17" s="148"/>
      <c r="C17" s="247">
        <f>'e3.1A'!Q98</f>
        <v>2879567.7077702624</v>
      </c>
      <c r="D17" s="280"/>
      <c r="E17" s="308">
        <f>Intro!J26</f>
        <v>1.1043638048521249</v>
      </c>
      <c r="F17" s="148"/>
      <c r="G17" s="247">
        <f ca="1">'e6.1'!$G17</f>
        <v>30</v>
      </c>
      <c r="H17" s="148"/>
      <c r="I17" s="247">
        <f t="shared" ref="I17:I32" ca="1" si="2">(C17 * E17) / G17</f>
        <v>106003.01166941597</v>
      </c>
      <c r="J17" s="235"/>
      <c r="K17" s="241">
        <f t="shared" ref="K17:K32" ca="1" si="3">I17*T17</f>
        <v>165149.23824250067</v>
      </c>
      <c r="L17" s="241"/>
      <c r="M17" s="241">
        <f t="shared" ref="M17:M32" ca="1" si="4">$K$44 / (T17 * E17)</f>
        <v>49049.496074328774</v>
      </c>
      <c r="N17" s="148"/>
      <c r="O17" s="247">
        <f t="shared" ref="O17:O32" ca="1" si="5">M17*G17</f>
        <v>1471484.8822298632</v>
      </c>
      <c r="P17" s="148"/>
      <c r="Q17" s="255">
        <f ca="1">O17/'e6.2'!I17</f>
        <v>14.406874929817659</v>
      </c>
      <c r="R17" s="236"/>
      <c r="S17" s="252">
        <f>Intro!G26</f>
        <v>15</v>
      </c>
      <c r="T17" s="266">
        <f t="shared" ref="T17:T32" si="6">(1 + sevtrnd_500k) ^ S17</f>
        <v>1.5579674166007644</v>
      </c>
      <c r="V17" s="268" t="str">
        <f t="shared" ref="V17:V32" si="7">RIGHT(A17,2)</f>
        <v>04</v>
      </c>
      <c r="W17" s="252">
        <f t="shared" ref="W17:W32" ca="1" si="8">I17</f>
        <v>106003.01166941597</v>
      </c>
      <c r="X17" s="252">
        <f t="shared" ref="X17:X32" ca="1" si="9">M17*E17</f>
        <v>54168.488110725091</v>
      </c>
    </row>
    <row r="18" spans="1:24" x14ac:dyDescent="0.2">
      <c r="A18" s="151">
        <f>Intro!C27</f>
        <v>2005</v>
      </c>
      <c r="B18" s="148"/>
      <c r="C18" s="247">
        <f>'e3.1A'!Q99</f>
        <v>699839.89000000025</v>
      </c>
      <c r="D18" s="280"/>
      <c r="E18" s="308">
        <f>Intro!J27</f>
        <v>1.0993295241734087</v>
      </c>
      <c r="F18" s="148"/>
      <c r="G18" s="247">
        <f ca="1">'e6.1'!$G18</f>
        <v>26</v>
      </c>
      <c r="H18" s="148"/>
      <c r="I18" s="247">
        <f t="shared" ca="1" si="2"/>
        <v>29590.563587356573</v>
      </c>
      <c r="J18" s="235"/>
      <c r="K18" s="241">
        <f t="shared" ca="1" si="3"/>
        <v>44758.382434907347</v>
      </c>
      <c r="L18" s="241"/>
      <c r="M18" s="241">
        <f t="shared" ca="1" si="4"/>
        <v>50752.337244829563</v>
      </c>
      <c r="N18" s="148"/>
      <c r="O18" s="247">
        <f t="shared" ca="1" si="5"/>
        <v>1319560.7683655687</v>
      </c>
      <c r="P18" s="148"/>
      <c r="Q18" s="255">
        <f ca="1">O18/'e6.2'!I18</f>
        <v>11.856702373380282</v>
      </c>
      <c r="R18" s="236"/>
      <c r="S18" s="252">
        <f>Intro!G27</f>
        <v>14</v>
      </c>
      <c r="T18" s="266">
        <f t="shared" si="6"/>
        <v>1.512589724855111</v>
      </c>
      <c r="V18" s="268" t="str">
        <f t="shared" si="7"/>
        <v>05</v>
      </c>
      <c r="W18" s="252">
        <f t="shared" ca="1" si="8"/>
        <v>29590.563587356573</v>
      </c>
      <c r="X18" s="252">
        <f t="shared" ca="1" si="9"/>
        <v>55793.542754046852</v>
      </c>
    </row>
    <row r="19" spans="1:24" x14ac:dyDescent="0.2">
      <c r="A19" s="151">
        <f>Intro!C28</f>
        <v>2006</v>
      </c>
      <c r="B19" s="148"/>
      <c r="C19" s="247">
        <f>'e3.1A'!Q100</f>
        <v>2229103.2700000005</v>
      </c>
      <c r="D19" s="280"/>
      <c r="E19" s="308">
        <f>Intro!J28</f>
        <v>1.0898938283807902</v>
      </c>
      <c r="F19" s="148"/>
      <c r="G19" s="247">
        <f ca="1">'e6.1'!$G19</f>
        <v>31</v>
      </c>
      <c r="H19" s="148"/>
      <c r="I19" s="247">
        <f t="shared" ca="1" si="2"/>
        <v>78370.512799885124</v>
      </c>
      <c r="J19" s="235"/>
      <c r="K19" s="241">
        <f t="shared" ca="1" si="3"/>
        <v>115089.74018711862</v>
      </c>
      <c r="L19" s="241"/>
      <c r="M19" s="241">
        <f t="shared" ca="1" si="4"/>
        <v>52727.47449358907</v>
      </c>
      <c r="N19" s="148"/>
      <c r="O19" s="247">
        <f t="shared" ca="1" si="5"/>
        <v>1634551.7093012612</v>
      </c>
      <c r="P19" s="148"/>
      <c r="Q19" s="255">
        <f ca="1">O19/'e6.2'!I19</f>
        <v>15.168892777512275</v>
      </c>
      <c r="R19" s="236"/>
      <c r="S19" s="252">
        <f>Intro!G28</f>
        <v>13</v>
      </c>
      <c r="T19" s="266">
        <f t="shared" si="6"/>
        <v>1.4685337134515639</v>
      </c>
      <c r="V19" s="268" t="str">
        <f t="shared" si="7"/>
        <v>06</v>
      </c>
      <c r="W19" s="252">
        <f t="shared" ca="1" si="8"/>
        <v>78370.512799885124</v>
      </c>
      <c r="X19" s="252">
        <f t="shared" ca="1" si="9"/>
        <v>57467.34903666826</v>
      </c>
    </row>
    <row r="20" spans="1:24" x14ac:dyDescent="0.2">
      <c r="A20" s="151">
        <f>Intro!C29</f>
        <v>2007</v>
      </c>
      <c r="B20" s="148"/>
      <c r="C20" s="247">
        <f>'e3.1A'!Q101</f>
        <v>1099670.4199999997</v>
      </c>
      <c r="D20" s="280"/>
      <c r="E20" s="308">
        <f>Intro!J29</f>
        <v>1.0779438773143473</v>
      </c>
      <c r="F20" s="148"/>
      <c r="G20" s="247">
        <f ca="1">'e6.1'!$G20</f>
        <v>34</v>
      </c>
      <c r="H20" s="148"/>
      <c r="I20" s="247">
        <f t="shared" ca="1" si="2"/>
        <v>34864.205773608715</v>
      </c>
      <c r="J20" s="235"/>
      <c r="K20" s="241">
        <f t="shared" ca="1" si="3"/>
        <v>49708.020942968025</v>
      </c>
      <c r="L20" s="241"/>
      <c r="M20" s="241">
        <f t="shared" ca="1" si="4"/>
        <v>54911.364824707911</v>
      </c>
      <c r="N20" s="148"/>
      <c r="O20" s="247">
        <f t="shared" ca="1" si="5"/>
        <v>1866986.4040400689</v>
      </c>
      <c r="P20" s="148"/>
      <c r="Q20" s="255">
        <f ca="1">O20/'e6.2'!I20</f>
        <v>17.85153162227342</v>
      </c>
      <c r="R20" s="236"/>
      <c r="S20" s="252">
        <f>Intro!G29</f>
        <v>12</v>
      </c>
      <c r="T20" s="266">
        <f t="shared" si="6"/>
        <v>1.4257608868461786</v>
      </c>
      <c r="V20" s="268" t="str">
        <f t="shared" si="7"/>
        <v>07</v>
      </c>
      <c r="W20" s="252">
        <f t="shared" ca="1" si="8"/>
        <v>34864.205773608715</v>
      </c>
      <c r="X20" s="252">
        <f t="shared" ca="1" si="9"/>
        <v>59191.369507768308</v>
      </c>
    </row>
    <row r="21" spans="1:24" x14ac:dyDescent="0.2">
      <c r="A21" s="151">
        <f>Intro!C30</f>
        <v>2008</v>
      </c>
      <c r="B21" s="148"/>
      <c r="C21" s="247">
        <f>'e3.1A'!Q102</f>
        <v>766269.99000000011</v>
      </c>
      <c r="D21" s="280"/>
      <c r="E21" s="308">
        <f>Intro!J30</f>
        <v>1.0673951535966342</v>
      </c>
      <c r="F21" s="148"/>
      <c r="G21" s="247">
        <f ca="1">'e6.1'!$G21</f>
        <v>24</v>
      </c>
      <c r="H21" s="148"/>
      <c r="I21" s="247">
        <f t="shared" ca="1" si="2"/>
        <v>34079.703069689225</v>
      </c>
      <c r="J21" s="235"/>
      <c r="K21" s="241">
        <f t="shared" ca="1" si="3"/>
        <v>47174.27929329568</v>
      </c>
      <c r="L21" s="241"/>
      <c r="M21" s="241">
        <f t="shared" ca="1" si="4"/>
        <v>57117.657305797227</v>
      </c>
      <c r="N21" s="148"/>
      <c r="O21" s="247">
        <f t="shared" ca="1" si="5"/>
        <v>1370823.7753391336</v>
      </c>
      <c r="P21" s="148"/>
      <c r="Q21" s="255">
        <f ca="1">O21/'e6.2'!I21</f>
        <v>12.926166301440283</v>
      </c>
      <c r="R21" s="236"/>
      <c r="S21" s="252">
        <f>Intro!G30</f>
        <v>11</v>
      </c>
      <c r="T21" s="266">
        <f t="shared" si="6"/>
        <v>1.3842338707244455</v>
      </c>
      <c r="V21" s="268" t="str">
        <f t="shared" si="7"/>
        <v>08</v>
      </c>
      <c r="W21" s="252">
        <f t="shared" ca="1" si="8"/>
        <v>34079.703069689225</v>
      </c>
      <c r="X21" s="252">
        <f t="shared" ca="1" si="9"/>
        <v>60967.110593001344</v>
      </c>
    </row>
    <row r="22" spans="1:24" x14ac:dyDescent="0.2">
      <c r="A22" s="151">
        <f>Intro!C31</f>
        <v>2009</v>
      </c>
      <c r="B22" s="148"/>
      <c r="C22" s="247">
        <f ca="1">'e3.1A'!Q103</f>
        <v>1936555.7366137598</v>
      </c>
      <c r="D22" s="280"/>
      <c r="E22" s="308">
        <f>Intro!J31</f>
        <v>1.0587300339527494</v>
      </c>
      <c r="F22" s="148"/>
      <c r="G22" s="247">
        <f ca="1">'e6.1'!$G22</f>
        <v>31</v>
      </c>
      <c r="H22" s="148"/>
      <c r="I22" s="247">
        <f t="shared" ca="1" si="2"/>
        <v>66138.37808956379</v>
      </c>
      <c r="J22" s="235"/>
      <c r="K22" s="241">
        <f t="shared" ca="1" si="3"/>
        <v>88884.449617819162</v>
      </c>
      <c r="L22" s="241"/>
      <c r="M22" s="241">
        <f t="shared" ca="1" si="4"/>
        <v>59312.687745659954</v>
      </c>
      <c r="N22" s="148"/>
      <c r="O22" s="247">
        <f t="shared" ca="1" si="5"/>
        <v>1838693.3201154587</v>
      </c>
      <c r="P22" s="148"/>
      <c r="Q22" s="255">
        <f ca="1">O22/'e6.2'!I22</f>
        <v>16.606289740803014</v>
      </c>
      <c r="R22" s="236"/>
      <c r="S22" s="252">
        <f>Intro!G31</f>
        <v>10</v>
      </c>
      <c r="T22" s="266">
        <f t="shared" si="6"/>
        <v>1.3439163793441218</v>
      </c>
      <c r="V22" s="268" t="str">
        <f t="shared" si="7"/>
        <v>09</v>
      </c>
      <c r="W22" s="252">
        <f t="shared" ca="1" si="8"/>
        <v>66138.37808956379</v>
      </c>
      <c r="X22" s="252">
        <f t="shared" ca="1" si="9"/>
        <v>62796.123910791386</v>
      </c>
    </row>
    <row r="23" spans="1:24" x14ac:dyDescent="0.2">
      <c r="A23" s="151">
        <f>Intro!C32</f>
        <v>2010</v>
      </c>
      <c r="B23" s="148"/>
      <c r="C23" s="247">
        <f ca="1">'e3.1A'!Q104</f>
        <v>1232465.5338992665</v>
      </c>
      <c r="D23" s="280"/>
      <c r="E23" s="308">
        <f>Intro!J32</f>
        <v>1.0522219598580769</v>
      </c>
      <c r="F23" s="148"/>
      <c r="G23" s="247">
        <f ca="1">'e6.1'!$G23</f>
        <v>34</v>
      </c>
      <c r="H23" s="148"/>
      <c r="I23" s="247">
        <f t="shared" ca="1" si="2"/>
        <v>38141.979398147567</v>
      </c>
      <c r="J23" s="235"/>
      <c r="K23" s="241">
        <f t="shared" ca="1" si="3"/>
        <v>49766.631896870451</v>
      </c>
      <c r="L23" s="241"/>
      <c r="M23" s="241">
        <f t="shared" ca="1" si="4"/>
        <v>61469.927539660101</v>
      </c>
      <c r="N23" s="148"/>
      <c r="O23" s="247">
        <f t="shared" ca="1" si="5"/>
        <v>2089977.5363484435</v>
      </c>
      <c r="P23" s="148"/>
      <c r="Q23" s="255">
        <f ca="1">O23/'e6.2'!I23</f>
        <v>16.299666525113668</v>
      </c>
      <c r="R23" s="236"/>
      <c r="S23" s="252">
        <f>Intro!G32</f>
        <v>9</v>
      </c>
      <c r="T23" s="266">
        <f t="shared" si="6"/>
        <v>1.3047731838292445</v>
      </c>
      <c r="V23" s="268" t="str">
        <f t="shared" si="7"/>
        <v>10</v>
      </c>
      <c r="W23" s="252">
        <f t="shared" ca="1" si="8"/>
        <v>38141.979398147567</v>
      </c>
      <c r="X23" s="252">
        <f t="shared" ca="1" si="9"/>
        <v>64680.007628115127</v>
      </c>
    </row>
    <row r="24" spans="1:24" x14ac:dyDescent="0.2">
      <c r="A24" s="151">
        <f>Intro!C33</f>
        <v>2011</v>
      </c>
      <c r="B24" s="148"/>
      <c r="C24" s="247">
        <f>'e3.1A'!Q105</f>
        <v>1212882.8100000003</v>
      </c>
      <c r="D24" s="280"/>
      <c r="E24" s="308">
        <f>Intro!J33</f>
        <v>1.0474460237870546</v>
      </c>
      <c r="F24" s="148"/>
      <c r="G24" s="247">
        <f ca="1">'e6.1'!$G24</f>
        <v>30</v>
      </c>
      <c r="H24" s="148"/>
      <c r="I24" s="247">
        <f t="shared" ca="1" si="2"/>
        <v>42347.642555138998</v>
      </c>
      <c r="J24" s="235"/>
      <c r="K24" s="241">
        <f t="shared" ca="1" si="3"/>
        <v>53644.726606147095</v>
      </c>
      <c r="L24" s="241"/>
      <c r="M24" s="241">
        <f t="shared" ca="1" si="4"/>
        <v>63602.712067292632</v>
      </c>
      <c r="N24" s="148"/>
      <c r="O24" s="247">
        <f t="shared" ca="1" si="5"/>
        <v>1908081.3620187789</v>
      </c>
      <c r="P24" s="148"/>
      <c r="Q24" s="255">
        <f ca="1">O24/'e6.2'!I24</f>
        <v>13.323253167442388</v>
      </c>
      <c r="R24" s="236"/>
      <c r="S24" s="252">
        <f>Intro!G33</f>
        <v>8</v>
      </c>
      <c r="T24" s="266">
        <f t="shared" si="6"/>
        <v>1.2667700813876159</v>
      </c>
      <c r="V24" s="268" t="str">
        <f t="shared" si="7"/>
        <v>11</v>
      </c>
      <c r="W24" s="252">
        <f t="shared" ca="1" si="8"/>
        <v>42347.642555138998</v>
      </c>
      <c r="X24" s="252">
        <f t="shared" ca="1" si="9"/>
        <v>66620.407856958584</v>
      </c>
    </row>
    <row r="25" spans="1:24" x14ac:dyDescent="0.2">
      <c r="A25" s="151">
        <f>Intro!C34</f>
        <v>2012</v>
      </c>
      <c r="B25" s="148"/>
      <c r="C25" s="247">
        <f>'e3.1A'!Q106</f>
        <v>1930458.7599999993</v>
      </c>
      <c r="D25" s="280"/>
      <c r="E25" s="308">
        <f>Intro!J34</f>
        <v>1.0451717334298189</v>
      </c>
      <c r="F25" s="148"/>
      <c r="G25" s="247">
        <f ca="1">'e6.1'!$G25</f>
        <v>34</v>
      </c>
      <c r="H25" s="148"/>
      <c r="I25" s="247">
        <f t="shared" ca="1" si="2"/>
        <v>59342.968485411118</v>
      </c>
      <c r="J25" s="235"/>
      <c r="K25" s="241">
        <f t="shared" ca="1" si="3"/>
        <v>72984.366036938809</v>
      </c>
      <c r="L25" s="241"/>
      <c r="M25" s="241">
        <f t="shared" ca="1" si="4"/>
        <v>65653.344706795935</v>
      </c>
      <c r="N25" s="148"/>
      <c r="O25" s="247">
        <f t="shared" ca="1" si="5"/>
        <v>2232213.7200310617</v>
      </c>
      <c r="P25" s="148"/>
      <c r="Q25" s="255">
        <f ca="1">O25/'e6.2'!I25</f>
        <v>15.334312789982762</v>
      </c>
      <c r="R25" s="236"/>
      <c r="S25" s="252">
        <f>Intro!G34</f>
        <v>7</v>
      </c>
      <c r="T25" s="266">
        <f t="shared" si="6"/>
        <v>1.22987386542487</v>
      </c>
      <c r="V25" s="268" t="str">
        <f t="shared" si="7"/>
        <v>12</v>
      </c>
      <c r="W25" s="252">
        <f t="shared" ca="1" si="8"/>
        <v>59342.968485411118</v>
      </c>
      <c r="X25" s="252">
        <f t="shared" ca="1" si="9"/>
        <v>68619.020092667342</v>
      </c>
    </row>
    <row r="26" spans="1:24" x14ac:dyDescent="0.2">
      <c r="A26" s="151">
        <f>Intro!C35</f>
        <v>2013</v>
      </c>
      <c r="B26" s="148"/>
      <c r="C26" s="247">
        <f ca="1">'e3.1A'!Q107</f>
        <v>2193820.757447863</v>
      </c>
      <c r="D26" s="280"/>
      <c r="E26" s="308">
        <f>Intro!J35</f>
        <v>1.0424066175137374</v>
      </c>
      <c r="F26" s="148"/>
      <c r="G26" s="247">
        <f ca="1">'e6.1'!$G26</f>
        <v>47</v>
      </c>
      <c r="H26" s="148"/>
      <c r="I26" s="247">
        <f t="shared" ca="1" si="2"/>
        <v>48656.452663886223</v>
      </c>
      <c r="J26" s="235"/>
      <c r="K26" s="241">
        <f t="shared" ca="1" si="3"/>
        <v>58098.349044267918</v>
      </c>
      <c r="L26" s="241"/>
      <c r="M26" s="241">
        <f t="shared" ca="1" si="4"/>
        <v>67802.323496393117</v>
      </c>
      <c r="N26" s="148"/>
      <c r="O26" s="247">
        <f t="shared" ca="1" si="5"/>
        <v>3186709.2043304765</v>
      </c>
      <c r="P26" s="148"/>
      <c r="Q26" s="255">
        <f ca="1">O26/'e6.2'!I26</f>
        <v>20.173067078798841</v>
      </c>
      <c r="R26" s="236"/>
      <c r="S26" s="252">
        <f>Intro!G35</f>
        <v>6</v>
      </c>
      <c r="T26" s="266">
        <f t="shared" si="6"/>
        <v>1.1940522965289999</v>
      </c>
      <c r="V26" s="268" t="str">
        <f t="shared" si="7"/>
        <v>13</v>
      </c>
      <c r="W26" s="252">
        <f t="shared" ca="1" si="8"/>
        <v>48656.452663886223</v>
      </c>
      <c r="X26" s="252">
        <f t="shared" ca="1" si="9"/>
        <v>70677.590695447347</v>
      </c>
    </row>
    <row r="27" spans="1:24" x14ac:dyDescent="0.2">
      <c r="A27" s="151">
        <f>Intro!C36</f>
        <v>2014</v>
      </c>
      <c r="B27" s="148"/>
      <c r="C27" s="247">
        <f>'e3.1A'!Q108</f>
        <v>2342502.8100000005</v>
      </c>
      <c r="D27" s="280"/>
      <c r="E27" s="308">
        <f>Intro!J36</f>
        <v>1.0412119709838517</v>
      </c>
      <c r="F27" s="148"/>
      <c r="G27" s="247">
        <f ca="1">'e6.1'!$G27</f>
        <v>43</v>
      </c>
      <c r="H27" s="148"/>
      <c r="I27" s="247">
        <f t="shared" ca="1" si="2"/>
        <v>56721.90622872817</v>
      </c>
      <c r="J27" s="235"/>
      <c r="K27" s="241">
        <f t="shared" ca="1" si="3"/>
        <v>65756.235335840247</v>
      </c>
      <c r="L27" s="241"/>
      <c r="M27" s="241">
        <f t="shared" ca="1" si="4"/>
        <v>69916.520790212671</v>
      </c>
      <c r="N27" s="148"/>
      <c r="O27" s="247">
        <f t="shared" ca="1" si="5"/>
        <v>3006410.3939791447</v>
      </c>
      <c r="P27" s="148"/>
      <c r="Q27" s="255">
        <f ca="1">O27/'e6.2'!I27</f>
        <v>16.469308382998399</v>
      </c>
      <c r="R27" s="236"/>
      <c r="S27" s="252">
        <f>Intro!G36</f>
        <v>5</v>
      </c>
      <c r="T27" s="266">
        <f t="shared" si="6"/>
        <v>1.1592740742999998</v>
      </c>
      <c r="V27" s="268" t="str">
        <f t="shared" si="7"/>
        <v>14</v>
      </c>
      <c r="W27" s="252">
        <f t="shared" ca="1" si="8"/>
        <v>56721.90622872817</v>
      </c>
      <c r="X27" s="252">
        <f t="shared" ca="1" si="9"/>
        <v>72797.918416310771</v>
      </c>
    </row>
    <row r="28" spans="1:24" x14ac:dyDescent="0.2">
      <c r="A28" s="151">
        <f>Intro!C37</f>
        <v>2015</v>
      </c>
      <c r="B28" s="148"/>
      <c r="C28" s="247">
        <f ca="1">'e3.1A'!Q109</f>
        <v>3627506.6580092385</v>
      </c>
      <c r="D28" s="280"/>
      <c r="E28" s="308">
        <f>Intro!J37</f>
        <v>1.0428069267716835</v>
      </c>
      <c r="F28" s="148"/>
      <c r="G28" s="247">
        <f ca="1">'e6.1'!$G28</f>
        <v>38</v>
      </c>
      <c r="H28" s="148"/>
      <c r="I28" s="247">
        <f t="shared" ca="1" si="2"/>
        <v>99547.080786379855</v>
      </c>
      <c r="J28" s="235"/>
      <c r="K28" s="241">
        <f t="shared" ca="1" si="3"/>
        <v>112041.11643485224</v>
      </c>
      <c r="L28" s="241"/>
      <c r="M28" s="241">
        <f t="shared" ca="1" si="4"/>
        <v>71903.872177881058</v>
      </c>
      <c r="N28" s="148"/>
      <c r="O28" s="247">
        <f t="shared" ca="1" si="5"/>
        <v>2732347.14275948</v>
      </c>
      <c r="P28" s="148"/>
      <c r="Q28" s="255">
        <f ca="1">O28/'e6.2'!I28</f>
        <v>13.875973476032431</v>
      </c>
      <c r="R28" s="236"/>
      <c r="S28" s="252">
        <f>Intro!G37</f>
        <v>4</v>
      </c>
      <c r="T28" s="266">
        <f t="shared" si="6"/>
        <v>1.1255088099999999</v>
      </c>
      <c r="V28" s="268" t="str">
        <f t="shared" si="7"/>
        <v>15</v>
      </c>
      <c r="W28" s="252">
        <f t="shared" ca="1" si="8"/>
        <v>99547.080786379855</v>
      </c>
      <c r="X28" s="252">
        <f t="shared" ca="1" si="9"/>
        <v>74981.855968800097</v>
      </c>
    </row>
    <row r="29" spans="1:24" x14ac:dyDescent="0.2">
      <c r="A29" s="151">
        <f>Intro!C38</f>
        <v>2016</v>
      </c>
      <c r="B29" s="148"/>
      <c r="C29" s="247">
        <f ca="1">'e3.1A'!Q110</f>
        <v>3047826.7734841765</v>
      </c>
      <c r="D29" s="280"/>
      <c r="E29" s="308">
        <f>Intro!J38</f>
        <v>1.0342758961601715</v>
      </c>
      <c r="F29" s="148"/>
      <c r="G29" s="247">
        <f ca="1">'e6.1'!$G29</f>
        <v>35</v>
      </c>
      <c r="H29" s="148"/>
      <c r="I29" s="247">
        <f t="shared" ca="1" si="2"/>
        <v>90065.536213894593</v>
      </c>
      <c r="J29" s="235"/>
      <c r="K29" s="241">
        <f t="shared" ca="1" si="3"/>
        <v>98417.043190400393</v>
      </c>
      <c r="L29" s="241"/>
      <c r="M29" s="241">
        <f t="shared" ca="1" si="4"/>
        <v>74671.866505437531</v>
      </c>
      <c r="N29" s="148"/>
      <c r="O29" s="247">
        <f t="shared" ca="1" si="5"/>
        <v>2613515.3276903136</v>
      </c>
      <c r="P29" s="148"/>
      <c r="Q29" s="255">
        <f ca="1">O29/'e6.2'!I29</f>
        <v>11.778184466289405</v>
      </c>
      <c r="R29" s="236"/>
      <c r="S29" s="252">
        <f>Intro!G38</f>
        <v>3</v>
      </c>
      <c r="T29" s="266">
        <f t="shared" si="6"/>
        <v>1.092727</v>
      </c>
      <c r="V29" s="268" t="str">
        <f t="shared" si="7"/>
        <v>16</v>
      </c>
      <c r="W29" s="252">
        <f t="shared" ca="1" si="8"/>
        <v>90065.536213894593</v>
      </c>
      <c r="X29" s="252">
        <f t="shared" ca="1" si="9"/>
        <v>77231.311647864088</v>
      </c>
    </row>
    <row r="30" spans="1:24" x14ac:dyDescent="0.2">
      <c r="A30" s="151">
        <f>Intro!C39</f>
        <v>2017</v>
      </c>
      <c r="B30" s="148"/>
      <c r="C30" s="247">
        <f ca="1">'e3.1A'!Q111</f>
        <v>3265066.7370095071</v>
      </c>
      <c r="D30" s="280"/>
      <c r="E30" s="308">
        <f>Intro!J39</f>
        <v>1.0165895076831004</v>
      </c>
      <c r="F30" s="148"/>
      <c r="G30" s="247">
        <f ca="1">'e6.1'!$G30</f>
        <v>46</v>
      </c>
      <c r="H30" s="148"/>
      <c r="I30" s="247">
        <f t="shared" ca="1" si="2"/>
        <v>72157.230146281785</v>
      </c>
      <c r="J30" s="235"/>
      <c r="K30" s="241">
        <f t="shared" ca="1" si="3"/>
        <v>76551.605462190346</v>
      </c>
      <c r="L30" s="241"/>
      <c r="M30" s="241">
        <f t="shared" ca="1" si="4"/>
        <v>78250.120029861122</v>
      </c>
      <c r="N30" s="148"/>
      <c r="O30" s="247">
        <f t="shared" ca="1" si="5"/>
        <v>3599505.5213736114</v>
      </c>
      <c r="P30" s="148"/>
      <c r="Q30" s="255">
        <f ca="1">O30/'e6.2'!I30</f>
        <v>11.705340920013356</v>
      </c>
      <c r="R30" s="236"/>
      <c r="S30" s="252">
        <f>Intro!G39</f>
        <v>2</v>
      </c>
      <c r="T30" s="266">
        <f t="shared" si="6"/>
        <v>1.0609</v>
      </c>
      <c r="V30" s="268" t="str">
        <f t="shared" si="7"/>
        <v>17</v>
      </c>
      <c r="W30" s="252">
        <f t="shared" ca="1" si="8"/>
        <v>72157.230146281785</v>
      </c>
      <c r="X30" s="252">
        <f t="shared" ca="1" si="9"/>
        <v>79548.250997300027</v>
      </c>
    </row>
    <row r="31" spans="1:24" x14ac:dyDescent="0.2">
      <c r="A31" s="151">
        <f>Intro!C40</f>
        <v>2018</v>
      </c>
      <c r="B31" s="148"/>
      <c r="C31" s="247">
        <f ca="1">'e3.1A'!Q112</f>
        <v>9423140.706474971</v>
      </c>
      <c r="D31" s="280"/>
      <c r="E31" s="308">
        <f>Intro!J40</f>
        <v>1.0000032636733147</v>
      </c>
      <c r="F31" s="148"/>
      <c r="G31" s="247">
        <f ca="1">'e6.1'!$G31</f>
        <v>129</v>
      </c>
      <c r="H31" s="148"/>
      <c r="I31" s="247">
        <f t="shared" ca="1" si="2"/>
        <v>73047.840779285543</v>
      </c>
      <c r="J31" s="235"/>
      <c r="K31" s="241">
        <f t="shared" ca="1" si="3"/>
        <v>75239.276002664104</v>
      </c>
      <c r="L31" s="241"/>
      <c r="M31" s="241">
        <f t="shared" ca="1" si="4"/>
        <v>81934.431120002613</v>
      </c>
      <c r="N31" s="148"/>
      <c r="O31" s="247">
        <f t="shared" ca="1" si="5"/>
        <v>10569541.614480337</v>
      </c>
      <c r="P31" s="148"/>
      <c r="Q31" s="255">
        <f ca="1">O31/'e6.2'!I31</f>
        <v>19.686375450000252</v>
      </c>
      <c r="R31" s="236"/>
      <c r="S31" s="252">
        <f>Intro!G40</f>
        <v>1</v>
      </c>
      <c r="T31" s="266">
        <f t="shared" si="6"/>
        <v>1.03</v>
      </c>
      <c r="V31" s="268" t="str">
        <f t="shared" si="7"/>
        <v>18</v>
      </c>
      <c r="W31" s="252">
        <f t="shared" ca="1" si="8"/>
        <v>73047.840779285543</v>
      </c>
      <c r="X31" s="252">
        <f t="shared" ca="1" si="9"/>
        <v>81934.698527219021</v>
      </c>
    </row>
    <row r="32" spans="1:24" x14ac:dyDescent="0.2">
      <c r="A32" s="151">
        <f>Intro!C41</f>
        <v>2019</v>
      </c>
      <c r="B32" s="148"/>
      <c r="C32" s="247">
        <f ca="1">'e3.1A'!Q113</f>
        <v>8591986.0959810279</v>
      </c>
      <c r="D32" s="280"/>
      <c r="E32" s="308">
        <f>Intro!J41</f>
        <v>1</v>
      </c>
      <c r="F32" s="148"/>
      <c r="G32" s="248">
        <f ca="1">'e6.1'!$G32</f>
        <v>95</v>
      </c>
      <c r="H32" s="148"/>
      <c r="I32" s="247">
        <f t="shared" ca="1" si="2"/>
        <v>90441.958905063453</v>
      </c>
      <c r="J32" s="235"/>
      <c r="K32" s="241">
        <f t="shared" ca="1" si="3"/>
        <v>90441.958905063453</v>
      </c>
      <c r="L32" s="241"/>
      <c r="M32" s="241">
        <f t="shared" ca="1" si="4"/>
        <v>84392.739483035592</v>
      </c>
      <c r="N32" s="148"/>
      <c r="O32" s="248">
        <f t="shared" ca="1" si="5"/>
        <v>8017310.2508883812</v>
      </c>
      <c r="P32" s="148"/>
      <c r="Q32" s="261">
        <f ca="1">O32/'e6.2'!I32</f>
        <v>14.761222214650346</v>
      </c>
      <c r="R32" s="236"/>
      <c r="S32" s="252">
        <f>Intro!G41</f>
        <v>0</v>
      </c>
      <c r="T32" s="266">
        <f t="shared" si="6"/>
        <v>1</v>
      </c>
      <c r="V32" s="268" t="str">
        <f t="shared" si="7"/>
        <v>19</v>
      </c>
      <c r="W32" s="252">
        <f t="shared" ca="1" si="8"/>
        <v>90441.958905063453</v>
      </c>
      <c r="X32" s="252">
        <f t="shared" ca="1" si="9"/>
        <v>84392.739483035592</v>
      </c>
    </row>
    <row r="33" spans="1:23" x14ac:dyDescent="0.2">
      <c r="A33" s="151"/>
      <c r="B33" s="148"/>
      <c r="C33" s="234"/>
      <c r="D33" s="148"/>
      <c r="E33" s="148"/>
      <c r="F33" s="148"/>
      <c r="G33" s="234"/>
      <c r="H33" s="148"/>
      <c r="I33" s="148"/>
      <c r="J33" s="148"/>
      <c r="K33" s="148"/>
      <c r="L33" s="148"/>
      <c r="M33" s="148"/>
      <c r="N33" s="148"/>
      <c r="O33" s="234"/>
      <c r="P33" s="148"/>
      <c r="Q33" s="281"/>
      <c r="R33" s="148"/>
    </row>
    <row r="34" spans="1:23" x14ac:dyDescent="0.2">
      <c r="A34" s="151" t="s">
        <v>78</v>
      </c>
      <c r="B34" s="148"/>
      <c r="C34" s="249">
        <f ca="1">SUM(C16:C32)</f>
        <v>47971689.676690072</v>
      </c>
      <c r="D34" s="148"/>
      <c r="E34" s="148"/>
      <c r="F34" s="148"/>
      <c r="G34" s="235">
        <f ca="1">SUM(G16:G32)</f>
        <v>745</v>
      </c>
      <c r="H34" s="148"/>
      <c r="I34" s="235"/>
      <c r="J34" s="148"/>
      <c r="K34" s="235"/>
      <c r="L34" s="148"/>
      <c r="M34" s="148"/>
      <c r="N34" s="148"/>
      <c r="O34" s="249">
        <f ca="1">SUM(O16:O32)</f>
        <v>51277758.203857675</v>
      </c>
      <c r="P34" s="148"/>
      <c r="Q34" s="316">
        <f ca="1">O34/'e6.2'!I34</f>
        <v>15.527948056883636</v>
      </c>
      <c r="R34" s="235"/>
    </row>
    <row r="35" spans="1:23" x14ac:dyDescent="0.2">
      <c r="A35" s="151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23" x14ac:dyDescent="0.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23" x14ac:dyDescent="0.2">
      <c r="A37" s="245" t="str">
        <f>"AVERAGES AT THE "&amp;cpy_l&amp;" LEVEL:"</f>
        <v>AVERAGES AT THE 2018/19 LEVEL:</v>
      </c>
      <c r="B37" s="148"/>
      <c r="C37" s="148"/>
      <c r="D37" s="148"/>
      <c r="E37" s="148"/>
      <c r="F37" s="148"/>
      <c r="G37" s="148"/>
      <c r="H37" s="148"/>
      <c r="I37" s="227"/>
      <c r="J37" s="148"/>
      <c r="K37" s="148"/>
      <c r="L37" s="148"/>
      <c r="M37" s="148"/>
      <c r="N37" s="148"/>
      <c r="O37" s="148"/>
      <c r="P37" s="148"/>
      <c r="Q37" s="148"/>
      <c r="R37" s="148"/>
      <c r="S37" s="244" t="s">
        <v>21</v>
      </c>
      <c r="T37" s="244" t="s">
        <v>22</v>
      </c>
    </row>
    <row r="38" spans="1:23" x14ac:dyDescent="0.2">
      <c r="A38" s="148" t="str">
        <f>"Policy Periods "&amp;W38&amp;" - Straight Average:"</f>
        <v>Policy Periods 2010 through 2018 - Straight Average:</v>
      </c>
      <c r="B38" s="148"/>
      <c r="C38" s="148"/>
      <c r="D38" s="148"/>
      <c r="E38" s="148"/>
      <c r="F38" s="148"/>
      <c r="G38" s="148"/>
      <c r="H38" s="148"/>
      <c r="I38" s="227"/>
      <c r="J38" s="148"/>
      <c r="K38" s="312">
        <f ca="1">AVERAGE(INDIRECT(U38))</f>
        <v>73611.038890019074</v>
      </c>
      <c r="L38" s="148"/>
      <c r="N38" s="148"/>
      <c r="O38" s="148"/>
      <c r="P38" s="148"/>
      <c r="Q38" s="148"/>
      <c r="R38" s="148"/>
      <c r="S38" s="267">
        <v>2010</v>
      </c>
      <c r="T38" s="267">
        <v>2018</v>
      </c>
      <c r="U38" s="264" t="str">
        <f ca="1">"K"&amp;ROW(OFFSET($A$33, (INDEX($S$16:$S$32, MATCH(S38, $A$16:$A$32, 0))+1)*-1, 0))&amp;":K"&amp;ROW(OFFSET($A$33, (INDEX($S$16:$S$32, MATCH(T38, $A$16:$A$32, 0))+1)*-1, 0))</f>
        <v>K23:K31</v>
      </c>
      <c r="V38" s="268" t="str">
        <f ca="1">SUBSTITUTE(U38, "K", "G")</f>
        <v>G23:G31</v>
      </c>
      <c r="W38" s="222" t="str">
        <f>S38&amp;" through "&amp;T38</f>
        <v>2010 through 2018</v>
      </c>
    </row>
    <row r="39" spans="1:23" x14ac:dyDescent="0.2">
      <c r="A39" s="148" t="str">
        <f>"Policy Periods "&amp;W39&amp;" - Straight Average Excluding Extremes:"</f>
        <v>Policy Periods 2010 through 2018 - Straight Average Excluding Extremes:</v>
      </c>
      <c r="B39" s="148"/>
      <c r="C39" s="148"/>
      <c r="D39" s="148"/>
      <c r="E39" s="148"/>
      <c r="F39" s="148"/>
      <c r="G39" s="148"/>
      <c r="H39" s="148"/>
      <c r="I39" s="227"/>
      <c r="J39" s="148"/>
      <c r="K39" s="241">
        <f ca="1">(SUM(INDIRECT(U39))-MIN(INDIRECT(U39))-MAX(INDIRECT(U39)))/(COUNT(INDIRECT(U39))-2)</f>
        <v>71527.37166834985</v>
      </c>
      <c r="L39" s="148"/>
      <c r="N39" s="148"/>
      <c r="O39" s="148"/>
      <c r="P39" s="148"/>
      <c r="Q39" s="148"/>
      <c r="R39" s="148"/>
      <c r="S39" s="267">
        <v>2010</v>
      </c>
      <c r="T39" s="267">
        <v>2018</v>
      </c>
      <c r="U39" s="264" t="str">
        <f ca="1">"K"&amp;ROW(OFFSET($A$33, (INDEX($S$16:$S$32, MATCH(S39, $A$16:$A$32, 0))+1)*-1, 0))&amp;":K"&amp;ROW(OFFSET($A$33, (INDEX($S$16:$S$32, MATCH(T39, $A$16:$A$32, 0))+1)*-1, 0))</f>
        <v>K23:K31</v>
      </c>
      <c r="V39" s="268" t="str">
        <f ca="1">SUBSTITUTE(U39, "K", "G")</f>
        <v>G23:G31</v>
      </c>
      <c r="W39" s="222" t="str">
        <f>S39&amp;" through "&amp;T39</f>
        <v>2010 through 2018</v>
      </c>
    </row>
    <row r="40" spans="1:23" x14ac:dyDescent="0.2">
      <c r="A40" s="148" t="str">
        <f>"Policy Periods "&amp;W40&amp;" - Weighted Average:"</f>
        <v>Policy Periods 2010 through 2018 - Weighted Average:</v>
      </c>
      <c r="B40" s="148"/>
      <c r="C40" s="148"/>
      <c r="D40" s="148"/>
      <c r="E40" s="148"/>
      <c r="F40" s="148"/>
      <c r="G40" s="148"/>
      <c r="H40" s="148"/>
      <c r="I40" s="227"/>
      <c r="J40" s="148"/>
      <c r="K40" s="241">
        <f ca="1">SUMPRODUCT(INDIRECT(U40),INDIRECT(V40))/SUM(INDIRECT(V40))</f>
        <v>74014.714780386406</v>
      </c>
      <c r="L40" s="148"/>
      <c r="N40" s="148"/>
      <c r="O40" s="148"/>
      <c r="P40" s="148"/>
      <c r="Q40" s="148"/>
      <c r="R40" s="148"/>
      <c r="S40" s="267">
        <v>2010</v>
      </c>
      <c r="T40" s="267">
        <v>2018</v>
      </c>
      <c r="U40" s="264" t="str">
        <f ca="1">"K"&amp;ROW(OFFSET($A$33, (INDEX($S$16:$S$32, MATCH(S40, $A$16:$A$32, 0))+1)*-1, 0))&amp;":K"&amp;ROW(OFFSET($A$33, (INDEX($S$16:$S$32, MATCH(T40, $A$16:$A$32, 0))+1)*-1, 0))</f>
        <v>K23:K31</v>
      </c>
      <c r="V40" s="268" t="str">
        <f ca="1">SUBSTITUTE(U40, "K", "G")</f>
        <v>G23:G31</v>
      </c>
      <c r="W40" s="222" t="str">
        <f>S40&amp;" through "&amp;T40</f>
        <v>2010 through 2018</v>
      </c>
    </row>
    <row r="41" spans="1:23" x14ac:dyDescent="0.2">
      <c r="A41" s="148" t="str">
        <f>"Policy Periods "&amp;W41&amp;" - Weighted Average:"</f>
        <v>Policy Periods 2012 through 2018 - Weighted Average:</v>
      </c>
      <c r="B41" s="148"/>
      <c r="C41" s="148"/>
      <c r="D41" s="148"/>
      <c r="E41" s="148"/>
      <c r="F41" s="148"/>
      <c r="G41" s="148"/>
      <c r="H41" s="148"/>
      <c r="I41" s="227"/>
      <c r="J41" s="148"/>
      <c r="K41" s="241">
        <f ca="1">SUMPRODUCT(INDIRECT(U41),INDIRECT(V41))/SUM(INDIRECT(V41))</f>
        <v>77873.678391318463</v>
      </c>
      <c r="L41" s="148"/>
      <c r="N41" s="148"/>
      <c r="O41" s="148"/>
      <c r="P41" s="148"/>
      <c r="Q41" s="148"/>
      <c r="R41" s="148"/>
      <c r="S41" s="267">
        <v>2012</v>
      </c>
      <c r="T41" s="267">
        <v>2018</v>
      </c>
      <c r="U41" s="264" t="str">
        <f ca="1">"K"&amp;ROW(OFFSET($A$33, (INDEX($S$16:$S$32, MATCH(S41, $A$16:$A$32, 0))+1)*-1, 0))&amp;":K"&amp;ROW(OFFSET($A$33, (INDEX($S$16:$S$32, MATCH(T41, $A$16:$A$32, 0))+1)*-1, 0))</f>
        <v>K25:K31</v>
      </c>
      <c r="V41" s="268" t="str">
        <f ca="1">SUBSTITUTE(U41, "K", "G")</f>
        <v>G25:G31</v>
      </c>
      <c r="W41" s="222" t="str">
        <f>S41&amp;" through "&amp;T41</f>
        <v>2012 through 2018</v>
      </c>
    </row>
    <row r="42" spans="1:23" x14ac:dyDescent="0.2">
      <c r="A42" s="148" t="str">
        <f>"Policy Periods "&amp;W42&amp;" - Weighted Average:"</f>
        <v>Policy Periods 2015 through 2018 - Weighted Average:</v>
      </c>
      <c r="B42" s="148"/>
      <c r="C42" s="148"/>
      <c r="D42" s="148"/>
      <c r="E42" s="148"/>
      <c r="F42" s="148"/>
      <c r="G42" s="148"/>
      <c r="H42" s="148"/>
      <c r="I42" s="227"/>
      <c r="J42" s="148"/>
      <c r="K42" s="241">
        <f ca="1">SUMPRODUCT(INDIRECT(U42),INDIRECT(V42))/SUM(INDIRECT(V42))</f>
        <v>84392.739483035592</v>
      </c>
      <c r="L42" s="148"/>
      <c r="N42" s="148"/>
      <c r="O42" s="148"/>
      <c r="P42" s="148"/>
      <c r="Q42" s="148"/>
      <c r="R42" s="148"/>
      <c r="S42" s="267">
        <v>2015</v>
      </c>
      <c r="T42" s="267">
        <v>2018</v>
      </c>
      <c r="U42" s="264" t="str">
        <f ca="1">"K"&amp;ROW(OFFSET($A$33, (INDEX($S$16:$S$32, MATCH(S42, $A$16:$A$32, 0))+1)*-1, 0))&amp;":K"&amp;ROW(OFFSET($A$33, (INDEX($S$16:$S$32, MATCH(T42, $A$16:$A$32, 0))+1)*-1, 0))</f>
        <v>K28:K31</v>
      </c>
      <c r="V42" s="268" t="str">
        <f ca="1">SUBSTITUTE(U42, "K", "G")</f>
        <v>G28:G31</v>
      </c>
      <c r="W42" s="222" t="str">
        <f>S42&amp;" through "&amp;T42</f>
        <v>2015 through 2018</v>
      </c>
    </row>
    <row r="43" spans="1:23" x14ac:dyDescent="0.2">
      <c r="N43" s="148"/>
      <c r="O43" s="148"/>
      <c r="P43" s="148"/>
      <c r="Q43" s="148"/>
      <c r="R43" s="148"/>
    </row>
    <row r="44" spans="1:23" ht="14.25" x14ac:dyDescent="0.2">
      <c r="A44" s="148" t="str">
        <f>"Selected Policy Period "&amp;cpy_l&amp;" Loss &amp; ALAE Severity Limited to $500,000:"</f>
        <v>Selected Policy Period 2018/19 Loss &amp; ALAE Severity Limited to $500,000: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317">
        <f ca="1">K42</f>
        <v>84392.739483035592</v>
      </c>
      <c r="L44" s="148"/>
      <c r="N44"/>
      <c r="O44" s="148"/>
      <c r="P44" s="148"/>
      <c r="Q44" s="148"/>
      <c r="R44" s="148"/>
      <c r="S44" s="313">
        <v>86851.969140370813</v>
      </c>
      <c r="T44" s="263" t="s">
        <v>354</v>
      </c>
    </row>
    <row r="45" spans="1:23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314">
        <f>S44*(1+Trend!$K$43*trend_prior)</f>
        <v>86851.969140370813</v>
      </c>
      <c r="T45" s="263" t="s">
        <v>355</v>
      </c>
    </row>
    <row r="46" spans="1:2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532">
        <f ca="1">K44/S45-1</f>
        <v>-2.8315185961536371E-2</v>
      </c>
      <c r="T46" s="263" t="s">
        <v>356</v>
      </c>
    </row>
    <row r="47" spans="1:2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23" x14ac:dyDescent="0.2">
      <c r="A48" s="148" t="s">
        <v>595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23" x14ac:dyDescent="0.2">
      <c r="A49" s="282" t="s">
        <v>594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23" x14ac:dyDescent="0.2">
      <c r="A50" s="148" t="s">
        <v>378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3" x14ac:dyDescent="0.2">
      <c r="A51" s="148" t="s">
        <v>379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23" x14ac:dyDescent="0.2">
      <c r="A52" s="148" t="s">
        <v>598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23" x14ac:dyDescent="0.2">
      <c r="A53" s="283" t="str">
        <f>"Column (5) equals [ (4) x Trend ]. The selected severity trend used is "&amp;TEXT(sevtrnd_500k, "0.00%")&amp;"."</f>
        <v>Column (5) equals [ (4) x Trend ]. The selected severity trend used is 3.00%.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23" x14ac:dyDescent="0.2">
      <c r="A54" s="227" t="str">
        <f>"Column (6) for all policy periods is the selected policy period "&amp;cpy_l&amp;" severity,"</f>
        <v>Column (6) for all policy periods is the selected policy period 2018/19 severity,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23" x14ac:dyDescent="0.2">
      <c r="A55" s="284" t="str">
        <f>"detrended at an annual rate of "&amp;TEXT(sevtrnd_500k, "0.00%")&amp;" and adjusted to the benefit level of the respective policy period."</f>
        <v>detrended at an annual rate of 3.00% and adjusted to the benefit level of the respective policy period.</v>
      </c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1:23" x14ac:dyDescent="0.2">
      <c r="A56" s="415" t="s">
        <v>597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spans="1:23" x14ac:dyDescent="0.2">
      <c r="A57" s="148" t="s">
        <v>599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</sheetData>
  <printOptions horizontalCentered="1"/>
  <pageMargins left="0.7" right="0.7" top="0.75" bottom="0.75" header="0.3" footer="0.3"/>
  <pageSetup scale="77" orientation="portrait" blackAndWhite="1" r:id="rId1"/>
  <headerFooter>
    <oddHeader xml:space="preserve">&amp;L&amp;"Arial"&amp;10  
  &amp;R&amp;"Arial"&amp;10  Exhibit 5
Sheet 3
</oddHeader>
    <oddFooter xml:space="preserve">&amp;L&amp;"Arial"&amp;10 Oliver Wyman Actuarial Consulting, Inc.
&amp;C&amp;"Arial"&amp;10 &amp;R&amp;"Arial"&amp;10 </oddFooter>
  </headerFooter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0">
    <tabColor rgb="FFFFCCCC"/>
    <pageSetUpPr fitToPage="1"/>
  </sheetPr>
  <dimension ref="A1:X57"/>
  <sheetViews>
    <sheetView zoomScale="85" zoomScaleNormal="85" zoomScaleSheetLayoutView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0.75" style="222" bestFit="1" customWidth="1"/>
    <col min="4" max="4" width="2.625" style="222" customWidth="1"/>
    <col min="5" max="5" width="9" style="222"/>
    <col min="6" max="6" width="2.625" style="222" customWidth="1"/>
    <col min="7" max="7" width="10.625" style="222" bestFit="1" customWidth="1"/>
    <col min="8" max="8" width="2.625" style="222" customWidth="1"/>
    <col min="9" max="9" width="9" style="222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10.75" style="222" bestFit="1" customWidth="1"/>
    <col min="16" max="16" width="2.625" style="222" customWidth="1"/>
    <col min="17" max="17" width="9" style="222"/>
    <col min="18" max="18" width="2.625" style="222" customWidth="1"/>
    <col min="19" max="19" width="9" style="222"/>
    <col min="20" max="20" width="9" style="222" customWidth="1"/>
    <col min="21" max="16384" width="9" style="222"/>
  </cols>
  <sheetData>
    <row r="1" spans="1:24" x14ac:dyDescent="0.2">
      <c r="A1" s="1" t="str">
        <f>[1]!getlabels()</f>
        <v>Exhibit 5, Sheet 4</v>
      </c>
    </row>
    <row r="2" spans="1:24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4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4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24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</row>
    <row r="7" spans="1:24" x14ac:dyDescent="0.2">
      <c r="A7" s="225" t="str">
        <f>VLOOKUP($A$1, index_lkups, 3, FALSE)</f>
        <v xml:space="preserve">Average Severity Method - Unlimited Loss &amp; ALAE </v>
      </c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151"/>
      <c r="S7" s="148"/>
      <c r="T7" s="148"/>
      <c r="U7" s="148"/>
      <c r="V7" s="148"/>
      <c r="W7" s="148"/>
    </row>
    <row r="8" spans="1:24" x14ac:dyDescent="0.2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51"/>
      <c r="S8" s="148"/>
      <c r="T8" s="148"/>
      <c r="U8" s="148"/>
      <c r="V8" s="148"/>
      <c r="W8" s="148"/>
    </row>
    <row r="9" spans="1:24" x14ac:dyDescent="0.2">
      <c r="A9" s="151"/>
      <c r="B9" s="148"/>
      <c r="R9" s="151"/>
      <c r="S9" s="148"/>
      <c r="T9" s="148"/>
      <c r="U9" s="148"/>
      <c r="V9" s="148"/>
      <c r="W9" s="148"/>
    </row>
    <row r="10" spans="1:24" x14ac:dyDescent="0.2">
      <c r="A10" s="151"/>
      <c r="B10" s="148"/>
      <c r="C10" s="151" t="s">
        <v>373</v>
      </c>
      <c r="D10" s="148"/>
      <c r="E10" s="151" t="s">
        <v>345</v>
      </c>
      <c r="F10" s="148"/>
      <c r="G10" s="151" t="s">
        <v>105</v>
      </c>
      <c r="H10" s="148"/>
      <c r="I10" s="151"/>
      <c r="J10" s="148"/>
      <c r="K10" s="151" t="s">
        <v>374</v>
      </c>
      <c r="L10" s="148"/>
      <c r="M10" s="151"/>
      <c r="N10" s="148"/>
      <c r="P10" s="148"/>
      <c r="Q10" s="151"/>
      <c r="R10" s="151"/>
      <c r="S10" s="148"/>
      <c r="T10" s="148"/>
      <c r="U10" s="148"/>
      <c r="V10" s="148"/>
      <c r="W10" s="148"/>
    </row>
    <row r="11" spans="1:24" x14ac:dyDescent="0.2">
      <c r="A11" s="181" t="str">
        <f>Intro!M9</f>
        <v>Policy</v>
      </c>
      <c r="B11" s="148"/>
      <c r="C11" s="151" t="s">
        <v>330</v>
      </c>
      <c r="D11" s="148"/>
      <c r="E11" s="306" t="str">
        <f>"to "&amp;cpy_l</f>
        <v>to 2018/19</v>
      </c>
      <c r="F11" s="148"/>
      <c r="G11" s="151" t="s">
        <v>245</v>
      </c>
      <c r="H11" s="148"/>
      <c r="I11" s="151" t="s">
        <v>332</v>
      </c>
      <c r="J11" s="148"/>
      <c r="K11" s="306" t="str">
        <f>E11</f>
        <v>to 2018/19</v>
      </c>
      <c r="L11" s="148"/>
      <c r="M11" s="151"/>
      <c r="N11" s="148"/>
      <c r="O11" s="181" t="s">
        <v>330</v>
      </c>
      <c r="P11" s="148"/>
      <c r="Q11" s="151" t="s">
        <v>332</v>
      </c>
      <c r="R11" s="151"/>
      <c r="S11" s="148"/>
      <c r="T11" s="148"/>
      <c r="U11" s="148"/>
      <c r="V11" s="148"/>
      <c r="W11" s="148"/>
    </row>
    <row r="12" spans="1:24" x14ac:dyDescent="0.2">
      <c r="A12" s="181" t="str">
        <f>Intro!M10</f>
        <v>Period</v>
      </c>
      <c r="B12" s="148"/>
      <c r="C12" s="151" t="s">
        <v>245</v>
      </c>
      <c r="D12" s="148"/>
      <c r="E12" s="151" t="s">
        <v>375</v>
      </c>
      <c r="F12" s="148"/>
      <c r="G12" s="151" t="s">
        <v>84</v>
      </c>
      <c r="H12" s="148"/>
      <c r="I12" s="276" t="s">
        <v>376</v>
      </c>
      <c r="J12" s="148"/>
      <c r="K12" s="276" t="s">
        <v>376</v>
      </c>
      <c r="L12" s="148"/>
      <c r="M12" s="151" t="s">
        <v>336</v>
      </c>
      <c r="N12" s="148"/>
      <c r="O12" s="181" t="s">
        <v>245</v>
      </c>
      <c r="P12" s="148"/>
      <c r="Q12" s="151" t="s">
        <v>347</v>
      </c>
      <c r="R12" s="181"/>
      <c r="T12" s="293" t="s">
        <v>353</v>
      </c>
    </row>
    <row r="13" spans="1:24" x14ac:dyDescent="0.2">
      <c r="A13" s="176" t="str">
        <f>Intro!M11</f>
        <v>Ending 9/30</v>
      </c>
      <c r="B13" s="148"/>
      <c r="C13" s="179" t="s">
        <v>8</v>
      </c>
      <c r="D13" s="148"/>
      <c r="E13" s="176" t="s">
        <v>350</v>
      </c>
      <c r="F13" s="148"/>
      <c r="G13" s="176" t="s">
        <v>377</v>
      </c>
      <c r="H13" s="148"/>
      <c r="I13" s="277" t="s">
        <v>348</v>
      </c>
      <c r="J13" s="148"/>
      <c r="K13" s="277" t="s">
        <v>348</v>
      </c>
      <c r="L13" s="148"/>
      <c r="M13" s="277" t="s">
        <v>348</v>
      </c>
      <c r="N13" s="148"/>
      <c r="O13" s="179" t="s">
        <v>8</v>
      </c>
      <c r="P13" s="148"/>
      <c r="Q13" s="176" t="s">
        <v>349</v>
      </c>
      <c r="R13" s="148"/>
      <c r="S13" s="299" t="s">
        <v>352</v>
      </c>
      <c r="T13" s="299" t="s">
        <v>229</v>
      </c>
      <c r="V13" s="299" t="s">
        <v>41</v>
      </c>
      <c r="W13" s="299" t="s">
        <v>332</v>
      </c>
      <c r="X13" s="299" t="s">
        <v>336</v>
      </c>
    </row>
    <row r="14" spans="1:24" x14ac:dyDescent="0.2">
      <c r="A14" s="148"/>
      <c r="B14" s="148"/>
      <c r="C14" s="230" t="s">
        <v>253</v>
      </c>
      <c r="D14" s="148"/>
      <c r="E14" s="230" t="s">
        <v>230</v>
      </c>
      <c r="F14" s="148"/>
      <c r="G14" s="230" t="s">
        <v>231</v>
      </c>
      <c r="H14" s="148"/>
      <c r="I14" s="230" t="s">
        <v>232</v>
      </c>
      <c r="J14" s="148"/>
      <c r="K14" s="230" t="s">
        <v>233</v>
      </c>
      <c r="L14" s="148"/>
      <c r="M14" s="230" t="s">
        <v>234</v>
      </c>
      <c r="N14" s="148"/>
      <c r="O14" s="230" t="s">
        <v>235</v>
      </c>
      <c r="P14" s="148"/>
      <c r="Q14" s="230" t="s">
        <v>236</v>
      </c>
      <c r="R14" s="148"/>
    </row>
    <row r="15" spans="1:24" x14ac:dyDescent="0.2">
      <c r="A15" s="148"/>
      <c r="B15" s="148"/>
      <c r="C15" s="235"/>
      <c r="D15" s="280"/>
      <c r="E15" s="236"/>
      <c r="F15" s="148"/>
      <c r="G15" s="235"/>
      <c r="H15" s="148"/>
      <c r="I15" s="235"/>
      <c r="J15" s="235"/>
      <c r="K15" s="241"/>
      <c r="L15" s="241"/>
      <c r="M15" s="241"/>
      <c r="N15" s="148"/>
      <c r="O15" s="235"/>
      <c r="P15" s="148"/>
      <c r="Q15" s="238"/>
      <c r="R15" s="236"/>
    </row>
    <row r="16" spans="1:24" x14ac:dyDescent="0.2">
      <c r="A16" s="151">
        <f>Intro!C25</f>
        <v>2003</v>
      </c>
      <c r="B16" s="148"/>
      <c r="C16" s="315">
        <f>'e3.1B'!Q25</f>
        <v>1499605.6200000003</v>
      </c>
      <c r="D16" s="280"/>
      <c r="E16" s="308">
        <f>Intro!J25</f>
        <v>1.0980216306970509</v>
      </c>
      <c r="F16" s="148"/>
      <c r="G16" s="247">
        <f ca="1">'e6.1'!$G16</f>
        <v>38</v>
      </c>
      <c r="H16" s="148"/>
      <c r="I16" s="315">
        <f ca="1">(C16 * E16) / G16</f>
        <v>43331.563375654274</v>
      </c>
      <c r="J16" s="235"/>
      <c r="K16" s="312">
        <f ca="1">I16*T16</f>
        <v>72284.523691451439</v>
      </c>
      <c r="L16" s="241"/>
      <c r="M16" s="312">
        <f t="shared" ref="M16" ca="1" si="0">$K$44 / (T16 * E16)</f>
        <v>47642.638698558098</v>
      </c>
      <c r="N16" s="148"/>
      <c r="O16" s="315">
        <f ca="1">M16*G16</f>
        <v>1810420.2705452077</v>
      </c>
      <c r="P16" s="148"/>
      <c r="Q16" s="316">
        <f ca="1">O16/'e6.2'!I16</f>
        <v>18.882706284400804</v>
      </c>
      <c r="R16" s="236"/>
      <c r="S16" s="252">
        <f>Intro!G25</f>
        <v>16</v>
      </c>
      <c r="T16" s="266">
        <f t="shared" ref="T16" si="1">(1 + sevtrnd_unl) ^ S16</f>
        <v>1.6681725296822387</v>
      </c>
      <c r="V16" s="268" t="str">
        <f>RIGHT(A16,2)</f>
        <v>03</v>
      </c>
      <c r="W16" s="252">
        <f ca="1">I16</f>
        <v>43331.563375654274</v>
      </c>
      <c r="X16" s="252">
        <f ca="1">M16*E16</f>
        <v>52312.647834501186</v>
      </c>
    </row>
    <row r="17" spans="1:24" x14ac:dyDescent="0.2">
      <c r="A17" s="151">
        <f>Intro!C26</f>
        <v>2004</v>
      </c>
      <c r="B17" s="148"/>
      <c r="C17" s="247">
        <f ca="1">'e3.1B'!Q26</f>
        <v>2852490.9106062623</v>
      </c>
      <c r="D17" s="280"/>
      <c r="E17" s="308">
        <f>Intro!J26</f>
        <v>1.1043638048521249</v>
      </c>
      <c r="F17" s="148"/>
      <c r="G17" s="247">
        <f ca="1">'e6.1'!$G17</f>
        <v>30</v>
      </c>
      <c r="H17" s="148"/>
      <c r="I17" s="247">
        <f t="shared" ref="I17:I32" ca="1" si="2">(C17 * E17) / G17</f>
        <v>105006.25717810781</v>
      </c>
      <c r="J17" s="235"/>
      <c r="K17" s="241">
        <f t="shared" ref="K17:K32" ca="1" si="3">I17*T17</f>
        <v>169654.77352955722</v>
      </c>
      <c r="L17" s="241"/>
      <c r="M17" s="241">
        <f t="shared" ref="M17:M32" ca="1" si="4">$K$44 / (T17 * E17)</f>
        <v>48908.528740087451</v>
      </c>
      <c r="N17" s="148"/>
      <c r="O17" s="247">
        <f t="shared" ref="O17:O32" ca="1" si="5">M17*G17</f>
        <v>1467255.8622026236</v>
      </c>
      <c r="P17" s="148"/>
      <c r="Q17" s="255">
        <f ca="1">O17/'e6.2'!I17</f>
        <v>14.365469840751569</v>
      </c>
      <c r="R17" s="236"/>
      <c r="S17" s="252">
        <f>Intro!G26</f>
        <v>15</v>
      </c>
      <c r="T17" s="266">
        <f t="shared" ref="T17:T32" si="6">(1 + sevtrnd_unl) ^ S17</f>
        <v>1.6156634670045893</v>
      </c>
      <c r="V17" s="268" t="str">
        <f t="shared" ref="V17:V32" si="7">RIGHT(A17,2)</f>
        <v>04</v>
      </c>
      <c r="W17" s="252">
        <f t="shared" ref="W17:W32" ca="1" si="8">I17</f>
        <v>105006.25717810781</v>
      </c>
      <c r="X17" s="252">
        <f t="shared" ref="X17:X32" ca="1" si="9">M17*E17</f>
        <v>54012.808889122483</v>
      </c>
    </row>
    <row r="18" spans="1:24" x14ac:dyDescent="0.2">
      <c r="A18" s="151">
        <f>Intro!C27</f>
        <v>2005</v>
      </c>
      <c r="B18" s="148"/>
      <c r="C18" s="247">
        <f>'e3.1B'!Q27</f>
        <v>699839.89000000025</v>
      </c>
      <c r="D18" s="280"/>
      <c r="E18" s="308">
        <f>Intro!J27</f>
        <v>1.0993295241734087</v>
      </c>
      <c r="F18" s="148"/>
      <c r="G18" s="247">
        <f ca="1">'e6.1'!$G18</f>
        <v>26</v>
      </c>
      <c r="H18" s="148"/>
      <c r="I18" s="247">
        <f t="shared" ca="1" si="2"/>
        <v>29590.563587356573</v>
      </c>
      <c r="J18" s="235"/>
      <c r="K18" s="241">
        <f t="shared" ca="1" si="3"/>
        <v>46303.527899436587</v>
      </c>
      <c r="L18" s="241"/>
      <c r="M18" s="241">
        <f t="shared" ca="1" si="4"/>
        <v>50729.307229287209</v>
      </c>
      <c r="N18" s="148"/>
      <c r="O18" s="247">
        <f t="shared" ca="1" si="5"/>
        <v>1318961.9879614674</v>
      </c>
      <c r="P18" s="148"/>
      <c r="Q18" s="255">
        <f ca="1">O18/'e6.2'!I18</f>
        <v>11.851322127764737</v>
      </c>
      <c r="R18" s="236"/>
      <c r="S18" s="252">
        <f>Intro!G27</f>
        <v>14</v>
      </c>
      <c r="T18" s="266">
        <f t="shared" si="6"/>
        <v>1.5648072319657038</v>
      </c>
      <c r="V18" s="268" t="str">
        <f t="shared" si="7"/>
        <v>05</v>
      </c>
      <c r="W18" s="252">
        <f t="shared" ca="1" si="8"/>
        <v>29590.563587356573</v>
      </c>
      <c r="X18" s="252">
        <f t="shared" ca="1" si="9"/>
        <v>55768.225178018969</v>
      </c>
    </row>
    <row r="19" spans="1:24" x14ac:dyDescent="0.2">
      <c r="A19" s="151">
        <f>Intro!C28</f>
        <v>2006</v>
      </c>
      <c r="B19" s="148"/>
      <c r="C19" s="247">
        <f>'e3.1B'!Q28</f>
        <v>2316148.9500000007</v>
      </c>
      <c r="D19" s="280"/>
      <c r="E19" s="308">
        <f>Intro!J28</f>
        <v>1.0898938283807902</v>
      </c>
      <c r="F19" s="148"/>
      <c r="G19" s="247">
        <f ca="1">'e6.1'!$G19</f>
        <v>31</v>
      </c>
      <c r="H19" s="148"/>
      <c r="I19" s="247">
        <f t="shared" ca="1" si="2"/>
        <v>81430.85310373058</v>
      </c>
      <c r="J19" s="235"/>
      <c r="K19" s="241">
        <f t="shared" ca="1" si="3"/>
        <v>123412.67587588813</v>
      </c>
      <c r="L19" s="241"/>
      <c r="M19" s="241">
        <f t="shared" ca="1" si="4"/>
        <v>52831.469448588228</v>
      </c>
      <c r="N19" s="148"/>
      <c r="O19" s="247">
        <f t="shared" ca="1" si="5"/>
        <v>1637775.552906235</v>
      </c>
      <c r="P19" s="148"/>
      <c r="Q19" s="255">
        <f ca="1">O19/'e6.2'!I19</f>
        <v>15.198810544993746</v>
      </c>
      <c r="R19" s="236"/>
      <c r="S19" s="252">
        <f>Intro!G28</f>
        <v>13</v>
      </c>
      <c r="T19" s="266">
        <f t="shared" si="6"/>
        <v>1.515551798513999</v>
      </c>
      <c r="V19" s="268" t="str">
        <f t="shared" si="7"/>
        <v>06</v>
      </c>
      <c r="W19" s="252">
        <f t="shared" ca="1" si="8"/>
        <v>81430.85310373058</v>
      </c>
      <c r="X19" s="252">
        <f t="shared" ca="1" si="9"/>
        <v>57580.692496304575</v>
      </c>
    </row>
    <row r="20" spans="1:24" x14ac:dyDescent="0.2">
      <c r="A20" s="151">
        <f>Intro!C29</f>
        <v>2007</v>
      </c>
      <c r="B20" s="148"/>
      <c r="C20" s="247">
        <f>'e3.1B'!Q29</f>
        <v>1099670.4199999997</v>
      </c>
      <c r="D20" s="280"/>
      <c r="E20" s="308">
        <f>Intro!J29</f>
        <v>1.0779438773143473</v>
      </c>
      <c r="F20" s="148"/>
      <c r="G20" s="247">
        <f ca="1">'e6.1'!$G20</f>
        <v>34</v>
      </c>
      <c r="H20" s="148"/>
      <c r="I20" s="247">
        <f t="shared" ca="1" si="2"/>
        <v>34864.205773608715</v>
      </c>
      <c r="J20" s="235"/>
      <c r="K20" s="241">
        <f t="shared" ca="1" si="3"/>
        <v>51175.312120053117</v>
      </c>
      <c r="L20" s="241"/>
      <c r="M20" s="241">
        <f t="shared" ca="1" si="4"/>
        <v>55153.20997096513</v>
      </c>
      <c r="N20" s="148"/>
      <c r="O20" s="247">
        <f t="shared" ca="1" si="5"/>
        <v>1875209.1390128145</v>
      </c>
      <c r="P20" s="148"/>
      <c r="Q20" s="255">
        <f ca="1">O20/'e6.2'!I20</f>
        <v>17.930154805104266</v>
      </c>
      <c r="R20" s="236"/>
      <c r="S20" s="252">
        <f>Intro!G29</f>
        <v>12</v>
      </c>
      <c r="T20" s="266">
        <f t="shared" si="6"/>
        <v>1.467846778221791</v>
      </c>
      <c r="V20" s="268" t="str">
        <f t="shared" si="7"/>
        <v>07</v>
      </c>
      <c r="W20" s="252">
        <f t="shared" ca="1" si="8"/>
        <v>34864.205773608715</v>
      </c>
      <c r="X20" s="252">
        <f t="shared" ca="1" si="9"/>
        <v>59452.065002434472</v>
      </c>
    </row>
    <row r="21" spans="1:24" x14ac:dyDescent="0.2">
      <c r="A21" s="151">
        <f>Intro!C30</f>
        <v>2008</v>
      </c>
      <c r="B21" s="148"/>
      <c r="C21" s="247">
        <f>'e3.1B'!Q30</f>
        <v>766269.99000000011</v>
      </c>
      <c r="D21" s="280"/>
      <c r="E21" s="308">
        <f>Intro!J30</f>
        <v>1.0673951535966342</v>
      </c>
      <c r="F21" s="148"/>
      <c r="G21" s="247">
        <f ca="1">'e6.1'!$G21</f>
        <v>24</v>
      </c>
      <c r="H21" s="148"/>
      <c r="I21" s="247">
        <f t="shared" ca="1" si="2"/>
        <v>34079.703069689225</v>
      </c>
      <c r="J21" s="235"/>
      <c r="K21" s="241">
        <f t="shared" ca="1" si="3"/>
        <v>48449.183877577343</v>
      </c>
      <c r="L21" s="241"/>
      <c r="M21" s="241">
        <f t="shared" ca="1" si="4"/>
        <v>57508.465265348714</v>
      </c>
      <c r="N21" s="148"/>
      <c r="O21" s="247">
        <f t="shared" ca="1" si="5"/>
        <v>1380203.166368369</v>
      </c>
      <c r="P21" s="148"/>
      <c r="Q21" s="255">
        <f ca="1">O21/'e6.2'!I21</f>
        <v>13.014609156336158</v>
      </c>
      <c r="R21" s="236"/>
      <c r="S21" s="252">
        <f>Intro!G30</f>
        <v>11</v>
      </c>
      <c r="T21" s="266">
        <f t="shared" si="6"/>
        <v>1.4216433687378121</v>
      </c>
      <c r="V21" s="268" t="str">
        <f t="shared" si="7"/>
        <v>08</v>
      </c>
      <c r="W21" s="252">
        <f t="shared" ca="1" si="8"/>
        <v>34079.703069689225</v>
      </c>
      <c r="X21" s="252">
        <f t="shared" ca="1" si="9"/>
        <v>61384.257115013592</v>
      </c>
    </row>
    <row r="22" spans="1:24" x14ac:dyDescent="0.2">
      <c r="A22" s="151">
        <f>Intro!C31</f>
        <v>2009</v>
      </c>
      <c r="B22" s="148"/>
      <c r="C22" s="247">
        <f ca="1">'e3.1B'!Q31</f>
        <v>2020299.0166137598</v>
      </c>
      <c r="D22" s="280"/>
      <c r="E22" s="308">
        <f>Intro!J31</f>
        <v>1.0587300339527494</v>
      </c>
      <c r="F22" s="148"/>
      <c r="G22" s="247">
        <f ca="1">'e6.1'!$G22</f>
        <v>31</v>
      </c>
      <c r="H22" s="148"/>
      <c r="I22" s="247">
        <f t="shared" ca="1" si="2"/>
        <v>68998.427304973942</v>
      </c>
      <c r="J22" s="235"/>
      <c r="K22" s="241">
        <f t="shared" ca="1" si="3"/>
        <v>95003.541531674768</v>
      </c>
      <c r="L22" s="241"/>
      <c r="M22" s="241">
        <f t="shared" ca="1" si="4"/>
        <v>59863.462297963022</v>
      </c>
      <c r="N22" s="148"/>
      <c r="O22" s="247">
        <f t="shared" ca="1" si="5"/>
        <v>1855767.3312368537</v>
      </c>
      <c r="P22" s="148"/>
      <c r="Q22" s="255">
        <f ca="1">O22/'e6.2'!I22</f>
        <v>16.760494888892516</v>
      </c>
      <c r="R22" s="236"/>
      <c r="S22" s="252">
        <f>Intro!G31</f>
        <v>10</v>
      </c>
      <c r="T22" s="266">
        <f t="shared" si="6"/>
        <v>1.3768943038622878</v>
      </c>
      <c r="V22" s="268" t="str">
        <f t="shared" si="7"/>
        <v>09</v>
      </c>
      <c r="W22" s="252">
        <f t="shared" ca="1" si="8"/>
        <v>68998.427304973942</v>
      </c>
      <c r="X22" s="252">
        <f t="shared" ca="1" si="9"/>
        <v>63379.245471251525</v>
      </c>
    </row>
    <row r="23" spans="1:24" x14ac:dyDescent="0.2">
      <c r="A23" s="151">
        <f>Intro!C32</f>
        <v>2010</v>
      </c>
      <c r="B23" s="148"/>
      <c r="C23" s="247">
        <f ca="1">'e3.1B'!Q32</f>
        <v>1232465.5338992665</v>
      </c>
      <c r="D23" s="280"/>
      <c r="E23" s="308">
        <f>Intro!J32</f>
        <v>1.0522219598580769</v>
      </c>
      <c r="F23" s="148"/>
      <c r="G23" s="247">
        <f ca="1">'e6.1'!$G23</f>
        <v>34</v>
      </c>
      <c r="H23" s="148"/>
      <c r="I23" s="247">
        <f t="shared" ca="1" si="2"/>
        <v>38141.979398147567</v>
      </c>
      <c r="J23" s="235"/>
      <c r="K23" s="241">
        <f t="shared" ca="1" si="3"/>
        <v>50864.381764011741</v>
      </c>
      <c r="L23" s="241"/>
      <c r="M23" s="241">
        <f t="shared" ca="1" si="4"/>
        <v>62191.318415264381</v>
      </c>
      <c r="N23" s="148"/>
      <c r="O23" s="247">
        <f t="shared" ca="1" si="5"/>
        <v>2114504.8261189889</v>
      </c>
      <c r="P23" s="148"/>
      <c r="Q23" s="255">
        <f ca="1">O23/'e6.2'!I23</f>
        <v>16.490954056712319</v>
      </c>
      <c r="R23" s="236"/>
      <c r="S23" s="252">
        <f>Intro!G32</f>
        <v>9</v>
      </c>
      <c r="T23" s="266">
        <f t="shared" si="6"/>
        <v>1.3335538051934992</v>
      </c>
      <c r="V23" s="268" t="str">
        <f t="shared" si="7"/>
        <v>10</v>
      </c>
      <c r="W23" s="252">
        <f t="shared" ca="1" si="8"/>
        <v>38141.979398147567</v>
      </c>
      <c r="X23" s="252">
        <f t="shared" ca="1" si="9"/>
        <v>65439.070949067194</v>
      </c>
    </row>
    <row r="24" spans="1:24" x14ac:dyDescent="0.2">
      <c r="A24" s="151">
        <f>Intro!C33</f>
        <v>2011</v>
      </c>
      <c r="B24" s="148"/>
      <c r="C24" s="247">
        <f>'e3.1B'!Q33</f>
        <v>1212882.8100000003</v>
      </c>
      <c r="D24" s="280"/>
      <c r="E24" s="308">
        <f>Intro!J33</f>
        <v>1.0474460237870546</v>
      </c>
      <c r="F24" s="148"/>
      <c r="G24" s="247">
        <f ca="1">'e6.1'!$G24</f>
        <v>30</v>
      </c>
      <c r="H24" s="148"/>
      <c r="I24" s="247">
        <f t="shared" ca="1" si="2"/>
        <v>42347.642555138998</v>
      </c>
      <c r="J24" s="235"/>
      <c r="K24" s="241">
        <f t="shared" ca="1" si="3"/>
        <v>54695.263796977983</v>
      </c>
      <c r="L24" s="241"/>
      <c r="M24" s="241">
        <f t="shared" ca="1" si="4"/>
        <v>64505.319816506366</v>
      </c>
      <c r="N24" s="148"/>
      <c r="O24" s="247">
        <f t="shared" ca="1" si="5"/>
        <v>1935159.594495191</v>
      </c>
      <c r="P24" s="148"/>
      <c r="Q24" s="255">
        <f ca="1">O24/'e6.2'!I24</f>
        <v>13.512327990870462</v>
      </c>
      <c r="R24" s="236"/>
      <c r="S24" s="252">
        <f>Intro!G33</f>
        <v>8</v>
      </c>
      <c r="T24" s="266">
        <f t="shared" si="6"/>
        <v>1.2915775352963672</v>
      </c>
      <c r="V24" s="268" t="str">
        <f t="shared" si="7"/>
        <v>11</v>
      </c>
      <c r="W24" s="252">
        <f t="shared" ca="1" si="8"/>
        <v>42347.642555138998</v>
      </c>
      <c r="X24" s="252">
        <f t="shared" ca="1" si="9"/>
        <v>67565.8407549119</v>
      </c>
    </row>
    <row r="25" spans="1:24" x14ac:dyDescent="0.2">
      <c r="A25" s="151">
        <f>Intro!C34</f>
        <v>2012</v>
      </c>
      <c r="B25" s="148"/>
      <c r="C25" s="247">
        <f>'e3.1B'!Q34</f>
        <v>1930458.7599999993</v>
      </c>
      <c r="D25" s="280"/>
      <c r="E25" s="308">
        <f>Intro!J34</f>
        <v>1.0451717334298189</v>
      </c>
      <c r="F25" s="148"/>
      <c r="G25" s="247">
        <f ca="1">'e6.1'!$G25</f>
        <v>34</v>
      </c>
      <c r="H25" s="148"/>
      <c r="I25" s="247">
        <f t="shared" ca="1" si="2"/>
        <v>59342.968485411118</v>
      </c>
      <c r="J25" s="235"/>
      <c r="K25" s="241">
        <f t="shared" ca="1" si="3"/>
        <v>74233.457601508257</v>
      </c>
      <c r="L25" s="241"/>
      <c r="M25" s="241">
        <f t="shared" ca="1" si="4"/>
        <v>66746.667890182551</v>
      </c>
      <c r="N25" s="148"/>
      <c r="O25" s="247">
        <f t="shared" ca="1" si="5"/>
        <v>2269386.7082662066</v>
      </c>
      <c r="P25" s="148"/>
      <c r="Q25" s="255">
        <f ca="1">O25/'e6.2'!I25</f>
        <v>15.589674641682217</v>
      </c>
      <c r="R25" s="236"/>
      <c r="S25" s="252">
        <f>Intro!G34</f>
        <v>7</v>
      </c>
      <c r="T25" s="266">
        <f t="shared" si="6"/>
        <v>1.2509225523451497</v>
      </c>
      <c r="V25" s="268" t="str">
        <f t="shared" si="7"/>
        <v>12</v>
      </c>
      <c r="W25" s="252">
        <f t="shared" ca="1" si="8"/>
        <v>59342.968485411118</v>
      </c>
      <c r="X25" s="252">
        <f t="shared" ca="1" si="9"/>
        <v>69761.730579446536</v>
      </c>
    </row>
    <row r="26" spans="1:24" x14ac:dyDescent="0.2">
      <c r="A26" s="151">
        <f>Intro!C35</f>
        <v>2013</v>
      </c>
      <c r="B26" s="148"/>
      <c r="C26" s="247">
        <f ca="1">'e3.1B'!Q35</f>
        <v>2258615.9974478637</v>
      </c>
      <c r="D26" s="280"/>
      <c r="E26" s="308">
        <f>Intro!J35</f>
        <v>1.0424066175137374</v>
      </c>
      <c r="F26" s="148"/>
      <c r="G26" s="247">
        <f ca="1">'e6.1'!$G26</f>
        <v>47</v>
      </c>
      <c r="H26" s="148"/>
      <c r="I26" s="247">
        <f t="shared" ca="1" si="2"/>
        <v>50093.537492809439</v>
      </c>
      <c r="J26" s="235"/>
      <c r="K26" s="241">
        <f t="shared" ca="1" si="3"/>
        <v>60690.688403392378</v>
      </c>
      <c r="L26" s="241"/>
      <c r="M26" s="241">
        <f t="shared" ca="1" si="4"/>
        <v>69098.742863966239</v>
      </c>
      <c r="N26" s="148"/>
      <c r="O26" s="247">
        <f t="shared" ca="1" si="5"/>
        <v>3247640.9146064133</v>
      </c>
      <c r="P26" s="148"/>
      <c r="Q26" s="255">
        <f ca="1">O26/'e6.2'!I26</f>
        <v>20.558787707763688</v>
      </c>
      <c r="R26" s="236"/>
      <c r="S26" s="252">
        <f>Intro!G35</f>
        <v>6</v>
      </c>
      <c r="T26" s="266">
        <f t="shared" si="6"/>
        <v>1.2115472661938496</v>
      </c>
      <c r="V26" s="268" t="str">
        <f t="shared" si="7"/>
        <v>13</v>
      </c>
      <c r="W26" s="252">
        <f t="shared" ca="1" si="8"/>
        <v>50093.537492809439</v>
      </c>
      <c r="X26" s="252">
        <f t="shared" ca="1" si="9"/>
        <v>72028.986823278552</v>
      </c>
    </row>
    <row r="27" spans="1:24" x14ac:dyDescent="0.2">
      <c r="A27" s="151">
        <f>Intro!C36</f>
        <v>2014</v>
      </c>
      <c r="B27" s="148"/>
      <c r="C27" s="247">
        <f>'e3.1B'!Q36</f>
        <v>2342502.8100000005</v>
      </c>
      <c r="D27" s="280"/>
      <c r="E27" s="308">
        <f>Intro!J36</f>
        <v>1.0412119709838517</v>
      </c>
      <c r="F27" s="148"/>
      <c r="G27" s="247">
        <f ca="1">'e6.1'!$G27</f>
        <v>43</v>
      </c>
      <c r="H27" s="148"/>
      <c r="I27" s="247">
        <f t="shared" ca="1" si="2"/>
        <v>56721.90622872817</v>
      </c>
      <c r="J27" s="235"/>
      <c r="K27" s="241">
        <f t="shared" ca="1" si="3"/>
        <v>66558.131161955942</v>
      </c>
      <c r="L27" s="241"/>
      <c r="M27" s="241">
        <f t="shared" ca="1" si="4"/>
        <v>71426.309884587856</v>
      </c>
      <c r="N27" s="148"/>
      <c r="O27" s="247">
        <f t="shared" ca="1" si="5"/>
        <v>3071331.3250372778</v>
      </c>
      <c r="P27" s="148"/>
      <c r="Q27" s="255">
        <f ca="1">O27/'e6.2'!I27</f>
        <v>16.824949394700937</v>
      </c>
      <c r="R27" s="236"/>
      <c r="S27" s="252">
        <f>Intro!G36</f>
        <v>5</v>
      </c>
      <c r="T27" s="266">
        <f t="shared" si="6"/>
        <v>1.1734113958293944</v>
      </c>
      <c r="V27" s="268" t="str">
        <f t="shared" si="7"/>
        <v>14</v>
      </c>
      <c r="W27" s="252">
        <f t="shared" ca="1" si="8"/>
        <v>56721.90622872817</v>
      </c>
      <c r="X27" s="252">
        <f t="shared" ca="1" si="9"/>
        <v>74369.928895035089</v>
      </c>
    </row>
    <row r="28" spans="1:24" x14ac:dyDescent="0.2">
      <c r="A28" s="151">
        <f>Intro!C37</f>
        <v>2015</v>
      </c>
      <c r="B28" s="148"/>
      <c r="C28" s="247">
        <f ca="1">'e3.1B'!Q37</f>
        <v>3627506.6580092385</v>
      </c>
      <c r="D28" s="280"/>
      <c r="E28" s="308">
        <f>Intro!J37</f>
        <v>1.0428069267716835</v>
      </c>
      <c r="F28" s="148"/>
      <c r="G28" s="247">
        <f ca="1">'e6.1'!$G28</f>
        <v>38</v>
      </c>
      <c r="H28" s="148"/>
      <c r="I28" s="247">
        <f t="shared" ca="1" si="2"/>
        <v>99547.080786379855</v>
      </c>
      <c r="J28" s="235"/>
      <c r="K28" s="241">
        <f t="shared" ca="1" si="3"/>
        <v>113132.86103272394</v>
      </c>
      <c r="L28" s="241"/>
      <c r="M28" s="241">
        <f t="shared" ca="1" si="4"/>
        <v>73634.869133292377</v>
      </c>
      <c r="N28" s="148"/>
      <c r="O28" s="247">
        <f t="shared" ca="1" si="5"/>
        <v>2798125.0270651104</v>
      </c>
      <c r="P28" s="148"/>
      <c r="Q28" s="255">
        <f ca="1">O28/'e6.2'!I28</f>
        <v>14.210020407204091</v>
      </c>
      <c r="R28" s="236"/>
      <c r="S28" s="252">
        <f>Intro!G37</f>
        <v>4</v>
      </c>
      <c r="T28" s="266">
        <f t="shared" si="6"/>
        <v>1.1364759281640624</v>
      </c>
      <c r="V28" s="268" t="str">
        <f t="shared" si="7"/>
        <v>15</v>
      </c>
      <c r="W28" s="252">
        <f t="shared" ca="1" si="8"/>
        <v>99547.080786379855</v>
      </c>
      <c r="X28" s="252">
        <f t="shared" ca="1" si="9"/>
        <v>76786.95158412373</v>
      </c>
    </row>
    <row r="29" spans="1:24" x14ac:dyDescent="0.2">
      <c r="A29" s="151">
        <f>Intro!C38</f>
        <v>2016</v>
      </c>
      <c r="B29" s="148"/>
      <c r="C29" s="247">
        <f ca="1">'e3.1B'!Q38</f>
        <v>3140794.2114600036</v>
      </c>
      <c r="D29" s="280"/>
      <c r="E29" s="308">
        <f>Intro!J38</f>
        <v>1.0342758961601715</v>
      </c>
      <c r="F29" s="148"/>
      <c r="G29" s="247">
        <f ca="1">'e6.1'!$G29</f>
        <v>35</v>
      </c>
      <c r="H29" s="148"/>
      <c r="I29" s="247">
        <f t="shared" ca="1" si="2"/>
        <v>92812.792791784974</v>
      </c>
      <c r="J29" s="235"/>
      <c r="K29" s="241">
        <f t="shared" ca="1" si="3"/>
        <v>102159.32671529551</v>
      </c>
      <c r="L29" s="241"/>
      <c r="M29" s="241">
        <f t="shared" ca="1" si="4"/>
        <v>76655.105088449054</v>
      </c>
      <c r="N29" s="148"/>
      <c r="O29" s="247">
        <f t="shared" ca="1" si="5"/>
        <v>2682928.678095717</v>
      </c>
      <c r="P29" s="148"/>
      <c r="Q29" s="255">
        <f ca="1">O29/'e6.2'!I29</f>
        <v>12.091005759830676</v>
      </c>
      <c r="R29" s="236"/>
      <c r="S29" s="252">
        <f>Intro!G38</f>
        <v>3</v>
      </c>
      <c r="T29" s="266">
        <f t="shared" si="6"/>
        <v>1.1007030781249998</v>
      </c>
      <c r="V29" s="268" t="str">
        <f t="shared" si="7"/>
        <v>16</v>
      </c>
      <c r="W29" s="252">
        <f t="shared" ca="1" si="8"/>
        <v>92812.792791784974</v>
      </c>
      <c r="X29" s="252">
        <f t="shared" ca="1" si="9"/>
        <v>79282.527510607761</v>
      </c>
    </row>
    <row r="30" spans="1:24" x14ac:dyDescent="0.2">
      <c r="A30" s="151">
        <f>Intro!C39</f>
        <v>2017</v>
      </c>
      <c r="B30" s="148"/>
      <c r="C30" s="247">
        <f ca="1">'e3.1B'!Q39</f>
        <v>3375931.2625302225</v>
      </c>
      <c r="D30" s="280"/>
      <c r="E30" s="308">
        <f>Intro!J39</f>
        <v>1.0165895076831004</v>
      </c>
      <c r="F30" s="148"/>
      <c r="G30" s="247">
        <f ca="1">'e6.1'!$G30</f>
        <v>46</v>
      </c>
      <c r="H30" s="148"/>
      <c r="I30" s="247">
        <f t="shared" ca="1" si="2"/>
        <v>74607.310872773625</v>
      </c>
      <c r="J30" s="235"/>
      <c r="K30" s="241">
        <f t="shared" ca="1" si="3"/>
        <v>79535.590051613268</v>
      </c>
      <c r="L30" s="241"/>
      <c r="M30" s="241">
        <f t="shared" ca="1" si="4"/>
        <v>80523.366645074915</v>
      </c>
      <c r="N30" s="148"/>
      <c r="O30" s="247">
        <f t="shared" ca="1" si="5"/>
        <v>3704074.8656734461</v>
      </c>
      <c r="P30" s="148"/>
      <c r="Q30" s="255">
        <f ca="1">O30/'e6.2'!I30</f>
        <v>12.045393134836662</v>
      </c>
      <c r="R30" s="236"/>
      <c r="S30" s="252">
        <f>Intro!G39</f>
        <v>2</v>
      </c>
      <c r="T30" s="266">
        <f t="shared" si="6"/>
        <v>1.0660562499999999</v>
      </c>
      <c r="V30" s="268" t="str">
        <f t="shared" si="7"/>
        <v>17</v>
      </c>
      <c r="W30" s="252">
        <f t="shared" ca="1" si="8"/>
        <v>74607.310872773625</v>
      </c>
      <c r="X30" s="252">
        <f t="shared" ca="1" si="9"/>
        <v>81859.209654702499</v>
      </c>
    </row>
    <row r="31" spans="1:24" x14ac:dyDescent="0.2">
      <c r="A31" s="151">
        <f>Intro!C40</f>
        <v>2018</v>
      </c>
      <c r="B31" s="148"/>
      <c r="C31" s="247">
        <f ca="1">'e3.1B'!Q40</f>
        <v>9790607.4435719829</v>
      </c>
      <c r="D31" s="280"/>
      <c r="E31" s="308">
        <f>Intro!J40</f>
        <v>1.0000032636733147</v>
      </c>
      <c r="F31" s="148"/>
      <c r="G31" s="247">
        <f ca="1">'e6.1'!$G31</f>
        <v>129</v>
      </c>
      <c r="H31" s="148"/>
      <c r="I31" s="247">
        <f t="shared" ca="1" si="2"/>
        <v>75896.429433459154</v>
      </c>
      <c r="J31" s="235"/>
      <c r="K31" s="241">
        <f t="shared" ca="1" si="3"/>
        <v>78363.063390046576</v>
      </c>
      <c r="L31" s="241"/>
      <c r="M31" s="241">
        <f t="shared" ca="1" si="4"/>
        <v>84519.358124906634</v>
      </c>
      <c r="N31" s="148"/>
      <c r="O31" s="247">
        <f t="shared" ca="1" si="5"/>
        <v>10902997.198112955</v>
      </c>
      <c r="P31" s="148"/>
      <c r="Q31" s="255">
        <f ca="1">O31/'e6.2'!I31</f>
        <v>20.307455536037022</v>
      </c>
      <c r="R31" s="236"/>
      <c r="S31" s="252">
        <f>Intro!G40</f>
        <v>1</v>
      </c>
      <c r="T31" s="266">
        <f t="shared" si="6"/>
        <v>1.0325</v>
      </c>
      <c r="V31" s="268" t="str">
        <f t="shared" si="7"/>
        <v>18</v>
      </c>
      <c r="W31" s="252">
        <f t="shared" ca="1" si="8"/>
        <v>75896.429433459154</v>
      </c>
      <c r="X31" s="252">
        <f t="shared" ca="1" si="9"/>
        <v>84519.633968480324</v>
      </c>
    </row>
    <row r="32" spans="1:24" x14ac:dyDescent="0.2">
      <c r="A32" s="151">
        <f>Intro!C41</f>
        <v>2019</v>
      </c>
      <c r="B32" s="148"/>
      <c r="C32" s="247">
        <f ca="1">'e3.1B'!Q41</f>
        <v>8935893.3526830617</v>
      </c>
      <c r="D32" s="280"/>
      <c r="E32" s="308">
        <f>Intro!J41</f>
        <v>1</v>
      </c>
      <c r="F32" s="148"/>
      <c r="G32" s="248">
        <f ca="1">'e6.1'!$G32</f>
        <v>95</v>
      </c>
      <c r="H32" s="148"/>
      <c r="I32" s="248">
        <f t="shared" ca="1" si="2"/>
        <v>94062.035291400651</v>
      </c>
      <c r="J32" s="235"/>
      <c r="K32" s="241">
        <f t="shared" ca="1" si="3"/>
        <v>94062.035291400651</v>
      </c>
      <c r="L32" s="241"/>
      <c r="M32" s="241">
        <f t="shared" ca="1" si="4"/>
        <v>87266.522072455933</v>
      </c>
      <c r="N32" s="148"/>
      <c r="O32" s="248">
        <f t="shared" ca="1" si="5"/>
        <v>8290319.5968833137</v>
      </c>
      <c r="P32" s="148"/>
      <c r="Q32" s="261">
        <f ca="1">O32/'e6.2'!I32</f>
        <v>15.263878529149466</v>
      </c>
      <c r="R32" s="236"/>
      <c r="S32" s="252">
        <f>Intro!G41</f>
        <v>0</v>
      </c>
      <c r="T32" s="266">
        <f t="shared" si="6"/>
        <v>1</v>
      </c>
      <c r="V32" s="268" t="str">
        <f t="shared" si="7"/>
        <v>19</v>
      </c>
      <c r="W32" s="252">
        <f t="shared" ca="1" si="8"/>
        <v>94062.035291400651</v>
      </c>
      <c r="X32" s="252">
        <f t="shared" ca="1" si="9"/>
        <v>87266.522072455933</v>
      </c>
    </row>
    <row r="33" spans="1:23" x14ac:dyDescent="0.2">
      <c r="A33" s="151"/>
      <c r="B33" s="148"/>
      <c r="C33" s="234"/>
      <c r="D33" s="148"/>
      <c r="E33" s="148"/>
      <c r="F33" s="148"/>
      <c r="G33" s="234"/>
      <c r="H33" s="148"/>
      <c r="I33" s="148"/>
      <c r="J33" s="148"/>
      <c r="K33" s="148"/>
      <c r="L33" s="148"/>
      <c r="M33" s="148"/>
      <c r="N33" s="148"/>
      <c r="O33" s="234"/>
      <c r="P33" s="148"/>
      <c r="Q33" s="281"/>
      <c r="R33" s="148"/>
    </row>
    <row r="34" spans="1:23" x14ac:dyDescent="0.2">
      <c r="A34" s="151" t="s">
        <v>78</v>
      </c>
      <c r="B34" s="148"/>
      <c r="C34" s="249">
        <f ca="1">SUM(C16:C32)</f>
        <v>49101983.636821665</v>
      </c>
      <c r="D34" s="148"/>
      <c r="E34" s="148"/>
      <c r="F34" s="148"/>
      <c r="G34" s="235">
        <f ca="1">SUM(G16:G32)</f>
        <v>745</v>
      </c>
      <c r="H34" s="148"/>
      <c r="I34" s="235"/>
      <c r="J34" s="148"/>
      <c r="K34" s="235"/>
      <c r="L34" s="148"/>
      <c r="M34" s="148"/>
      <c r="N34" s="148"/>
      <c r="O34" s="249">
        <f ca="1">SUM(O16:O32)</f>
        <v>52362062.044588186</v>
      </c>
      <c r="P34" s="148"/>
      <c r="Q34" s="255">
        <f ca="1">O34/'e6.2'!I34</f>
        <v>15.856297312126157</v>
      </c>
      <c r="R34" s="235"/>
    </row>
    <row r="35" spans="1:23" x14ac:dyDescent="0.2">
      <c r="A35" s="151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23" x14ac:dyDescent="0.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23" x14ac:dyDescent="0.2">
      <c r="A37" s="245" t="str">
        <f>"AVERAGES AT THE "&amp;cpy_l&amp;" LEVEL:"</f>
        <v>AVERAGES AT THE 2018/19 LEVEL:</v>
      </c>
      <c r="B37" s="148"/>
      <c r="C37" s="148"/>
      <c r="D37" s="148"/>
      <c r="E37" s="148"/>
      <c r="F37" s="148"/>
      <c r="G37" s="148"/>
      <c r="H37" s="148"/>
      <c r="I37" s="227"/>
      <c r="J37" s="148"/>
      <c r="K37" s="148"/>
      <c r="L37" s="148"/>
      <c r="M37" s="148"/>
      <c r="N37" s="148"/>
      <c r="O37" s="148"/>
      <c r="P37" s="148"/>
      <c r="Q37" s="148"/>
      <c r="R37" s="148"/>
      <c r="S37" s="244" t="s">
        <v>21</v>
      </c>
      <c r="T37" s="244" t="s">
        <v>22</v>
      </c>
    </row>
    <row r="38" spans="1:23" x14ac:dyDescent="0.2">
      <c r="A38" s="148" t="str">
        <f>"Policy Periods "&amp;W38&amp;" - Straight Average:"</f>
        <v>Policy Periods 2010 through 2018 - Straight Average:</v>
      </c>
      <c r="B38" s="148"/>
      <c r="C38" s="148"/>
      <c r="D38" s="148"/>
      <c r="E38" s="148"/>
      <c r="F38" s="148"/>
      <c r="G38" s="148"/>
      <c r="H38" s="148"/>
      <c r="I38" s="227"/>
      <c r="J38" s="148"/>
      <c r="K38" s="312">
        <f ca="1">AVERAGE(INDIRECT(U38))</f>
        <v>75581.418213058394</v>
      </c>
      <c r="L38" s="148"/>
      <c r="N38" s="148"/>
      <c r="O38" s="148"/>
      <c r="P38" s="148"/>
      <c r="Q38" s="148"/>
      <c r="R38" s="148"/>
      <c r="S38" s="267">
        <v>2010</v>
      </c>
      <c r="T38" s="267">
        <v>2018</v>
      </c>
      <c r="U38" s="264" t="str">
        <f ca="1">"K"&amp;ROW(OFFSET($A$33, (INDEX($S$16:$S$32, MATCH(S38, $A$16:$A$32, 0))+1)*-1, 0))&amp;":K"&amp;ROW(OFFSET($A$33, (INDEX($S$16:$S$32, MATCH(T38, $A$16:$A$32, 0))+1)*-1, 0))</f>
        <v>K23:K31</v>
      </c>
      <c r="V38" s="268" t="str">
        <f ca="1">SUBSTITUTE(U38, "K", "G")</f>
        <v>G23:G31</v>
      </c>
      <c r="W38" s="222" t="str">
        <f>S38&amp;" through "&amp;T38</f>
        <v>2010 through 2018</v>
      </c>
    </row>
    <row r="39" spans="1:23" x14ac:dyDescent="0.2">
      <c r="A39" s="148" t="str">
        <f>"Policy Periods "&amp;W39&amp;" - Straight Average Excluding Extremes:"</f>
        <v>Policy Periods 2010 through 2018 - Straight Average Excluding Extremes:</v>
      </c>
      <c r="B39" s="148"/>
      <c r="C39" s="148"/>
      <c r="D39" s="148"/>
      <c r="E39" s="148"/>
      <c r="F39" s="148"/>
      <c r="G39" s="148"/>
      <c r="H39" s="148"/>
      <c r="I39" s="227"/>
      <c r="J39" s="148"/>
      <c r="K39" s="241">
        <f ca="1">(SUM(INDIRECT(U39))-MIN(INDIRECT(U39))-MAX(INDIRECT(U39)))/(COUNT(INDIRECT(U39))-2)</f>
        <v>73747.931588684281</v>
      </c>
      <c r="L39" s="148"/>
      <c r="N39" s="148"/>
      <c r="O39" s="148"/>
      <c r="P39" s="148"/>
      <c r="Q39" s="148"/>
      <c r="R39" s="148"/>
      <c r="S39" s="267">
        <v>2010</v>
      </c>
      <c r="T39" s="267">
        <v>2018</v>
      </c>
      <c r="U39" s="264" t="str">
        <f ca="1">"K"&amp;ROW(OFFSET($A$33, (INDEX($S$16:$S$32, MATCH(S39, $A$16:$A$32, 0))+1)*-1, 0))&amp;":K"&amp;ROW(OFFSET($A$33, (INDEX($S$16:$S$32, MATCH(T39, $A$16:$A$32, 0))+1)*-1, 0))</f>
        <v>K23:K31</v>
      </c>
      <c r="V39" s="268" t="str">
        <f ca="1">SUBSTITUTE(U39, "K", "G")</f>
        <v>G23:G31</v>
      </c>
      <c r="W39" s="222" t="str">
        <f>S39&amp;" through "&amp;T39</f>
        <v>2010 through 2018</v>
      </c>
    </row>
    <row r="40" spans="1:23" x14ac:dyDescent="0.2">
      <c r="A40" s="148" t="str">
        <f>"Policy Periods "&amp;W40&amp;" - Weighted Average:"</f>
        <v>Policy Periods 2010 through 2018 - Weighted Average:</v>
      </c>
      <c r="B40" s="148"/>
      <c r="C40" s="148"/>
      <c r="D40" s="148"/>
      <c r="E40" s="148"/>
      <c r="F40" s="148"/>
      <c r="G40" s="148"/>
      <c r="H40" s="148"/>
      <c r="I40" s="227"/>
      <c r="J40" s="148"/>
      <c r="K40" s="241">
        <f ca="1">SUMPRODUCT(INDIRECT(U40),INDIRECT(V40))/SUM(INDIRECT(V40))</f>
        <v>76263.174131260632</v>
      </c>
      <c r="L40" s="148"/>
      <c r="N40" s="148"/>
      <c r="O40" s="148"/>
      <c r="P40" s="148"/>
      <c r="Q40" s="148"/>
      <c r="R40" s="148"/>
      <c r="S40" s="267">
        <v>2010</v>
      </c>
      <c r="T40" s="267">
        <v>2018</v>
      </c>
      <c r="U40" s="264" t="str">
        <f ca="1">"K"&amp;ROW(OFFSET($A$33, (INDEX($S$16:$S$32, MATCH(S40, $A$16:$A$32, 0))+1)*-1, 0))&amp;":K"&amp;ROW(OFFSET($A$33, (INDEX($S$16:$S$32, MATCH(T40, $A$16:$A$32, 0))+1)*-1, 0))</f>
        <v>K23:K31</v>
      </c>
      <c r="V40" s="268" t="str">
        <f ca="1">SUBSTITUTE(U40, "K", "G")</f>
        <v>G23:G31</v>
      </c>
      <c r="W40" s="222" t="str">
        <f>S40&amp;" through "&amp;T40</f>
        <v>2010 through 2018</v>
      </c>
    </row>
    <row r="41" spans="1:23" x14ac:dyDescent="0.2">
      <c r="A41" s="148" t="str">
        <f>"Policy Periods "&amp;W41&amp;" - Weighted Average:"</f>
        <v>Policy Periods 2012 through 2018 - Weighted Average:</v>
      </c>
      <c r="B41" s="148"/>
      <c r="C41" s="148"/>
      <c r="D41" s="148"/>
      <c r="E41" s="148"/>
      <c r="F41" s="148"/>
      <c r="G41" s="148"/>
      <c r="H41" s="148"/>
      <c r="I41" s="227"/>
      <c r="J41" s="148"/>
      <c r="K41" s="241">
        <f ca="1">SUMPRODUCT(INDIRECT(U41),INDIRECT(V41))/SUM(INDIRECT(V41))</f>
        <v>80323.916740171771</v>
      </c>
      <c r="L41" s="148"/>
      <c r="N41" s="148"/>
      <c r="O41" s="148"/>
      <c r="P41" s="148"/>
      <c r="Q41" s="148"/>
      <c r="R41" s="148"/>
      <c r="S41" s="267">
        <v>2012</v>
      </c>
      <c r="T41" s="267">
        <v>2018</v>
      </c>
      <c r="U41" s="264" t="str">
        <f ca="1">"K"&amp;ROW(OFFSET($A$33, (INDEX($S$16:$S$32, MATCH(S41, $A$16:$A$32, 0))+1)*-1, 0))&amp;":K"&amp;ROW(OFFSET($A$33, (INDEX($S$16:$S$32, MATCH(T41, $A$16:$A$32, 0))+1)*-1, 0))</f>
        <v>K25:K31</v>
      </c>
      <c r="V41" s="268" t="str">
        <f ca="1">SUBSTITUTE(U41, "K", "G")</f>
        <v>G25:G31</v>
      </c>
      <c r="W41" s="222" t="str">
        <f>S41&amp;" through "&amp;T41</f>
        <v>2012 through 2018</v>
      </c>
    </row>
    <row r="42" spans="1:23" x14ac:dyDescent="0.2">
      <c r="A42" s="148" t="str">
        <f>"Policy Periods "&amp;W42&amp;" - Weighted Average:"</f>
        <v>Policy Periods 2015 through 2018 - Weighted Average:</v>
      </c>
      <c r="B42" s="148"/>
      <c r="C42" s="148"/>
      <c r="D42" s="148"/>
      <c r="E42" s="148"/>
      <c r="F42" s="148"/>
      <c r="G42" s="148"/>
      <c r="H42" s="148"/>
      <c r="I42" s="227"/>
      <c r="J42" s="148"/>
      <c r="K42" s="241">
        <f ca="1">SUMPRODUCT(INDIRECT(U42),INDIRECT(V42))/SUM(INDIRECT(V42))</f>
        <v>87266.522072455933</v>
      </c>
      <c r="L42" s="148"/>
      <c r="N42" s="148"/>
      <c r="O42" s="148"/>
      <c r="P42" s="148"/>
      <c r="Q42" s="148"/>
      <c r="R42" s="148"/>
      <c r="S42" s="267">
        <v>2015</v>
      </c>
      <c r="T42" s="267">
        <v>2018</v>
      </c>
      <c r="U42" s="264" t="str">
        <f ca="1">"K"&amp;ROW(OFFSET($A$33, (INDEX($S$16:$S$32, MATCH(S42, $A$16:$A$32, 0))+1)*-1, 0))&amp;":K"&amp;ROW(OFFSET($A$33, (INDEX($S$16:$S$32, MATCH(T42, $A$16:$A$32, 0))+1)*-1, 0))</f>
        <v>K28:K31</v>
      </c>
      <c r="V42" s="268" t="str">
        <f ca="1">SUBSTITUTE(U42, "K", "G")</f>
        <v>G28:G31</v>
      </c>
      <c r="W42" s="222" t="str">
        <f>S42&amp;" through "&amp;T42</f>
        <v>2015 through 2018</v>
      </c>
    </row>
    <row r="43" spans="1:23" x14ac:dyDescent="0.2">
      <c r="N43" s="148"/>
      <c r="O43" s="148"/>
      <c r="P43" s="148"/>
      <c r="Q43" s="148"/>
      <c r="R43" s="148"/>
    </row>
    <row r="44" spans="1:23" ht="14.25" x14ac:dyDescent="0.2">
      <c r="A44" s="148" t="str">
        <f>"Selected Policy Period "&amp;cpy_l&amp;" Unlimited Loss &amp; ALAE Severity:"</f>
        <v>Selected Policy Period 2018/19 Unlimited Loss &amp; ALAE Severity: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317">
        <f ca="1">0*K41+1*K42</f>
        <v>87266.522072455933</v>
      </c>
      <c r="L44" s="148"/>
      <c r="N44"/>
      <c r="O44" s="148"/>
      <c r="P44" s="148"/>
      <c r="Q44" s="148"/>
      <c r="R44" s="148"/>
      <c r="S44" s="313">
        <v>90280.913647401423</v>
      </c>
      <c r="T44" s="263" t="s">
        <v>354</v>
      </c>
    </row>
    <row r="45" spans="1:23" x14ac:dyDescent="0.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314">
        <f>S44*(1+Trend!$L$43*trend_prior)</f>
        <v>90280.913647401423</v>
      </c>
      <c r="T45" s="263" t="s">
        <v>355</v>
      </c>
    </row>
    <row r="46" spans="1:23" x14ac:dyDescent="0.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532">
        <f ca="1">K44/S45-1</f>
        <v>-3.338902380539055E-2</v>
      </c>
      <c r="T46" s="263" t="s">
        <v>356</v>
      </c>
    </row>
    <row r="47" spans="1:23" x14ac:dyDescent="0.2">
      <c r="A47" s="245" t="s">
        <v>83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23" x14ac:dyDescent="0.2">
      <c r="A48" s="148" t="s">
        <v>745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23" x14ac:dyDescent="0.2">
      <c r="A49" s="282" t="s">
        <v>746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23" x14ac:dyDescent="0.2">
      <c r="A50" s="148" t="s">
        <v>378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3" x14ac:dyDescent="0.2">
      <c r="A51" s="148" t="s">
        <v>379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23" x14ac:dyDescent="0.2">
      <c r="A52" s="148" t="s">
        <v>598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23" x14ac:dyDescent="0.2">
      <c r="A53" s="283" t="str">
        <f>"Column (5) equals [ (4) x Trend ]. The selected severity trend used is "&amp;TEXT(sevtrnd_unl, "0.00%")&amp;"."</f>
        <v>Column (5) equals [ (4) x Trend ]. The selected severity trend used is 3.25%.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23" x14ac:dyDescent="0.2">
      <c r="A54" s="227" t="str">
        <f>"Column (6) for all policy periods is the selected policy period "&amp;cpy_l&amp;" severity,"</f>
        <v>Column (6) for all policy periods is the selected policy period 2018/19 severity,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1:23" x14ac:dyDescent="0.2">
      <c r="A55" s="284" t="str">
        <f>"detrended at an annual rate of "&amp;TEXT(sevtrnd_unl, "0.00%")&amp;" and adjusted to the benefit level of the respective policy period."</f>
        <v>detrended at an annual rate of 3.25% and adjusted to the benefit level of the respective policy period.</v>
      </c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1:23" x14ac:dyDescent="0.2">
      <c r="A56" s="415" t="s">
        <v>597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spans="1:23" x14ac:dyDescent="0.2">
      <c r="A57" s="148" t="s">
        <v>599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</sheetData>
  <printOptions horizontalCentered="1"/>
  <pageMargins left="0.7" right="0.7" top="0.75" bottom="0.75" header="0.3" footer="0.3"/>
  <pageSetup scale="77" orientation="portrait" blackAndWhite="1" r:id="rId1"/>
  <headerFooter>
    <oddHeader xml:space="preserve">&amp;L&amp;"Arial"&amp;10  
  &amp;R&amp;"Arial"&amp;10  Exhibit 5
Sheet 4
</oddHeader>
    <oddFooter xml:space="preserve">&amp;L&amp;"Arial"&amp;10 Oliver Wyman Actuarial Consulting, Inc.
&amp;C&amp;"Arial"&amp;10 &amp;R&amp;"Arial"&amp;10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C6FE-FD89-4760-9ABF-BAFBD50E0DB8}">
  <sheetPr>
    <tabColor rgb="FFFF0000"/>
    <pageSetUpPr fitToPage="1"/>
  </sheetPr>
  <dimension ref="A1:F32"/>
  <sheetViews>
    <sheetView zoomScale="85" zoomScaleNormal="85" workbookViewId="0"/>
  </sheetViews>
  <sheetFormatPr defaultColWidth="5.875" defaultRowHeight="12.75" x14ac:dyDescent="0.2"/>
  <cols>
    <col min="1" max="1" width="5.125" style="228" customWidth="1"/>
    <col min="2" max="2" width="65.625" style="228" bestFit="1" customWidth="1"/>
    <col min="3" max="3" width="10.375" style="579" bestFit="1" customWidth="1"/>
    <col min="4" max="4" width="2.875" style="580" customWidth="1"/>
    <col min="5" max="5" width="13.5" style="580" customWidth="1"/>
    <col min="6" max="6" width="15.875" style="580" customWidth="1"/>
    <col min="7" max="16384" width="5.875" style="580"/>
  </cols>
  <sheetData>
    <row r="1" spans="1:6" x14ac:dyDescent="0.2">
      <c r="A1" s="1" t="str">
        <f>[1]!getlabels()</f>
        <v>Reconcile</v>
      </c>
      <c r="B1" s="222"/>
      <c r="C1" s="222"/>
      <c r="D1" s="275"/>
      <c r="E1" s="275"/>
      <c r="F1" s="275"/>
    </row>
    <row r="2" spans="1:6" ht="22.5" x14ac:dyDescent="0.45">
      <c r="A2" s="78" t="str">
        <f>client</f>
        <v>CLIENT XYZ</v>
      </c>
      <c r="B2" s="224"/>
      <c r="C2" s="224"/>
      <c r="D2" s="275"/>
      <c r="E2" s="275"/>
      <c r="F2" s="275"/>
    </row>
    <row r="3" spans="1:6" ht="15" x14ac:dyDescent="0.2">
      <c r="A3" s="80" t="str">
        <f>tit</f>
        <v>Analysis of Unpaid Loss &amp; ALAE as of June 30, 2019</v>
      </c>
      <c r="B3" s="224"/>
      <c r="C3" s="224"/>
      <c r="D3" s="275"/>
      <c r="E3" s="275"/>
      <c r="F3" s="275"/>
    </row>
    <row r="4" spans="1:6" ht="15" x14ac:dyDescent="0.2">
      <c r="A4" s="80" t="str">
        <f>cov</f>
        <v>Workers Compensation</v>
      </c>
      <c r="B4" s="224"/>
      <c r="C4" s="224"/>
      <c r="D4" s="275"/>
      <c r="E4" s="275"/>
      <c r="F4" s="275"/>
    </row>
    <row r="5" spans="1:6" ht="15" x14ac:dyDescent="0.2">
      <c r="A5" s="80" t="str">
        <f>"Data Evaluated as of "&amp;ctxt_l</f>
        <v>Data Evaluated as of April 30, 2019</v>
      </c>
      <c r="B5" s="224"/>
      <c r="C5" s="224"/>
      <c r="D5" s="275"/>
      <c r="E5" s="275"/>
      <c r="F5" s="275"/>
    </row>
    <row r="6" spans="1:6" x14ac:dyDescent="0.2">
      <c r="A6" s="222"/>
      <c r="B6" s="222"/>
      <c r="C6" s="222"/>
      <c r="D6" s="275"/>
      <c r="E6" s="275"/>
      <c r="F6" s="275"/>
    </row>
    <row r="7" spans="1:6" x14ac:dyDescent="0.2">
      <c r="A7" s="586" t="s">
        <v>708</v>
      </c>
      <c r="B7" s="224"/>
      <c r="C7" s="224"/>
      <c r="D7" s="275"/>
      <c r="E7" s="275"/>
      <c r="F7" s="275"/>
    </row>
    <row r="8" spans="1:6" x14ac:dyDescent="0.2">
      <c r="A8" s="625" t="s">
        <v>740</v>
      </c>
      <c r="B8" s="224"/>
      <c r="C8" s="224"/>
      <c r="D8" s="275"/>
      <c r="E8" s="275"/>
      <c r="F8" s="275"/>
    </row>
    <row r="9" spans="1:6" x14ac:dyDescent="0.2">
      <c r="B9" s="581"/>
      <c r="C9" s="228"/>
    </row>
    <row r="10" spans="1:6" x14ac:dyDescent="0.2">
      <c r="B10" s="581"/>
      <c r="C10" s="228"/>
    </row>
    <row r="11" spans="1:6" x14ac:dyDescent="0.2">
      <c r="A11" s="582">
        <f>-1</f>
        <v>-1</v>
      </c>
      <c r="B11" s="583" t="str">
        <f>"Beginning of Period Unpaid Loss &amp; ALAE as of "&amp;ptxt_l</f>
        <v>Beginning of Period Unpaid Loss &amp; ALAE as of October 31, 2018</v>
      </c>
      <c r="C11" s="589">
        <v>11263903.721770927</v>
      </c>
      <c r="E11" s="587"/>
      <c r="F11" s="587"/>
    </row>
    <row r="12" spans="1:6" x14ac:dyDescent="0.2">
      <c r="A12" s="582"/>
      <c r="B12" s="583"/>
      <c r="C12" s="589"/>
      <c r="E12" s="587"/>
      <c r="F12" s="587"/>
    </row>
    <row r="13" spans="1:6" x14ac:dyDescent="0.2">
      <c r="A13" s="582">
        <f>A11-1</f>
        <v>-2</v>
      </c>
      <c r="B13" s="583" t="str">
        <f>"Estimated Ultimate Loss &amp; ALAE for November 1, 2018 to "&amp;ctxt_l&amp;" New Exposure"</f>
        <v>Estimated Ultimate Loss &amp; ALAE for November 1, 2018 to April 30, 2019 New Exposure</v>
      </c>
      <c r="C13" s="361">
        <v>4555750.4850294534</v>
      </c>
      <c r="E13" s="587"/>
      <c r="F13" s="587"/>
    </row>
    <row r="14" spans="1:6" x14ac:dyDescent="0.2">
      <c r="A14" s="582"/>
      <c r="B14" s="583"/>
      <c r="C14" s="361"/>
      <c r="E14" s="587"/>
      <c r="F14" s="587"/>
    </row>
    <row r="15" spans="1:6" x14ac:dyDescent="0.2">
      <c r="A15" s="582">
        <f>A13-1</f>
        <v>-3</v>
      </c>
      <c r="B15" s="584" t="str">
        <f>"Expected Payments "&amp;pr_to_curr_l</f>
        <v>Expected Payments October 31, 2018 to April 30, 2019</v>
      </c>
      <c r="C15" s="379">
        <v>2719138.0182683007</v>
      </c>
      <c r="E15" s="587"/>
      <c r="F15" s="588"/>
    </row>
    <row r="16" spans="1:6" x14ac:dyDescent="0.2">
      <c r="A16" s="582"/>
      <c r="B16" s="584"/>
      <c r="C16" s="379"/>
      <c r="E16" s="587"/>
      <c r="F16" s="588"/>
    </row>
    <row r="17" spans="1:6" x14ac:dyDescent="0.2">
      <c r="A17" s="582">
        <f>A15-1</f>
        <v>-4</v>
      </c>
      <c r="B17" s="584" t="str">
        <f>"Expected End of Period Unpaid Loss and ALAE as of "&amp;ctxt_l</f>
        <v>Expected End of Period Unpaid Loss and ALAE as of April 30, 2019</v>
      </c>
      <c r="C17" s="247">
        <f>C11+C13-C15</f>
        <v>13100516.188532081</v>
      </c>
      <c r="E17" s="587"/>
      <c r="F17" s="588"/>
    </row>
    <row r="18" spans="1:6" x14ac:dyDescent="0.2">
      <c r="A18" s="582"/>
      <c r="B18" s="584"/>
      <c r="C18" s="247"/>
      <c r="E18" s="587"/>
      <c r="F18" s="588"/>
    </row>
    <row r="19" spans="1:6" x14ac:dyDescent="0.2">
      <c r="A19" s="582">
        <f>A17-1</f>
        <v>-5</v>
      </c>
      <c r="B19" s="584" t="str">
        <f>"Actual Minus Expected Payments "&amp;pr_to_curr_l</f>
        <v>Actual Minus Expected Payments October 31, 2018 to April 30, 2019</v>
      </c>
      <c r="C19" s="385">
        <f>'e10.1'!$Q$80</f>
        <v>165934.79925922229</v>
      </c>
      <c r="E19" s="587"/>
      <c r="F19" s="588"/>
    </row>
    <row r="20" spans="1:6" x14ac:dyDescent="0.2">
      <c r="A20" s="582"/>
      <c r="B20" s="584"/>
      <c r="C20" s="247"/>
      <c r="E20" s="587"/>
      <c r="F20" s="588"/>
    </row>
    <row r="21" spans="1:6" x14ac:dyDescent="0.2">
      <c r="A21" s="582">
        <f>A19-1</f>
        <v>-6</v>
      </c>
      <c r="B21" s="282" t="str">
        <f>"Change in Ultimate Loss and ALAE for exposure through "&amp;ctxt_l</f>
        <v>Change in Ultimate Loss and ALAE for exposure through April 30, 2019</v>
      </c>
      <c r="C21" s="247">
        <f ca="1">'e10.1'!AB44</f>
        <v>-423599.15275450912</v>
      </c>
      <c r="E21" s="587"/>
      <c r="F21" s="588"/>
    </row>
    <row r="22" spans="1:6" x14ac:dyDescent="0.2">
      <c r="A22" s="582"/>
      <c r="B22" s="282"/>
      <c r="C22" s="247"/>
      <c r="E22" s="587"/>
      <c r="F22" s="588"/>
    </row>
    <row r="23" spans="1:6" x14ac:dyDescent="0.2">
      <c r="A23" s="582">
        <f>A21-1</f>
        <v>-7</v>
      </c>
      <c r="B23" s="282" t="str">
        <f>"Estimated Unpaid Loss and ALAE as of "&amp;ctxt_l</f>
        <v>Estimated Unpaid Loss and ALAE as of April 30, 2019</v>
      </c>
      <c r="C23" s="247">
        <f ca="1">C17-C19+C21</f>
        <v>12510982.236518348</v>
      </c>
      <c r="E23" s="590" t="b">
        <f ca="1">C23='e1.3A'!$S$41</f>
        <v>1</v>
      </c>
      <c r="F23" s="587">
        <f ca="1">'e1.3A'!S41</f>
        <v>12510982.236518349</v>
      </c>
    </row>
    <row r="24" spans="1:6" x14ac:dyDescent="0.2">
      <c r="A24" s="582"/>
      <c r="B24" s="282"/>
      <c r="C24" s="247"/>
      <c r="E24" s="590"/>
      <c r="F24" s="587"/>
    </row>
    <row r="25" spans="1:6" x14ac:dyDescent="0.2">
      <c r="A25" s="582">
        <f t="shared" ref="A25" si="0">A23-1</f>
        <v>-8</v>
      </c>
      <c r="B25" s="282" t="str">
        <f>"Expected Ultimate Loss for May 1, 2019 to "&amp;rtxt_l&amp;" New Exposure"</f>
        <v>Expected Ultimate Loss for May 1, 2019 to June 30, 2019 New Exposure</v>
      </c>
      <c r="C25" s="247">
        <f ca="1">'e4.2'!Q38*((1-Intro!AB43)-(1-Intro!AA43))</f>
        <v>1483294.665295152</v>
      </c>
      <c r="E25" s="591"/>
      <c r="F25" s="591"/>
    </row>
    <row r="26" spans="1:6" x14ac:dyDescent="0.2">
      <c r="A26" s="582"/>
      <c r="B26" s="282"/>
      <c r="C26" s="247"/>
      <c r="E26" s="591"/>
      <c r="F26" s="591"/>
    </row>
    <row r="27" spans="1:6" x14ac:dyDescent="0.2">
      <c r="A27" s="582">
        <f>A25-1</f>
        <v>-9</v>
      </c>
      <c r="B27" s="282" t="str">
        <f>"Expected Payments "&amp;curr_to_roll_l</f>
        <v>Expected Payments April 30, 2019 to June 30, 2019</v>
      </c>
      <c r="C27" s="247">
        <f ca="1">'e1.2A'!$E$42</f>
        <v>904667.10635698889</v>
      </c>
      <c r="E27" s="587"/>
      <c r="F27" s="587"/>
    </row>
    <row r="28" spans="1:6" x14ac:dyDescent="0.2">
      <c r="A28" s="582"/>
      <c r="B28" s="282"/>
      <c r="C28" s="247"/>
      <c r="E28" s="587"/>
      <c r="F28" s="587"/>
    </row>
    <row r="29" spans="1:6" x14ac:dyDescent="0.2">
      <c r="A29" s="582">
        <f t="shared" ref="A29" si="1">A27-1</f>
        <v>-10</v>
      </c>
      <c r="B29" s="583" t="str">
        <f>"Estimated Unpaid Loss and ALAE as of "&amp;rtxt_l</f>
        <v>Estimated Unpaid Loss and ALAE as of June 30, 2019</v>
      </c>
      <c r="C29" s="247">
        <f ca="1">C23+C25-C27</f>
        <v>13089609.79545651</v>
      </c>
      <c r="E29" s="587" t="b">
        <f ca="1">C29='e1.1A'!D17</f>
        <v>1</v>
      </c>
      <c r="F29" s="587"/>
    </row>
    <row r="30" spans="1:6" x14ac:dyDescent="0.2">
      <c r="B30" s="148"/>
      <c r="C30" s="585"/>
    </row>
    <row r="32" spans="1:6" x14ac:dyDescent="0.2">
      <c r="A32" s="228" t="s">
        <v>83</v>
      </c>
    </row>
  </sheetData>
  <printOptions horizontalCentered="1"/>
  <pageMargins left="0.7" right="0.7" top="0.75" bottom="0.75" header="0.3" footer="0.3"/>
  <pageSetup orientation="portrait" blackAndWhite="1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1">
    <tabColor theme="8" tint="0.79998168889431442"/>
    <pageSetUpPr fitToPage="1"/>
  </sheetPr>
  <dimension ref="A1:Q42"/>
  <sheetViews>
    <sheetView zoomScale="85" zoomScaleNormal="85" zoomScaleSheetLayoutView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9" style="222"/>
    <col min="4" max="4" width="2.625" style="222" customWidth="1"/>
    <col min="5" max="5" width="9" style="222" customWidth="1"/>
    <col min="6" max="6" width="2.625" style="222" customWidth="1"/>
    <col min="7" max="7" width="9" style="222"/>
    <col min="8" max="8" width="2.625" style="222" customWidth="1"/>
    <col min="9" max="9" width="9" style="222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6384" width="9" style="222"/>
  </cols>
  <sheetData>
    <row r="1" spans="1:17" x14ac:dyDescent="0.2">
      <c r="A1" s="1" t="str">
        <f>[1]!getlabels()</f>
        <v>Exhibit 6, Sheet 1</v>
      </c>
      <c r="O1" s="275"/>
      <c r="P1" s="275"/>
      <c r="Q1" s="275"/>
    </row>
    <row r="2" spans="1:17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75"/>
      <c r="O2" s="275"/>
      <c r="P2" s="275"/>
      <c r="Q2" s="275"/>
    </row>
    <row r="3" spans="1:17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75"/>
      <c r="O3" s="275"/>
      <c r="P3" s="275"/>
      <c r="Q3" s="275"/>
    </row>
    <row r="4" spans="1:17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75"/>
      <c r="O4" s="275"/>
      <c r="P4" s="275"/>
      <c r="Q4" s="275"/>
    </row>
    <row r="5" spans="1:17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75"/>
      <c r="O5" s="275"/>
      <c r="P5" s="275"/>
      <c r="Q5" s="275"/>
    </row>
    <row r="6" spans="1:17" x14ac:dyDescent="0.2">
      <c r="N6" s="275"/>
    </row>
    <row r="7" spans="1:17" s="619" customFormat="1" x14ac:dyDescent="0.2">
      <c r="A7" s="625" t="s">
        <v>359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04"/>
    </row>
    <row r="8" spans="1:17" x14ac:dyDescent="0.2">
      <c r="I8" s="263" t="s">
        <v>371</v>
      </c>
    </row>
    <row r="10" spans="1:17" x14ac:dyDescent="0.2">
      <c r="A10" s="151"/>
      <c r="B10" s="148"/>
      <c r="C10" s="151" t="s">
        <v>71</v>
      </c>
      <c r="D10" s="148"/>
      <c r="F10" s="148"/>
      <c r="G10" s="151" t="s">
        <v>105</v>
      </c>
      <c r="H10" s="148"/>
      <c r="I10" s="151"/>
      <c r="J10" s="148"/>
      <c r="K10" s="151" t="s">
        <v>360</v>
      </c>
      <c r="L10" s="148"/>
      <c r="M10" s="264" t="s">
        <v>362</v>
      </c>
    </row>
    <row r="11" spans="1:17" x14ac:dyDescent="0.2">
      <c r="A11" s="181" t="str">
        <f>Intro!M9</f>
        <v>Policy</v>
      </c>
      <c r="B11" s="148"/>
      <c r="C11" s="151" t="s">
        <v>361</v>
      </c>
      <c r="D11" s="148"/>
      <c r="E11" s="151" t="s">
        <v>71</v>
      </c>
      <c r="F11" s="148"/>
      <c r="G11" s="151" t="s">
        <v>245</v>
      </c>
      <c r="H11" s="148"/>
      <c r="I11" s="151"/>
      <c r="J11" s="148"/>
      <c r="K11" s="287" t="s">
        <v>343</v>
      </c>
      <c r="L11" s="148"/>
      <c r="M11" s="151" t="s">
        <v>368</v>
      </c>
    </row>
    <row r="12" spans="1:17" x14ac:dyDescent="0.2">
      <c r="A12" s="181" t="str">
        <f>Intro!M10</f>
        <v>Period</v>
      </c>
      <c r="B12" s="148"/>
      <c r="C12" s="151" t="s">
        <v>367</v>
      </c>
      <c r="D12" s="148"/>
      <c r="E12" s="151" t="s">
        <v>370</v>
      </c>
      <c r="F12" s="148"/>
      <c r="G12" s="264" t="s">
        <v>361</v>
      </c>
      <c r="H12" s="148"/>
      <c r="I12" s="276" t="s">
        <v>362</v>
      </c>
      <c r="J12" s="148"/>
      <c r="K12" s="151" t="s">
        <v>334</v>
      </c>
      <c r="L12" s="148"/>
      <c r="M12" s="151" t="s">
        <v>191</v>
      </c>
    </row>
    <row r="13" spans="1:17" x14ac:dyDescent="0.2">
      <c r="A13" s="176" t="str">
        <f>Intro!M11</f>
        <v>Ending 9/30</v>
      </c>
      <c r="B13" s="148"/>
      <c r="C13" s="179" t="s">
        <v>339</v>
      </c>
      <c r="D13" s="148"/>
      <c r="E13" s="179" t="s">
        <v>339</v>
      </c>
      <c r="F13" s="148"/>
      <c r="G13" s="176" t="s">
        <v>369</v>
      </c>
      <c r="H13" s="148"/>
      <c r="I13" s="277" t="s">
        <v>335</v>
      </c>
      <c r="J13" s="148"/>
      <c r="K13" s="179" t="str">
        <f>ctxt</f>
        <v>4/30/19</v>
      </c>
      <c r="L13" s="148"/>
      <c r="M13" s="176" t="s">
        <v>343</v>
      </c>
    </row>
    <row r="14" spans="1:17" x14ac:dyDescent="0.2">
      <c r="A14" s="148"/>
      <c r="B14" s="148"/>
      <c r="C14" s="230" t="s">
        <v>253</v>
      </c>
      <c r="D14" s="148"/>
      <c r="E14" s="230" t="s">
        <v>230</v>
      </c>
      <c r="F14" s="148"/>
      <c r="G14" s="230" t="s">
        <v>231</v>
      </c>
      <c r="H14" s="148"/>
      <c r="I14" s="230" t="s">
        <v>232</v>
      </c>
      <c r="J14" s="148"/>
      <c r="K14" s="230" t="s">
        <v>233</v>
      </c>
      <c r="L14" s="148"/>
      <c r="M14" s="230" t="s">
        <v>234</v>
      </c>
    </row>
    <row r="15" spans="1:17" x14ac:dyDescent="0.2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</row>
    <row r="16" spans="1:17" x14ac:dyDescent="0.2">
      <c r="A16" s="151">
        <f>Intro!C25</f>
        <v>2003</v>
      </c>
      <c r="B16" s="148"/>
      <c r="C16" s="247">
        <f ca="1">'e6.2'!G16</f>
        <v>38</v>
      </c>
      <c r="D16" s="148"/>
      <c r="E16" s="240">
        <f ca="1">'e6.2'!Q16</f>
        <v>38</v>
      </c>
      <c r="F16" s="148"/>
      <c r="G16" s="235">
        <f ca="1">ROUND(MAX(E16,C16), 0)</f>
        <v>38</v>
      </c>
      <c r="H16" s="148"/>
      <c r="I16" s="256">
        <f ca="1">G16/'e6.2'!I16 * 1000</f>
        <v>0.39634047987716287</v>
      </c>
      <c r="J16" s="148"/>
      <c r="K16" s="247">
        <f>'e7'!S23-'e7'!W23</f>
        <v>38</v>
      </c>
      <c r="L16" s="148"/>
      <c r="M16" s="247">
        <f ca="1">G16-K16</f>
        <v>0</v>
      </c>
    </row>
    <row r="17" spans="1:16" x14ac:dyDescent="0.2">
      <c r="A17" s="151">
        <f>Intro!C26</f>
        <v>2004</v>
      </c>
      <c r="B17" s="148"/>
      <c r="C17" s="247">
        <f ca="1">'e6.2'!G17</f>
        <v>30</v>
      </c>
      <c r="D17" s="148"/>
      <c r="E17" s="240">
        <f ca="1">'e6.2'!Q17</f>
        <v>30</v>
      </c>
      <c r="F17" s="148"/>
      <c r="G17" s="235">
        <f t="shared" ref="G17:G30" ca="1" si="0">ROUND(MAX(E17,C17), 0)</f>
        <v>30</v>
      </c>
      <c r="H17" s="148"/>
      <c r="I17" s="256">
        <f ca="1">G17/'e6.2'!I17 * 1000</f>
        <v>0.29372116092662248</v>
      </c>
      <c r="J17" s="148"/>
      <c r="K17" s="247">
        <f>'e7'!S24-'e7'!W24</f>
        <v>28</v>
      </c>
      <c r="L17" s="148"/>
      <c r="M17" s="247">
        <f t="shared" ref="M17:M30" ca="1" si="1">G17-K17</f>
        <v>2</v>
      </c>
    </row>
    <row r="18" spans="1:16" x14ac:dyDescent="0.2">
      <c r="A18" s="151">
        <f>Intro!C27</f>
        <v>2005</v>
      </c>
      <c r="B18" s="148"/>
      <c r="C18" s="247">
        <f ca="1">'e6.2'!G18</f>
        <v>26</v>
      </c>
      <c r="D18" s="148"/>
      <c r="E18" s="240">
        <f ca="1">'e6.2'!Q18</f>
        <v>26</v>
      </c>
      <c r="F18" s="148"/>
      <c r="G18" s="235">
        <f t="shared" ca="1" si="0"/>
        <v>26</v>
      </c>
      <c r="H18" s="148"/>
      <c r="I18" s="256">
        <f ca="1">G18/'e6.2'!I18 * 1000</f>
        <v>0.23361884431417379</v>
      </c>
      <c r="J18" s="148"/>
      <c r="K18" s="247">
        <f>'e7'!S25-'e7'!W25</f>
        <v>26</v>
      </c>
      <c r="L18" s="148"/>
      <c r="M18" s="247">
        <f t="shared" ca="1" si="1"/>
        <v>0</v>
      </c>
    </row>
    <row r="19" spans="1:16" x14ac:dyDescent="0.2">
      <c r="A19" s="151">
        <f>Intro!C28</f>
        <v>2006</v>
      </c>
      <c r="B19" s="148"/>
      <c r="C19" s="247">
        <f ca="1">'e6.2'!G19</f>
        <v>31</v>
      </c>
      <c r="D19" s="148"/>
      <c r="E19" s="240">
        <f ca="1">'e6.2'!Q19</f>
        <v>31</v>
      </c>
      <c r="F19" s="148"/>
      <c r="G19" s="235">
        <f t="shared" ca="1" si="0"/>
        <v>31</v>
      </c>
      <c r="H19" s="148"/>
      <c r="I19" s="256">
        <f ca="1">G19/'e6.2'!I19 * 1000</f>
        <v>0.2876847966491663</v>
      </c>
      <c r="J19" s="148"/>
      <c r="K19" s="247">
        <f>'e7'!S26-'e7'!W26</f>
        <v>31</v>
      </c>
      <c r="L19" s="148"/>
      <c r="M19" s="247">
        <f t="shared" ca="1" si="1"/>
        <v>0</v>
      </c>
    </row>
    <row r="20" spans="1:16" x14ac:dyDescent="0.2">
      <c r="A20" s="151">
        <f>Intro!C29</f>
        <v>2007</v>
      </c>
      <c r="B20" s="148"/>
      <c r="C20" s="247">
        <f ca="1">'e6.2'!G20</f>
        <v>34</v>
      </c>
      <c r="D20" s="148"/>
      <c r="E20" s="240">
        <f ca="1">'e6.2'!Q20</f>
        <v>34</v>
      </c>
      <c r="F20" s="148"/>
      <c r="G20" s="235">
        <f t="shared" ca="1" si="0"/>
        <v>34</v>
      </c>
      <c r="H20" s="148"/>
      <c r="I20" s="256">
        <f ca="1">G20/'e6.2'!I20 * 1000</f>
        <v>0.32509721219387627</v>
      </c>
      <c r="J20" s="148"/>
      <c r="K20" s="247">
        <f>'e7'!S27-'e7'!W27</f>
        <v>34</v>
      </c>
      <c r="L20" s="148"/>
      <c r="M20" s="247">
        <f t="shared" ca="1" si="1"/>
        <v>0</v>
      </c>
    </row>
    <row r="21" spans="1:16" x14ac:dyDescent="0.2">
      <c r="A21" s="151">
        <f>Intro!C30</f>
        <v>2008</v>
      </c>
      <c r="B21" s="148"/>
      <c r="C21" s="247">
        <f ca="1">'e6.2'!G21</f>
        <v>24</v>
      </c>
      <c r="D21" s="148"/>
      <c r="E21" s="240">
        <f ca="1">'e6.2'!Q21</f>
        <v>24</v>
      </c>
      <c r="F21" s="148"/>
      <c r="G21" s="235">
        <f t="shared" ca="1" si="0"/>
        <v>24</v>
      </c>
      <c r="H21" s="148"/>
      <c r="I21" s="256">
        <f ca="1">G21/'e6.2'!I21 * 1000</f>
        <v>0.22630771133059627</v>
      </c>
      <c r="J21" s="148"/>
      <c r="K21" s="247">
        <f>'e7'!S28-'e7'!W28</f>
        <v>24</v>
      </c>
      <c r="L21" s="148"/>
      <c r="M21" s="247">
        <f t="shared" ca="1" si="1"/>
        <v>0</v>
      </c>
    </row>
    <row r="22" spans="1:16" x14ac:dyDescent="0.2">
      <c r="A22" s="151">
        <f>Intro!C31</f>
        <v>2009</v>
      </c>
      <c r="B22" s="148"/>
      <c r="C22" s="247">
        <f ca="1">'e6.2'!G22</f>
        <v>31</v>
      </c>
      <c r="D22" s="148"/>
      <c r="E22" s="240">
        <f ca="1">'e6.2'!Q22</f>
        <v>31</v>
      </c>
      <c r="F22" s="148"/>
      <c r="G22" s="235">
        <f t="shared" ca="1" si="0"/>
        <v>31</v>
      </c>
      <c r="H22" s="148"/>
      <c r="I22" s="256">
        <f ca="1">G22/'e6.2'!I22 * 1000</f>
        <v>0.27997870897391819</v>
      </c>
      <c r="J22" s="148"/>
      <c r="K22" s="247">
        <f>'e7'!S29-'e7'!W29</f>
        <v>30</v>
      </c>
      <c r="L22" s="148"/>
      <c r="M22" s="247">
        <f t="shared" ca="1" si="1"/>
        <v>1</v>
      </c>
    </row>
    <row r="23" spans="1:16" x14ac:dyDescent="0.2">
      <c r="A23" s="151">
        <f>Intro!C32</f>
        <v>2010</v>
      </c>
      <c r="B23" s="148"/>
      <c r="C23" s="247">
        <f ca="1">'e6.2'!G23</f>
        <v>34</v>
      </c>
      <c r="D23" s="148"/>
      <c r="E23" s="240">
        <f ca="1">'e6.2'!Q23</f>
        <v>34</v>
      </c>
      <c r="F23" s="148"/>
      <c r="G23" s="235">
        <f t="shared" ca="1" si="0"/>
        <v>34</v>
      </c>
      <c r="H23" s="148"/>
      <c r="I23" s="256">
        <f ca="1">G23/'e6.2'!I23 * 1000</f>
        <v>0.26516488919882331</v>
      </c>
      <c r="J23" s="148"/>
      <c r="K23" s="247">
        <f>'e7'!S30-'e7'!W30</f>
        <v>33</v>
      </c>
      <c r="L23" s="148"/>
      <c r="M23" s="247">
        <f t="shared" ca="1" si="1"/>
        <v>1</v>
      </c>
    </row>
    <row r="24" spans="1:16" x14ac:dyDescent="0.2">
      <c r="A24" s="151">
        <f>Intro!C33</f>
        <v>2011</v>
      </c>
      <c r="B24" s="148"/>
      <c r="C24" s="247">
        <f ca="1">'e6.2'!G24</f>
        <v>30</v>
      </c>
      <c r="D24" s="148"/>
      <c r="E24" s="240">
        <f ca="1">'e6.2'!Q24</f>
        <v>30</v>
      </c>
      <c r="F24" s="148"/>
      <c r="G24" s="235">
        <f t="shared" ca="1" si="0"/>
        <v>30</v>
      </c>
      <c r="H24" s="148"/>
      <c r="I24" s="256">
        <f ca="1">G24/'e6.2'!I24 * 1000</f>
        <v>0.20947618009348698</v>
      </c>
      <c r="J24" s="148"/>
      <c r="K24" s="247">
        <f>'e7'!S31-'e7'!W31</f>
        <v>30</v>
      </c>
      <c r="L24" s="148"/>
      <c r="M24" s="247">
        <f t="shared" ca="1" si="1"/>
        <v>0</v>
      </c>
    </row>
    <row r="25" spans="1:16" x14ac:dyDescent="0.2">
      <c r="A25" s="151">
        <f>Intro!C34</f>
        <v>2012</v>
      </c>
      <c r="B25" s="148"/>
      <c r="C25" s="247">
        <f ca="1">'e6.2'!G25</f>
        <v>34</v>
      </c>
      <c r="D25" s="148"/>
      <c r="E25" s="240">
        <f ca="1">'e6.2'!Q25</f>
        <v>34</v>
      </c>
      <c r="F25" s="148"/>
      <c r="G25" s="235">
        <f t="shared" ca="1" si="0"/>
        <v>34</v>
      </c>
      <c r="H25" s="148"/>
      <c r="I25" s="256">
        <f ca="1">G25/'e6.2'!I25 * 1000</f>
        <v>0.2335648375336386</v>
      </c>
      <c r="J25" s="148"/>
      <c r="K25" s="247">
        <f>'e7'!S32-'e7'!W32</f>
        <v>33</v>
      </c>
      <c r="L25" s="148"/>
      <c r="M25" s="247">
        <f t="shared" ca="1" si="1"/>
        <v>1</v>
      </c>
    </row>
    <row r="26" spans="1:16" x14ac:dyDescent="0.2">
      <c r="A26" s="151">
        <f>Intro!C35</f>
        <v>2013</v>
      </c>
      <c r="B26" s="148"/>
      <c r="C26" s="247">
        <f ca="1">'e6.2'!G26</f>
        <v>47</v>
      </c>
      <c r="D26" s="148"/>
      <c r="E26" s="240">
        <f ca="1">'e6.2'!Q26</f>
        <v>47</v>
      </c>
      <c r="F26" s="148"/>
      <c r="G26" s="235">
        <f t="shared" ca="1" si="0"/>
        <v>47</v>
      </c>
      <c r="H26" s="148"/>
      <c r="I26" s="256">
        <f ca="1">G26/'e6.2'!I26 * 1000</f>
        <v>0.29752766628819127</v>
      </c>
      <c r="J26" s="148"/>
      <c r="K26" s="247">
        <f>'e7'!S33-'e7'!W33</f>
        <v>45</v>
      </c>
      <c r="L26" s="148"/>
      <c r="M26" s="247">
        <f t="shared" ca="1" si="1"/>
        <v>2</v>
      </c>
    </row>
    <row r="27" spans="1:16" x14ac:dyDescent="0.2">
      <c r="A27" s="151">
        <f>Intro!C36</f>
        <v>2014</v>
      </c>
      <c r="B27" s="148"/>
      <c r="C27" s="247">
        <f ca="1">'e6.2'!G27</f>
        <v>43</v>
      </c>
      <c r="D27" s="148"/>
      <c r="E27" s="240">
        <f ca="1">'e6.2'!Q27</f>
        <v>43</v>
      </c>
      <c r="F27" s="148"/>
      <c r="G27" s="235">
        <f t="shared" ca="1" si="0"/>
        <v>43</v>
      </c>
      <c r="H27" s="148"/>
      <c r="I27" s="256">
        <f ca="1">G27/'e6.2'!I27 * 1000</f>
        <v>0.23555674963311207</v>
      </c>
      <c r="J27" s="148"/>
      <c r="K27" s="247">
        <f>'e7'!S34-'e7'!W34</f>
        <v>43</v>
      </c>
      <c r="L27" s="148"/>
      <c r="M27" s="247">
        <f t="shared" ca="1" si="1"/>
        <v>0</v>
      </c>
    </row>
    <row r="28" spans="1:16" x14ac:dyDescent="0.2">
      <c r="A28" s="151">
        <f>Intro!C37</f>
        <v>2015</v>
      </c>
      <c r="B28" s="148"/>
      <c r="C28" s="247">
        <f ca="1">'e6.2'!G28</f>
        <v>38</v>
      </c>
      <c r="D28" s="148"/>
      <c r="E28" s="240">
        <f ca="1">'e6.2'!Q28</f>
        <v>38</v>
      </c>
      <c r="F28" s="148"/>
      <c r="G28" s="235">
        <f t="shared" ca="1" si="0"/>
        <v>38</v>
      </c>
      <c r="H28" s="148"/>
      <c r="I28" s="256">
        <f ca="1">G28/'e6.2'!I28 * 1000</f>
        <v>0.19297950243493192</v>
      </c>
      <c r="J28" s="148"/>
      <c r="K28" s="247">
        <f>'e7'!S35-'e7'!W35</f>
        <v>34</v>
      </c>
      <c r="L28" s="148"/>
      <c r="M28" s="247">
        <f t="shared" ca="1" si="1"/>
        <v>4</v>
      </c>
    </row>
    <row r="29" spans="1:16" x14ac:dyDescent="0.2">
      <c r="A29" s="151">
        <f>Intro!C38</f>
        <v>2016</v>
      </c>
      <c r="B29" s="148"/>
      <c r="C29" s="247">
        <f ca="1">'e6.2'!G29</f>
        <v>35.072704611549653</v>
      </c>
      <c r="D29" s="148"/>
      <c r="E29" s="240">
        <f ca="1">'e6.2'!Q29</f>
        <v>35.095431077637706</v>
      </c>
      <c r="F29" s="148"/>
      <c r="G29" s="235">
        <f t="shared" ca="1" si="0"/>
        <v>35</v>
      </c>
      <c r="H29" s="148"/>
      <c r="I29" s="256">
        <f ca="1">G29/'e6.2'!I29 * 1000</f>
        <v>0.15773255735386937</v>
      </c>
      <c r="J29" s="148"/>
      <c r="K29" s="247">
        <f>'e7'!S36-'e7'!W36</f>
        <v>28</v>
      </c>
      <c r="L29" s="148"/>
      <c r="M29" s="247">
        <f t="shared" ca="1" si="1"/>
        <v>7</v>
      </c>
    </row>
    <row r="30" spans="1:16" x14ac:dyDescent="0.2">
      <c r="A30" s="151">
        <f>Intro!C39</f>
        <v>2017</v>
      </c>
      <c r="B30" s="148"/>
      <c r="C30" s="247">
        <f ca="1">'e6.2'!G30</f>
        <v>46.363795210344236</v>
      </c>
      <c r="D30" s="148"/>
      <c r="E30" s="240">
        <f ca="1">'e6.2'!Q30</f>
        <v>46.490583885101401</v>
      </c>
      <c r="F30" s="148"/>
      <c r="G30" s="235">
        <f t="shared" ca="1" si="0"/>
        <v>46</v>
      </c>
      <c r="H30" s="148"/>
      <c r="I30" s="256">
        <f ca="1">G30/'e6.2'!I30 * 1000</f>
        <v>0.14958879188359667</v>
      </c>
      <c r="J30" s="148"/>
      <c r="K30" s="247">
        <f>'e7'!S37-'e7'!W37</f>
        <v>40</v>
      </c>
      <c r="L30" s="148"/>
      <c r="M30" s="247">
        <f t="shared" ca="1" si="1"/>
        <v>6</v>
      </c>
    </row>
    <row r="31" spans="1:16" x14ac:dyDescent="0.2">
      <c r="A31" s="151">
        <f>Intro!C40</f>
        <v>2018</v>
      </c>
      <c r="B31" s="148"/>
      <c r="C31" s="247">
        <f ca="1">'e6.2'!G31</f>
        <v>128.8196794623864</v>
      </c>
      <c r="D31" s="148"/>
      <c r="E31" s="240">
        <f ca="1">'e6.2'!Q31</f>
        <v>128.17203283165671</v>
      </c>
      <c r="F31" s="148"/>
      <c r="G31" s="235">
        <f t="shared" ref="G31" ca="1" si="2">ROUND(MAX(E31,C31), 0)</f>
        <v>129</v>
      </c>
      <c r="H31" s="148"/>
      <c r="I31" s="256">
        <f ca="1">G31/'e6.2'!I31 * 1000</f>
        <v>0.2402698741041753</v>
      </c>
      <c r="J31" s="148"/>
      <c r="K31" s="247">
        <f>'e7'!S38-'e7'!W38</f>
        <v>87</v>
      </c>
      <c r="L31" s="148"/>
      <c r="M31" s="247">
        <f t="shared" ref="M31:M32" ca="1" si="3">G31-K31</f>
        <v>42</v>
      </c>
    </row>
    <row r="32" spans="1:16" x14ac:dyDescent="0.2">
      <c r="A32" s="151">
        <f>Intro!C41</f>
        <v>2019</v>
      </c>
      <c r="B32" s="148"/>
      <c r="C32" s="248">
        <f ca="1">'e6.2'!G32</f>
        <v>85.614664926262762</v>
      </c>
      <c r="D32" s="148"/>
      <c r="E32" s="271">
        <f ca="1">'e6.2'!Q32</f>
        <v>95.073027506115878</v>
      </c>
      <c r="F32" s="148"/>
      <c r="G32" s="309">
        <f ca="1">ROUND(E32,0)</f>
        <v>95</v>
      </c>
      <c r="H32" s="148"/>
      <c r="I32" s="261">
        <f ca="1">G32/'e6.2'!I32 * 1000</f>
        <v>0.17491104454095377</v>
      </c>
      <c r="J32" s="148"/>
      <c r="K32" s="248">
        <f>'e7'!S39-'e7'!W39</f>
        <v>16</v>
      </c>
      <c r="L32" s="148"/>
      <c r="M32" s="279">
        <f t="shared" ca="1" si="3"/>
        <v>79</v>
      </c>
      <c r="O32" s="489">
        <f ca="1">ROUND('e7'!W39 + (M32-'e7'!W39)*(1-Intro!$AA$43), 0)</f>
        <v>59</v>
      </c>
      <c r="P32" s="488" t="str">
        <f>"&lt;- Partial Adjusted Open &amp; IBNR as of "&amp;ctxt</f>
        <v>&lt;- Partial Adjusted Open &amp; IBNR as of 4/30/19</v>
      </c>
    </row>
    <row r="33" spans="1:13" x14ac:dyDescent="0.2">
      <c r="A33" s="151"/>
      <c r="B33" s="148"/>
      <c r="C33" s="234"/>
      <c r="D33" s="228"/>
      <c r="E33" s="234"/>
      <c r="F33" s="228"/>
      <c r="G33" s="234"/>
      <c r="H33" s="228"/>
      <c r="I33" s="278"/>
      <c r="J33" s="228"/>
      <c r="K33" s="234"/>
      <c r="L33" s="228"/>
      <c r="M33" s="234"/>
    </row>
    <row r="34" spans="1:13" x14ac:dyDescent="0.2">
      <c r="A34" s="151" t="s">
        <v>78</v>
      </c>
      <c r="B34" s="148"/>
      <c r="C34" s="235">
        <f ca="1">SUM(C16:C32)</f>
        <v>735.87084421054305</v>
      </c>
      <c r="D34" s="148"/>
      <c r="E34" s="235">
        <f ca="1">SUM(E16:E32)</f>
        <v>744.83107530051166</v>
      </c>
      <c r="F34" s="148"/>
      <c r="G34" s="235">
        <f ca="1">SUM(G16:G32)</f>
        <v>745</v>
      </c>
      <c r="H34" s="148"/>
      <c r="I34" s="236">
        <f ca="1">G34/'e6.2'!I34 * 1000</f>
        <v>0.22560115160237273</v>
      </c>
      <c r="J34" s="148"/>
      <c r="K34" s="235">
        <f>SUM(K16:K32)</f>
        <v>600</v>
      </c>
      <c r="L34" s="148"/>
      <c r="M34" s="235">
        <f ca="1">SUM(M16:M32)</f>
        <v>145</v>
      </c>
    </row>
    <row r="35" spans="1:13" x14ac:dyDescent="0.2">
      <c r="A35" s="151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1:13" x14ac:dyDescent="0.2">
      <c r="A36" s="151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1:13" x14ac:dyDescent="0.2">
      <c r="A37" s="245" t="s">
        <v>83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1:13" x14ac:dyDescent="0.2">
      <c r="A38" s="148" t="s">
        <v>363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1:13" x14ac:dyDescent="0.2">
      <c r="A39" s="148" t="s">
        <v>364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1:13" x14ac:dyDescent="0.2">
      <c r="A40" s="148" t="s">
        <v>365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1:13" x14ac:dyDescent="0.2">
      <c r="A41" s="148" t="s">
        <v>366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1:13" x14ac:dyDescent="0.2">
      <c r="A42" s="148" t="s">
        <v>372</v>
      </c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6
Sheet 1
</oddHeader>
    <oddFooter xml:space="preserve">&amp;L&amp;"Arial"&amp;10 Oliver Wyman Actuarial Consulting, Inc.
&amp;C&amp;"Arial"&amp;10 &amp;R&amp;"Arial"&amp;10 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2">
    <tabColor theme="8" tint="0.79998168889431442"/>
    <pageSetUpPr fitToPage="1"/>
  </sheetPr>
  <dimension ref="A1:W54"/>
  <sheetViews>
    <sheetView zoomScale="85" zoomScaleNormal="85" zoomScaleSheetLayoutView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9" style="222"/>
    <col min="4" max="4" width="2.625" style="222" customWidth="1"/>
    <col min="5" max="5" width="9" style="222"/>
    <col min="6" max="6" width="2.625" style="222" customWidth="1"/>
    <col min="7" max="7" width="9" style="222"/>
    <col min="8" max="8" width="2.625" style="222" customWidth="1"/>
    <col min="9" max="9" width="9.5" style="222" bestFit="1" customWidth="1"/>
    <col min="10" max="10" width="2.625" style="222" customWidth="1"/>
    <col min="11" max="11" width="9" style="222"/>
    <col min="12" max="12" width="2.625" style="222" customWidth="1"/>
    <col min="13" max="13" width="9" style="222"/>
    <col min="14" max="14" width="2.625" style="222" customWidth="1"/>
    <col min="15" max="15" width="9" style="222"/>
    <col min="16" max="16" width="2.625" style="222" customWidth="1"/>
    <col min="17" max="17" width="9.75" style="222" bestFit="1" customWidth="1"/>
    <col min="18" max="18" width="2.625" style="222" customWidth="1"/>
    <col min="19" max="20" width="9" style="222" customWidth="1"/>
    <col min="21" max="16384" width="9" style="222"/>
  </cols>
  <sheetData>
    <row r="1" spans="1:23" x14ac:dyDescent="0.2">
      <c r="A1" s="1" t="str">
        <f>[1]!getlabels()</f>
        <v>Exhibit 6, Sheet 2</v>
      </c>
    </row>
    <row r="2" spans="1:2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</row>
    <row r="4" spans="1:2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2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</row>
    <row r="7" spans="1:23" s="619" customFormat="1" x14ac:dyDescent="0.2">
      <c r="A7" s="225" t="s">
        <v>329</v>
      </c>
      <c r="B7" s="225"/>
      <c r="C7" s="225"/>
      <c r="D7" s="225"/>
      <c r="E7" s="225"/>
      <c r="F7" s="225"/>
      <c r="G7" s="225"/>
      <c r="H7" s="225"/>
      <c r="I7" s="226"/>
      <c r="J7" s="225"/>
      <c r="K7" s="225"/>
      <c r="L7" s="225"/>
      <c r="M7" s="225"/>
      <c r="N7" s="225"/>
      <c r="O7" s="225"/>
      <c r="P7" s="225"/>
      <c r="Q7" s="225"/>
      <c r="R7" s="148"/>
      <c r="S7" s="148"/>
      <c r="T7" s="148"/>
      <c r="U7" s="148"/>
      <c r="V7" s="148"/>
      <c r="W7" s="148"/>
    </row>
    <row r="8" spans="1:23" x14ac:dyDescent="0.2">
      <c r="A8" s="148"/>
      <c r="B8" s="148"/>
      <c r="C8" s="148"/>
      <c r="D8" s="148"/>
      <c r="E8" s="148"/>
      <c r="F8" s="148"/>
      <c r="G8" s="148"/>
      <c r="H8" s="148"/>
      <c r="I8" s="227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</row>
    <row r="9" spans="1:23" x14ac:dyDescent="0.2">
      <c r="A9" s="148"/>
      <c r="B9" s="148"/>
      <c r="C9" s="151"/>
      <c r="D9" s="148"/>
      <c r="E9" s="148"/>
      <c r="F9" s="148"/>
      <c r="H9" s="148"/>
      <c r="I9" s="227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spans="1:23" x14ac:dyDescent="0.2">
      <c r="A10" s="151"/>
      <c r="B10" s="148"/>
      <c r="C10" s="151" t="s">
        <v>84</v>
      </c>
      <c r="D10" s="148"/>
      <c r="E10" s="148"/>
      <c r="F10" s="148"/>
      <c r="G10" s="181" t="s">
        <v>330</v>
      </c>
      <c r="H10" s="228"/>
      <c r="I10" s="229"/>
      <c r="J10" s="228"/>
      <c r="K10" s="181"/>
      <c r="L10" s="228"/>
      <c r="N10" s="148"/>
      <c r="O10" s="148"/>
      <c r="P10" s="148"/>
      <c r="Q10" s="151" t="s">
        <v>71</v>
      </c>
      <c r="R10" s="148"/>
      <c r="S10" s="148"/>
      <c r="T10" s="148"/>
      <c r="U10" s="148"/>
      <c r="V10" s="148"/>
      <c r="W10" s="148"/>
    </row>
    <row r="11" spans="1:23" x14ac:dyDescent="0.2">
      <c r="A11" s="181" t="str">
        <f>Intro!M9</f>
        <v>Policy</v>
      </c>
      <c r="B11" s="148"/>
      <c r="C11" s="230" t="s">
        <v>343</v>
      </c>
      <c r="D11" s="148"/>
      <c r="E11" s="230" t="s">
        <v>331</v>
      </c>
      <c r="F11" s="148"/>
      <c r="G11" s="181" t="s">
        <v>245</v>
      </c>
      <c r="H11" s="228"/>
      <c r="I11" s="229"/>
      <c r="J11" s="228"/>
      <c r="L11" s="228"/>
      <c r="M11" s="181" t="s">
        <v>344</v>
      </c>
      <c r="N11" s="148"/>
      <c r="O11" s="148"/>
      <c r="P11" s="148"/>
      <c r="Q11" s="151" t="s">
        <v>333</v>
      </c>
      <c r="R11" s="148"/>
      <c r="T11" s="148"/>
      <c r="U11" s="148"/>
      <c r="V11" s="148"/>
      <c r="W11" s="148"/>
    </row>
    <row r="12" spans="1:23" x14ac:dyDescent="0.2">
      <c r="A12" s="181" t="str">
        <f>Intro!M10</f>
        <v>Period</v>
      </c>
      <c r="B12" s="148"/>
      <c r="C12" s="151" t="s">
        <v>334</v>
      </c>
      <c r="D12" s="148"/>
      <c r="E12" s="230" t="s">
        <v>245</v>
      </c>
      <c r="F12" s="148"/>
      <c r="G12" s="181" t="s">
        <v>84</v>
      </c>
      <c r="H12" s="228"/>
      <c r="I12" s="231" t="s">
        <v>5</v>
      </c>
      <c r="J12" s="228"/>
      <c r="K12" s="181" t="s">
        <v>332</v>
      </c>
      <c r="L12" s="228"/>
      <c r="M12" s="262" t="str">
        <f>cpy_l</f>
        <v>2018/19</v>
      </c>
      <c r="N12" s="148"/>
      <c r="O12" s="151" t="s">
        <v>336</v>
      </c>
      <c r="P12" s="148"/>
      <c r="Q12" s="151" t="s">
        <v>337</v>
      </c>
      <c r="R12" s="148"/>
      <c r="T12" s="181" t="s">
        <v>353</v>
      </c>
      <c r="U12" s="148"/>
      <c r="V12" s="148"/>
      <c r="W12" s="148"/>
    </row>
    <row r="13" spans="1:23" x14ac:dyDescent="0.2">
      <c r="A13" s="176" t="str">
        <f>Intro!M11</f>
        <v>Ending 9/30</v>
      </c>
      <c r="B13" s="148"/>
      <c r="C13" s="179" t="str">
        <f>ctxt</f>
        <v>4/30/19</v>
      </c>
      <c r="D13" s="148"/>
      <c r="E13" s="176" t="s">
        <v>338</v>
      </c>
      <c r="F13" s="148"/>
      <c r="G13" s="232" t="s">
        <v>343</v>
      </c>
      <c r="H13" s="228"/>
      <c r="I13" s="233" t="s">
        <v>6</v>
      </c>
      <c r="J13" s="228"/>
      <c r="K13" s="176" t="s">
        <v>335</v>
      </c>
      <c r="L13" s="228"/>
      <c r="M13" s="176" t="s">
        <v>335</v>
      </c>
      <c r="N13" s="148"/>
      <c r="O13" s="176" t="s">
        <v>335</v>
      </c>
      <c r="P13" s="148"/>
      <c r="Q13" s="179" t="s">
        <v>339</v>
      </c>
      <c r="R13" s="148"/>
      <c r="S13" s="265" t="s">
        <v>352</v>
      </c>
      <c r="T13" s="265" t="s">
        <v>229</v>
      </c>
    </row>
    <row r="14" spans="1:23" x14ac:dyDescent="0.2">
      <c r="A14" s="148"/>
      <c r="B14" s="148"/>
      <c r="C14" s="246">
        <v>1</v>
      </c>
      <c r="D14" s="148"/>
      <c r="E14" s="246">
        <f>C14+1</f>
        <v>2</v>
      </c>
      <c r="F14" s="148"/>
      <c r="G14" s="246">
        <f>E14+1</f>
        <v>3</v>
      </c>
      <c r="H14" s="148"/>
      <c r="I14" s="246">
        <f>G14+1</f>
        <v>4</v>
      </c>
      <c r="J14" s="148"/>
      <c r="K14" s="246">
        <f>I14+1</f>
        <v>5</v>
      </c>
      <c r="L14" s="148"/>
      <c r="M14" s="246">
        <f>K14+1</f>
        <v>6</v>
      </c>
      <c r="N14" s="148"/>
      <c r="O14" s="246">
        <f>M14+1</f>
        <v>7</v>
      </c>
      <c r="P14" s="148"/>
      <c r="Q14" s="246">
        <f>O14+1</f>
        <v>8</v>
      </c>
      <c r="R14" s="148"/>
    </row>
    <row r="15" spans="1:23" x14ac:dyDescent="0.2">
      <c r="A15" s="148"/>
      <c r="B15" s="148"/>
      <c r="C15" s="148"/>
      <c r="D15" s="148"/>
      <c r="E15" s="148"/>
      <c r="F15" s="148"/>
      <c r="G15" s="148"/>
      <c r="H15" s="148"/>
      <c r="I15" s="227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1:23" x14ac:dyDescent="0.2">
      <c r="A16" s="151">
        <f>Intro!C25</f>
        <v>2003</v>
      </c>
      <c r="B16" s="148"/>
      <c r="C16" s="247">
        <f>'e7'!S23</f>
        <v>38</v>
      </c>
      <c r="D16" s="148"/>
      <c r="E16" s="236">
        <f ca="1">[1]!ldfsir(ldfs, ldf_ages, ldf_type, ldf_ret, Intro!$AA25, "Rept LT", 1, cutoff, 3)</f>
        <v>1</v>
      </c>
      <c r="F16" s="148"/>
      <c r="G16" s="247">
        <f ca="1">C16*E16</f>
        <v>38</v>
      </c>
      <c r="H16" s="148"/>
      <c r="I16" s="250">
        <f>Intro!K25</f>
        <v>95877.160999999993</v>
      </c>
      <c r="J16" s="235"/>
      <c r="K16" s="255">
        <f ca="1">G16/I16*1000</f>
        <v>0.39634047987716287</v>
      </c>
      <c r="L16" s="239"/>
      <c r="M16" s="255">
        <f t="shared" ref="M16:M32" ca="1" si="0">K16*T16</f>
        <v>0.28687033591362632</v>
      </c>
      <c r="N16" s="238"/>
      <c r="O16" s="236">
        <f t="shared" ref="O16:O32" ca="1" si="1">$M$44 / T16</f>
        <v>0.26978105179149142</v>
      </c>
      <c r="P16" s="148"/>
      <c r="Q16" s="240">
        <f ca="1">C16+(I16*O16*(1-1/E16)/1000)</f>
        <v>38</v>
      </c>
      <c r="R16" s="148"/>
      <c r="S16" s="252">
        <f>Intro!G25</f>
        <v>16</v>
      </c>
      <c r="T16" s="266">
        <f t="shared" ref="T16:T30" si="2">(1+ltfreq_trnd)^S16</f>
        <v>0.72379772059249547</v>
      </c>
    </row>
    <row r="17" spans="1:20" x14ac:dyDescent="0.2">
      <c r="A17" s="151">
        <f>Intro!C26</f>
        <v>2004</v>
      </c>
      <c r="B17" s="148"/>
      <c r="C17" s="247">
        <f>'e7'!S24</f>
        <v>30</v>
      </c>
      <c r="D17" s="148"/>
      <c r="E17" s="236">
        <f ca="1">[1]!ldfsir(ldfs, ldf_ages, ldf_type, ldf_ret, Intro!$AA26, "Rept LT", 1, cutoff, 3)</f>
        <v>1</v>
      </c>
      <c r="F17" s="148"/>
      <c r="G17" s="247">
        <f t="shared" ref="G17:G32" ca="1" si="3">C17*E17</f>
        <v>30</v>
      </c>
      <c r="H17" s="148"/>
      <c r="I17" s="237">
        <f>Intro!K26</f>
        <v>102137.68700000001</v>
      </c>
      <c r="J17" s="235"/>
      <c r="K17" s="255">
        <f t="shared" ref="K17:K32" ca="1" si="4">G17/I17*1000</f>
        <v>0.29372116092662248</v>
      </c>
      <c r="L17" s="239"/>
      <c r="M17" s="255">
        <f t="shared" ca="1" si="0"/>
        <v>0.21693337425354173</v>
      </c>
      <c r="N17" s="238"/>
      <c r="O17" s="236">
        <f t="shared" ca="1" si="1"/>
        <v>0.26438543075566162</v>
      </c>
      <c r="P17" s="148"/>
      <c r="Q17" s="240">
        <f t="shared" ref="Q17:Q30" ca="1" si="5">C17+(I17*O17*(1-1/E17)/1000)</f>
        <v>30</v>
      </c>
      <c r="R17" s="148"/>
      <c r="S17" s="252">
        <f>Intro!G26</f>
        <v>15</v>
      </c>
      <c r="T17" s="266">
        <f t="shared" si="2"/>
        <v>0.73856910264540354</v>
      </c>
    </row>
    <row r="18" spans="1:20" x14ac:dyDescent="0.2">
      <c r="A18" s="151">
        <f>Intro!C27</f>
        <v>2005</v>
      </c>
      <c r="B18" s="148"/>
      <c r="C18" s="247">
        <f>'e7'!S25</f>
        <v>26</v>
      </c>
      <c r="D18" s="148"/>
      <c r="E18" s="236">
        <f ca="1">[1]!ldfsir(ldfs, ldf_ages, ldf_type, ldf_ret, Intro!$AA27, "Rept LT", 1, cutoff, 3)</f>
        <v>1</v>
      </c>
      <c r="F18" s="148"/>
      <c r="G18" s="247">
        <f t="shared" ca="1" si="3"/>
        <v>26</v>
      </c>
      <c r="H18" s="148"/>
      <c r="I18" s="237">
        <f>Intro!K27</f>
        <v>111292.39200000001</v>
      </c>
      <c r="J18" s="235"/>
      <c r="K18" s="255">
        <f t="shared" ca="1" si="4"/>
        <v>0.23361884431417379</v>
      </c>
      <c r="L18" s="239"/>
      <c r="M18" s="255">
        <f t="shared" ca="1" si="0"/>
        <v>0.17606495939405672</v>
      </c>
      <c r="N18" s="238"/>
      <c r="O18" s="236">
        <f t="shared" ca="1" si="1"/>
        <v>0.25909772214054838</v>
      </c>
      <c r="P18" s="148"/>
      <c r="Q18" s="240">
        <f t="shared" ca="1" si="5"/>
        <v>26</v>
      </c>
      <c r="R18" s="148"/>
      <c r="S18" s="252">
        <f>Intro!G27</f>
        <v>14</v>
      </c>
      <c r="T18" s="266">
        <f t="shared" si="2"/>
        <v>0.7536419414749016</v>
      </c>
    </row>
    <row r="19" spans="1:20" x14ac:dyDescent="0.2">
      <c r="A19" s="151">
        <f>Intro!C28</f>
        <v>2006</v>
      </c>
      <c r="B19" s="148"/>
      <c r="C19" s="247">
        <f>'e7'!S26</f>
        <v>31</v>
      </c>
      <c r="D19" s="148"/>
      <c r="E19" s="236">
        <f ca="1">[1]!ldfsir(ldfs, ldf_ages, ldf_type, ldf_ret, Intro!$AA28, "Rept LT", 1, cutoff, 3)</f>
        <v>1</v>
      </c>
      <c r="F19" s="148"/>
      <c r="G19" s="247">
        <f t="shared" ca="1" si="3"/>
        <v>31</v>
      </c>
      <c r="H19" s="148"/>
      <c r="I19" s="709">
        <f>Intro!K28</f>
        <v>107756.82399999999</v>
      </c>
      <c r="J19" s="235"/>
      <c r="K19" s="255">
        <f t="shared" ca="1" si="4"/>
        <v>0.2876847966491663</v>
      </c>
      <c r="L19" s="239"/>
      <c r="M19" s="255">
        <f t="shared" ca="1" si="0"/>
        <v>0.22123604967294894</v>
      </c>
      <c r="N19" s="238"/>
      <c r="O19" s="236">
        <f t="shared" ca="1" si="1"/>
        <v>0.25391576769773738</v>
      </c>
      <c r="P19" s="148"/>
      <c r="Q19" s="240">
        <f t="shared" ca="1" si="5"/>
        <v>31</v>
      </c>
      <c r="R19" s="148"/>
      <c r="S19" s="252">
        <f>Intro!G28</f>
        <v>13</v>
      </c>
      <c r="T19" s="266">
        <f t="shared" si="2"/>
        <v>0.76902238926010369</v>
      </c>
    </row>
    <row r="20" spans="1:20" x14ac:dyDescent="0.2">
      <c r="A20" s="151">
        <f>Intro!C29</f>
        <v>2007</v>
      </c>
      <c r="B20" s="148"/>
      <c r="C20" s="247">
        <f>'e7'!S27</f>
        <v>34</v>
      </c>
      <c r="D20" s="148"/>
      <c r="E20" s="236">
        <f ca="1">[1]!ldfsir(ldfs, ldf_ages, ldf_type, ldf_ret, Intro!$AA29, "Rept LT", 1, cutoff, 3)</f>
        <v>1</v>
      </c>
      <c r="F20" s="148"/>
      <c r="G20" s="247">
        <f t="shared" ca="1" si="3"/>
        <v>34</v>
      </c>
      <c r="H20" s="148"/>
      <c r="I20" s="709">
        <f>Intro!K29</f>
        <v>104584.102</v>
      </c>
      <c r="J20" s="235"/>
      <c r="K20" s="255">
        <f t="shared" ca="1" si="4"/>
        <v>0.32509721219387627</v>
      </c>
      <c r="L20" s="239"/>
      <c r="M20" s="255">
        <f t="shared" ca="1" si="0"/>
        <v>0.2551092192480956</v>
      </c>
      <c r="N20" s="238"/>
      <c r="O20" s="236">
        <f t="shared" ca="1" si="1"/>
        <v>0.24883745234378263</v>
      </c>
      <c r="P20" s="148"/>
      <c r="Q20" s="240">
        <f t="shared" ca="1" si="5"/>
        <v>34</v>
      </c>
      <c r="R20" s="148"/>
      <c r="S20" s="252">
        <f>Intro!G29</f>
        <v>12</v>
      </c>
      <c r="T20" s="266">
        <f t="shared" si="2"/>
        <v>0.78471672373479973</v>
      </c>
    </row>
    <row r="21" spans="1:20" x14ac:dyDescent="0.2">
      <c r="A21" s="151">
        <f>Intro!C30</f>
        <v>2008</v>
      </c>
      <c r="B21" s="148"/>
      <c r="C21" s="247">
        <f>'e7'!S28</f>
        <v>24</v>
      </c>
      <c r="D21" s="148"/>
      <c r="E21" s="236">
        <f ca="1">[1]!ldfsir(ldfs, ldf_ages, ldf_type, ldf_ret, Intro!$AA30, "Rept LT", 1, cutoff, 3)</f>
        <v>1</v>
      </c>
      <c r="F21" s="148"/>
      <c r="G21" s="247">
        <f t="shared" ca="1" si="3"/>
        <v>24</v>
      </c>
      <c r="H21" s="148"/>
      <c r="I21" s="709">
        <f>Intro!K30</f>
        <v>106050.29700000001</v>
      </c>
      <c r="J21" s="235"/>
      <c r="K21" s="255">
        <f t="shared" ca="1" si="4"/>
        <v>0.22630771133059627</v>
      </c>
      <c r="L21" s="239"/>
      <c r="M21" s="255">
        <f t="shared" ca="1" si="0"/>
        <v>0.18121167937884317</v>
      </c>
      <c r="N21" s="238"/>
      <c r="O21" s="236">
        <f t="shared" ca="1" si="1"/>
        <v>0.24386070329690698</v>
      </c>
      <c r="P21" s="148"/>
      <c r="Q21" s="240">
        <f t="shared" ca="1" si="5"/>
        <v>24</v>
      </c>
      <c r="R21" s="148"/>
      <c r="S21" s="252">
        <f>Intro!G30</f>
        <v>11</v>
      </c>
      <c r="T21" s="266">
        <f t="shared" si="2"/>
        <v>0.80073135074979562</v>
      </c>
    </row>
    <row r="22" spans="1:20" x14ac:dyDescent="0.2">
      <c r="A22" s="151">
        <f>Intro!C31</f>
        <v>2009</v>
      </c>
      <c r="B22" s="148"/>
      <c r="C22" s="247">
        <f>'e7'!S29</f>
        <v>31</v>
      </c>
      <c r="D22" s="148"/>
      <c r="E22" s="236">
        <f ca="1">[1]!ldfsir(ldfs, ldf_ages, ldf_type, ldf_ret, Intro!$AA31, "Rept LT", 1, cutoff, 3)</f>
        <v>1</v>
      </c>
      <c r="F22" s="148"/>
      <c r="G22" s="247">
        <f t="shared" ca="1" si="3"/>
        <v>31</v>
      </c>
      <c r="H22" s="148"/>
      <c r="I22" s="709">
        <f>Intro!K31</f>
        <v>110722.705</v>
      </c>
      <c r="J22" s="235"/>
      <c r="K22" s="255">
        <f t="shared" ca="1" si="4"/>
        <v>0.27997870897391819</v>
      </c>
      <c r="L22" s="239"/>
      <c r="M22" s="255">
        <f t="shared" ca="1" si="0"/>
        <v>0.22876298961007085</v>
      </c>
      <c r="N22" s="238"/>
      <c r="O22" s="236">
        <f t="shared" ca="1" si="1"/>
        <v>0.23898348923096882</v>
      </c>
      <c r="P22" s="148"/>
      <c r="Q22" s="240">
        <f t="shared" ca="1" si="5"/>
        <v>31</v>
      </c>
      <c r="R22" s="148"/>
      <c r="S22" s="252">
        <f>Intro!G31</f>
        <v>10</v>
      </c>
      <c r="T22" s="266">
        <f t="shared" si="2"/>
        <v>0.81707280688754658</v>
      </c>
    </row>
    <row r="23" spans="1:20" x14ac:dyDescent="0.2">
      <c r="A23" s="151">
        <f>Intro!C32</f>
        <v>2010</v>
      </c>
      <c r="B23" s="148"/>
      <c r="C23" s="247">
        <f>'e7'!S30</f>
        <v>34</v>
      </c>
      <c r="D23" s="148"/>
      <c r="E23" s="236">
        <f ca="1">[1]!ldfsir(ldfs, ldf_ages, ldf_type, ldf_ret, Intro!$AA32, "Rept LT", 1, cutoff, 3)</f>
        <v>1</v>
      </c>
      <c r="F23" s="148"/>
      <c r="G23" s="247">
        <f t="shared" ca="1" si="3"/>
        <v>34</v>
      </c>
      <c r="H23" s="148"/>
      <c r="I23" s="709">
        <f>Intro!K32</f>
        <v>128222.10400000001</v>
      </c>
      <c r="J23" s="235"/>
      <c r="K23" s="255">
        <f t="shared" ca="1" si="4"/>
        <v>0.26516488919882331</v>
      </c>
      <c r="L23" s="239"/>
      <c r="M23" s="255">
        <f t="shared" ca="1" si="0"/>
        <v>0.22108063296500802</v>
      </c>
      <c r="N23" s="238"/>
      <c r="O23" s="236">
        <f t="shared" ca="1" si="1"/>
        <v>0.23420381944634944</v>
      </c>
      <c r="P23" s="148"/>
      <c r="Q23" s="240">
        <f t="shared" ca="1" si="5"/>
        <v>34</v>
      </c>
      <c r="R23" s="185"/>
      <c r="S23" s="252">
        <f>Intro!G32</f>
        <v>9</v>
      </c>
      <c r="T23" s="266">
        <f t="shared" si="2"/>
        <v>0.83374776213014967</v>
      </c>
    </row>
    <row r="24" spans="1:20" x14ac:dyDescent="0.2">
      <c r="A24" s="151">
        <f>Intro!C33</f>
        <v>2011</v>
      </c>
      <c r="B24" s="148"/>
      <c r="C24" s="247">
        <f>'e7'!S31</f>
        <v>30</v>
      </c>
      <c r="D24" s="148"/>
      <c r="E24" s="236">
        <f ca="1">[1]!ldfsir(ldfs, ldf_ages, ldf_type, ldf_ret, Intro!$AA33, "Rept LT", 1, cutoff, 3)</f>
        <v>1</v>
      </c>
      <c r="F24" s="148"/>
      <c r="G24" s="247">
        <f t="shared" ca="1" si="3"/>
        <v>30</v>
      </c>
      <c r="H24" s="148"/>
      <c r="I24" s="709">
        <f>Intro!K33</f>
        <v>143214.37400000001</v>
      </c>
      <c r="J24" s="235"/>
      <c r="K24" s="255">
        <f t="shared" ca="1" si="4"/>
        <v>0.20947618009348698</v>
      </c>
      <c r="L24" s="239"/>
      <c r="M24" s="255">
        <f t="shared" ca="1" si="0"/>
        <v>0.1782145881352214</v>
      </c>
      <c r="N24" s="238"/>
      <c r="O24" s="236">
        <f t="shared" ca="1" si="1"/>
        <v>0.22951974305742243</v>
      </c>
      <c r="P24" s="148"/>
      <c r="Q24" s="240">
        <f t="shared" ca="1" si="5"/>
        <v>30</v>
      </c>
      <c r="R24" s="185"/>
      <c r="S24" s="252">
        <f>Intro!G33</f>
        <v>8</v>
      </c>
      <c r="T24" s="266">
        <f t="shared" si="2"/>
        <v>0.85076302258178538</v>
      </c>
    </row>
    <row r="25" spans="1:20" x14ac:dyDescent="0.2">
      <c r="A25" s="151">
        <f>Intro!C34</f>
        <v>2012</v>
      </c>
      <c r="B25" s="148"/>
      <c r="C25" s="247">
        <f>'e7'!S32</f>
        <v>34</v>
      </c>
      <c r="D25" s="148"/>
      <c r="E25" s="236">
        <f ca="1">[1]!ldfsir(ldfs, ldf_ages, ldf_type, ldf_ret, Intro!$AA34, "Rept LT", 1, cutoff, 3)</f>
        <v>1</v>
      </c>
      <c r="F25" s="148"/>
      <c r="G25" s="247">
        <f t="shared" ca="1" si="3"/>
        <v>34</v>
      </c>
      <c r="H25" s="148"/>
      <c r="I25" s="709">
        <f>Intro!K34</f>
        <v>145569.85699999999</v>
      </c>
      <c r="J25" s="235"/>
      <c r="K25" s="255">
        <f t="shared" ca="1" si="4"/>
        <v>0.2335648375336386</v>
      </c>
      <c r="L25" s="239"/>
      <c r="M25" s="255">
        <f t="shared" ca="1" si="0"/>
        <v>0.20276359913157349</v>
      </c>
      <c r="N25" s="238"/>
      <c r="O25" s="236">
        <f t="shared" ca="1" si="1"/>
        <v>0.22492934819627397</v>
      </c>
      <c r="P25" s="148"/>
      <c r="Q25" s="240">
        <f t="shared" ca="1" si="5"/>
        <v>34</v>
      </c>
      <c r="R25" s="185"/>
      <c r="S25" s="252">
        <f>Intro!G34</f>
        <v>7</v>
      </c>
      <c r="T25" s="266">
        <f t="shared" si="2"/>
        <v>0.86812553324671982</v>
      </c>
    </row>
    <row r="26" spans="1:20" x14ac:dyDescent="0.2">
      <c r="A26" s="151">
        <f>Intro!C35</f>
        <v>2013</v>
      </c>
      <c r="B26" s="148"/>
      <c r="C26" s="247">
        <f>'e7'!S33</f>
        <v>47</v>
      </c>
      <c r="D26" s="148"/>
      <c r="E26" s="236">
        <f ca="1">[1]!ldfsir(ldfs, ldf_ages, ldf_type, ldf_ret, Intro!$AA35, "Rept LT", 1, cutoff, 3)</f>
        <v>1</v>
      </c>
      <c r="F26" s="148"/>
      <c r="G26" s="247">
        <f t="shared" ca="1" si="3"/>
        <v>47</v>
      </c>
      <c r="H26" s="148"/>
      <c r="I26" s="709">
        <f>Intro!K35</f>
        <v>157968.50285000002</v>
      </c>
      <c r="J26" s="235"/>
      <c r="K26" s="255">
        <f t="shared" ca="1" si="4"/>
        <v>0.29752766628819127</v>
      </c>
      <c r="L26" s="239"/>
      <c r="M26" s="255">
        <f t="shared" ca="1" si="0"/>
        <v>0.26356261627764099</v>
      </c>
      <c r="N26" s="238"/>
      <c r="O26" s="236">
        <f t="shared" ca="1" si="1"/>
        <v>0.2204307612323485</v>
      </c>
      <c r="P26" s="148"/>
      <c r="Q26" s="240">
        <f t="shared" ca="1" si="5"/>
        <v>47</v>
      </c>
      <c r="R26" s="185"/>
      <c r="S26" s="252">
        <f>Intro!G35</f>
        <v>6</v>
      </c>
      <c r="T26" s="266">
        <f t="shared" si="2"/>
        <v>0.8858423808639998</v>
      </c>
    </row>
    <row r="27" spans="1:20" x14ac:dyDescent="0.2">
      <c r="A27" s="151">
        <f>Intro!C36</f>
        <v>2014</v>
      </c>
      <c r="B27" s="148"/>
      <c r="C27" s="247">
        <f>'e7'!S34</f>
        <v>43</v>
      </c>
      <c r="D27" s="148"/>
      <c r="E27" s="236">
        <f ca="1">[1]!ldfsir(ldfs, ldf_ages, ldf_type, ldf_ret, Intro!$AA36, "Rept LT", 1, cutoff, 3)</f>
        <v>1</v>
      </c>
      <c r="F27" s="148"/>
      <c r="G27" s="247">
        <f t="shared" ca="1" si="3"/>
        <v>43</v>
      </c>
      <c r="H27" s="148"/>
      <c r="I27" s="709">
        <f>Intro!K36</f>
        <v>182546.24444841431</v>
      </c>
      <c r="J27" s="235"/>
      <c r="K27" s="255">
        <f t="shared" ca="1" si="4"/>
        <v>0.23555674963311207</v>
      </c>
      <c r="L27" s="239"/>
      <c r="M27" s="255">
        <f t="shared" ca="1" si="0"/>
        <v>0.21292464481998072</v>
      </c>
      <c r="N27" s="238"/>
      <c r="O27" s="236">
        <f t="shared" ca="1" si="1"/>
        <v>0.21602214600770153</v>
      </c>
      <c r="P27" s="148"/>
      <c r="Q27" s="240">
        <f t="shared" ca="1" si="5"/>
        <v>43</v>
      </c>
      <c r="R27" s="185"/>
      <c r="S27" s="252">
        <f>Intro!G36</f>
        <v>5</v>
      </c>
      <c r="T27" s="266">
        <f t="shared" si="2"/>
        <v>0.90392079679999982</v>
      </c>
    </row>
    <row r="28" spans="1:20" x14ac:dyDescent="0.2">
      <c r="A28" s="151">
        <f>Intro!C37</f>
        <v>2015</v>
      </c>
      <c r="B28" s="148"/>
      <c r="C28" s="247">
        <f>'e7'!S35</f>
        <v>38</v>
      </c>
      <c r="D28" s="148"/>
      <c r="E28" s="236">
        <f ca="1">[1]!ldfsir(ldfs, ldf_ages, ldf_type, ldf_ret, Intro!$AA37, "Rept LT", 1, cutoff, 3)</f>
        <v>1</v>
      </c>
      <c r="F28" s="148"/>
      <c r="G28" s="247">
        <f t="shared" ca="1" si="3"/>
        <v>38</v>
      </c>
      <c r="H28" s="148"/>
      <c r="I28" s="709">
        <f>Intro!K37</f>
        <v>196912.10476000005</v>
      </c>
      <c r="J28" s="235"/>
      <c r="K28" s="255">
        <f t="shared" ca="1" si="4"/>
        <v>0.19297950243493192</v>
      </c>
      <c r="L28" s="239"/>
      <c r="M28" s="255">
        <f t="shared" ca="1" si="0"/>
        <v>0.17799814857862364</v>
      </c>
      <c r="N28" s="238"/>
      <c r="O28" s="236">
        <f t="shared" ca="1" si="1"/>
        <v>0.21170170308754749</v>
      </c>
      <c r="P28" s="148"/>
      <c r="Q28" s="240">
        <f t="shared" ca="1" si="5"/>
        <v>38</v>
      </c>
      <c r="R28" s="185"/>
      <c r="S28" s="252">
        <f>Intro!G37</f>
        <v>4</v>
      </c>
      <c r="T28" s="266">
        <f t="shared" si="2"/>
        <v>0.92236815999999988</v>
      </c>
    </row>
    <row r="29" spans="1:20" x14ac:dyDescent="0.2">
      <c r="A29" s="151">
        <f>Intro!C38</f>
        <v>2016</v>
      </c>
      <c r="B29" s="148"/>
      <c r="C29" s="247">
        <f>'e7'!S36</f>
        <v>35</v>
      </c>
      <c r="D29" s="148"/>
      <c r="E29" s="236">
        <f ca="1">[1]!ldfsir(ldfs, ldf_ages, ldf_type, ldf_ret, Intro!$AA38, "Rept LT", 1, cutoff, 3)</f>
        <v>1.0020772746157043</v>
      </c>
      <c r="F29" s="148"/>
      <c r="G29" s="247">
        <f t="shared" ca="1" si="3"/>
        <v>35.072704611549653</v>
      </c>
      <c r="H29" s="148"/>
      <c r="I29" s="709">
        <f>Intro!K38</f>
        <v>221894.58274919298</v>
      </c>
      <c r="J29" s="235"/>
      <c r="K29" s="255">
        <f t="shared" ca="1" si="4"/>
        <v>0.15806021119133071</v>
      </c>
      <c r="L29" s="239"/>
      <c r="M29" s="255">
        <f t="shared" ca="1" si="0"/>
        <v>0.14876500629159092</v>
      </c>
      <c r="N29" s="238"/>
      <c r="O29" s="236">
        <f t="shared" ca="1" si="1"/>
        <v>0.20746766902579653</v>
      </c>
      <c r="P29" s="148"/>
      <c r="Q29" s="240">
        <f t="shared" ca="1" si="5"/>
        <v>35.095431077637706</v>
      </c>
      <c r="R29" s="185"/>
      <c r="S29" s="252">
        <f>Intro!G38</f>
        <v>3</v>
      </c>
      <c r="T29" s="266">
        <f t="shared" si="2"/>
        <v>0.94119199999999992</v>
      </c>
    </row>
    <row r="30" spans="1:20" x14ac:dyDescent="0.2">
      <c r="A30" s="151">
        <f>Intro!C39</f>
        <v>2017</v>
      </c>
      <c r="B30" s="148"/>
      <c r="C30" s="247">
        <f>'e7'!S37</f>
        <v>46</v>
      </c>
      <c r="D30" s="148"/>
      <c r="E30" s="236">
        <f ca="1">[1]!ldfsir(ldfs, ldf_ages, ldf_type, ldf_ret, Intro!$AA39, "Rept LT", 1, cutoff, 3)</f>
        <v>1.0079085915292225</v>
      </c>
      <c r="F30" s="148"/>
      <c r="G30" s="247">
        <f t="shared" ca="1" si="3"/>
        <v>46.363795210344236</v>
      </c>
      <c r="H30" s="148"/>
      <c r="I30" s="709">
        <f>Intro!K39</f>
        <v>307509.66981400014</v>
      </c>
      <c r="J30" s="235"/>
      <c r="K30" s="255">
        <f t="shared" ca="1" si="4"/>
        <v>0.15077182853595394</v>
      </c>
      <c r="L30" s="239"/>
      <c r="M30" s="255">
        <f t="shared" ca="1" si="0"/>
        <v>0.14480126412593017</v>
      </c>
      <c r="N30" s="238"/>
      <c r="O30" s="236">
        <f t="shared" ca="1" si="1"/>
        <v>0.20331831564528058</v>
      </c>
      <c r="P30" s="148"/>
      <c r="Q30" s="240">
        <f t="shared" ca="1" si="5"/>
        <v>46.490583885101401</v>
      </c>
      <c r="R30" s="185"/>
      <c r="S30" s="252">
        <f>Intro!G39</f>
        <v>2</v>
      </c>
      <c r="T30" s="266">
        <f t="shared" si="2"/>
        <v>0.96039999999999992</v>
      </c>
    </row>
    <row r="31" spans="1:20" x14ac:dyDescent="0.2">
      <c r="A31" s="151">
        <f>Intro!C40</f>
        <v>2018</v>
      </c>
      <c r="B31" s="148"/>
      <c r="C31" s="247">
        <f>'e7'!S38</f>
        <v>125</v>
      </c>
      <c r="D31" s="148"/>
      <c r="E31" s="236">
        <f ca="1">[1]!ldfsir(ldfs, ldf_ages, ldf_type, ldf_ret, Intro!$AA40, "Rept LT", 1, cutoff, 3)</f>
        <v>1.0305574356990912</v>
      </c>
      <c r="F31" s="148"/>
      <c r="G31" s="247">
        <f t="shared" ca="1" si="3"/>
        <v>128.8196794623864</v>
      </c>
      <c r="H31" s="148"/>
      <c r="I31" s="709">
        <f>Intro!K40</f>
        <v>536896.27333</v>
      </c>
      <c r="J31" s="235"/>
      <c r="K31" s="255">
        <f t="shared" ca="1" si="4"/>
        <v>0.23993401679509921</v>
      </c>
      <c r="L31" s="239"/>
      <c r="M31" s="255">
        <f t="shared" ca="1" si="0"/>
        <v>0.23513533645919721</v>
      </c>
      <c r="N31" s="238"/>
      <c r="O31" s="236">
        <f t="shared" ca="1" si="1"/>
        <v>0.19925194933237497</v>
      </c>
      <c r="P31" s="148"/>
      <c r="Q31" s="240">
        <f ca="1">C31+(I31*O31*(1-1/E31)/1000)</f>
        <v>128.17203283165671</v>
      </c>
      <c r="R31" s="185"/>
      <c r="S31" s="252">
        <f>Intro!G40</f>
        <v>1</v>
      </c>
      <c r="T31" s="266">
        <f>(1+ltfreq_trnd)^S31</f>
        <v>0.98</v>
      </c>
    </row>
    <row r="32" spans="1:20" x14ac:dyDescent="0.2">
      <c r="A32" s="151">
        <f>Intro!C41</f>
        <v>2019</v>
      </c>
      <c r="B32" s="148"/>
      <c r="C32" s="248">
        <f>'e7'!S39</f>
        <v>46</v>
      </c>
      <c r="D32" s="148"/>
      <c r="E32" s="236">
        <f ca="1">[1]!ldfsir(ldfs, ldf_ages, ldf_type, ldf_ret, Intro!$AA41, "Rept LT", 1, cutoff, 3)</f>
        <v>1.8611883679622341</v>
      </c>
      <c r="F32" s="148"/>
      <c r="G32" s="247">
        <f t="shared" ca="1" si="3"/>
        <v>85.614664926262762</v>
      </c>
      <c r="H32" s="148"/>
      <c r="I32" s="710">
        <f>Intro!K41</f>
        <v>543133.22666000458</v>
      </c>
      <c r="J32" s="235"/>
      <c r="K32" s="255">
        <f t="shared" ca="1" si="4"/>
        <v>0.15763105758185661</v>
      </c>
      <c r="L32" s="239"/>
      <c r="M32" s="255">
        <f t="shared" ca="1" si="0"/>
        <v>0.15763105758185661</v>
      </c>
      <c r="N32" s="238"/>
      <c r="O32" s="236">
        <f t="shared" ca="1" si="1"/>
        <v>0.19526691034572746</v>
      </c>
      <c r="P32" s="148"/>
      <c r="Q32" s="240">
        <f ca="1">C32+(I32*O32*(1-1/E32)/1000)</f>
        <v>95.073027506115878</v>
      </c>
      <c r="R32" s="185"/>
      <c r="S32" s="252">
        <f>Intro!G41</f>
        <v>0</v>
      </c>
      <c r="T32" s="266">
        <f>(1+ltfreq_trnd)^S32</f>
        <v>1</v>
      </c>
    </row>
    <row r="33" spans="1:23" x14ac:dyDescent="0.2">
      <c r="A33" s="151"/>
      <c r="B33" s="148"/>
      <c r="C33" s="234"/>
      <c r="D33" s="148"/>
      <c r="E33" s="148"/>
      <c r="F33" s="148"/>
      <c r="G33" s="234"/>
      <c r="H33" s="148"/>
      <c r="I33" s="242"/>
      <c r="J33" s="148"/>
      <c r="K33" s="148"/>
      <c r="L33" s="148"/>
      <c r="M33" s="148"/>
      <c r="N33" s="148"/>
      <c r="O33" s="148"/>
      <c r="P33" s="148"/>
      <c r="Q33" s="234"/>
      <c r="R33" s="148"/>
    </row>
    <row r="34" spans="1:23" x14ac:dyDescent="0.2">
      <c r="A34" s="151" t="s">
        <v>78</v>
      </c>
      <c r="B34" s="148"/>
      <c r="C34" s="235">
        <f>SUM(C16:C32)</f>
        <v>692</v>
      </c>
      <c r="D34" s="148"/>
      <c r="E34" s="148"/>
      <c r="F34" s="148"/>
      <c r="G34" s="235">
        <f ca="1">SUM(G16:G32)</f>
        <v>735.87084421054305</v>
      </c>
      <c r="H34" s="148"/>
      <c r="I34" s="249">
        <f>SUM(I16:I32)</f>
        <v>3302288.1076116124</v>
      </c>
      <c r="J34" s="148"/>
      <c r="K34" s="235"/>
      <c r="L34" s="148"/>
      <c r="M34" s="148"/>
      <c r="N34" s="148"/>
      <c r="O34" s="148"/>
      <c r="P34" s="148"/>
      <c r="Q34" s="235">
        <f ca="1">SUM(Q16:Q32)</f>
        <v>744.83107530051166</v>
      </c>
      <c r="R34" s="148"/>
    </row>
    <row r="35" spans="1:23" x14ac:dyDescent="0.2">
      <c r="A35" s="230"/>
      <c r="B35" s="148"/>
      <c r="C35" s="235"/>
      <c r="D35" s="148"/>
      <c r="E35" s="148"/>
      <c r="F35" s="148"/>
      <c r="G35" s="235"/>
      <c r="H35" s="148"/>
      <c r="I35" s="241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1:23" x14ac:dyDescent="0.2">
      <c r="A36" s="230"/>
      <c r="B36" s="148"/>
      <c r="C36" s="235"/>
      <c r="D36" s="148"/>
      <c r="E36" s="148"/>
      <c r="F36" s="148"/>
      <c r="G36" s="235"/>
      <c r="H36" s="148"/>
      <c r="I36" s="241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1:23" x14ac:dyDescent="0.2">
      <c r="A37" s="245" t="str">
        <f>"AVERAGES AT THE "&amp;cpy_l&amp;" LEVEL:"</f>
        <v>AVERAGES AT THE 2018/19 LEVEL:</v>
      </c>
      <c r="B37" s="148"/>
      <c r="C37" s="148"/>
      <c r="D37" s="148"/>
      <c r="E37" s="148"/>
      <c r="F37" s="148"/>
      <c r="G37" s="148"/>
      <c r="H37" s="148"/>
      <c r="I37" s="227"/>
      <c r="J37" s="148"/>
      <c r="K37" s="148"/>
      <c r="L37" s="148"/>
      <c r="M37" s="148"/>
      <c r="N37" s="148"/>
      <c r="O37" s="148"/>
      <c r="P37" s="148"/>
      <c r="Q37" s="148"/>
      <c r="R37" s="148"/>
      <c r="S37" s="244" t="s">
        <v>21</v>
      </c>
      <c r="T37" s="244" t="s">
        <v>22</v>
      </c>
    </row>
    <row r="38" spans="1:23" x14ac:dyDescent="0.2">
      <c r="A38" s="148" t="str">
        <f>"Policy Periods "&amp;W38&amp;" - Straight Average:"</f>
        <v>Policy Periods 2010 through 2018 - Straight Average:</v>
      </c>
      <c r="B38" s="148"/>
      <c r="C38" s="148"/>
      <c r="D38" s="148"/>
      <c r="E38" s="148"/>
      <c r="F38" s="148"/>
      <c r="G38" s="148"/>
      <c r="H38" s="148"/>
      <c r="I38" s="227"/>
      <c r="J38" s="148"/>
      <c r="K38" s="148"/>
      <c r="L38" s="148"/>
      <c r="M38" s="269">
        <f ca="1">AVERAGE(INDIRECT(U38))</f>
        <v>0.19836064853164073</v>
      </c>
      <c r="N38" s="148"/>
      <c r="O38" s="148"/>
      <c r="P38" s="148"/>
      <c r="Q38" s="148"/>
      <c r="R38" s="148"/>
      <c r="S38" s="267">
        <v>2010</v>
      </c>
      <c r="T38" s="267">
        <v>2018</v>
      </c>
      <c r="U38" s="264" t="str">
        <f ca="1">"M"&amp;ROW(OFFSET($A$33, (INDEX($S$16:$S$32, MATCH(S38, $A$16:$A$32, 0))+1)*-1, 0))&amp;":M"&amp;ROW(OFFSET($A$33, (INDEX($S$16:$S$32, MATCH(T38, $A$16:$A$32, 0))+1)*-1, 0))</f>
        <v>M23:M31</v>
      </c>
      <c r="V38" s="268" t="str">
        <f ca="1">SUBSTITUTE(U38, "M", "I")</f>
        <v>I23:I31</v>
      </c>
      <c r="W38" s="222" t="str">
        <f>S38&amp;" through "&amp;T38</f>
        <v>2010 through 2018</v>
      </c>
    </row>
    <row r="39" spans="1:23" x14ac:dyDescent="0.2">
      <c r="A39" s="148" t="str">
        <f>"Policy Periods "&amp;W39&amp;" - Straight Average Excluding Extremes:"</f>
        <v>Policy Periods 2010 through 2018 - Straight Average Excluding Extremes:</v>
      </c>
      <c r="B39" s="148"/>
      <c r="C39" s="148"/>
      <c r="D39" s="148"/>
      <c r="E39" s="148"/>
      <c r="F39" s="148"/>
      <c r="G39" s="148"/>
      <c r="H39" s="148"/>
      <c r="I39" s="227"/>
      <c r="J39" s="148"/>
      <c r="K39" s="148"/>
      <c r="L39" s="148"/>
      <c r="M39" s="269">
        <f ca="1">(SUM(INDIRECT(U39))-MIN(INDIRECT(U39))-MAX(INDIRECT(U39)))/(COUNT(INDIRECT(U39))-2)</f>
        <v>0.19669742234017076</v>
      </c>
      <c r="N39" s="148"/>
      <c r="O39" s="243"/>
      <c r="P39" s="148"/>
      <c r="Q39" s="148"/>
      <c r="R39" s="148"/>
      <c r="S39" s="267">
        <v>2010</v>
      </c>
      <c r="T39" s="267">
        <v>2018</v>
      </c>
      <c r="U39" s="264" t="str">
        <f ca="1">"M"&amp;ROW(OFFSET($A$33, (INDEX($S$16:$S$32, MATCH(S39, $A$16:$A$32, 0))+1)*-1, 0))&amp;":M"&amp;ROW(OFFSET($A$33, (INDEX($S$16:$S$32, MATCH(T39, $A$16:$A$32, 0))+1)*-1, 0))</f>
        <v>M23:M31</v>
      </c>
      <c r="V39" s="268" t="str">
        <f ca="1">SUBSTITUTE(U39, "M", "I")</f>
        <v>I23:I31</v>
      </c>
      <c r="W39" s="222" t="str">
        <f>S39&amp;" through "&amp;T39</f>
        <v>2010 through 2018</v>
      </c>
    </row>
    <row r="40" spans="1:23" x14ac:dyDescent="0.2">
      <c r="A40" s="148" t="str">
        <f>"Policy Periods "&amp;W40&amp;" - Weighted Average:"</f>
        <v>Policy Periods 2010 through 2018 - Weighted Average:</v>
      </c>
      <c r="B40" s="148"/>
      <c r="C40" s="148"/>
      <c r="D40" s="148"/>
      <c r="E40" s="148"/>
      <c r="F40" s="148"/>
      <c r="G40" s="148"/>
      <c r="H40" s="148"/>
      <c r="I40" s="227"/>
      <c r="J40" s="148"/>
      <c r="K40" s="148"/>
      <c r="L40" s="148"/>
      <c r="M40" s="269">
        <f ca="1">SUMPRODUCT(INDIRECT(U40),INDIRECT(V40))/SUM(INDIRECT(V40))</f>
        <v>0.19929443457789547</v>
      </c>
      <c r="N40" s="148"/>
      <c r="O40" s="243"/>
      <c r="P40" s="148"/>
      <c r="Q40" s="148"/>
      <c r="R40" s="148"/>
      <c r="S40" s="267">
        <v>2010</v>
      </c>
      <c r="T40" s="267">
        <v>2018</v>
      </c>
      <c r="U40" s="264" t="str">
        <f ca="1">"M"&amp;ROW(OFFSET($A$33, (INDEX($S$16:$S$32, MATCH(S40, $A$16:$A$32, 0))+1)*-1, 0))&amp;":M"&amp;ROW(OFFSET($A$33, (INDEX($S$16:$S$32, MATCH(T40, $A$16:$A$32, 0))+1)*-1, 0))</f>
        <v>M23:M31</v>
      </c>
      <c r="V40" s="268" t="str">
        <f ca="1">SUBSTITUTE(U40, "M", "I")</f>
        <v>I23:I31</v>
      </c>
      <c r="W40" s="222" t="str">
        <f>S40&amp;" through "&amp;T40</f>
        <v>2010 through 2018</v>
      </c>
    </row>
    <row r="41" spans="1:23" x14ac:dyDescent="0.2">
      <c r="A41" s="148" t="str">
        <f>"Policy Periods "&amp;W41&amp;" - Weighted Average:"</f>
        <v>Policy Periods 2012 through 2018 - Weighted Average:</v>
      </c>
      <c r="B41" s="148"/>
      <c r="C41" s="148"/>
      <c r="D41" s="148"/>
      <c r="E41" s="148"/>
      <c r="F41" s="148"/>
      <c r="G41" s="148"/>
      <c r="H41" s="148"/>
      <c r="I41" s="227"/>
      <c r="J41" s="148"/>
      <c r="K41" s="148"/>
      <c r="L41" s="148"/>
      <c r="M41" s="269">
        <f ca="1">SUMPRODUCT(INDIRECT(U41),INDIRECT(V41))/SUM(INDIRECT(V41))</f>
        <v>0.19942332337531762</v>
      </c>
      <c r="N41" s="148"/>
      <c r="O41" s="243"/>
      <c r="P41" s="148"/>
      <c r="Q41" s="148"/>
      <c r="R41" s="148"/>
      <c r="S41" s="267">
        <v>2012</v>
      </c>
      <c r="T41" s="267">
        <v>2018</v>
      </c>
      <c r="U41" s="264" t="str">
        <f ca="1">"M"&amp;ROW(OFFSET($A$33, (INDEX($S$16:$S$32, MATCH(S41, $A$16:$A$32, 0))+1)*-1, 0))&amp;":M"&amp;ROW(OFFSET($A$33, (INDEX($S$16:$S$32, MATCH(T41, $A$16:$A$32, 0))+1)*-1, 0))</f>
        <v>M25:M31</v>
      </c>
      <c r="V41" s="268" t="str">
        <f ca="1">SUBSTITUTE(U41, "M", "I")</f>
        <v>I25:I31</v>
      </c>
      <c r="W41" s="222" t="str">
        <f>S41&amp;" through "&amp;T41</f>
        <v>2012 through 2018</v>
      </c>
    </row>
    <row r="42" spans="1:23" x14ac:dyDescent="0.2">
      <c r="A42" s="148" t="str">
        <f>"Policy Periods "&amp;W42&amp;" - Weighted Average:"</f>
        <v>Policy Periods 2016 through 2018 - Weighted Average:</v>
      </c>
      <c r="B42" s="148"/>
      <c r="C42" s="148"/>
      <c r="D42" s="148"/>
      <c r="E42" s="148"/>
      <c r="F42" s="148"/>
      <c r="G42" s="148"/>
      <c r="H42" s="148"/>
      <c r="I42" s="227"/>
      <c r="J42" s="148"/>
      <c r="K42" s="148"/>
      <c r="L42" s="148"/>
      <c r="M42" s="269">
        <f ca="1">SUMPRODUCT(INDIRECT(U42),INDIRECT(V42))/SUM(INDIRECT(V42))</f>
        <v>0.1911104973161373</v>
      </c>
      <c r="N42" s="148"/>
      <c r="O42" s="243"/>
      <c r="P42" s="148"/>
      <c r="Q42" s="148"/>
      <c r="R42" s="148"/>
      <c r="S42" s="267">
        <v>2016</v>
      </c>
      <c r="T42" s="267">
        <v>2018</v>
      </c>
      <c r="U42" s="264" t="str">
        <f ca="1">"M"&amp;ROW(OFFSET($A$33, (INDEX($S$16:$S$32, MATCH(S42, $A$16:$A$32, 0))+1)*-1, 0))&amp;":M"&amp;ROW(OFFSET($A$33, (INDEX($S$16:$S$32, MATCH(T42, $A$16:$A$32, 0))+1)*-1, 0))</f>
        <v>M29:M31</v>
      </c>
      <c r="V42" s="268" t="str">
        <f ca="1">SUBSTITUTE(U42, "M", "I")</f>
        <v>I29:I31</v>
      </c>
      <c r="W42" s="222" t="str">
        <f>S42&amp;" through "&amp;T42</f>
        <v>2016 through 2018</v>
      </c>
    </row>
    <row r="43" spans="1:23" x14ac:dyDescent="0.2">
      <c r="N43" s="148"/>
      <c r="O43" s="148"/>
      <c r="P43" s="148"/>
      <c r="Q43" s="148"/>
      <c r="R43" s="148"/>
    </row>
    <row r="44" spans="1:23" x14ac:dyDescent="0.2">
      <c r="A44" s="148" t="str">
        <f>"Selected Policy Period "&amp;cpy_l&amp;" Lost-Time Frequency:"</f>
        <v>Selected Policy Period 2018/19 Lost-Time Frequency:</v>
      </c>
      <c r="B44" s="148"/>
      <c r="C44" s="148"/>
      <c r="D44" s="148"/>
      <c r="E44" s="148"/>
      <c r="F44" s="148"/>
      <c r="G44" s="148"/>
      <c r="H44" s="148"/>
      <c r="I44" s="227"/>
      <c r="J44" s="148"/>
      <c r="K44" s="148"/>
      <c r="L44" s="148"/>
      <c r="M44" s="270">
        <f ca="1">0.5*M41+0.5*M42</f>
        <v>0.19526691034572746</v>
      </c>
      <c r="N44" s="148"/>
      <c r="O44" s="148"/>
      <c r="P44" s="148"/>
      <c r="Q44" s="148"/>
      <c r="R44" s="148"/>
      <c r="S44" s="272">
        <v>0.18601661631406741</v>
      </c>
      <c r="T44" s="263" t="s">
        <v>354</v>
      </c>
    </row>
    <row r="45" spans="1:23" x14ac:dyDescent="0.2">
      <c r="A45" s="148"/>
      <c r="B45" s="148"/>
      <c r="C45" s="148"/>
      <c r="D45" s="148"/>
      <c r="E45" s="148"/>
      <c r="F45" s="148"/>
      <c r="G45" s="148"/>
      <c r="H45" s="148"/>
      <c r="I45" s="227"/>
      <c r="J45" s="148"/>
      <c r="K45" s="148"/>
      <c r="L45" s="148"/>
      <c r="M45" s="148"/>
      <c r="N45" s="148"/>
      <c r="O45" s="148"/>
      <c r="P45" s="148"/>
      <c r="Q45" s="148"/>
      <c r="R45" s="148"/>
      <c r="S45" s="273">
        <f>S44*(1+Trend!$E$43*trend_prior)</f>
        <v>0.18601661631406741</v>
      </c>
      <c r="T45" s="263" t="s">
        <v>355</v>
      </c>
    </row>
    <row r="46" spans="1:23" x14ac:dyDescent="0.2">
      <c r="R46" s="148"/>
      <c r="S46" s="652">
        <f ca="1">M44/S45-1</f>
        <v>4.9728321130420028E-2</v>
      </c>
      <c r="T46" s="263" t="s">
        <v>356</v>
      </c>
    </row>
    <row r="47" spans="1:23" x14ac:dyDescent="0.2">
      <c r="A47" s="162" t="s">
        <v>83</v>
      </c>
      <c r="B47" s="148"/>
      <c r="C47" s="148"/>
      <c r="D47" s="148"/>
      <c r="E47" s="148"/>
      <c r="F47" s="148"/>
      <c r="G47" s="148"/>
      <c r="H47" s="148"/>
      <c r="I47" s="227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1:23" x14ac:dyDescent="0.2">
      <c r="A48" s="163" t="s">
        <v>340</v>
      </c>
      <c r="B48" s="148"/>
      <c r="C48" s="148"/>
      <c r="D48" s="148"/>
      <c r="E48" s="148"/>
      <c r="F48" s="148"/>
      <c r="G48" s="148"/>
      <c r="H48" s="148"/>
      <c r="I48" s="227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1:18" x14ac:dyDescent="0.2">
      <c r="A49" s="163" t="s">
        <v>358</v>
      </c>
      <c r="B49" s="148"/>
      <c r="C49" s="148"/>
      <c r="D49" s="148"/>
      <c r="E49" s="148"/>
      <c r="F49" s="148"/>
      <c r="G49" s="148"/>
      <c r="H49" s="148"/>
      <c r="I49" s="227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18" x14ac:dyDescent="0.2">
      <c r="A50" s="163" t="s">
        <v>341</v>
      </c>
      <c r="B50" s="148"/>
      <c r="C50" s="148"/>
      <c r="D50" s="148"/>
      <c r="E50" s="148"/>
      <c r="F50" s="148"/>
      <c r="G50" s="148"/>
      <c r="H50" s="148"/>
      <c r="I50" s="227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18" x14ac:dyDescent="0.2">
      <c r="A51" s="163" t="s">
        <v>357</v>
      </c>
      <c r="B51" s="148"/>
      <c r="C51" s="148"/>
      <c r="D51" s="148"/>
      <c r="E51" s="148"/>
      <c r="F51" s="148"/>
      <c r="G51" s="148"/>
      <c r="H51" s="148"/>
      <c r="I51" s="227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18" x14ac:dyDescent="0.2">
      <c r="A52" s="163" t="str">
        <f>"Column (6) equals (5) x Trend. The selected frequency trend used is "&amp;TEXT(ltfreq_trnd, "0.00%")&amp;"."</f>
        <v>Column (6) equals (5) x Trend. The selected frequency trend used is -2.00%.</v>
      </c>
      <c r="B52" s="148"/>
      <c r="C52" s="148"/>
      <c r="D52" s="148"/>
      <c r="E52" s="148"/>
      <c r="F52" s="148"/>
      <c r="G52" s="148"/>
      <c r="H52" s="148"/>
      <c r="I52" s="227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1:18" x14ac:dyDescent="0.2">
      <c r="A53" s="163" t="str">
        <f>"Column (7) for all policy periods is the selected policy period "&amp;cpy_l&amp;" frequency, detrended at an annual rate of "&amp;TEXT(ltfreq_trnd, "0.00%")&amp;"."</f>
        <v>Column (7) for all policy periods is the selected policy period 2018/19 frequency, detrended at an annual rate of -2.00%.</v>
      </c>
      <c r="B53" s="148"/>
      <c r="C53" s="148"/>
      <c r="D53" s="148"/>
      <c r="E53" s="148"/>
      <c r="F53" s="148"/>
      <c r="G53" s="148"/>
      <c r="H53" s="148"/>
      <c r="I53" s="227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18" x14ac:dyDescent="0.2">
      <c r="A54" s="216" t="s">
        <v>342</v>
      </c>
      <c r="B54" s="148"/>
      <c r="C54" s="148"/>
      <c r="D54" s="148"/>
      <c r="E54" s="148"/>
      <c r="F54" s="148"/>
      <c r="G54" s="148"/>
      <c r="H54" s="148"/>
      <c r="I54" s="227"/>
      <c r="J54" s="148"/>
      <c r="K54" s="148"/>
      <c r="L54" s="148"/>
      <c r="M54" s="148"/>
      <c r="N54" s="148"/>
      <c r="O54" s="148"/>
      <c r="P54" s="148"/>
      <c r="Q54" s="148"/>
    </row>
  </sheetData>
  <printOptions horizontalCentered="1"/>
  <pageMargins left="0.7" right="0.7" top="0.75" bottom="0.75" header="0.3" footer="0.3"/>
  <pageSetup scale="79" orientation="portrait" blackAndWhite="1" r:id="rId1"/>
  <headerFooter>
    <oddHeader xml:space="preserve">&amp;L&amp;"Arial"&amp;10  
  &amp;R&amp;"Arial"&amp;10  Exhibit 6
Sheet 2
</oddHeader>
    <oddFooter xml:space="preserve">&amp;L&amp;"Arial"&amp;10 Oliver Wyman Actuarial Consulting, Inc.
&amp;C&amp;"Arial"&amp;10 &amp;R&amp;"Arial"&amp;10 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">
    <tabColor rgb="FF00B0F0"/>
    <pageSetUpPr fitToPage="1"/>
  </sheetPr>
  <dimension ref="A1:AH83"/>
  <sheetViews>
    <sheetView zoomScale="85" zoomScaleNormal="85" zoomScaleSheetLayoutView="85" workbookViewId="0"/>
  </sheetViews>
  <sheetFormatPr defaultColWidth="9" defaultRowHeight="12.75" x14ac:dyDescent="0.2"/>
  <cols>
    <col min="1" max="1" width="13.625" style="1" customWidth="1"/>
    <col min="2" max="2" width="2.625" style="1" customWidth="1"/>
    <col min="3" max="3" width="10.625" style="1" customWidth="1"/>
    <col min="4" max="4" width="2.625" style="1" customWidth="1"/>
    <col min="5" max="5" width="10.625" style="1" customWidth="1"/>
    <col min="6" max="6" width="2.625" style="1" customWidth="1"/>
    <col min="7" max="7" width="10.625" style="1" customWidth="1"/>
    <col min="8" max="8" width="2.625" style="1" customWidth="1"/>
    <col min="9" max="9" width="10.625" style="1" customWidth="1"/>
    <col min="10" max="10" width="2.625" style="1" customWidth="1"/>
    <col min="11" max="11" width="10.625" style="1" customWidth="1"/>
    <col min="12" max="12" width="2.625" style="1" customWidth="1"/>
    <col min="13" max="13" width="10.625" style="1" customWidth="1"/>
    <col min="14" max="14" width="2.625" style="1" customWidth="1"/>
    <col min="15" max="15" width="10.625" style="1" customWidth="1"/>
    <col min="16" max="16" width="2.625" style="1" customWidth="1"/>
    <col min="17" max="17" width="10.625" style="1" customWidth="1"/>
    <col min="18" max="18" width="2.625" style="1" customWidth="1"/>
    <col min="19" max="19" width="10.625" style="1" customWidth="1"/>
    <col min="20" max="20" width="2.625" style="1" customWidth="1"/>
    <col min="21" max="21" width="10.625" style="1" customWidth="1"/>
    <col min="22" max="22" width="2.625" style="1" customWidth="1"/>
    <col min="23" max="23" width="10.625" style="1" customWidth="1"/>
    <col min="24" max="24" width="2.625" style="1" customWidth="1"/>
    <col min="25" max="25" width="10.625" style="1" customWidth="1"/>
    <col min="26" max="26" width="2.625" style="1" customWidth="1"/>
    <col min="27" max="28" width="7.625" style="1" customWidth="1"/>
    <col min="29" max="29" width="2.625" style="1" customWidth="1"/>
    <col min="30" max="16384" width="9" style="1"/>
  </cols>
  <sheetData>
    <row r="1" spans="1:34" ht="12.75" customHeight="1" x14ac:dyDescent="0.2">
      <c r="A1" s="1" t="str">
        <f>[1]!getlabels()</f>
        <v>Exhibit 7</v>
      </c>
    </row>
    <row r="2" spans="1:34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34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34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34" customFormat="1" ht="15" customHeight="1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34" ht="12.75" customHeight="1" x14ac:dyDescent="0.2"/>
    <row r="7" spans="1:34" ht="12.75" customHeight="1" x14ac:dyDescent="0.2">
      <c r="A7" s="81" t="str">
        <f>"Summary of Loss Data Valued as of "&amp;ctxt_l</f>
        <v>Summary of Loss Data Valued as of April 30, 2019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34" ht="12.75" customHeight="1" x14ac:dyDescent="0.2">
      <c r="A8" s="644" t="str">
        <f>div</f>
        <v>All Operations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spans="1:34" ht="12.75" customHeight="1" x14ac:dyDescent="0.2">
      <c r="AB9"/>
      <c r="AC9"/>
      <c r="AD9"/>
      <c r="AE9"/>
      <c r="AF9"/>
      <c r="AG9"/>
      <c r="AH9"/>
    </row>
    <row r="10" spans="1:34" ht="12.75" customHeight="1" x14ac:dyDescent="0.2">
      <c r="AB10"/>
      <c r="AC10"/>
      <c r="AD10"/>
      <c r="AE10"/>
      <c r="AF10"/>
      <c r="AG10"/>
      <c r="AH10"/>
    </row>
    <row r="11" spans="1:34" ht="12.75" customHeight="1" x14ac:dyDescent="0.2">
      <c r="E11" s="45" t="s">
        <v>72</v>
      </c>
      <c r="F11" s="45"/>
      <c r="G11" s="45"/>
      <c r="H11" s="45"/>
      <c r="I11" s="45"/>
      <c r="K11" s="45" t="s">
        <v>85</v>
      </c>
      <c r="L11" s="45"/>
      <c r="M11" s="45"/>
      <c r="N11" s="45"/>
      <c r="O11" s="45"/>
      <c r="P11" s="36"/>
      <c r="Q11" s="45" t="s">
        <v>88</v>
      </c>
      <c r="R11" s="45"/>
      <c r="S11" s="45"/>
      <c r="T11" s="36"/>
      <c r="U11" s="45" t="s">
        <v>94</v>
      </c>
      <c r="V11" s="45"/>
      <c r="W11" s="45"/>
      <c r="X11" s="45"/>
      <c r="Y11" s="45"/>
      <c r="Z11" s="97"/>
      <c r="AA11" s="97"/>
      <c r="AB11"/>
      <c r="AC11"/>
      <c r="AD11" s="101" t="s">
        <v>82</v>
      </c>
      <c r="AE11" s="101"/>
      <c r="AF11" s="101"/>
      <c r="AG11" s="101"/>
      <c r="AH11" s="101"/>
    </row>
    <row r="12" spans="1:34" ht="12.75" customHeight="1" x14ac:dyDescent="0.2">
      <c r="A12" s="33" t="str">
        <f>Intro!$M9</f>
        <v>Policy</v>
      </c>
      <c r="G12" s="84" t="s">
        <v>74</v>
      </c>
      <c r="M12" s="84" t="s">
        <v>74</v>
      </c>
      <c r="Q12" s="3"/>
      <c r="R12" s="3"/>
      <c r="S12" s="3"/>
      <c r="T12" s="3"/>
      <c r="V12" s="3"/>
      <c r="W12" s="3"/>
      <c r="X12" s="3"/>
      <c r="Y12" s="3" t="s">
        <v>86</v>
      </c>
      <c r="AB12"/>
      <c r="AC12"/>
      <c r="AE12"/>
      <c r="AF12"/>
      <c r="AG12"/>
      <c r="AH12"/>
    </row>
    <row r="13" spans="1:34" ht="12.75" customHeight="1" x14ac:dyDescent="0.2">
      <c r="A13" s="82" t="str">
        <f>Intro!$M10</f>
        <v>Period</v>
      </c>
      <c r="C13" s="82" t="s">
        <v>15</v>
      </c>
      <c r="E13" s="82" t="s">
        <v>75</v>
      </c>
      <c r="G13" s="82" t="s">
        <v>76</v>
      </c>
      <c r="I13" s="82" t="s">
        <v>71</v>
      </c>
      <c r="K13" s="82" t="s">
        <v>75</v>
      </c>
      <c r="M13" s="82" t="s">
        <v>76</v>
      </c>
      <c r="O13" s="82" t="s">
        <v>71</v>
      </c>
      <c r="Q13" s="82" t="s">
        <v>78</v>
      </c>
      <c r="R13" s="3"/>
      <c r="S13" s="82" t="s">
        <v>84</v>
      </c>
      <c r="T13" s="3"/>
      <c r="U13" s="82" t="s">
        <v>78</v>
      </c>
      <c r="V13" s="3"/>
      <c r="W13" s="82" t="s">
        <v>84</v>
      </c>
      <c r="X13" s="3"/>
      <c r="Y13" s="82" t="s">
        <v>15</v>
      </c>
      <c r="AA13" s="101" t="s">
        <v>89</v>
      </c>
      <c r="AB13" s="101"/>
      <c r="AD13" s="104" t="s">
        <v>90</v>
      </c>
      <c r="AE13" s="104" t="s">
        <v>75</v>
      </c>
      <c r="AF13" s="104" t="s">
        <v>93</v>
      </c>
      <c r="AG13" s="104" t="s">
        <v>91</v>
      </c>
      <c r="AH13" s="104" t="s">
        <v>92</v>
      </c>
    </row>
    <row r="14" spans="1:34" ht="12.75" customHeight="1" x14ac:dyDescent="0.2">
      <c r="C14" s="83">
        <v>-1</v>
      </c>
      <c r="E14" s="83">
        <f>C14-1</f>
        <v>-2</v>
      </c>
      <c r="G14" s="83">
        <f>E14-1</f>
        <v>-3</v>
      </c>
      <c r="I14" s="83">
        <f>G14-1</f>
        <v>-4</v>
      </c>
      <c r="K14" s="83">
        <f>I14-1</f>
        <v>-5</v>
      </c>
      <c r="M14" s="83">
        <f>K14-1</f>
        <v>-6</v>
      </c>
      <c r="O14" s="83">
        <f>M14-1</f>
        <v>-7</v>
      </c>
      <c r="Q14" s="83">
        <f>O14-1</f>
        <v>-8</v>
      </c>
      <c r="S14" s="83">
        <f>Q14-1</f>
        <v>-9</v>
      </c>
      <c r="U14" s="83">
        <f>S14-1</f>
        <v>-10</v>
      </c>
      <c r="W14" s="83">
        <f>U14-1</f>
        <v>-11</v>
      </c>
      <c r="Y14" s="83">
        <f>W14-1</f>
        <v>-12</v>
      </c>
      <c r="AA14"/>
      <c r="AB14"/>
      <c r="AD14"/>
      <c r="AE14"/>
      <c r="AF14"/>
      <c r="AG14"/>
      <c r="AH14"/>
    </row>
    <row r="15" spans="1:34" ht="12.75" customHeight="1" x14ac:dyDescent="0.2">
      <c r="AA15"/>
      <c r="AB15"/>
      <c r="AD15"/>
      <c r="AE15"/>
      <c r="AF15"/>
      <c r="AG15"/>
      <c r="AH15"/>
    </row>
    <row r="16" spans="1:34" ht="12.75" customHeight="1" x14ac:dyDescent="0.2">
      <c r="A16" s="89" t="str">
        <f>Intro!E18</f>
        <v>10/1/95-9/30/96</v>
      </c>
      <c r="B16" s="88" t="s">
        <v>77</v>
      </c>
      <c r="C16" s="86">
        <f>Intro!H18</f>
        <v>250000</v>
      </c>
      <c r="E16" s="91">
        <v>824780.2</v>
      </c>
      <c r="G16" s="98">
        <f t="shared" ref="G16:G39" si="0">I16-E16</f>
        <v>0</v>
      </c>
      <c r="I16" s="91">
        <v>824780.2</v>
      </c>
      <c r="K16" s="86">
        <f t="shared" ref="K16:K22" si="1">C49</f>
        <v>683326</v>
      </c>
      <c r="M16" s="98">
        <f t="shared" ref="M16:M39" si="2">O16-K16</f>
        <v>0</v>
      </c>
      <c r="O16" s="86">
        <f t="shared" ref="O16:O22" si="3">G49</f>
        <v>683326</v>
      </c>
      <c r="Q16" s="87">
        <v>119</v>
      </c>
      <c r="S16" s="473" t="str">
        <f t="shared" ref="S16:S22" si="4">na</f>
        <v xml:space="preserve">n/a </v>
      </c>
      <c r="U16" s="87">
        <v>0</v>
      </c>
      <c r="W16" s="473" t="str">
        <f t="shared" ref="W16:W22" si="5">na</f>
        <v xml:space="preserve">n/a </v>
      </c>
      <c r="Y16" s="87">
        <v>0</v>
      </c>
      <c r="AA16" s="1" t="b">
        <f t="shared" ref="AA16:AA23" si="6">K16=C49</f>
        <v>1</v>
      </c>
      <c r="AB16" s="1" t="b">
        <f t="shared" ref="AB16:AB23" si="7">O16=G49</f>
        <v>1</v>
      </c>
      <c r="AD16" s="85">
        <f>Intro!I18</f>
        <v>1066389</v>
      </c>
      <c r="AE16" s="85">
        <f>MIN($AD16, K16)</f>
        <v>683326</v>
      </c>
      <c r="AF16" s="85">
        <f>MIN($AD16, O16)</f>
        <v>683326</v>
      </c>
      <c r="AG16" s="85">
        <f>E16-AE16</f>
        <v>141454.19999999995</v>
      </c>
      <c r="AH16" s="85">
        <f>I16-AF16</f>
        <v>141454.19999999995</v>
      </c>
    </row>
    <row r="17" spans="1:34" ht="12.75" customHeight="1" x14ac:dyDescent="0.2">
      <c r="A17" s="89" t="str">
        <f>Intro!E19</f>
        <v>10/1/96-9/30/97</v>
      </c>
      <c r="B17" s="88" t="s">
        <v>77</v>
      </c>
      <c r="C17" s="85">
        <f>Intro!H19</f>
        <v>250000</v>
      </c>
      <c r="E17" s="87">
        <v>1506771</v>
      </c>
      <c r="G17" s="92">
        <f t="shared" si="0"/>
        <v>0</v>
      </c>
      <c r="I17" s="87">
        <v>1506771</v>
      </c>
      <c r="K17" s="85">
        <f t="shared" si="1"/>
        <v>1337604</v>
      </c>
      <c r="M17" s="92">
        <f t="shared" si="2"/>
        <v>0</v>
      </c>
      <c r="O17" s="85">
        <f t="shared" si="3"/>
        <v>1337604</v>
      </c>
      <c r="Q17" s="87">
        <v>124</v>
      </c>
      <c r="S17" s="473" t="str">
        <f t="shared" si="4"/>
        <v xml:space="preserve">n/a </v>
      </c>
      <c r="U17" s="87">
        <v>0</v>
      </c>
      <c r="W17" s="473" t="str">
        <f t="shared" si="5"/>
        <v xml:space="preserve">n/a </v>
      </c>
      <c r="Y17" s="87">
        <v>0</v>
      </c>
      <c r="AA17" s="1" t="b">
        <f t="shared" si="6"/>
        <v>1</v>
      </c>
      <c r="AB17" s="1" t="b">
        <f t="shared" si="7"/>
        <v>1</v>
      </c>
      <c r="AD17" s="85">
        <f>Intro!I19</f>
        <v>1660996</v>
      </c>
      <c r="AE17" s="85">
        <f t="shared" ref="AE17:AE22" si="8">MIN($AD17, K17)</f>
        <v>1337604</v>
      </c>
      <c r="AF17" s="85">
        <f t="shared" ref="AF17:AF22" si="9">MIN($AD17, O17)</f>
        <v>1337604</v>
      </c>
      <c r="AG17" s="85">
        <f t="shared" ref="AG17:AG22" si="10">E17-AE17</f>
        <v>169167</v>
      </c>
      <c r="AH17" s="85">
        <f t="shared" ref="AH17:AH22" si="11">I17-AF17</f>
        <v>169167</v>
      </c>
    </row>
    <row r="18" spans="1:34" ht="12.75" customHeight="1" x14ac:dyDescent="0.2">
      <c r="A18" s="89" t="str">
        <f>Intro!E20</f>
        <v>10/1/97-9/30/98</v>
      </c>
      <c r="B18" s="88" t="s">
        <v>77</v>
      </c>
      <c r="C18" s="85">
        <f>Intro!H20</f>
        <v>250000</v>
      </c>
      <c r="E18" s="87">
        <v>2734860.17</v>
      </c>
      <c r="G18" s="92">
        <f t="shared" si="0"/>
        <v>8725.5499999998137</v>
      </c>
      <c r="I18" s="87">
        <v>2743585.7199999997</v>
      </c>
      <c r="K18" s="85">
        <f t="shared" si="1"/>
        <v>2584955.17</v>
      </c>
      <c r="M18" s="92">
        <f t="shared" si="2"/>
        <v>8725.5499999998137</v>
      </c>
      <c r="O18" s="85">
        <f t="shared" si="3"/>
        <v>2593680.7199999997</v>
      </c>
      <c r="Q18" s="87">
        <v>200</v>
      </c>
      <c r="S18" s="473" t="str">
        <f t="shared" si="4"/>
        <v xml:space="preserve">n/a </v>
      </c>
      <c r="U18" s="87">
        <v>1</v>
      </c>
      <c r="W18" s="473" t="str">
        <f t="shared" si="5"/>
        <v xml:space="preserve">n/a </v>
      </c>
      <c r="Y18" s="87">
        <v>0</v>
      </c>
      <c r="AA18" s="1" t="b">
        <f t="shared" si="6"/>
        <v>1</v>
      </c>
      <c r="AB18" s="1" t="b">
        <f t="shared" si="7"/>
        <v>1</v>
      </c>
      <c r="AD18" s="85">
        <f>Intro!I20</f>
        <v>2412000</v>
      </c>
      <c r="AE18" s="85">
        <f t="shared" si="8"/>
        <v>2412000</v>
      </c>
      <c r="AF18" s="85">
        <f t="shared" si="9"/>
        <v>2412000</v>
      </c>
      <c r="AG18" s="85">
        <f t="shared" si="10"/>
        <v>322860.16999999993</v>
      </c>
      <c r="AH18" s="85">
        <f t="shared" si="11"/>
        <v>331585.71999999974</v>
      </c>
    </row>
    <row r="19" spans="1:34" ht="12.75" customHeight="1" x14ac:dyDescent="0.2">
      <c r="A19" s="89" t="str">
        <f>Intro!E21</f>
        <v>10/1/98-9/30/99</v>
      </c>
      <c r="B19" s="88" t="s">
        <v>77</v>
      </c>
      <c r="C19" s="85">
        <f>Intro!H21</f>
        <v>250000</v>
      </c>
      <c r="E19" s="87">
        <v>3784778.14</v>
      </c>
      <c r="G19" s="92">
        <f t="shared" si="0"/>
        <v>273815.13999999966</v>
      </c>
      <c r="I19" s="87">
        <v>4058593.2799999998</v>
      </c>
      <c r="K19" s="85">
        <f t="shared" si="1"/>
        <v>2548851.29</v>
      </c>
      <c r="M19" s="92">
        <f t="shared" si="2"/>
        <v>91530.509999999776</v>
      </c>
      <c r="O19" s="85">
        <f t="shared" si="3"/>
        <v>2640381.7999999998</v>
      </c>
      <c r="Q19" s="87">
        <v>156</v>
      </c>
      <c r="S19" s="473" t="str">
        <f t="shared" si="4"/>
        <v xml:space="preserve">n/a </v>
      </c>
      <c r="U19" s="87">
        <v>2</v>
      </c>
      <c r="W19" s="473" t="str">
        <f t="shared" si="5"/>
        <v xml:space="preserve">n/a </v>
      </c>
      <c r="Y19" s="87">
        <v>1</v>
      </c>
      <c r="AA19" s="1" t="b">
        <f t="shared" si="6"/>
        <v>1</v>
      </c>
      <c r="AB19" s="1" t="b">
        <f t="shared" si="7"/>
        <v>1</v>
      </c>
      <c r="AD19" s="85">
        <f>Intro!I21</f>
        <v>2371069</v>
      </c>
      <c r="AE19" s="85">
        <f t="shared" si="8"/>
        <v>2371069</v>
      </c>
      <c r="AF19" s="85">
        <f t="shared" si="9"/>
        <v>2371069</v>
      </c>
      <c r="AG19" s="85">
        <f t="shared" si="10"/>
        <v>1413709.1400000001</v>
      </c>
      <c r="AH19" s="85">
        <f t="shared" si="11"/>
        <v>1687524.2799999998</v>
      </c>
    </row>
    <row r="20" spans="1:34" ht="12.75" customHeight="1" x14ac:dyDescent="0.2">
      <c r="A20" s="89" t="str">
        <f>Intro!E22</f>
        <v>10/1/99-9/30/00</v>
      </c>
      <c r="B20" s="88" t="s">
        <v>77</v>
      </c>
      <c r="C20" s="85">
        <f>Intro!H22</f>
        <v>250000</v>
      </c>
      <c r="E20" s="87">
        <v>2827413.16</v>
      </c>
      <c r="G20" s="92">
        <f t="shared" si="0"/>
        <v>591272</v>
      </c>
      <c r="I20" s="87">
        <v>3418685.16</v>
      </c>
      <c r="K20" s="85">
        <f t="shared" si="1"/>
        <v>2314287.94</v>
      </c>
      <c r="M20" s="92">
        <f t="shared" si="2"/>
        <v>56197.280000000261</v>
      </c>
      <c r="O20" s="85">
        <f t="shared" si="3"/>
        <v>2370485.2200000002</v>
      </c>
      <c r="Q20" s="87">
        <v>171</v>
      </c>
      <c r="S20" s="473" t="str">
        <f t="shared" si="4"/>
        <v xml:space="preserve">n/a </v>
      </c>
      <c r="U20" s="87">
        <v>4</v>
      </c>
      <c r="W20" s="473" t="str">
        <f t="shared" si="5"/>
        <v xml:space="preserve">n/a </v>
      </c>
      <c r="Y20" s="87">
        <v>2</v>
      </c>
      <c r="AA20" s="1" t="b">
        <f t="shared" si="6"/>
        <v>1</v>
      </c>
      <c r="AB20" s="1" t="b">
        <f t="shared" si="7"/>
        <v>1</v>
      </c>
      <c r="AD20" s="85">
        <f>Intro!I22</f>
        <v>1985102</v>
      </c>
      <c r="AE20" s="85">
        <f t="shared" si="8"/>
        <v>1985102</v>
      </c>
      <c r="AF20" s="85">
        <f t="shared" si="9"/>
        <v>1985102</v>
      </c>
      <c r="AG20" s="85">
        <f t="shared" si="10"/>
        <v>842311.16000000015</v>
      </c>
      <c r="AH20" s="85">
        <f t="shared" si="11"/>
        <v>1433583.1600000001</v>
      </c>
    </row>
    <row r="21" spans="1:34" ht="12.75" customHeight="1" x14ac:dyDescent="0.2">
      <c r="A21" s="89" t="str">
        <f>Intro!E23</f>
        <v>10/1/00-9/30/01</v>
      </c>
      <c r="B21" s="88" t="s">
        <v>77</v>
      </c>
      <c r="C21" s="85">
        <f>Intro!H23</f>
        <v>250000</v>
      </c>
      <c r="E21" s="87">
        <v>1638998.97</v>
      </c>
      <c r="G21" s="92">
        <f t="shared" si="0"/>
        <v>100</v>
      </c>
      <c r="I21" s="87">
        <v>1639098.97</v>
      </c>
      <c r="K21" s="85">
        <f t="shared" si="1"/>
        <v>1349346.97</v>
      </c>
      <c r="M21" s="92">
        <f t="shared" si="2"/>
        <v>100</v>
      </c>
      <c r="O21" s="85">
        <f t="shared" si="3"/>
        <v>1349446.97</v>
      </c>
      <c r="Q21" s="87">
        <v>128</v>
      </c>
      <c r="S21" s="473" t="str">
        <f t="shared" si="4"/>
        <v xml:space="preserve">n/a </v>
      </c>
      <c r="U21" s="87">
        <v>1</v>
      </c>
      <c r="W21" s="473" t="str">
        <f t="shared" si="5"/>
        <v xml:space="preserve">n/a </v>
      </c>
      <c r="Y21" s="87">
        <v>0</v>
      </c>
      <c r="AA21" s="1" t="b">
        <f t="shared" si="6"/>
        <v>1</v>
      </c>
      <c r="AB21" s="1" t="b">
        <f t="shared" si="7"/>
        <v>1</v>
      </c>
      <c r="AD21" s="85">
        <f>Intro!I23</f>
        <v>2121632</v>
      </c>
      <c r="AE21" s="85">
        <f t="shared" si="8"/>
        <v>1349346.97</v>
      </c>
      <c r="AF21" s="85">
        <f t="shared" si="9"/>
        <v>1349446.97</v>
      </c>
      <c r="AG21" s="85">
        <f t="shared" si="10"/>
        <v>289652</v>
      </c>
      <c r="AH21" s="85">
        <f t="shared" si="11"/>
        <v>289652</v>
      </c>
    </row>
    <row r="22" spans="1:34" ht="12.75" customHeight="1" x14ac:dyDescent="0.2">
      <c r="A22" s="89" t="str">
        <f>Intro!E24</f>
        <v>10/1/01-9/30/02</v>
      </c>
      <c r="B22" s="88" t="s">
        <v>77</v>
      </c>
      <c r="C22" s="85">
        <f>Intro!H24</f>
        <v>250000</v>
      </c>
      <c r="E22" s="87">
        <v>3627710.46</v>
      </c>
      <c r="G22" s="92">
        <f t="shared" si="0"/>
        <v>679010.4299999997</v>
      </c>
      <c r="I22" s="87">
        <v>4306720.8899999997</v>
      </c>
      <c r="K22" s="85">
        <f t="shared" si="1"/>
        <v>2761132.9899999998</v>
      </c>
      <c r="M22" s="92">
        <f t="shared" si="2"/>
        <v>193375.66000000015</v>
      </c>
      <c r="O22" s="85">
        <f t="shared" si="3"/>
        <v>2954508.65</v>
      </c>
      <c r="Q22" s="87">
        <v>134</v>
      </c>
      <c r="S22" s="473" t="str">
        <f t="shared" si="4"/>
        <v xml:space="preserve">n/a </v>
      </c>
      <c r="U22" s="87">
        <v>3</v>
      </c>
      <c r="W22" s="473" t="str">
        <f t="shared" si="5"/>
        <v xml:space="preserve">n/a </v>
      </c>
      <c r="Y22" s="87">
        <v>2</v>
      </c>
      <c r="AA22" s="1" t="b">
        <f t="shared" si="6"/>
        <v>1</v>
      </c>
      <c r="AB22" s="1" t="b">
        <f t="shared" si="7"/>
        <v>1</v>
      </c>
      <c r="AD22" s="85">
        <f>Intro!I24</f>
        <v>2896730</v>
      </c>
      <c r="AE22" s="85">
        <f t="shared" si="8"/>
        <v>2761132.9899999998</v>
      </c>
      <c r="AF22" s="85">
        <f t="shared" si="9"/>
        <v>2896730</v>
      </c>
      <c r="AG22" s="85">
        <f t="shared" si="10"/>
        <v>866577.4700000002</v>
      </c>
      <c r="AH22" s="85">
        <f t="shared" si="11"/>
        <v>1409990.8899999997</v>
      </c>
    </row>
    <row r="23" spans="1:34" ht="12.75" customHeight="1" x14ac:dyDescent="0.2">
      <c r="A23" s="3" t="str">
        <f>Intro!E25</f>
        <v>10/1/02-9/30/03</v>
      </c>
      <c r="C23" s="85">
        <f>Intro!H25</f>
        <v>250000</v>
      </c>
      <c r="E23" s="54">
        <v>1499605.6200000003</v>
      </c>
      <c r="G23" s="92">
        <f t="shared" si="0"/>
        <v>0</v>
      </c>
      <c r="I23" s="54">
        <v>1499605.6200000003</v>
      </c>
      <c r="K23" s="54">
        <v>1243025.0200000005</v>
      </c>
      <c r="M23" s="92">
        <f t="shared" si="2"/>
        <v>0</v>
      </c>
      <c r="O23" s="54">
        <v>1243025.0200000005</v>
      </c>
      <c r="Q23" s="54">
        <v>182</v>
      </c>
      <c r="S23" s="90">
        <v>38</v>
      </c>
      <c r="U23" s="54">
        <v>0</v>
      </c>
      <c r="W23" s="54">
        <v>0</v>
      </c>
      <c r="Y23" s="54">
        <v>0</v>
      </c>
      <c r="AA23" s="1" t="b">
        <f t="shared" si="6"/>
        <v>1</v>
      </c>
      <c r="AB23" s="1" t="b">
        <f t="shared" si="7"/>
        <v>1</v>
      </c>
      <c r="AD23" s="105"/>
    </row>
    <row r="24" spans="1:34" ht="12.75" customHeight="1" x14ac:dyDescent="0.2">
      <c r="A24" s="3" t="str">
        <f>Intro!E26</f>
        <v>10/1/03-9/30/04</v>
      </c>
      <c r="C24" s="85">
        <f>Intro!H26</f>
        <v>350000</v>
      </c>
      <c r="E24" s="54">
        <v>2598610.1500000004</v>
      </c>
      <c r="G24" s="92">
        <f t="shared" si="0"/>
        <v>140101.39000000013</v>
      </c>
      <c r="I24" s="54">
        <v>2738711.5400000005</v>
      </c>
      <c r="K24" s="54">
        <v>2359249.2899999996</v>
      </c>
      <c r="M24" s="92">
        <f t="shared" si="2"/>
        <v>25955.969999999739</v>
      </c>
      <c r="O24" s="54">
        <v>2385205.2599999993</v>
      </c>
      <c r="Q24" s="54">
        <v>147</v>
      </c>
      <c r="S24" s="90">
        <v>30</v>
      </c>
      <c r="U24" s="54">
        <v>2</v>
      </c>
      <c r="W24" s="54">
        <v>2</v>
      </c>
      <c r="Y24" s="54">
        <v>1</v>
      </c>
      <c r="AA24" s="1" t="b">
        <f>K24=I57</f>
        <v>1</v>
      </c>
      <c r="AB24" s="1" t="b">
        <f>O24=M57</f>
        <v>1</v>
      </c>
      <c r="AD24" s="105"/>
    </row>
    <row r="25" spans="1:34" ht="12.75" customHeight="1" x14ac:dyDescent="0.2">
      <c r="A25" s="3" t="str">
        <f>Intro!E27</f>
        <v>10/1/04-9/30/05</v>
      </c>
      <c r="C25" s="85">
        <f>Intro!H27</f>
        <v>350000</v>
      </c>
      <c r="E25" s="54">
        <v>699839.89000000025</v>
      </c>
      <c r="G25" s="92">
        <f t="shared" si="0"/>
        <v>0</v>
      </c>
      <c r="I25" s="54">
        <v>699839.89000000025</v>
      </c>
      <c r="K25" s="54">
        <v>699839.89000000025</v>
      </c>
      <c r="M25" s="92">
        <f t="shared" si="2"/>
        <v>0</v>
      </c>
      <c r="O25" s="54">
        <v>699839.89000000025</v>
      </c>
      <c r="Q25" s="54">
        <v>140</v>
      </c>
      <c r="S25" s="90">
        <v>26</v>
      </c>
      <c r="U25" s="54">
        <v>0</v>
      </c>
      <c r="W25" s="54">
        <v>0</v>
      </c>
      <c r="Y25" s="54">
        <v>0</v>
      </c>
      <c r="AA25" s="1" t="b">
        <f>K25=I58</f>
        <v>1</v>
      </c>
      <c r="AB25" s="1" t="b">
        <f>O25=M58</f>
        <v>1</v>
      </c>
      <c r="AD25" s="105"/>
    </row>
    <row r="26" spans="1:34" ht="12.75" customHeight="1" x14ac:dyDescent="0.2">
      <c r="A26" s="3" t="str">
        <f>Intro!E28</f>
        <v>10/1/05-9/30/06</v>
      </c>
      <c r="C26" s="85">
        <f>Intro!H28</f>
        <v>350000</v>
      </c>
      <c r="E26" s="54">
        <v>2316148.9500000007</v>
      </c>
      <c r="G26" s="92">
        <f t="shared" si="0"/>
        <v>0</v>
      </c>
      <c r="I26" s="54">
        <v>2316148.9500000007</v>
      </c>
      <c r="K26" s="54">
        <v>2005481.3700000008</v>
      </c>
      <c r="M26" s="92">
        <f t="shared" si="2"/>
        <v>0</v>
      </c>
      <c r="O26" s="54">
        <v>2005481.3700000008</v>
      </c>
      <c r="Q26" s="54">
        <v>143</v>
      </c>
      <c r="S26" s="90">
        <v>31</v>
      </c>
      <c r="U26" s="54">
        <v>0</v>
      </c>
      <c r="W26" s="54">
        <v>0</v>
      </c>
      <c r="Y26" s="54">
        <v>0</v>
      </c>
      <c r="AA26" s="1" t="b">
        <f>K26=I59</f>
        <v>1</v>
      </c>
      <c r="AB26" s="1" t="b">
        <f>O26=M59</f>
        <v>1</v>
      </c>
      <c r="AD26" s="105"/>
    </row>
    <row r="27" spans="1:34" ht="12.75" customHeight="1" x14ac:dyDescent="0.2">
      <c r="A27" s="3" t="str">
        <f>Intro!E29</f>
        <v>10/1/06-9/30/07</v>
      </c>
      <c r="C27" s="85">
        <f>Intro!H29</f>
        <v>350000</v>
      </c>
      <c r="E27" s="54">
        <v>1099670.4199999997</v>
      </c>
      <c r="G27" s="92">
        <f t="shared" si="0"/>
        <v>0</v>
      </c>
      <c r="I27" s="54">
        <v>1099670.4199999997</v>
      </c>
      <c r="K27" s="54">
        <v>1099670.4199999997</v>
      </c>
      <c r="M27" s="92">
        <f t="shared" si="2"/>
        <v>0</v>
      </c>
      <c r="O27" s="54">
        <v>1099670.4199999997</v>
      </c>
      <c r="Q27" s="54">
        <v>144</v>
      </c>
      <c r="S27" s="90">
        <v>34</v>
      </c>
      <c r="U27" s="54">
        <v>0</v>
      </c>
      <c r="W27" s="54">
        <v>0</v>
      </c>
      <c r="Y27" s="54">
        <v>0</v>
      </c>
      <c r="AA27" s="1" t="b">
        <f>K27=I60</f>
        <v>1</v>
      </c>
      <c r="AB27" s="1" t="b">
        <f>O27=M60</f>
        <v>1</v>
      </c>
      <c r="AD27" s="105"/>
    </row>
    <row r="28" spans="1:34" ht="12.75" customHeight="1" x14ac:dyDescent="0.2">
      <c r="A28" s="3" t="str">
        <f>Intro!E30</f>
        <v>10/1/07-9/30/08</v>
      </c>
      <c r="C28" s="85">
        <f>Intro!H30</f>
        <v>500000</v>
      </c>
      <c r="E28" s="54">
        <v>766269.99000000011</v>
      </c>
      <c r="G28" s="92">
        <f t="shared" si="0"/>
        <v>0</v>
      </c>
      <c r="I28" s="54">
        <v>766269.99000000011</v>
      </c>
      <c r="K28" s="54">
        <v>766269.99000000011</v>
      </c>
      <c r="M28" s="92">
        <f t="shared" si="2"/>
        <v>0</v>
      </c>
      <c r="O28" s="54">
        <v>766269.99000000011</v>
      </c>
      <c r="Q28" s="54">
        <v>117</v>
      </c>
      <c r="S28" s="90">
        <v>24</v>
      </c>
      <c r="U28" s="54">
        <v>0</v>
      </c>
      <c r="W28" s="54">
        <v>0</v>
      </c>
      <c r="Y28" s="54">
        <v>0</v>
      </c>
      <c r="AA28" s="1" t="b">
        <f t="shared" ref="AA28:AA35" si="12">K28=O61</f>
        <v>1</v>
      </c>
      <c r="AB28" s="1" t="b">
        <f t="shared" ref="AB28:AB35" si="13">O28=S61</f>
        <v>1</v>
      </c>
      <c r="AD28" s="105"/>
    </row>
    <row r="29" spans="1:34" ht="12.75" customHeight="1" x14ac:dyDescent="0.2">
      <c r="A29" s="3" t="str">
        <f>Intro!E31</f>
        <v>10/1/08-9/30/09</v>
      </c>
      <c r="C29" s="85">
        <f>Intro!H31</f>
        <v>500000</v>
      </c>
      <c r="E29" s="54">
        <v>1848124.9500000004</v>
      </c>
      <c r="G29" s="92">
        <f t="shared" si="0"/>
        <v>117912.80000000005</v>
      </c>
      <c r="I29" s="54">
        <v>1966037.7500000005</v>
      </c>
      <c r="K29" s="54">
        <v>1764381.6700000004</v>
      </c>
      <c r="M29" s="92">
        <f t="shared" si="2"/>
        <v>117912.80000000005</v>
      </c>
      <c r="O29" s="54">
        <v>1882294.4700000004</v>
      </c>
      <c r="Q29" s="54">
        <v>124</v>
      </c>
      <c r="S29" s="90">
        <v>31</v>
      </c>
      <c r="U29" s="54">
        <v>1</v>
      </c>
      <c r="W29" s="54">
        <v>1</v>
      </c>
      <c r="Y29" s="54">
        <v>0</v>
      </c>
      <c r="AA29" s="1" t="b">
        <f t="shared" si="12"/>
        <v>1</v>
      </c>
      <c r="AB29" s="1" t="b">
        <f t="shared" si="13"/>
        <v>1</v>
      </c>
      <c r="AD29" s="105"/>
    </row>
    <row r="30" spans="1:34" ht="12.75" customHeight="1" x14ac:dyDescent="0.2">
      <c r="A30" s="3" t="str">
        <f>Intro!E32</f>
        <v>10/1/09-9/30/10</v>
      </c>
      <c r="C30" s="85">
        <f>Intro!H32</f>
        <v>500000</v>
      </c>
      <c r="E30" s="54">
        <v>1183179.1900000002</v>
      </c>
      <c r="G30" s="92">
        <f t="shared" si="0"/>
        <v>17136.330000000075</v>
      </c>
      <c r="I30" s="54">
        <v>1200315.5200000003</v>
      </c>
      <c r="K30" s="54">
        <v>1183179.1900000002</v>
      </c>
      <c r="M30" s="92">
        <f t="shared" si="2"/>
        <v>17136.330000000075</v>
      </c>
      <c r="O30" s="54">
        <v>1200315.5200000003</v>
      </c>
      <c r="Q30" s="54">
        <v>138</v>
      </c>
      <c r="S30" s="90">
        <v>34</v>
      </c>
      <c r="U30" s="54">
        <v>1</v>
      </c>
      <c r="W30" s="54">
        <v>1</v>
      </c>
      <c r="Y30" s="54">
        <v>0</v>
      </c>
      <c r="AA30" s="1" t="b">
        <f t="shared" si="12"/>
        <v>1</v>
      </c>
      <c r="AB30" s="1" t="b">
        <f t="shared" si="13"/>
        <v>1</v>
      </c>
      <c r="AD30" s="105"/>
    </row>
    <row r="31" spans="1:34" ht="12.75" customHeight="1" x14ac:dyDescent="0.2">
      <c r="A31" s="3" t="str">
        <f>Intro!E33</f>
        <v>10/1/10-9/30/11</v>
      </c>
      <c r="C31" s="85">
        <f>Intro!H33</f>
        <v>500000</v>
      </c>
      <c r="E31" s="54">
        <v>1212882.8100000003</v>
      </c>
      <c r="G31" s="92">
        <f t="shared" si="0"/>
        <v>0</v>
      </c>
      <c r="I31" s="54">
        <v>1212882.8100000003</v>
      </c>
      <c r="K31" s="54">
        <v>1212882.8100000003</v>
      </c>
      <c r="M31" s="92">
        <f t="shared" si="2"/>
        <v>0</v>
      </c>
      <c r="O31" s="54">
        <v>1212882.8100000003</v>
      </c>
      <c r="Q31" s="54">
        <v>150</v>
      </c>
      <c r="S31" s="90">
        <v>30</v>
      </c>
      <c r="U31" s="54">
        <v>0</v>
      </c>
      <c r="W31" s="54">
        <v>0</v>
      </c>
      <c r="Y31" s="54">
        <v>0</v>
      </c>
      <c r="AA31" s="1" t="b">
        <f t="shared" si="12"/>
        <v>1</v>
      </c>
      <c r="AB31" s="1" t="b">
        <f t="shared" si="13"/>
        <v>1</v>
      </c>
      <c r="AD31" s="105"/>
    </row>
    <row r="32" spans="1:34" ht="12.75" customHeight="1" x14ac:dyDescent="0.2">
      <c r="A32" s="3" t="str">
        <f>Intro!E34</f>
        <v>10/1/11-9/30/12</v>
      </c>
      <c r="C32" s="85">
        <f>Intro!H34</f>
        <v>500000</v>
      </c>
      <c r="E32" s="54">
        <v>1925803.2599999993</v>
      </c>
      <c r="G32" s="92">
        <f t="shared" si="0"/>
        <v>4655.5</v>
      </c>
      <c r="I32" s="54">
        <v>1930458.7599999993</v>
      </c>
      <c r="K32" s="54">
        <v>1925803.2599999993</v>
      </c>
      <c r="M32" s="92">
        <f t="shared" si="2"/>
        <v>4655.5</v>
      </c>
      <c r="O32" s="54">
        <v>1930458.7599999993</v>
      </c>
      <c r="Q32" s="54">
        <v>155</v>
      </c>
      <c r="S32" s="90">
        <v>34</v>
      </c>
      <c r="U32" s="54">
        <v>1</v>
      </c>
      <c r="W32" s="54">
        <v>1</v>
      </c>
      <c r="Y32" s="54">
        <v>0</v>
      </c>
      <c r="AA32" s="1" t="b">
        <f t="shared" si="12"/>
        <v>1</v>
      </c>
      <c r="AB32" s="1" t="b">
        <f t="shared" si="13"/>
        <v>1</v>
      </c>
      <c r="AD32" s="105"/>
    </row>
    <row r="33" spans="1:30" ht="12.75" customHeight="1" x14ac:dyDescent="0.2">
      <c r="A33" s="3" t="str">
        <f>Intro!E35</f>
        <v>10/1/12-9/30/13</v>
      </c>
      <c r="C33" s="85">
        <f>Intro!H35</f>
        <v>500000</v>
      </c>
      <c r="E33" s="54">
        <v>2126161.8399999994</v>
      </c>
      <c r="G33" s="92">
        <f t="shared" si="0"/>
        <v>44680.640000001062</v>
      </c>
      <c r="I33" s="54">
        <v>2170842.4800000004</v>
      </c>
      <c r="K33" s="54">
        <v>2061366.5999999999</v>
      </c>
      <c r="M33" s="92">
        <f t="shared" si="2"/>
        <v>44680.639999999898</v>
      </c>
      <c r="O33" s="54">
        <v>2106047.2399999998</v>
      </c>
      <c r="Q33" s="54">
        <v>211</v>
      </c>
      <c r="S33" s="90">
        <v>47</v>
      </c>
      <c r="U33" s="54">
        <v>2</v>
      </c>
      <c r="W33" s="54">
        <v>2</v>
      </c>
      <c r="Y33" s="54">
        <v>0</v>
      </c>
      <c r="AA33" s="1" t="b">
        <f t="shared" si="12"/>
        <v>1</v>
      </c>
      <c r="AB33" s="1" t="b">
        <f t="shared" si="13"/>
        <v>1</v>
      </c>
      <c r="AD33" s="105"/>
    </row>
    <row r="34" spans="1:30" ht="12.75" customHeight="1" x14ac:dyDescent="0.2">
      <c r="A34" s="3" t="str">
        <f>Intro!E36</f>
        <v>10/1/13-9/30/14</v>
      </c>
      <c r="C34" s="85">
        <f>Intro!H36</f>
        <v>500000</v>
      </c>
      <c r="E34" s="54">
        <v>2342502.8100000005</v>
      </c>
      <c r="G34" s="92">
        <f t="shared" si="0"/>
        <v>0</v>
      </c>
      <c r="I34" s="54">
        <v>2342502.8100000005</v>
      </c>
      <c r="K34" s="54">
        <v>2342502.8100000005</v>
      </c>
      <c r="M34" s="92">
        <f t="shared" si="2"/>
        <v>0</v>
      </c>
      <c r="O34" s="54">
        <v>2342502.8100000005</v>
      </c>
      <c r="Q34" s="54">
        <v>227</v>
      </c>
      <c r="S34" s="90">
        <v>43</v>
      </c>
      <c r="U34" s="54">
        <v>0</v>
      </c>
      <c r="W34" s="54">
        <v>0</v>
      </c>
      <c r="Y34" s="54">
        <v>0</v>
      </c>
      <c r="AA34" s="1" t="b">
        <f t="shared" si="12"/>
        <v>1</v>
      </c>
      <c r="AB34" s="1" t="b">
        <f t="shared" si="13"/>
        <v>1</v>
      </c>
      <c r="AD34" s="105"/>
    </row>
    <row r="35" spans="1:30" ht="12.75" customHeight="1" x14ac:dyDescent="0.2">
      <c r="A35" s="3" t="str">
        <f>Intro!E37</f>
        <v>10/1/14-9/30/15</v>
      </c>
      <c r="C35" s="85">
        <f>Intro!H37</f>
        <v>500000</v>
      </c>
      <c r="E35" s="54">
        <v>2810502.1600000011</v>
      </c>
      <c r="G35" s="92">
        <f t="shared" si="0"/>
        <v>441176.08999999985</v>
      </c>
      <c r="I35" s="54">
        <v>3251678.2500000009</v>
      </c>
      <c r="K35" s="54">
        <v>2810502.1600000011</v>
      </c>
      <c r="M35" s="92">
        <f t="shared" si="2"/>
        <v>441176.08999999985</v>
      </c>
      <c r="O35" s="54">
        <v>3251678.2500000009</v>
      </c>
      <c r="Q35" s="54">
        <v>148</v>
      </c>
      <c r="S35" s="90">
        <v>38</v>
      </c>
      <c r="U35" s="54">
        <v>4</v>
      </c>
      <c r="W35" s="54">
        <v>4</v>
      </c>
      <c r="Y35" s="54">
        <v>0</v>
      </c>
      <c r="AA35" s="1" t="b">
        <f t="shared" si="12"/>
        <v>1</v>
      </c>
      <c r="AB35" s="1" t="b">
        <f t="shared" si="13"/>
        <v>1</v>
      </c>
      <c r="AD35" s="105"/>
    </row>
    <row r="36" spans="1:30" ht="12.75" customHeight="1" x14ac:dyDescent="0.2">
      <c r="A36" s="3" t="str">
        <f>Intro!E38</f>
        <v>10/1/15-9/30/16</v>
      </c>
      <c r="C36" s="85">
        <f>Intro!H38</f>
        <v>750000</v>
      </c>
      <c r="E36" s="54">
        <v>2449912.0500000017</v>
      </c>
      <c r="G36" s="92">
        <f t="shared" si="0"/>
        <v>178804.94000000041</v>
      </c>
      <c r="I36" s="54">
        <v>2628716.9900000021</v>
      </c>
      <c r="K36" s="54">
        <v>2449912.0500000017</v>
      </c>
      <c r="M36" s="92">
        <f t="shared" si="2"/>
        <v>178804.94000000041</v>
      </c>
      <c r="O36" s="54">
        <v>2628716.9900000021</v>
      </c>
      <c r="Q36" s="54">
        <v>215</v>
      </c>
      <c r="S36" s="90">
        <v>35</v>
      </c>
      <c r="U36" s="54">
        <v>8</v>
      </c>
      <c r="W36" s="54">
        <v>7</v>
      </c>
      <c r="Y36" s="54">
        <v>0</v>
      </c>
      <c r="AA36" s="1" t="b">
        <f>K36=U69</f>
        <v>1</v>
      </c>
      <c r="AB36" s="1" t="b">
        <f>O36=Y69</f>
        <v>1</v>
      </c>
      <c r="AD36" s="105"/>
    </row>
    <row r="37" spans="1:30" ht="12.75" customHeight="1" x14ac:dyDescent="0.2">
      <c r="A37" s="3" t="str">
        <f>Intro!E39</f>
        <v>10/1/16-9/30/17</v>
      </c>
      <c r="C37" s="85">
        <f>Intro!H39</f>
        <v>750000</v>
      </c>
      <c r="E37" s="54">
        <v>2258070.4400000018</v>
      </c>
      <c r="G37" s="92">
        <f t="shared" si="0"/>
        <v>327371.00999999978</v>
      </c>
      <c r="I37" s="54">
        <v>2585441.4500000016</v>
      </c>
      <c r="K37" s="54">
        <v>2258070.4400000018</v>
      </c>
      <c r="M37" s="92">
        <f t="shared" si="2"/>
        <v>327371.00999999978</v>
      </c>
      <c r="O37" s="54">
        <v>2585441.4500000016</v>
      </c>
      <c r="Q37" s="54">
        <v>214</v>
      </c>
      <c r="S37" s="90">
        <v>46</v>
      </c>
      <c r="U37" s="54">
        <v>9</v>
      </c>
      <c r="W37" s="54">
        <v>6</v>
      </c>
      <c r="Y37" s="54">
        <v>0</v>
      </c>
      <c r="AA37" s="1" t="b">
        <f>K37=U70</f>
        <v>1</v>
      </c>
      <c r="AB37" s="1" t="b">
        <f>O37=Y70</f>
        <v>1</v>
      </c>
      <c r="AD37" s="105"/>
    </row>
    <row r="38" spans="1:30" ht="12.75" customHeight="1" x14ac:dyDescent="0.2">
      <c r="A38" s="3" t="str">
        <f>Intro!E40</f>
        <v>10/1/17-9/30/18</v>
      </c>
      <c r="C38" s="85">
        <f>Intro!H40</f>
        <v>500000</v>
      </c>
      <c r="E38" s="54">
        <v>4199295.1499999976</v>
      </c>
      <c r="G38" s="92">
        <f t="shared" si="0"/>
        <v>1618701.6200000048</v>
      </c>
      <c r="I38" s="54">
        <v>5817996.7700000023</v>
      </c>
      <c r="K38" s="54">
        <v>4199295.1499999976</v>
      </c>
      <c r="M38" s="92">
        <f t="shared" si="2"/>
        <v>1618701.6200000048</v>
      </c>
      <c r="O38" s="54">
        <v>5817996.7700000023</v>
      </c>
      <c r="Q38" s="54">
        <v>630</v>
      </c>
      <c r="S38" s="90">
        <v>125</v>
      </c>
      <c r="U38" s="54">
        <v>61</v>
      </c>
      <c r="W38" s="54">
        <v>38</v>
      </c>
      <c r="Y38" s="54">
        <v>0</v>
      </c>
      <c r="AA38" s="1" t="b">
        <f>K38=U71</f>
        <v>1</v>
      </c>
      <c r="AB38" s="1" t="b">
        <f>O38=Y71</f>
        <v>1</v>
      </c>
      <c r="AD38" s="105"/>
    </row>
    <row r="39" spans="1:30" ht="12.75" customHeight="1" x14ac:dyDescent="0.2">
      <c r="A39" s="3" t="str">
        <f>Intro!E41</f>
        <v>10/1/18-9/30/19</v>
      </c>
      <c r="C39" s="85">
        <f>Intro!H41</f>
        <v>500000</v>
      </c>
      <c r="E39" s="93">
        <v>619309.30000000005</v>
      </c>
      <c r="G39" s="94">
        <f t="shared" si="0"/>
        <v>642501.92000000062</v>
      </c>
      <c r="I39" s="93">
        <v>1261811.2200000007</v>
      </c>
      <c r="K39" s="93">
        <v>619309.30000000005</v>
      </c>
      <c r="M39" s="94">
        <f t="shared" si="2"/>
        <v>642501.92000000062</v>
      </c>
      <c r="O39" s="93">
        <v>1261811.2200000007</v>
      </c>
      <c r="Q39" s="93">
        <v>334</v>
      </c>
      <c r="S39" s="93">
        <v>46</v>
      </c>
      <c r="U39" s="93">
        <v>114</v>
      </c>
      <c r="W39" s="93">
        <v>30</v>
      </c>
      <c r="Y39" s="93">
        <v>0</v>
      </c>
      <c r="AA39" s="1" t="b">
        <f>K39=U72</f>
        <v>1</v>
      </c>
      <c r="AB39" s="1" t="b">
        <f>O39=Y72</f>
        <v>1</v>
      </c>
      <c r="AD39" s="105"/>
    </row>
    <row r="40" spans="1:30" ht="12.75" customHeight="1" x14ac:dyDescent="0.2"/>
    <row r="41" spans="1:30" ht="12.75" customHeight="1" x14ac:dyDescent="0.2">
      <c r="A41" s="3" t="s">
        <v>78</v>
      </c>
      <c r="E41" s="86">
        <f>SUM(E16:E39)</f>
        <v>48901201.080000006</v>
      </c>
      <c r="F41" s="85"/>
      <c r="G41" s="86">
        <f>SUM(G16:G39)</f>
        <v>5085965.3600000059</v>
      </c>
      <c r="H41" s="85"/>
      <c r="I41" s="86">
        <f>SUM(I16:I39)</f>
        <v>53987166.439999998</v>
      </c>
      <c r="K41" s="86">
        <f>SUM(K16:K39)</f>
        <v>44580245.780000009</v>
      </c>
      <c r="M41" s="86">
        <f>SUM(M16:M39)</f>
        <v>3768825.820000005</v>
      </c>
      <c r="O41" s="86">
        <f>SUM(O16:O39)</f>
        <v>48349071.600000001</v>
      </c>
      <c r="P41" s="85"/>
      <c r="Q41" s="85">
        <f>SUM(Q16:Q39)</f>
        <v>4451</v>
      </c>
      <c r="R41" s="85"/>
      <c r="S41" s="85">
        <f>SUM(S16:S39)</f>
        <v>692</v>
      </c>
      <c r="T41" s="85"/>
      <c r="U41" s="85">
        <f>SUM(U16:U39)</f>
        <v>214</v>
      </c>
      <c r="W41" s="85">
        <f>SUM(W16:W39)</f>
        <v>92</v>
      </c>
      <c r="Y41" s="85">
        <f>SUM(Y16:Y39)</f>
        <v>6</v>
      </c>
    </row>
    <row r="42" spans="1:30" ht="12.75" customHeight="1" x14ac:dyDescent="0.2"/>
    <row r="43" spans="1:30" ht="12.75" customHeight="1" x14ac:dyDescent="0.2"/>
    <row r="44" spans="1:30" ht="12.75" customHeight="1" x14ac:dyDescent="0.2">
      <c r="C44" s="45" t="s">
        <v>79</v>
      </c>
      <c r="D44" s="45"/>
      <c r="E44" s="45"/>
      <c r="F44" s="45"/>
      <c r="G44" s="45"/>
      <c r="H44" s="1" t="s">
        <v>73</v>
      </c>
      <c r="I44" s="45" t="s">
        <v>80</v>
      </c>
      <c r="J44" s="45"/>
      <c r="K44" s="45"/>
      <c r="L44" s="45"/>
      <c r="M44" s="45"/>
      <c r="O44" s="45" t="s">
        <v>81</v>
      </c>
      <c r="P44" s="45"/>
      <c r="Q44" s="45"/>
      <c r="R44" s="45"/>
      <c r="S44" s="45"/>
      <c r="T44" s="36"/>
      <c r="U44" s="45" t="s">
        <v>87</v>
      </c>
      <c r="V44" s="45"/>
      <c r="W44" s="45"/>
      <c r="X44" s="45"/>
      <c r="Y44" s="45"/>
    </row>
    <row r="45" spans="1:30" ht="12.75" customHeight="1" x14ac:dyDescent="0.2">
      <c r="A45" s="33" t="s">
        <v>3</v>
      </c>
      <c r="E45" s="33" t="s">
        <v>74</v>
      </c>
      <c r="G45" s="33"/>
      <c r="K45" s="84" t="s">
        <v>74</v>
      </c>
      <c r="Q45" s="3" t="s">
        <v>74</v>
      </c>
      <c r="W45" s="3" t="s">
        <v>74</v>
      </c>
      <c r="Z45" s="3"/>
    </row>
    <row r="46" spans="1:30" ht="12.75" customHeight="1" x14ac:dyDescent="0.2">
      <c r="A46" s="82" t="s">
        <v>4</v>
      </c>
      <c r="C46" s="82" t="s">
        <v>75</v>
      </c>
      <c r="E46" s="82" t="s">
        <v>76</v>
      </c>
      <c r="G46" s="82" t="s">
        <v>71</v>
      </c>
      <c r="I46" s="82" t="s">
        <v>75</v>
      </c>
      <c r="K46" s="82" t="s">
        <v>76</v>
      </c>
      <c r="M46" s="82" t="s">
        <v>71</v>
      </c>
      <c r="O46" s="82" t="s">
        <v>75</v>
      </c>
      <c r="Q46" s="82" t="s">
        <v>76</v>
      </c>
      <c r="S46" s="82" t="s">
        <v>71</v>
      </c>
      <c r="U46" s="82" t="s">
        <v>75</v>
      </c>
      <c r="W46" s="82" t="s">
        <v>76</v>
      </c>
      <c r="Y46" s="82" t="s">
        <v>71</v>
      </c>
      <c r="Z46" s="3"/>
    </row>
    <row r="47" spans="1:30" ht="12.75" customHeight="1" x14ac:dyDescent="0.2">
      <c r="C47" s="83">
        <f>Y14-1</f>
        <v>-13</v>
      </c>
      <c r="E47" s="83">
        <f>C47-1</f>
        <v>-14</v>
      </c>
      <c r="G47" s="83">
        <f>E47-1</f>
        <v>-15</v>
      </c>
      <c r="I47" s="83">
        <f>G47-1</f>
        <v>-16</v>
      </c>
      <c r="K47" s="83">
        <f>I47-1</f>
        <v>-17</v>
      </c>
      <c r="M47" s="83">
        <f>K47-1</f>
        <v>-18</v>
      </c>
      <c r="O47" s="83">
        <f>M47-1</f>
        <v>-19</v>
      </c>
      <c r="Q47" s="83">
        <f>O47-1</f>
        <v>-20</v>
      </c>
      <c r="S47" s="83">
        <f>Q47-1</f>
        <v>-21</v>
      </c>
      <c r="U47" s="83">
        <f>S47-1</f>
        <v>-22</v>
      </c>
      <c r="W47" s="83">
        <f>U47-1</f>
        <v>-23</v>
      </c>
      <c r="Y47" s="83">
        <f>W47-1</f>
        <v>-24</v>
      </c>
    </row>
    <row r="48" spans="1:30" ht="12.75" customHeight="1" x14ac:dyDescent="0.2"/>
    <row r="49" spans="1:25" ht="12.75" customHeight="1" x14ac:dyDescent="0.2">
      <c r="A49" s="89" t="str">
        <f t="shared" ref="A49:B55" si="14">A16</f>
        <v>10/1/95-9/30/96</v>
      </c>
      <c r="B49" s="88" t="str">
        <f t="shared" si="14"/>
        <v>*</v>
      </c>
      <c r="C49" s="91">
        <v>683326</v>
      </c>
      <c r="E49" s="99">
        <f>G49-C49</f>
        <v>0</v>
      </c>
      <c r="G49" s="91">
        <v>683326</v>
      </c>
      <c r="I49" s="91">
        <v>783326</v>
      </c>
      <c r="K49" s="99">
        <f>M49-I49</f>
        <v>0</v>
      </c>
      <c r="M49" s="91">
        <v>783326</v>
      </c>
      <c r="O49" s="91">
        <v>824780.2</v>
      </c>
      <c r="Q49" s="99">
        <f>S49-O49</f>
        <v>0</v>
      </c>
      <c r="S49" s="91">
        <v>824780.2</v>
      </c>
      <c r="U49" s="98">
        <f t="shared" ref="U49:U72" si="15">O49</f>
        <v>824780.2</v>
      </c>
      <c r="W49" s="100">
        <f>Y49-U49</f>
        <v>0</v>
      </c>
      <c r="Y49" s="98">
        <f t="shared" ref="Y49:Y72" si="16">S49</f>
        <v>824780.2</v>
      </c>
    </row>
    <row r="50" spans="1:25" ht="12.75" customHeight="1" x14ac:dyDescent="0.2">
      <c r="A50" s="89" t="str">
        <f t="shared" si="14"/>
        <v>10/1/96-9/30/97</v>
      </c>
      <c r="B50" s="88" t="str">
        <f t="shared" si="14"/>
        <v>*</v>
      </c>
      <c r="C50" s="87">
        <v>1337604</v>
      </c>
      <c r="E50" s="47">
        <f t="shared" ref="E50:E72" si="17">G50-C50</f>
        <v>0</v>
      </c>
      <c r="G50" s="87">
        <v>1337604</v>
      </c>
      <c r="I50" s="87">
        <v>1450545</v>
      </c>
      <c r="K50" s="47">
        <f t="shared" ref="K50:K72" si="18">M50-I50</f>
        <v>0</v>
      </c>
      <c r="M50" s="87">
        <v>1450545</v>
      </c>
      <c r="O50" s="87">
        <v>1506771</v>
      </c>
      <c r="Q50" s="47">
        <f t="shared" ref="Q50:Q72" si="19">S50-O50</f>
        <v>0</v>
      </c>
      <c r="S50" s="87">
        <v>1506771</v>
      </c>
      <c r="U50" s="92">
        <f t="shared" si="15"/>
        <v>1506771</v>
      </c>
      <c r="W50" s="95">
        <f t="shared" ref="W50:W72" si="20">Y50-U50</f>
        <v>0</v>
      </c>
      <c r="Y50" s="92">
        <f t="shared" si="16"/>
        <v>1506771</v>
      </c>
    </row>
    <row r="51" spans="1:25" ht="12.75" customHeight="1" x14ac:dyDescent="0.2">
      <c r="A51" s="89" t="str">
        <f t="shared" si="14"/>
        <v>10/1/97-9/30/98</v>
      </c>
      <c r="B51" s="88" t="str">
        <f t="shared" si="14"/>
        <v>*</v>
      </c>
      <c r="C51" s="87">
        <v>2584955.17</v>
      </c>
      <c r="E51" s="47">
        <f t="shared" si="17"/>
        <v>8725.5499999998137</v>
      </c>
      <c r="G51" s="87">
        <v>2593680.7199999997</v>
      </c>
      <c r="I51" s="87">
        <v>2684955.17</v>
      </c>
      <c r="K51" s="47">
        <f t="shared" si="18"/>
        <v>8725.5499999998137</v>
      </c>
      <c r="M51" s="87">
        <v>2693680.7199999997</v>
      </c>
      <c r="O51" s="87">
        <v>2734860.17</v>
      </c>
      <c r="Q51" s="47">
        <f t="shared" si="19"/>
        <v>8725.5499999998137</v>
      </c>
      <c r="S51" s="87">
        <v>2743585.7199999997</v>
      </c>
      <c r="U51" s="92">
        <f t="shared" si="15"/>
        <v>2734860.17</v>
      </c>
      <c r="W51" s="95">
        <f t="shared" si="20"/>
        <v>8725.5499999998137</v>
      </c>
      <c r="Y51" s="92">
        <f t="shared" si="16"/>
        <v>2743585.7199999997</v>
      </c>
    </row>
    <row r="52" spans="1:25" ht="12.75" customHeight="1" x14ac:dyDescent="0.2">
      <c r="A52" s="89" t="str">
        <f t="shared" si="14"/>
        <v>10/1/98-9/30/99</v>
      </c>
      <c r="B52" s="88" t="str">
        <f t="shared" si="14"/>
        <v>*</v>
      </c>
      <c r="C52" s="87">
        <v>2548851.29</v>
      </c>
      <c r="E52" s="47">
        <f t="shared" si="17"/>
        <v>91530.509999999776</v>
      </c>
      <c r="G52" s="87">
        <v>2640381.7999999998</v>
      </c>
      <c r="I52" s="87">
        <v>2948851.29</v>
      </c>
      <c r="K52" s="47">
        <f t="shared" si="18"/>
        <v>91530.509999999776</v>
      </c>
      <c r="M52" s="87">
        <v>3040381.8</v>
      </c>
      <c r="O52" s="87">
        <v>3318984.29</v>
      </c>
      <c r="Q52" s="47">
        <f t="shared" si="19"/>
        <v>91530.509999999776</v>
      </c>
      <c r="S52" s="87">
        <v>3410514.8</v>
      </c>
      <c r="U52" s="92">
        <f t="shared" si="15"/>
        <v>3318984.29</v>
      </c>
      <c r="W52" s="95">
        <f t="shared" si="20"/>
        <v>91530.509999999776</v>
      </c>
      <c r="Y52" s="92">
        <f t="shared" si="16"/>
        <v>3410514.8</v>
      </c>
    </row>
    <row r="53" spans="1:25" ht="12.75" customHeight="1" x14ac:dyDescent="0.2">
      <c r="A53" s="89" t="str">
        <f t="shared" si="14"/>
        <v>10/1/99-9/30/00</v>
      </c>
      <c r="B53" s="88" t="str">
        <f t="shared" si="14"/>
        <v>*</v>
      </c>
      <c r="C53" s="87">
        <v>2314287.94</v>
      </c>
      <c r="E53" s="47">
        <f t="shared" si="17"/>
        <v>56197.280000000261</v>
      </c>
      <c r="G53" s="87">
        <v>2370485.2200000002</v>
      </c>
      <c r="I53" s="87">
        <v>2430299.4299999997</v>
      </c>
      <c r="K53" s="47">
        <f t="shared" si="18"/>
        <v>112107.00000000047</v>
      </c>
      <c r="M53" s="87">
        <v>2542406.4300000002</v>
      </c>
      <c r="O53" s="87">
        <v>2580299.4299999997</v>
      </c>
      <c r="Q53" s="47">
        <f t="shared" si="19"/>
        <v>112107.00000000047</v>
      </c>
      <c r="S53" s="87">
        <v>2692406.43</v>
      </c>
      <c r="U53" s="92">
        <f t="shared" si="15"/>
        <v>2580299.4299999997</v>
      </c>
      <c r="W53" s="95">
        <f t="shared" si="20"/>
        <v>112107.00000000047</v>
      </c>
      <c r="Y53" s="92">
        <f t="shared" si="16"/>
        <v>2692406.43</v>
      </c>
    </row>
    <row r="54" spans="1:25" ht="12.75" customHeight="1" x14ac:dyDescent="0.2">
      <c r="A54" s="89" t="str">
        <f t="shared" si="14"/>
        <v>10/1/00-9/30/01</v>
      </c>
      <c r="B54" s="88" t="str">
        <f t="shared" si="14"/>
        <v>*</v>
      </c>
      <c r="C54" s="87">
        <v>1349346.97</v>
      </c>
      <c r="E54" s="47">
        <f t="shared" si="17"/>
        <v>100</v>
      </c>
      <c r="G54" s="87">
        <v>1349446.97</v>
      </c>
      <c r="I54" s="87">
        <v>1449346.97</v>
      </c>
      <c r="K54" s="47">
        <f t="shared" si="18"/>
        <v>100</v>
      </c>
      <c r="M54" s="87">
        <v>1449446.97</v>
      </c>
      <c r="O54" s="87">
        <v>1599346.97</v>
      </c>
      <c r="Q54" s="47">
        <f t="shared" si="19"/>
        <v>100</v>
      </c>
      <c r="S54" s="87">
        <v>1599446.97</v>
      </c>
      <c r="U54" s="92">
        <f t="shared" si="15"/>
        <v>1599346.97</v>
      </c>
      <c r="W54" s="95">
        <f t="shared" si="20"/>
        <v>100</v>
      </c>
      <c r="Y54" s="92">
        <f t="shared" si="16"/>
        <v>1599446.97</v>
      </c>
    </row>
    <row r="55" spans="1:25" ht="12.75" customHeight="1" x14ac:dyDescent="0.2">
      <c r="A55" s="89" t="str">
        <f t="shared" si="14"/>
        <v>10/1/01-9/30/02</v>
      </c>
      <c r="B55" s="88" t="str">
        <f t="shared" si="14"/>
        <v>*</v>
      </c>
      <c r="C55" s="87">
        <v>2761132.9899999998</v>
      </c>
      <c r="E55" s="47">
        <f t="shared" si="17"/>
        <v>193375.66000000015</v>
      </c>
      <c r="G55" s="87">
        <v>2954508.65</v>
      </c>
      <c r="I55" s="87">
        <v>3065476.9899999998</v>
      </c>
      <c r="K55" s="47">
        <f t="shared" si="18"/>
        <v>393375.66000000015</v>
      </c>
      <c r="M55" s="87">
        <v>3458852.65</v>
      </c>
      <c r="O55" s="87">
        <v>3395645.9899999998</v>
      </c>
      <c r="Q55" s="47">
        <f t="shared" si="19"/>
        <v>555348.9299999997</v>
      </c>
      <c r="S55" s="87">
        <v>3950994.9199999995</v>
      </c>
      <c r="U55" s="92">
        <f t="shared" si="15"/>
        <v>3395645.9899999998</v>
      </c>
      <c r="W55" s="95">
        <f t="shared" si="20"/>
        <v>555348.9299999997</v>
      </c>
      <c r="Y55" s="92">
        <f t="shared" si="16"/>
        <v>3950994.9199999995</v>
      </c>
    </row>
    <row r="56" spans="1:25" ht="12.75" customHeight="1" x14ac:dyDescent="0.2">
      <c r="A56" s="3" t="str">
        <f t="shared" ref="A56:A70" si="21">A23</f>
        <v>10/1/02-9/30/03</v>
      </c>
      <c r="C56" s="54">
        <v>1243025.0200000005</v>
      </c>
      <c r="E56" s="47">
        <f t="shared" si="17"/>
        <v>0</v>
      </c>
      <c r="G56" s="54">
        <v>1243025.0200000005</v>
      </c>
      <c r="I56" s="54">
        <v>1343025.0200000005</v>
      </c>
      <c r="K56" s="47">
        <f t="shared" si="18"/>
        <v>0</v>
      </c>
      <c r="M56" s="54">
        <v>1343025.0200000005</v>
      </c>
      <c r="O56" s="54">
        <v>1493025.0200000005</v>
      </c>
      <c r="Q56" s="47">
        <f t="shared" si="19"/>
        <v>0</v>
      </c>
      <c r="S56" s="54">
        <v>1493025.0200000005</v>
      </c>
      <c r="U56" s="92">
        <f t="shared" si="15"/>
        <v>1493025.0200000005</v>
      </c>
      <c r="W56" s="95">
        <f t="shared" si="20"/>
        <v>0</v>
      </c>
      <c r="Y56" s="92">
        <f t="shared" si="16"/>
        <v>1493025.0200000005</v>
      </c>
    </row>
    <row r="57" spans="1:25" ht="12.75" customHeight="1" x14ac:dyDescent="0.2">
      <c r="A57" s="3" t="str">
        <f t="shared" si="21"/>
        <v>10/1/03-9/30/04</v>
      </c>
      <c r="C57" s="54">
        <v>1971339.2299999993</v>
      </c>
      <c r="E57" s="47">
        <f t="shared" si="17"/>
        <v>13866.029999999795</v>
      </c>
      <c r="G57" s="54">
        <v>1985205.2599999991</v>
      </c>
      <c r="I57" s="54">
        <v>2359249.2899999996</v>
      </c>
      <c r="K57" s="47">
        <f t="shared" si="18"/>
        <v>25955.969999999739</v>
      </c>
      <c r="M57" s="54">
        <v>2385205.2599999993</v>
      </c>
      <c r="O57" s="54">
        <v>2598610.1500000004</v>
      </c>
      <c r="Q57" s="47">
        <f t="shared" si="19"/>
        <v>140101.39000000013</v>
      </c>
      <c r="S57" s="54">
        <v>2738711.5400000005</v>
      </c>
      <c r="U57" s="92">
        <f t="shared" si="15"/>
        <v>2598610.1500000004</v>
      </c>
      <c r="W57" s="95">
        <f t="shared" si="20"/>
        <v>140101.39000000013</v>
      </c>
      <c r="Y57" s="92">
        <f t="shared" si="16"/>
        <v>2738711.5400000005</v>
      </c>
    </row>
    <row r="58" spans="1:25" ht="12.75" customHeight="1" x14ac:dyDescent="0.2">
      <c r="A58" s="3" t="str">
        <f t="shared" si="21"/>
        <v>10/1/04-9/30/05</v>
      </c>
      <c r="C58" s="54">
        <v>699839.89000000025</v>
      </c>
      <c r="E58" s="47">
        <f t="shared" si="17"/>
        <v>0</v>
      </c>
      <c r="G58" s="54">
        <v>699839.89000000025</v>
      </c>
      <c r="I58" s="54">
        <v>699839.89000000025</v>
      </c>
      <c r="K58" s="47">
        <f t="shared" si="18"/>
        <v>0</v>
      </c>
      <c r="M58" s="54">
        <v>699839.89000000025</v>
      </c>
      <c r="O58" s="54">
        <v>699839.89000000025</v>
      </c>
      <c r="Q58" s="47">
        <f t="shared" si="19"/>
        <v>0</v>
      </c>
      <c r="S58" s="54">
        <v>699839.89000000025</v>
      </c>
      <c r="U58" s="92">
        <f t="shared" si="15"/>
        <v>699839.89000000025</v>
      </c>
      <c r="W58" s="95">
        <f t="shared" si="20"/>
        <v>0</v>
      </c>
      <c r="Y58" s="92">
        <f t="shared" si="16"/>
        <v>699839.89000000025</v>
      </c>
    </row>
    <row r="59" spans="1:25" ht="12.75" customHeight="1" x14ac:dyDescent="0.2">
      <c r="A59" s="3" t="str">
        <f t="shared" si="21"/>
        <v>10/1/05-9/30/06</v>
      </c>
      <c r="C59" s="54">
        <v>1775477.7400000007</v>
      </c>
      <c r="E59" s="47">
        <f t="shared" si="17"/>
        <v>0</v>
      </c>
      <c r="G59" s="54">
        <v>1775477.7400000007</v>
      </c>
      <c r="I59" s="54">
        <v>2005481.3700000008</v>
      </c>
      <c r="K59" s="47">
        <f t="shared" si="18"/>
        <v>0</v>
      </c>
      <c r="M59" s="54">
        <v>2005481.3700000008</v>
      </c>
      <c r="O59" s="54">
        <v>2229103.2700000005</v>
      </c>
      <c r="Q59" s="47">
        <f t="shared" si="19"/>
        <v>0</v>
      </c>
      <c r="S59" s="54">
        <v>2229103.2700000005</v>
      </c>
      <c r="U59" s="92">
        <f t="shared" si="15"/>
        <v>2229103.2700000005</v>
      </c>
      <c r="W59" s="95">
        <f t="shared" si="20"/>
        <v>0</v>
      </c>
      <c r="Y59" s="92">
        <f t="shared" si="16"/>
        <v>2229103.2700000005</v>
      </c>
    </row>
    <row r="60" spans="1:25" ht="12.75" customHeight="1" x14ac:dyDescent="0.2">
      <c r="A60" s="3" t="str">
        <f t="shared" si="21"/>
        <v>10/1/06-9/30/07</v>
      </c>
      <c r="C60" s="54">
        <v>1099670.4199999997</v>
      </c>
      <c r="E60" s="47">
        <f t="shared" si="17"/>
        <v>0</v>
      </c>
      <c r="G60" s="54">
        <v>1099670.4199999997</v>
      </c>
      <c r="I60" s="54">
        <v>1099670.4199999997</v>
      </c>
      <c r="K60" s="47">
        <f t="shared" si="18"/>
        <v>0</v>
      </c>
      <c r="M60" s="54">
        <v>1099670.4199999997</v>
      </c>
      <c r="O60" s="54">
        <v>1099670.4199999997</v>
      </c>
      <c r="Q60" s="47">
        <f t="shared" si="19"/>
        <v>0</v>
      </c>
      <c r="S60" s="54">
        <v>1099670.4199999997</v>
      </c>
      <c r="U60" s="92">
        <f t="shared" si="15"/>
        <v>1099670.4199999997</v>
      </c>
      <c r="W60" s="95">
        <f t="shared" si="20"/>
        <v>0</v>
      </c>
      <c r="Y60" s="92">
        <f t="shared" si="16"/>
        <v>1099670.4199999997</v>
      </c>
    </row>
    <row r="61" spans="1:25" ht="12.75" customHeight="1" x14ac:dyDescent="0.2">
      <c r="A61" s="3" t="str">
        <f t="shared" si="21"/>
        <v>10/1/07-9/30/08</v>
      </c>
      <c r="C61" s="54">
        <v>766269.99000000011</v>
      </c>
      <c r="E61" s="47">
        <f t="shared" si="17"/>
        <v>0</v>
      </c>
      <c r="G61" s="54">
        <v>766269.99000000011</v>
      </c>
      <c r="I61" s="54">
        <v>766269.99000000011</v>
      </c>
      <c r="K61" s="47">
        <f t="shared" si="18"/>
        <v>0</v>
      </c>
      <c r="M61" s="54">
        <v>766269.99000000011</v>
      </c>
      <c r="O61" s="54">
        <v>766269.99000000011</v>
      </c>
      <c r="Q61" s="47">
        <f t="shared" si="19"/>
        <v>0</v>
      </c>
      <c r="S61" s="54">
        <v>766269.99000000011</v>
      </c>
      <c r="U61" s="92">
        <f t="shared" si="15"/>
        <v>766269.99000000011</v>
      </c>
      <c r="W61" s="95">
        <f t="shared" si="20"/>
        <v>0</v>
      </c>
      <c r="Y61" s="92">
        <f t="shared" si="16"/>
        <v>766269.99000000011</v>
      </c>
    </row>
    <row r="62" spans="1:25" ht="12.75" customHeight="1" x14ac:dyDescent="0.2">
      <c r="A62" s="3" t="str">
        <f t="shared" si="21"/>
        <v>10/1/08-9/30/09</v>
      </c>
      <c r="C62" s="54">
        <v>1514381.6700000002</v>
      </c>
      <c r="E62" s="47">
        <f t="shared" si="17"/>
        <v>75839.800000000047</v>
      </c>
      <c r="G62" s="54">
        <v>1590221.4700000002</v>
      </c>
      <c r="I62" s="54">
        <v>1614381.6700000004</v>
      </c>
      <c r="K62" s="47">
        <f t="shared" si="18"/>
        <v>117912.80000000005</v>
      </c>
      <c r="M62" s="54">
        <v>1732294.4700000004</v>
      </c>
      <c r="O62" s="54">
        <v>1764381.6700000004</v>
      </c>
      <c r="Q62" s="47">
        <f t="shared" si="19"/>
        <v>117912.80000000005</v>
      </c>
      <c r="S62" s="54">
        <v>1882294.4700000004</v>
      </c>
      <c r="U62" s="92">
        <f t="shared" si="15"/>
        <v>1764381.6700000004</v>
      </c>
      <c r="W62" s="95">
        <f t="shared" si="20"/>
        <v>117912.80000000005</v>
      </c>
      <c r="Y62" s="92">
        <f t="shared" si="16"/>
        <v>1882294.4700000004</v>
      </c>
    </row>
    <row r="63" spans="1:25" ht="12.75" customHeight="1" x14ac:dyDescent="0.2">
      <c r="A63" s="3" t="str">
        <f t="shared" si="21"/>
        <v>10/1/09-9/30/10</v>
      </c>
      <c r="C63" s="54">
        <v>1183179.1900000002</v>
      </c>
      <c r="E63" s="47">
        <f t="shared" si="17"/>
        <v>17136.330000000075</v>
      </c>
      <c r="G63" s="54">
        <v>1200315.5200000003</v>
      </c>
      <c r="I63" s="54">
        <v>1183179.1900000002</v>
      </c>
      <c r="K63" s="47">
        <f t="shared" si="18"/>
        <v>17136.330000000075</v>
      </c>
      <c r="M63" s="54">
        <v>1200315.5200000003</v>
      </c>
      <c r="O63" s="54">
        <v>1183179.1900000002</v>
      </c>
      <c r="Q63" s="47">
        <f t="shared" si="19"/>
        <v>17136.330000000075</v>
      </c>
      <c r="S63" s="54">
        <v>1200315.5200000003</v>
      </c>
      <c r="U63" s="92">
        <f t="shared" si="15"/>
        <v>1183179.1900000002</v>
      </c>
      <c r="W63" s="95">
        <f t="shared" si="20"/>
        <v>17136.330000000075</v>
      </c>
      <c r="Y63" s="92">
        <f t="shared" si="16"/>
        <v>1200315.5200000003</v>
      </c>
    </row>
    <row r="64" spans="1:25" ht="12.75" customHeight="1" x14ac:dyDescent="0.2">
      <c r="A64" s="3" t="str">
        <f t="shared" si="21"/>
        <v>10/1/10-9/30/11</v>
      </c>
      <c r="C64" s="54">
        <v>1212882.8100000003</v>
      </c>
      <c r="E64" s="47">
        <f t="shared" si="17"/>
        <v>0</v>
      </c>
      <c r="G64" s="54">
        <v>1212882.8100000003</v>
      </c>
      <c r="I64" s="54">
        <v>1212882.8100000003</v>
      </c>
      <c r="K64" s="47">
        <f t="shared" si="18"/>
        <v>0</v>
      </c>
      <c r="M64" s="54">
        <v>1212882.8100000003</v>
      </c>
      <c r="O64" s="54">
        <v>1212882.8100000003</v>
      </c>
      <c r="Q64" s="47">
        <f t="shared" si="19"/>
        <v>0</v>
      </c>
      <c r="S64" s="54">
        <v>1212882.8100000003</v>
      </c>
      <c r="U64" s="92">
        <f t="shared" si="15"/>
        <v>1212882.8100000003</v>
      </c>
      <c r="W64" s="95">
        <f t="shared" si="20"/>
        <v>0</v>
      </c>
      <c r="Y64" s="92">
        <f t="shared" si="16"/>
        <v>1212882.8100000003</v>
      </c>
    </row>
    <row r="65" spans="1:25" ht="12.75" customHeight="1" x14ac:dyDescent="0.2">
      <c r="A65" s="3" t="str">
        <f t="shared" si="21"/>
        <v>10/1/11-9/30/12</v>
      </c>
      <c r="C65" s="54">
        <v>1828733.7599999993</v>
      </c>
      <c r="E65" s="47">
        <f t="shared" si="17"/>
        <v>0</v>
      </c>
      <c r="G65" s="54">
        <v>1828733.7599999993</v>
      </c>
      <c r="I65" s="54">
        <v>1925803.2599999993</v>
      </c>
      <c r="K65" s="47">
        <f t="shared" si="18"/>
        <v>2930.5</v>
      </c>
      <c r="M65" s="54">
        <v>1928733.7599999993</v>
      </c>
      <c r="O65" s="54">
        <v>1925803.2599999993</v>
      </c>
      <c r="Q65" s="47">
        <f t="shared" si="19"/>
        <v>4655.5</v>
      </c>
      <c r="S65" s="54">
        <v>1930458.7599999993</v>
      </c>
      <c r="U65" s="92">
        <f t="shared" si="15"/>
        <v>1925803.2599999993</v>
      </c>
      <c r="W65" s="95">
        <f t="shared" si="20"/>
        <v>4655.5</v>
      </c>
      <c r="Y65" s="92">
        <f t="shared" si="16"/>
        <v>1930458.7599999993</v>
      </c>
    </row>
    <row r="66" spans="1:25" ht="12.75" customHeight="1" x14ac:dyDescent="0.2">
      <c r="A66" s="3" t="str">
        <f t="shared" si="21"/>
        <v>10/1/12-9/30/13</v>
      </c>
      <c r="C66" s="54">
        <v>1811366.5999999999</v>
      </c>
      <c r="E66" s="47">
        <f t="shared" si="17"/>
        <v>44680.64000000013</v>
      </c>
      <c r="G66" s="54">
        <v>1856047.24</v>
      </c>
      <c r="I66" s="54">
        <v>1911366.5999999999</v>
      </c>
      <c r="K66" s="47">
        <f t="shared" si="18"/>
        <v>44680.64000000013</v>
      </c>
      <c r="M66" s="54">
        <v>1956047.24</v>
      </c>
      <c r="O66" s="54">
        <v>2061366.5999999999</v>
      </c>
      <c r="Q66" s="47">
        <f t="shared" si="19"/>
        <v>44680.639999999898</v>
      </c>
      <c r="S66" s="54">
        <v>2106047.2399999998</v>
      </c>
      <c r="U66" s="92">
        <f t="shared" si="15"/>
        <v>2061366.5999999999</v>
      </c>
      <c r="W66" s="95">
        <f t="shared" si="20"/>
        <v>44680.639999999898</v>
      </c>
      <c r="Y66" s="92">
        <f t="shared" si="16"/>
        <v>2106047.2399999998</v>
      </c>
    </row>
    <row r="67" spans="1:25" ht="12.75" customHeight="1" x14ac:dyDescent="0.2">
      <c r="A67" s="3" t="str">
        <f t="shared" si="21"/>
        <v>10/1/13-9/30/14</v>
      </c>
      <c r="C67" s="54">
        <v>2173195.9299999997</v>
      </c>
      <c r="E67" s="47">
        <f t="shared" si="17"/>
        <v>0</v>
      </c>
      <c r="G67" s="54">
        <v>2173195.9299999997</v>
      </c>
      <c r="I67" s="54">
        <v>2275241.92</v>
      </c>
      <c r="K67" s="47">
        <f t="shared" si="18"/>
        <v>0</v>
      </c>
      <c r="M67" s="54">
        <v>2275241.92</v>
      </c>
      <c r="O67" s="54">
        <v>2342502.8100000005</v>
      </c>
      <c r="Q67" s="47">
        <f t="shared" si="19"/>
        <v>0</v>
      </c>
      <c r="S67" s="54">
        <v>2342502.8100000005</v>
      </c>
      <c r="U67" s="92">
        <f t="shared" si="15"/>
        <v>2342502.8100000005</v>
      </c>
      <c r="W67" s="95">
        <f t="shared" si="20"/>
        <v>0</v>
      </c>
      <c r="Y67" s="92">
        <f t="shared" si="16"/>
        <v>2342502.8100000005</v>
      </c>
    </row>
    <row r="68" spans="1:25" ht="12.75" customHeight="1" x14ac:dyDescent="0.2">
      <c r="A68" s="3" t="str">
        <f t="shared" si="21"/>
        <v>10/1/14-9/30/15</v>
      </c>
      <c r="C68" s="54">
        <v>2776114.1900000009</v>
      </c>
      <c r="E68" s="47">
        <f t="shared" si="17"/>
        <v>278892.74000000069</v>
      </c>
      <c r="G68" s="54">
        <v>3055006.9300000016</v>
      </c>
      <c r="I68" s="54">
        <v>2810502.1600000011</v>
      </c>
      <c r="K68" s="47">
        <f t="shared" si="18"/>
        <v>427840.28000000073</v>
      </c>
      <c r="M68" s="54">
        <v>3238342.4400000018</v>
      </c>
      <c r="O68" s="54">
        <v>2810502.1600000011</v>
      </c>
      <c r="Q68" s="47">
        <f t="shared" si="19"/>
        <v>441176.08999999985</v>
      </c>
      <c r="S68" s="54">
        <v>3251678.2500000009</v>
      </c>
      <c r="U68" s="92">
        <f t="shared" si="15"/>
        <v>2810502.1600000011</v>
      </c>
      <c r="W68" s="95">
        <f t="shared" si="20"/>
        <v>441176.08999999985</v>
      </c>
      <c r="Y68" s="92">
        <f t="shared" si="16"/>
        <v>3251678.2500000009</v>
      </c>
    </row>
    <row r="69" spans="1:25" ht="12.75" customHeight="1" x14ac:dyDescent="0.2">
      <c r="A69" s="3" t="str">
        <f t="shared" si="21"/>
        <v>10/1/15-9/30/16</v>
      </c>
      <c r="C69" s="54">
        <v>2347544.3600000013</v>
      </c>
      <c r="E69" s="47">
        <f t="shared" si="17"/>
        <v>134136.6400000006</v>
      </c>
      <c r="G69" s="54">
        <v>2481681.0000000019</v>
      </c>
      <c r="I69" s="54">
        <v>2449912.0500000017</v>
      </c>
      <c r="K69" s="47">
        <f t="shared" si="18"/>
        <v>178804.94000000041</v>
      </c>
      <c r="M69" s="54">
        <v>2628716.9900000021</v>
      </c>
      <c r="O69" s="54">
        <v>2449912.0500000017</v>
      </c>
      <c r="Q69" s="47">
        <f t="shared" si="19"/>
        <v>178804.94000000041</v>
      </c>
      <c r="S69" s="54">
        <v>2628716.9900000021</v>
      </c>
      <c r="U69" s="92">
        <f t="shared" si="15"/>
        <v>2449912.0500000017</v>
      </c>
      <c r="W69" s="95">
        <f t="shared" si="20"/>
        <v>178804.94000000041</v>
      </c>
      <c r="Y69" s="92">
        <f t="shared" si="16"/>
        <v>2628716.9900000021</v>
      </c>
    </row>
    <row r="70" spans="1:25" ht="12.75" customHeight="1" x14ac:dyDescent="0.2">
      <c r="A70" s="3" t="str">
        <f t="shared" si="21"/>
        <v>10/1/16-9/30/17</v>
      </c>
      <c r="C70" s="54">
        <v>2258070.4400000018</v>
      </c>
      <c r="E70" s="47">
        <f t="shared" si="17"/>
        <v>327371.00999999978</v>
      </c>
      <c r="G70" s="54">
        <v>2585441.4500000016</v>
      </c>
      <c r="I70" s="54">
        <v>2258070.4400000018</v>
      </c>
      <c r="K70" s="47">
        <f t="shared" si="18"/>
        <v>327371.00999999978</v>
      </c>
      <c r="M70" s="54">
        <v>2585441.4500000016</v>
      </c>
      <c r="O70" s="54">
        <v>2258070.4400000018</v>
      </c>
      <c r="Q70" s="47">
        <f t="shared" si="19"/>
        <v>327371.00999999978</v>
      </c>
      <c r="S70" s="54">
        <v>2585441.4500000016</v>
      </c>
      <c r="U70" s="92">
        <f t="shared" si="15"/>
        <v>2258070.4400000018</v>
      </c>
      <c r="W70" s="95">
        <f t="shared" si="20"/>
        <v>327371.00999999978</v>
      </c>
      <c r="Y70" s="92">
        <f t="shared" si="16"/>
        <v>2585441.4500000016</v>
      </c>
    </row>
    <row r="71" spans="1:25" ht="12.75" customHeight="1" x14ac:dyDescent="0.2">
      <c r="A71" s="3" t="str">
        <f>A38</f>
        <v>10/1/17-9/30/18</v>
      </c>
      <c r="C71" s="54">
        <v>4199295.1499999976</v>
      </c>
      <c r="E71" s="47">
        <f t="shared" si="17"/>
        <v>1594326.6200000048</v>
      </c>
      <c r="G71" s="54">
        <v>5793621.7700000023</v>
      </c>
      <c r="I71" s="54">
        <v>4199295.1499999976</v>
      </c>
      <c r="K71" s="47">
        <f t="shared" si="18"/>
        <v>1618701.6200000048</v>
      </c>
      <c r="M71" s="54">
        <v>5817996.7700000023</v>
      </c>
      <c r="O71" s="54">
        <v>4199295.1499999976</v>
      </c>
      <c r="Q71" s="47">
        <f t="shared" si="19"/>
        <v>1618701.6200000048</v>
      </c>
      <c r="S71" s="54">
        <v>5817996.7700000023</v>
      </c>
      <c r="U71" s="92">
        <f t="shared" si="15"/>
        <v>4199295.1499999976</v>
      </c>
      <c r="W71" s="95">
        <f t="shared" si="20"/>
        <v>1618701.6200000048</v>
      </c>
      <c r="Y71" s="92">
        <f t="shared" si="16"/>
        <v>5817996.7700000023</v>
      </c>
    </row>
    <row r="72" spans="1:25" ht="12.75" customHeight="1" x14ac:dyDescent="0.2">
      <c r="A72" s="3" t="str">
        <f>A39</f>
        <v>10/1/18-9/30/19</v>
      </c>
      <c r="C72" s="93">
        <v>619309.30000000005</v>
      </c>
      <c r="E72" s="96">
        <f t="shared" si="17"/>
        <v>642501.92000000062</v>
      </c>
      <c r="G72" s="93">
        <v>1261811.2200000007</v>
      </c>
      <c r="I72" s="93">
        <v>619309.30000000005</v>
      </c>
      <c r="K72" s="96">
        <f t="shared" si="18"/>
        <v>642501.92000000062</v>
      </c>
      <c r="M72" s="93">
        <v>1261811.2200000007</v>
      </c>
      <c r="O72" s="93">
        <v>619309.30000000005</v>
      </c>
      <c r="Q72" s="96">
        <f t="shared" si="19"/>
        <v>642501.92000000062</v>
      </c>
      <c r="S72" s="93">
        <v>1261811.2200000007</v>
      </c>
      <c r="U72" s="94">
        <f t="shared" si="15"/>
        <v>619309.30000000005</v>
      </c>
      <c r="W72" s="94">
        <f t="shared" si="20"/>
        <v>642501.92000000062</v>
      </c>
      <c r="Y72" s="94">
        <f t="shared" si="16"/>
        <v>1261811.2200000007</v>
      </c>
    </row>
    <row r="73" spans="1:25" ht="12.75" customHeight="1" x14ac:dyDescent="0.2"/>
    <row r="74" spans="1:25" ht="12.75" customHeight="1" x14ac:dyDescent="0.2">
      <c r="A74" s="3" t="s">
        <v>78</v>
      </c>
      <c r="C74" s="86">
        <f>SUM(C49:C72)</f>
        <v>43059200.050000004</v>
      </c>
      <c r="E74" s="86">
        <f>SUM(E49:E72)</f>
        <v>3478680.730000007</v>
      </c>
      <c r="G74" s="86">
        <f>SUM(G49:G72)</f>
        <v>46537880.780000001</v>
      </c>
      <c r="I74" s="86">
        <f>SUM(I49:I72)</f>
        <v>45546281.38000001</v>
      </c>
      <c r="K74" s="86">
        <f>SUM(K49:K72)</f>
        <v>4009674.730000007</v>
      </c>
      <c r="M74" s="86">
        <f>SUM(M49:M72)</f>
        <v>49555956.109999999</v>
      </c>
      <c r="O74" s="86">
        <f>SUM(O49:O72)</f>
        <v>47674412.230000004</v>
      </c>
      <c r="Q74" s="86">
        <f>SUM(Q49:Q72)</f>
        <v>4300854.2300000051</v>
      </c>
      <c r="S74" s="86">
        <f>SUM(S49:S72)</f>
        <v>51975266.460000001</v>
      </c>
      <c r="U74" s="86">
        <f>SUM(U49:U72)</f>
        <v>47674412.230000004</v>
      </c>
      <c r="W74" s="86">
        <f>SUM(W49:W72)</f>
        <v>4300854.2300000051</v>
      </c>
      <c r="Y74" s="86">
        <f>SUM(Y49:Y72)</f>
        <v>51975266.460000001</v>
      </c>
    </row>
    <row r="75" spans="1:25" ht="12.75" customHeight="1" x14ac:dyDescent="0.2"/>
    <row r="76" spans="1:25" ht="12.75" customHeight="1" x14ac:dyDescent="0.2"/>
    <row r="77" spans="1:25" ht="12.75" customHeight="1" x14ac:dyDescent="0.2">
      <c r="A77" s="103" t="s">
        <v>83</v>
      </c>
    </row>
    <row r="78" spans="1:25" ht="12.75" customHeight="1" x14ac:dyDescent="0.2">
      <c r="A78" s="102" t="str">
        <f>"Loss data provided by "&amp;client&amp;"."</f>
        <v>Loss data provided by CLIENT XYZ.</v>
      </c>
    </row>
    <row r="79" spans="1:25" ht="12.75" customHeight="1" x14ac:dyDescent="0.2">
      <c r="A79" s="102" t="s">
        <v>95</v>
      </c>
    </row>
    <row r="80" spans="1:25" ht="12.75" customHeight="1" x14ac:dyDescent="0.2">
      <c r="A80" s="102" t="s">
        <v>96</v>
      </c>
    </row>
    <row r="81" spans="1:1" ht="12.75" customHeight="1" x14ac:dyDescent="0.2">
      <c r="A81" s="106" t="str">
        <f>"* Policy periods 1995/1996 through 2001/2002 are valued as of "&amp;otxt_l&amp;"."</f>
        <v>* Policy periods 1995/1996 through 2001/2002 are valued as of January 26, 2017.</v>
      </c>
    </row>
    <row r="82" spans="1:1" ht="12.75" customHeight="1" x14ac:dyDescent="0.2"/>
    <row r="83" spans="1:1" ht="12.75" customHeight="1" x14ac:dyDescent="0.2"/>
  </sheetData>
  <printOptions horizontalCentered="1"/>
  <pageMargins left="0.7" right="0.7" top="0.75" bottom="0.75" header="0.3" footer="0.3"/>
  <pageSetup scale="49" orientation="landscape" blackAndWhite="1" r:id="rId1"/>
  <headerFooter>
    <oddHeader xml:space="preserve">&amp;L&amp;"Arial"&amp;10    
  &amp;R&amp;"Arial"&amp;10  Exhibit 7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">
    <tabColor rgb="FF00B050"/>
    <pageSetUpPr fitToPage="1"/>
  </sheetPr>
  <dimension ref="A1:W80"/>
  <sheetViews>
    <sheetView topLeftCell="A7" zoomScale="85" zoomScaleNormal="85" zoomScaleSheetLayoutView="70" workbookViewId="0">
      <selection activeCell="C55" sqref="C55"/>
    </sheetView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1</v>
      </c>
      <c r="C1" s="1" t="str">
        <f>VLOOKUP(A1, index_lkups, 2, FALSE)</f>
        <v>Rept 250K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Reported Loss &amp; ALAE Limited to $250,000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1018559</v>
      </c>
      <c r="F13" s="424">
        <v>1081460</v>
      </c>
      <c r="G13" s="424">
        <v>1160148.54</v>
      </c>
      <c r="H13" s="424">
        <v>1288073.73</v>
      </c>
      <c r="I13" s="424">
        <v>1279469.05</v>
      </c>
      <c r="J13" s="424">
        <v>1280586.1600000004</v>
      </c>
      <c r="K13" s="424">
        <v>1277629.2500000002</v>
      </c>
      <c r="L13" s="424">
        <v>1279629.2500000002</v>
      </c>
      <c r="M13" s="424">
        <v>1279629.2500000002</v>
      </c>
      <c r="N13" s="424">
        <v>1313504.2500000002</v>
      </c>
      <c r="O13" s="424">
        <v>1319952.2100000004</v>
      </c>
      <c r="P13" s="481">
        <v>1279527.4100000004</v>
      </c>
      <c r="Q13" s="481">
        <v>1257622.9500000004</v>
      </c>
      <c r="R13" s="424">
        <v>1243025.0200000005</v>
      </c>
      <c r="S13" s="482">
        <f>$U13</f>
        <v>1243025.0200000005</v>
      </c>
      <c r="U13" s="107">
        <f>'e7'!G56</f>
        <v>1243025.0200000005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1030367</v>
      </c>
      <c r="E14" s="90">
        <v>1535356.6</v>
      </c>
      <c r="F14" s="90">
        <v>1638754.67</v>
      </c>
      <c r="G14" s="90">
        <v>1860680.55</v>
      </c>
      <c r="H14" s="90">
        <v>2006050.53</v>
      </c>
      <c r="I14" s="90">
        <v>2013283.5</v>
      </c>
      <c r="J14" s="90">
        <v>2019052.0899999999</v>
      </c>
      <c r="K14" s="90">
        <v>2019052.0899999994</v>
      </c>
      <c r="L14" s="90">
        <v>2018779.9499999995</v>
      </c>
      <c r="M14" s="90">
        <v>1962797.2699999993</v>
      </c>
      <c r="N14" s="90">
        <v>1976605.1299999992</v>
      </c>
      <c r="O14" s="90">
        <v>1996669.3299999994</v>
      </c>
      <c r="P14" s="90">
        <v>1997469.3299999994</v>
      </c>
      <c r="Q14" s="90">
        <v>1986789.3299999994</v>
      </c>
      <c r="R14" s="107">
        <f>$U14</f>
        <v>1985205.2599999991</v>
      </c>
      <c r="S14" s="90"/>
      <c r="U14" s="107">
        <f>'e7'!G57</f>
        <v>1985205.2599999991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400689</v>
      </c>
      <c r="D15" s="90">
        <v>585124</v>
      </c>
      <c r="E15" s="90">
        <v>720306</v>
      </c>
      <c r="F15" s="90">
        <v>687459</v>
      </c>
      <c r="G15" s="90">
        <v>803494</v>
      </c>
      <c r="H15" s="90">
        <v>805477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'e7'!G58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783622</v>
      </c>
      <c r="D16" s="90">
        <v>1833312.45</v>
      </c>
      <c r="E16" s="90">
        <v>1869265.04</v>
      </c>
      <c r="F16" s="90">
        <v>1842983.12</v>
      </c>
      <c r="G16" s="90">
        <v>1805911.1900000013</v>
      </c>
      <c r="H16" s="90">
        <v>1806223</v>
      </c>
      <c r="I16" s="90">
        <v>1806238.9900000005</v>
      </c>
      <c r="J16" s="90">
        <v>1806238.9900000009</v>
      </c>
      <c r="K16" s="90">
        <v>1775499.3400000003</v>
      </c>
      <c r="L16" s="90">
        <v>1775477.7400000014</v>
      </c>
      <c r="M16" s="90">
        <v>1775477.7400000014</v>
      </c>
      <c r="N16" s="90">
        <v>1775477.7400000007</v>
      </c>
      <c r="O16" s="90">
        <v>1775477.7400000007</v>
      </c>
      <c r="P16" s="107">
        <f>$U16</f>
        <v>1775477.7400000007</v>
      </c>
      <c r="Q16" s="90"/>
      <c r="R16" s="90"/>
      <c r="S16" s="90"/>
      <c r="U16" s="107">
        <f>'e7'!G59</f>
        <v>1775477.7400000007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688159.9</v>
      </c>
      <c r="D17" s="90">
        <v>1082819.05</v>
      </c>
      <c r="E17" s="90">
        <v>1113970.23</v>
      </c>
      <c r="F17" s="90">
        <v>1099997.5399999998</v>
      </c>
      <c r="G17" s="90">
        <v>1100029</v>
      </c>
      <c r="H17" s="90">
        <v>1100049.21</v>
      </c>
      <c r="I17" s="90">
        <v>1100049.2099999997</v>
      </c>
      <c r="J17" s="90">
        <v>1100049.21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'e7'!G60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644636.94999999995</v>
      </c>
      <c r="D18" s="90">
        <v>635297.81999999995</v>
      </c>
      <c r="E18" s="90">
        <v>660688.12999999989</v>
      </c>
      <c r="F18" s="90">
        <v>676922</v>
      </c>
      <c r="G18" s="90">
        <v>696806.18</v>
      </c>
      <c r="H18" s="90">
        <v>741352.17999999982</v>
      </c>
      <c r="I18" s="90">
        <v>766285.18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'e7'!G61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894685.16</v>
      </c>
      <c r="D19" s="90">
        <v>1420405.8599999999</v>
      </c>
      <c r="E19" s="90">
        <v>1450979</v>
      </c>
      <c r="F19" s="90">
        <v>1423961.03</v>
      </c>
      <c r="G19" s="90">
        <v>1443533.56</v>
      </c>
      <c r="H19" s="90">
        <v>1429463.76</v>
      </c>
      <c r="I19" s="90">
        <v>1441462.5999999999</v>
      </c>
      <c r="J19" s="90">
        <v>1454635.2400000005</v>
      </c>
      <c r="K19" s="90">
        <v>1472730.2400000002</v>
      </c>
      <c r="L19" s="90">
        <v>1590221.4700000002</v>
      </c>
      <c r="M19" s="107">
        <f>$U19</f>
        <v>1590221.4700000002</v>
      </c>
      <c r="N19" s="90"/>
      <c r="O19" s="90"/>
      <c r="P19" s="90"/>
      <c r="Q19" s="90"/>
      <c r="R19" s="90"/>
      <c r="S19" s="90"/>
      <c r="U19" s="107">
        <f>'e7'!G62</f>
        <v>1590221.4700000002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742783.04000000015</v>
      </c>
      <c r="D20" s="90">
        <v>1082561</v>
      </c>
      <c r="E20" s="90">
        <v>1155731.3700000001</v>
      </c>
      <c r="F20" s="90">
        <v>1133434.4900000002</v>
      </c>
      <c r="G20" s="90">
        <v>1166253.0500000003</v>
      </c>
      <c r="H20" s="90">
        <v>1248830.3299999998</v>
      </c>
      <c r="I20" s="90">
        <v>1256415.0399999996</v>
      </c>
      <c r="J20" s="90">
        <v>1256415.0400000003</v>
      </c>
      <c r="K20" s="90">
        <v>1187635.5200000003</v>
      </c>
      <c r="L20" s="107">
        <f>$U20</f>
        <v>1200315.5200000003</v>
      </c>
      <c r="M20" s="90"/>
      <c r="N20" s="90"/>
      <c r="O20" s="90"/>
      <c r="P20" s="90"/>
      <c r="Q20" s="90"/>
      <c r="R20" s="90"/>
      <c r="S20" s="90"/>
      <c r="U20" s="107">
        <f>'e7'!G63</f>
        <v>1200315.5200000003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458521.01</v>
      </c>
      <c r="D21" s="90">
        <v>880038.00999999989</v>
      </c>
      <c r="E21" s="90">
        <v>1126810.5599999996</v>
      </c>
      <c r="F21" s="90">
        <v>1167572.6599999999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'e7'!G64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685785.19000000006</v>
      </c>
      <c r="D22" s="90">
        <v>1376198.1099999999</v>
      </c>
      <c r="E22" s="90">
        <v>1673596.5400000003</v>
      </c>
      <c r="F22" s="90">
        <v>1812180.21</v>
      </c>
      <c r="G22" s="90">
        <v>1848681.2199999997</v>
      </c>
      <c r="H22" s="90">
        <v>1827849.9099999985</v>
      </c>
      <c r="I22" s="90">
        <v>1828669.29</v>
      </c>
      <c r="J22" s="107">
        <f>$U22</f>
        <v>1828733.7599999993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'e7'!G65</f>
        <v>1828733.7599999993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766763.04000000039</v>
      </c>
      <c r="D23" s="90">
        <v>1420541.2300000002</v>
      </c>
      <c r="E23" s="90">
        <v>1693465.93</v>
      </c>
      <c r="F23" s="90">
        <v>1802508.0899999999</v>
      </c>
      <c r="G23" s="90">
        <v>1870916.5999999996</v>
      </c>
      <c r="H23" s="90">
        <v>1847334.3199999994</v>
      </c>
      <c r="I23" s="107">
        <f>$U23</f>
        <v>1856047.24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'e7'!G66</f>
        <v>1856047.24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1299979.4700000002</v>
      </c>
      <c r="D24" s="90">
        <v>1835988.2100000009</v>
      </c>
      <c r="E24" s="90">
        <v>2094045.5700000008</v>
      </c>
      <c r="F24" s="90">
        <v>2221217.7700000005</v>
      </c>
      <c r="G24" s="90">
        <v>2173022.2300000004</v>
      </c>
      <c r="H24" s="107">
        <f>$U24</f>
        <v>2173195.9299999997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'e7'!G67</f>
        <v>2173195.9299999997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1326440.2600000012</v>
      </c>
      <c r="D25" s="90">
        <v>2776597.07</v>
      </c>
      <c r="E25" s="90">
        <v>2999016.44</v>
      </c>
      <c r="F25" s="90">
        <v>3055555.0899999994</v>
      </c>
      <c r="G25" s="107">
        <f>$U25</f>
        <v>3055006.9300000016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'e7'!G68</f>
        <v>3055006.9300000016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1273406.9200000006</v>
      </c>
      <c r="D26" s="90">
        <v>2048957.4300000011</v>
      </c>
      <c r="E26" s="90">
        <v>2287911.0000000014</v>
      </c>
      <c r="F26" s="107">
        <f>$U26</f>
        <v>2481681.0000000019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'e7'!G69</f>
        <v>2481681.0000000019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1415374.3399999989</v>
      </c>
      <c r="D27" s="90">
        <v>2264112.3000000003</v>
      </c>
      <c r="E27" s="107">
        <f>$U27</f>
        <v>2585441.4500000016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'e7'!G70</f>
        <v>2585441.4500000016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4706747.6700000055</v>
      </c>
      <c r="D28" s="107">
        <f>$U28</f>
        <v>5793621.7700000023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'e7'!G71</f>
        <v>5793621.7700000023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1261811.2200000007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'e7'!G72</f>
        <v>1261811.2200000007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1.0617548909783332</v>
      </c>
      <c r="F34" s="109">
        <f t="shared" si="2"/>
        <v>1.072761396630481</v>
      </c>
      <c r="G34" s="109">
        <f t="shared" si="2"/>
        <v>1.1102662164277688</v>
      </c>
      <c r="H34" s="109">
        <f t="shared" si="2"/>
        <v>0.99331973023003894</v>
      </c>
      <c r="I34" s="109">
        <f t="shared" si="2"/>
        <v>1.0008731043552794</v>
      </c>
      <c r="J34" s="109">
        <f t="shared" si="2"/>
        <v>0.99769097145326002</v>
      </c>
      <c r="K34" s="109">
        <f t="shared" si="2"/>
        <v>1.0015653993519638</v>
      </c>
      <c r="L34" s="109">
        <f t="shared" si="2"/>
        <v>1</v>
      </c>
      <c r="M34" s="109">
        <f t="shared" si="2"/>
        <v>1.0264725114715845</v>
      </c>
      <c r="N34" s="109">
        <f t="shared" si="2"/>
        <v>1.0049089753611382</v>
      </c>
      <c r="O34" s="109">
        <f t="shared" si="2"/>
        <v>0.96937404271628891</v>
      </c>
      <c r="P34" s="109">
        <f t="shared" si="2"/>
        <v>0.98288082003651644</v>
      </c>
      <c r="Q34" s="109">
        <f t="shared" si="2"/>
        <v>0.98839244306093499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1.4901065348560272</v>
      </c>
      <c r="E35" s="109">
        <f t="shared" si="3"/>
        <v>1.067344661168617</v>
      </c>
      <c r="F35" s="109">
        <f t="shared" si="3"/>
        <v>1.1354234920349611</v>
      </c>
      <c r="G35" s="109">
        <f t="shared" si="3"/>
        <v>1.0781273174484465</v>
      </c>
      <c r="H35" s="109">
        <f t="shared" si="3"/>
        <v>1.0036055771735719</v>
      </c>
      <c r="I35" s="109">
        <f t="shared" si="3"/>
        <v>1.0028652646286527</v>
      </c>
      <c r="J35" s="109">
        <f t="shared" si="3"/>
        <v>0.99999999999999978</v>
      </c>
      <c r="K35" s="109">
        <f t="shared" si="3"/>
        <v>0.99986521397771377</v>
      </c>
      <c r="L35" s="109">
        <f t="shared" si="3"/>
        <v>0.97226905289999532</v>
      </c>
      <c r="M35" s="109">
        <f t="shared" si="3"/>
        <v>1.0070347866338738</v>
      </c>
      <c r="N35" s="109">
        <f t="shared" si="3"/>
        <v>1.010150838776787</v>
      </c>
      <c r="O35" s="109">
        <f t="shared" si="3"/>
        <v>1.0004006672451868</v>
      </c>
      <c r="P35" s="109">
        <f t="shared" si="3"/>
        <v>0.99465323455054</v>
      </c>
      <c r="Q35" s="109">
        <f t="shared" si="3"/>
        <v>0.99920269855687205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1.4602946424783312</v>
      </c>
      <c r="D36" s="109">
        <f t="shared" si="3"/>
        <v>1.2310313711281711</v>
      </c>
      <c r="E36" s="109">
        <f t="shared" si="3"/>
        <v>0.95439854728407092</v>
      </c>
      <c r="F36" s="109">
        <f t="shared" si="3"/>
        <v>1.1687882477355014</v>
      </c>
      <c r="G36" s="109">
        <f t="shared" si="3"/>
        <v>1.0024679711360633</v>
      </c>
      <c r="H36" s="109">
        <f t="shared" si="3"/>
        <v>0.86870867821179298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2.3395367281674071</v>
      </c>
      <c r="D37" s="109">
        <f t="shared" si="3"/>
        <v>1.0196107270203725</v>
      </c>
      <c r="E37" s="109">
        <f t="shared" si="3"/>
        <v>0.98593997135901079</v>
      </c>
      <c r="F37" s="109">
        <f t="shared" si="3"/>
        <v>0.97988482390441056</v>
      </c>
      <c r="G37" s="109">
        <f t="shared" si="3"/>
        <v>1.0001726607607977</v>
      </c>
      <c r="H37" s="109">
        <f t="shared" si="3"/>
        <v>1.0000088527274873</v>
      </c>
      <c r="I37" s="109">
        <f t="shared" si="3"/>
        <v>1.0000000000000002</v>
      </c>
      <c r="J37" s="109">
        <f t="shared" si="3"/>
        <v>0.98298140491364294</v>
      </c>
      <c r="K37" s="109">
        <f t="shared" si="3"/>
        <v>0.99998783440831973</v>
      </c>
      <c r="L37" s="109">
        <f t="shared" si="3"/>
        <v>1</v>
      </c>
      <c r="M37" s="109">
        <f t="shared" si="3"/>
        <v>0.99999999999999956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1.5734991969162981</v>
      </c>
      <c r="D38" s="109">
        <f t="shared" si="3"/>
        <v>1.0287685924993655</v>
      </c>
      <c r="E38" s="109">
        <f t="shared" si="3"/>
        <v>0.98745685510823733</v>
      </c>
      <c r="F38" s="109">
        <f t="shared" si="3"/>
        <v>1.0000286000639602</v>
      </c>
      <c r="G38" s="109">
        <f t="shared" si="3"/>
        <v>1.0000183722429135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0.99965566085902646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0.98551257417062421</v>
      </c>
      <c r="D39" s="109">
        <f t="shared" si="3"/>
        <v>1.0399659957907614</v>
      </c>
      <c r="E39" s="109">
        <f t="shared" si="3"/>
        <v>1.024571154320572</v>
      </c>
      <c r="F39" s="109">
        <f t="shared" si="3"/>
        <v>1.0293744035501875</v>
      </c>
      <c r="G39" s="109">
        <f t="shared" si="3"/>
        <v>1.0639288245118603</v>
      </c>
      <c r="H39" s="109">
        <f t="shared" si="3"/>
        <v>1.0336317888752957</v>
      </c>
      <c r="I39" s="109">
        <f t="shared" si="3"/>
        <v>0.99998017709281506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1.5876041355151123</v>
      </c>
      <c r="D40" s="109">
        <f t="shared" si="3"/>
        <v>1.0215242282934542</v>
      </c>
      <c r="E40" s="109">
        <f t="shared" si="3"/>
        <v>0.98137948929653707</v>
      </c>
      <c r="F40" s="109">
        <f t="shared" si="3"/>
        <v>1.0137451303705973</v>
      </c>
      <c r="G40" s="109">
        <f t="shared" si="3"/>
        <v>0.99025322279310224</v>
      </c>
      <c r="H40" s="109">
        <f t="shared" si="3"/>
        <v>1.0083939448734258</v>
      </c>
      <c r="I40" s="109">
        <f t="shared" si="3"/>
        <v>1.0091383848599336</v>
      </c>
      <c r="J40" s="109">
        <f t="shared" si="3"/>
        <v>1.0124395446380081</v>
      </c>
      <c r="K40" s="109">
        <f t="shared" si="3"/>
        <v>1.0797778349414486</v>
      </c>
      <c r="L40" s="109">
        <f t="shared" si="3"/>
        <v>1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1.4574390389958281</v>
      </c>
      <c r="D41" s="109">
        <f t="shared" si="3"/>
        <v>1.0675900665181917</v>
      </c>
      <c r="E41" s="109">
        <f t="shared" si="3"/>
        <v>0.98070755836626644</v>
      </c>
      <c r="F41" s="109">
        <f t="shared" si="3"/>
        <v>1.0289549685399111</v>
      </c>
      <c r="G41" s="109">
        <f t="shared" si="3"/>
        <v>1.0708056283325471</v>
      </c>
      <c r="H41" s="109">
        <f t="shared" si="3"/>
        <v>1.0060734511468821</v>
      </c>
      <c r="I41" s="109">
        <f t="shared" si="3"/>
        <v>1.0000000000000007</v>
      </c>
      <c r="J41" s="109">
        <f t="shared" si="3"/>
        <v>0.94525732515904937</v>
      </c>
      <c r="K41" s="109">
        <f t="shared" si="3"/>
        <v>1.0106766762920665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1.9192970241429066</v>
      </c>
      <c r="D42" s="109">
        <f t="shared" si="3"/>
        <v>1.2804112404190358</v>
      </c>
      <c r="E42" s="109">
        <f t="shared" si="3"/>
        <v>1.0361747586036116</v>
      </c>
      <c r="F42" s="109">
        <f t="shared" si="3"/>
        <v>1.0371711170420861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2.0067480751516373</v>
      </c>
      <c r="D43" s="109">
        <f t="shared" si="3"/>
        <v>1.2161014666703767</v>
      </c>
      <c r="E43" s="109">
        <f t="shared" si="3"/>
        <v>1.0828059013554125</v>
      </c>
      <c r="F43" s="109">
        <f t="shared" si="3"/>
        <v>1.0201420420544156</v>
      </c>
      <c r="G43" s="109">
        <f t="shared" si="3"/>
        <v>0.98873179985027315</v>
      </c>
      <c r="H43" s="109">
        <f t="shared" si="3"/>
        <v>1.000448275318186</v>
      </c>
      <c r="I43" s="109">
        <f t="shared" si="3"/>
        <v>1.0000352551444658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1.8526469794370886</v>
      </c>
      <c r="D44" s="109">
        <f t="shared" si="3"/>
        <v>1.1921272640569536</v>
      </c>
      <c r="E44" s="109">
        <f t="shared" si="3"/>
        <v>1.0643899343165408</v>
      </c>
      <c r="F44" s="109">
        <f t="shared" si="3"/>
        <v>1.0379518463076634</v>
      </c>
      <c r="G44" s="109">
        <f t="shared" si="3"/>
        <v>0.98739533338899221</v>
      </c>
      <c r="H44" s="109">
        <f t="shared" si="3"/>
        <v>1.0047164825043691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1.4123209268835613</v>
      </c>
      <c r="D45" s="109">
        <f t="shared" si="3"/>
        <v>1.140555020230767</v>
      </c>
      <c r="E45" s="109">
        <f t="shared" si="3"/>
        <v>1.0607303880211163</v>
      </c>
      <c r="F45" s="109">
        <f t="shared" si="3"/>
        <v>0.97830219951823993</v>
      </c>
      <c r="G45" s="109">
        <f t="shared" si="3"/>
        <v>1.0000799347552001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2.0932695981347833</v>
      </c>
      <c r="D46" s="109">
        <f t="shared" si="3"/>
        <v>1.0801050222242006</v>
      </c>
      <c r="E46" s="109">
        <f t="shared" si="3"/>
        <v>1.0188523974880244</v>
      </c>
      <c r="F46" s="109">
        <f t="shared" si="3"/>
        <v>0.99982060215448521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1.609035884617307</v>
      </c>
      <c r="D47" s="109">
        <f t="shared" si="3"/>
        <v>1.1166220276230923</v>
      </c>
      <c r="E47" s="109">
        <f t="shared" si="3"/>
        <v>1.0846929797531462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1.5996561729386742</v>
      </c>
      <c r="D48" s="109">
        <f t="shared" si="3"/>
        <v>1.1419227968506691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1.2309182850246134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1" spans="1:19" x14ac:dyDescent="0.2">
      <c r="C51" s="109">
        <f>AVERAGEIF($A$34:$A$49,"&lt;&gt;*9/30/18",C$34:C$49)</f>
        <v>1.6843739213499658</v>
      </c>
      <c r="D51" s="109">
        <f t="shared" ref="D51:Q51" si="5">AVERAGEIF($A$34:$A$49,"&lt;&gt;*9/30/18",D$34:D$49)</f>
        <v>1.1476030252986742</v>
      </c>
      <c r="E51" s="109">
        <f t="shared" si="5"/>
        <v>1.0279428205299641</v>
      </c>
      <c r="F51" s="109">
        <f t="shared" si="5"/>
        <v>1.0386422207620694</v>
      </c>
      <c r="G51" s="109">
        <f t="shared" si="5"/>
        <v>1.0244361791271945</v>
      </c>
      <c r="H51" s="109">
        <f t="shared" si="5"/>
        <v>0.99267649482281961</v>
      </c>
      <c r="I51" s="109">
        <f t="shared" si="5"/>
        <v>1.0012892186081148</v>
      </c>
      <c r="J51" s="109">
        <f t="shared" si="5"/>
        <v>0.99312001670735128</v>
      </c>
      <c r="K51" s="109">
        <f t="shared" si="5"/>
        <v>1.011484119871439</v>
      </c>
      <c r="L51" s="109">
        <f t="shared" si="5"/>
        <v>0.99606192086961998</v>
      </c>
      <c r="M51" s="109">
        <f t="shared" si="5"/>
        <v>1.005584549684243</v>
      </c>
      <c r="N51" s="109">
        <f t="shared" si="5"/>
        <v>1.0030119628275851</v>
      </c>
      <c r="O51" s="109">
        <f t="shared" si="5"/>
        <v>0.99244367749036888</v>
      </c>
      <c r="P51" s="109">
        <f t="shared" si="5"/>
        <v>0.99251135152901881</v>
      </c>
      <c r="Q51" s="109">
        <f t="shared" si="5"/>
        <v>0.99379757080890352</v>
      </c>
    </row>
    <row r="52" spans="1:19" x14ac:dyDescent="0.2">
      <c r="A52" s="3" t="s">
        <v>100</v>
      </c>
      <c r="C52" s="109">
        <f>[1]!avg(C34:C49, , FALSE, TRUE, )</f>
        <v>1.684373921349966</v>
      </c>
      <c r="D52" s="109">
        <f>[1]!avg(D34:D49, , FALSE, TRUE, )</f>
        <v>1.1480399659485205</v>
      </c>
      <c r="E52" s="109">
        <f>[1]!avg(E34:E49, , FALSE, TRUE, )</f>
        <v>1.0235774236666424</v>
      </c>
      <c r="F52" s="109">
        <f>[1]!avg(F34:F49, , FALSE, TRUE, )</f>
        <v>1.0418773556460343</v>
      </c>
      <c r="G52" s="109">
        <f>[1]!avg(G34:G49, , FALSE, TRUE, )</f>
        <v>1.0266503831610121</v>
      </c>
      <c r="H52" s="109">
        <f>[1]!avg(H34:H49, , FALSE, TRUE, )</f>
        <v>0.99147249605466448</v>
      </c>
      <c r="I52" s="109">
        <f>[1]!avg(I34:I49, , FALSE, TRUE, )</f>
        <v>1.0014285478818534</v>
      </c>
      <c r="J52" s="109">
        <f>[1]!avg(J34:J49, , FALSE, TRUE, )</f>
        <v>0.99225311337787347</v>
      </c>
      <c r="K52" s="109">
        <f>[1]!avg(K34:K49, , FALSE, TRUE, )</f>
        <v>1.0115994689542067</v>
      </c>
      <c r="L52" s="109">
        <f>[1]!avg(L34:L49, , FALSE, TRUE, )</f>
        <v>0.99540557434789001</v>
      </c>
      <c r="M52" s="109">
        <f>[1]!avg(M34:M49, , FALSE, TRUE, )</f>
        <v>1.0067014596210915</v>
      </c>
      <c r="N52" s="109">
        <f>[1]!avg(N34:N49, , FALSE, TRUE, )</f>
        <v>1.0037649535344813</v>
      </c>
      <c r="O52" s="109">
        <f>[1]!avg(O34:O49, , FALSE, TRUE, )</f>
        <v>0.98992490332049199</v>
      </c>
      <c r="P52" s="109">
        <f>[1]!avg(P34:P49, , FALSE, TRUE, )</f>
        <v>0.98876702729352806</v>
      </c>
      <c r="Q52" s="109">
        <f>[1]!avg(Q34:Q49, , FALSE, TRUE, )</f>
        <v>0.98839244306093499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FALSE,1, TRUE)</f>
        <v>1.690731257289243</v>
      </c>
      <c r="D53" s="109">
        <f>[1]!DAvg(D$13:D$29, E$13:E$29, , FALSE,1, TRUE)</f>
        <v>1.1317696502697512</v>
      </c>
      <c r="E53" s="109">
        <f>[1]!DAvg(E$13:E$29, F$13:F$29, , FALSE,1, TRUE)</f>
        <v>1.027847483076286</v>
      </c>
      <c r="F53" s="109">
        <f>[1]!DAvg(F$13:F$29, G$13:G$29, , FALSE,1, TRUE)</f>
        <v>1.0332760541641859</v>
      </c>
      <c r="G53" s="109">
        <f>[1]!DAvg(G$13:G$29, H$13:H$29, , FALSE,1, TRUE)</f>
        <v>1.0230797959360354</v>
      </c>
      <c r="H53" s="109">
        <f>[1]!DAvg(H$13:H$29, I$13:I$29, , FALSE,1, TRUE)</f>
        <v>0.9954607210714389</v>
      </c>
      <c r="I53" s="109">
        <f>[1]!DAvg(I$13:I$29, J$13:J$29, , FALSE,1, TRUE)</f>
        <v>1.0017314783036362</v>
      </c>
      <c r="J53" s="109">
        <f>[1]!DAvg(J$13:J$29, K$13:K$29, , FALSE,1, TRUE)</f>
        <v>0.99183664624843371</v>
      </c>
      <c r="K53" s="109">
        <f>[1]!DAvg(K$13:K$29, L$13:L$29, , FALSE,1, TRUE)</f>
        <v>1.0130834194801899</v>
      </c>
      <c r="L53" s="109">
        <f>[1]!DAvg(L$13:L$29, M$13:M$29, , FALSE,1, TRUE)</f>
        <v>0.99268705174540584</v>
      </c>
      <c r="M53" s="109">
        <f>[1]!DAvg(M$13:M$29, N$13:N$29, , FALSE,1, TRUE)</f>
        <v>1.0069942731970309</v>
      </c>
      <c r="N53" s="109">
        <f>[1]!DAvg(N$13:N$29, O$13:O$29, , FALSE,1, TRUE)</f>
        <v>1.0045984729238642</v>
      </c>
      <c r="O53" s="109">
        <f>[1]!DAvg(O$13:O$29, P$13:P$29, , FALSE,1, TRUE)</f>
        <v>0.99013440046902179</v>
      </c>
      <c r="P53" s="109">
        <f>[1]!DAvg(P$13:P$29, Q$13:Q$29, , FALSE,1, TRUE)</f>
        <v>0.99005660896690417</v>
      </c>
      <c r="Q53" s="109">
        <f>[1]!DAvg(Q$13:Q$29, R$13:R$29, , FALSE,1, TRUE)</f>
        <v>0.98839244306093499</v>
      </c>
      <c r="R53" s="109" t="str">
        <f>[1]!DAvg(R$13:R$29, S$13:S$29, , FALSE,1, TRUE)</f>
        <v/>
      </c>
      <c r="S53" s="109" t="str">
        <f>[1]!DAvg(S$13:S$29, T$13:T$29, , FALSE,1, TRUE)</f>
        <v/>
      </c>
    </row>
    <row r="54" spans="1:19" x14ac:dyDescent="0.2">
      <c r="A54" s="3" t="s">
        <v>102</v>
      </c>
      <c r="C54" s="109">
        <f>[1]!DAvg(C$13:C$29, D$13:D$29, 4, FALSE, 1, TRUE)</f>
        <v>1.6792695190252811</v>
      </c>
      <c r="D54" s="109">
        <f>[1]!DAvg(D$13:D$29, E$13:E$29, 4, FALSE, 1, TRUE)</f>
        <v>1.1227845450959273</v>
      </c>
      <c r="E54" s="109">
        <f>[1]!DAvg(E$13:E$29, F$13:F$29, 4, FALSE, 1, TRUE)</f>
        <v>1.0509846729820222</v>
      </c>
      <c r="F54" s="109">
        <f>[1]!DAvg(F$13:F$29, G$13:G$29, 4, FALSE, 1, TRUE)</f>
        <v>1.0142948902766209</v>
      </c>
      <c r="G54" s="109">
        <f>[1]!DAvg(G$13:G$29, H$13:H$29, 4, FALSE, 1, TRUE)</f>
        <v>1.0064556174105157</v>
      </c>
      <c r="H54" s="109">
        <f>[1]!DAvg(H$13:H$29, I$13:I$29, 4, FALSE, 1, TRUE)</f>
        <v>1.0036813365670827</v>
      </c>
      <c r="I54" s="109">
        <f>[1]!DAvg(I$13:I$29, J$13:J$29, 4, FALSE, 1, TRUE)</f>
        <v>1.0028132371432286</v>
      </c>
      <c r="J54" s="109">
        <f>[1]!DAvg(J$13:J$29, K$13:K$29, 4, FALSE, 1, TRUE)</f>
        <v>0.98884439846442096</v>
      </c>
      <c r="K54" s="109">
        <f>[1]!DAvg(K$13:K$29, L$13:L$29, 4, FALSE, 1, TRUE)</f>
        <v>1.0229694418116124</v>
      </c>
      <c r="L54" s="109">
        <f>[1]!DAvg(L$13:L$29, M$13:M$29, 4, FALSE, 1, TRUE)</f>
        <v>1.0000264976297104</v>
      </c>
      <c r="M54" s="109">
        <f>[1]!DAvg(M$13:M$29, N$13:N$29, 4, FALSE, 1, TRUE)</f>
        <v>1.0024933902638173</v>
      </c>
      <c r="N54" s="109">
        <f>[1]!DAvg(N$13:N$29, O$13:O$29, 4, FALSE, 1, TRUE)</f>
        <v>1.0045984729238642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1.7656975498577223</v>
      </c>
      <c r="D55" s="109">
        <f>[1]!DAvg(D$13:D$29, E$13:E$29, 3, FALSE, 1, TRUE)</f>
        <v>1.1079975512158806</v>
      </c>
      <c r="E55" s="109">
        <f>[1]!DAvg(E$13:E$29, F$13:F$29, 3, FALSE, 1, TRUE)</f>
        <v>1.0431373763709875</v>
      </c>
      <c r="F55" s="109">
        <f>[1]!DAvg(F$13:F$29, G$13:G$29, 3, FALSE, 1, TRUE)</f>
        <v>1.0097181104904245</v>
      </c>
      <c r="G55" s="109">
        <f>[1]!DAvg(G$13:G$29, H$13:H$29, 3, FALSE, 1, TRUE)</f>
        <v>0.99123458018689359</v>
      </c>
      <c r="H55" s="109">
        <f>[1]!DAvg(H$13:H$29, I$13:I$29, 3, FALSE, 1, TRUE)</f>
        <v>1.0021106343954209</v>
      </c>
      <c r="I55" s="109">
        <f>[1]!DAvg(I$13:I$29, J$13:J$29, 3, FALSE, 1, TRUE)</f>
        <v>1.0033683642475228</v>
      </c>
      <c r="J55" s="109">
        <f>[1]!DAvg(J$13:J$29, K$13:K$29, 3, FALSE, 1, TRUE)</f>
        <v>0.98542425889347263</v>
      </c>
      <c r="K55" s="109">
        <f>[1]!DAvg(K$13:K$29, L$13:L$29, 3, FALSE, 1, TRUE)</f>
        <v>1.0351910213126292</v>
      </c>
      <c r="L55" s="109">
        <f>[1]!DAvg(L$13:L$29, M$13:M$29, 3, FALSE, 1, TRUE)</f>
        <v>0.99999999999999978</v>
      </c>
      <c r="M55" s="109">
        <f>[1]!DAvg(M$13:M$29, N$13:N$29, 3, FALSE, 1, TRUE)</f>
        <v>0.99999999999999978</v>
      </c>
      <c r="N55" s="109">
        <f>[1]!DAvg(N$13:N$29, O$13:O$29, 3, FALSE, 1, TRUE)</f>
        <v>1.0045068616599269</v>
      </c>
      <c r="O55" s="109">
        <f>[1]!DAvg(O$13:O$29, P$13:P$29, 3, FALSE, 1, TRUE)</f>
        <v>0.99013440046902179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1.3665913291434593</v>
      </c>
      <c r="D57" s="109">
        <f t="shared" ref="D57:S57" si="6">IF(ISBLANK(E73), D73, D73/E73)</f>
        <v>1.1019646431470398</v>
      </c>
      <c r="E57" s="109">
        <f t="shared" si="6"/>
        <v>1.0420306579880874</v>
      </c>
      <c r="F57" s="109">
        <f t="shared" si="6"/>
        <v>1.0204025930542915</v>
      </c>
      <c r="G57" s="109">
        <f t="shared" si="6"/>
        <v>1.0133308321752466</v>
      </c>
      <c r="H57" s="109">
        <f t="shared" si="6"/>
        <v>1.010105325133249</v>
      </c>
      <c r="I57" s="109">
        <f t="shared" si="6"/>
        <v>1.0077244617271266</v>
      </c>
      <c r="J57" s="109">
        <f t="shared" si="6"/>
        <v>1.0060961328325522</v>
      </c>
      <c r="K57" s="109">
        <f t="shared" si="6"/>
        <v>1.0041146460631634</v>
      </c>
      <c r="L57" s="109">
        <f t="shared" si="6"/>
        <v>1.0034476903031091</v>
      </c>
      <c r="M57" s="109">
        <f t="shared" si="6"/>
        <v>1.002889049515524</v>
      </c>
      <c r="N57" s="109">
        <f t="shared" si="6"/>
        <v>1.0024592935352195</v>
      </c>
      <c r="O57" s="109">
        <f t="shared" si="6"/>
        <v>1.0020830197994137</v>
      </c>
      <c r="P57" s="109">
        <f t="shared" si="6"/>
        <v>1.0018552986877232</v>
      </c>
      <c r="Q57" s="109">
        <f t="shared" si="6"/>
        <v>1.0015701397524706</v>
      </c>
      <c r="R57" s="109">
        <f t="shared" si="6"/>
        <v>1.0013325461249341</v>
      </c>
      <c r="S57" s="109">
        <f t="shared" si="6"/>
        <v>1.0075312848150413</v>
      </c>
    </row>
    <row r="58" spans="1:19" x14ac:dyDescent="0.2">
      <c r="A58" s="3" t="s">
        <v>18</v>
      </c>
      <c r="C58" s="109">
        <f>IF(ISBLANK(D74), C74, C74/D74)</f>
        <v>1.6000000000000012</v>
      </c>
      <c r="D58" s="109">
        <f t="shared" ref="D58:S58" si="7">IF(ISBLANK(E74), D74, D74/E74)</f>
        <v>1.1248774460060162</v>
      </c>
      <c r="E58" s="109">
        <f t="shared" si="7"/>
        <v>1.056</v>
      </c>
      <c r="F58" s="109">
        <f t="shared" si="7"/>
        <v>1.0310124230443505</v>
      </c>
      <c r="G58" s="109">
        <f t="shared" si="7"/>
        <v>1.0123282353158187</v>
      </c>
      <c r="H58" s="109">
        <f t="shared" si="7"/>
        <v>1.0094401200256153</v>
      </c>
      <c r="I58" s="109">
        <f t="shared" si="7"/>
        <v>1.0074612415801387</v>
      </c>
      <c r="J58" s="109">
        <f t="shared" si="7"/>
        <v>1.0061316068698185</v>
      </c>
      <c r="K58" s="109">
        <f t="shared" si="7"/>
        <v>1.0042246724644939</v>
      </c>
      <c r="L58" s="109">
        <f t="shared" si="7"/>
        <v>1.0035920949612118</v>
      </c>
      <c r="M58" s="109">
        <f t="shared" si="7"/>
        <v>1.0030703199838065</v>
      </c>
      <c r="N58" s="109">
        <f t="shared" si="7"/>
        <v>1.0026281604113745</v>
      </c>
      <c r="O58" s="109">
        <f t="shared" si="7"/>
        <v>1.0022747364808637</v>
      </c>
      <c r="P58" s="109">
        <f t="shared" si="7"/>
        <v>1.0019774178352179</v>
      </c>
      <c r="Q58" s="109">
        <f t="shared" si="7"/>
        <v>1.0017164809282677</v>
      </c>
      <c r="R58" s="109">
        <f t="shared" si="7"/>
        <v>1.0014326615581937</v>
      </c>
      <c r="S58" s="109">
        <f t="shared" si="7"/>
        <v>1.0081183337586399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8">D32</f>
        <v>24 - 36</v>
      </c>
      <c r="E60" s="108" t="str">
        <f t="shared" si="8"/>
        <v>36 - 48</v>
      </c>
      <c r="F60" s="108" t="str">
        <f t="shared" si="8"/>
        <v>48 - 60</v>
      </c>
      <c r="G60" s="108" t="str">
        <f t="shared" si="8"/>
        <v>60 - 72</v>
      </c>
      <c r="H60" s="108" t="str">
        <f t="shared" si="8"/>
        <v>72 - 84</v>
      </c>
      <c r="I60" s="108" t="str">
        <f t="shared" si="8"/>
        <v>84 - 96</v>
      </c>
      <c r="J60" s="108" t="str">
        <f t="shared" si="8"/>
        <v>96 - 108</v>
      </c>
      <c r="K60" s="108" t="str">
        <f t="shared" si="8"/>
        <v>108 - 120</v>
      </c>
      <c r="L60" s="108" t="str">
        <f t="shared" si="8"/>
        <v>120 - 132</v>
      </c>
      <c r="M60" s="108" t="str">
        <f t="shared" si="8"/>
        <v>132 - 144</v>
      </c>
      <c r="N60" s="108" t="str">
        <f t="shared" si="8"/>
        <v>144 - 156</v>
      </c>
      <c r="O60" s="108" t="str">
        <f t="shared" si="8"/>
        <v>156 - 168</v>
      </c>
      <c r="P60" s="108" t="str">
        <f t="shared" si="8"/>
        <v>168 - 180</v>
      </c>
      <c r="Q60" s="108" t="str">
        <f t="shared" si="8"/>
        <v>180 - 192</v>
      </c>
      <c r="R60" s="108" t="str">
        <f t="shared" si="8"/>
        <v>192 - 204</v>
      </c>
      <c r="S60" s="108" t="str">
        <f t="shared" si="8"/>
        <v>204 - ULT</v>
      </c>
    </row>
    <row r="61" spans="1:19" x14ac:dyDescent="0.2">
      <c r="A61" s="3" t="s">
        <v>106</v>
      </c>
      <c r="C61" s="109">
        <f>C58</f>
        <v>1.6000000000000012</v>
      </c>
      <c r="D61" s="109">
        <v>1.1399999999999999</v>
      </c>
      <c r="E61" s="109">
        <f t="shared" ref="E61:S61" si="9">E58</f>
        <v>1.056</v>
      </c>
      <c r="F61" s="109">
        <v>1.0249999999999999</v>
      </c>
      <c r="G61" s="109">
        <f t="shared" si="9"/>
        <v>1.0123282353158187</v>
      </c>
      <c r="H61" s="109">
        <f t="shared" si="9"/>
        <v>1.0094401200256153</v>
      </c>
      <c r="I61" s="109">
        <f t="shared" si="9"/>
        <v>1.0074612415801387</v>
      </c>
      <c r="J61" s="109">
        <f t="shared" si="9"/>
        <v>1.0061316068698185</v>
      </c>
      <c r="K61" s="109">
        <f t="shared" si="9"/>
        <v>1.0042246724644939</v>
      </c>
      <c r="L61" s="109">
        <f t="shared" si="9"/>
        <v>1.0035920949612118</v>
      </c>
      <c r="M61" s="109">
        <f t="shared" si="9"/>
        <v>1.0030703199838065</v>
      </c>
      <c r="N61" s="109">
        <f t="shared" si="9"/>
        <v>1.0026281604113745</v>
      </c>
      <c r="O61" s="109">
        <f t="shared" si="9"/>
        <v>1.0022747364808637</v>
      </c>
      <c r="P61" s="109">
        <f t="shared" si="9"/>
        <v>1.0019774178352179</v>
      </c>
      <c r="Q61" s="109">
        <f t="shared" si="9"/>
        <v>1.0017164809282677</v>
      </c>
      <c r="R61" s="109">
        <f t="shared" si="9"/>
        <v>1.0014326615581937</v>
      </c>
      <c r="S61" s="109">
        <f t="shared" si="9"/>
        <v>1.0081183337586399</v>
      </c>
    </row>
    <row r="62" spans="1:19" x14ac:dyDescent="0.2">
      <c r="A62" s="3" t="s">
        <v>107</v>
      </c>
      <c r="C62" s="109">
        <f>PRODUCT(C61:$S$61)</f>
        <v>2.1051345910000743</v>
      </c>
      <c r="D62" s="109">
        <f>PRODUCT(D61:$S$61)</f>
        <v>1.3157091193750463</v>
      </c>
      <c r="E62" s="109">
        <f>PRODUCT(E61:$S$61)</f>
        <v>1.154130806469339</v>
      </c>
      <c r="F62" s="109">
        <f>PRODUCT(F61:$S$61)</f>
        <v>1.0929269000656623</v>
      </c>
      <c r="G62" s="109">
        <f>PRODUCT(G61:$S$61)</f>
        <v>1.0662701464055235</v>
      </c>
      <c r="H62" s="109">
        <f>PRODUCT(H61:$S$61)</f>
        <v>1.0532850010578596</v>
      </c>
      <c r="I62" s="109">
        <f>PRODUCT(I61:$S$61)</f>
        <v>1.0434348508271418</v>
      </c>
      <c r="J62" s="109">
        <f>PRODUCT(J61:$S$61)</f>
        <v>1.0357071892816252</v>
      </c>
      <c r="K62" s="109">
        <f>PRODUCT(K61:$S$61)</f>
        <v>1.029395341732499</v>
      </c>
      <c r="L62" s="109">
        <f>PRODUCT(L61:$S$61)</f>
        <v>1.025064778787234</v>
      </c>
      <c r="M62" s="109">
        <f>PRODUCT(M61:$S$61)</f>
        <v>1.0213958279801438</v>
      </c>
      <c r="N62" s="109">
        <f>PRODUCT(N61:$S$61)</f>
        <v>1.0182694150462284</v>
      </c>
      <c r="O62" s="109">
        <f>PRODUCT(O61:$S$61)</f>
        <v>1.0156002546631411</v>
      </c>
      <c r="P62" s="109">
        <f>PRODUCT(P61:$S$61)</f>
        <v>1.0132952749353585</v>
      </c>
      <c r="Q62" s="109">
        <f>PRODUCT(Q61:$S$61)</f>
        <v>1.0112955211351899</v>
      </c>
      <c r="R62" s="109">
        <f>PRODUCT(R61:$S$61)</f>
        <v>1.0095626261415263</v>
      </c>
      <c r="S62" s="109">
        <f>PRODUCT(S61:$S$61)</f>
        <v>1.0081183337586399</v>
      </c>
    </row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10">C11</f>
        <v>12</v>
      </c>
      <c r="D72" s="82">
        <f t="shared" si="10"/>
        <v>24</v>
      </c>
      <c r="E72" s="82">
        <f t="shared" si="10"/>
        <v>36</v>
      </c>
      <c r="F72" s="82">
        <f t="shared" si="10"/>
        <v>48</v>
      </c>
      <c r="G72" s="82">
        <f t="shared" si="10"/>
        <v>60</v>
      </c>
      <c r="H72" s="82">
        <f t="shared" si="10"/>
        <v>72</v>
      </c>
      <c r="I72" s="82">
        <f t="shared" si="10"/>
        <v>84</v>
      </c>
      <c r="J72" s="82">
        <f t="shared" si="10"/>
        <v>96</v>
      </c>
      <c r="K72" s="82">
        <f t="shared" si="10"/>
        <v>108</v>
      </c>
      <c r="L72" s="82">
        <f t="shared" si="10"/>
        <v>120</v>
      </c>
      <c r="M72" s="82">
        <f t="shared" si="10"/>
        <v>132</v>
      </c>
      <c r="N72" s="82">
        <f t="shared" si="10"/>
        <v>144</v>
      </c>
      <c r="O72" s="82">
        <f t="shared" si="10"/>
        <v>156</v>
      </c>
      <c r="P72" s="82">
        <f t="shared" si="10"/>
        <v>168</v>
      </c>
      <c r="Q72" s="82">
        <f t="shared" si="10"/>
        <v>180</v>
      </c>
      <c r="R72" s="82">
        <f t="shared" si="10"/>
        <v>192</v>
      </c>
      <c r="S72" s="82">
        <f t="shared" si="10"/>
        <v>204</v>
      </c>
    </row>
    <row r="73" spans="1:21" x14ac:dyDescent="0.2">
      <c r="A73" s="3" t="s">
        <v>104</v>
      </c>
      <c r="C73" s="118">
        <f t="shared" ref="C73:S73" si="11">VLOOKUP(C$72, indldfs, $U73, FALSE)</f>
        <v>1.7075844369931044</v>
      </c>
      <c r="D73" s="118">
        <f t="shared" si="11"/>
        <v>1.2495209069293378</v>
      </c>
      <c r="E73" s="118">
        <f t="shared" si="11"/>
        <v>1.1339029021483851</v>
      </c>
      <c r="F73" s="118">
        <f t="shared" si="11"/>
        <v>1.0881665462105319</v>
      </c>
      <c r="G73" s="118">
        <f t="shared" si="11"/>
        <v>1.0664090366072159</v>
      </c>
      <c r="H73" s="118">
        <f t="shared" si="11"/>
        <v>1.0523799362919117</v>
      </c>
      <c r="I73" s="118">
        <f t="shared" si="11"/>
        <v>1.0418516862616143</v>
      </c>
      <c r="J73" s="118">
        <f t="shared" si="11"/>
        <v>1.0338656307657725</v>
      </c>
      <c r="K73" s="118">
        <f t="shared" si="11"/>
        <v>1.0276012371253613</v>
      </c>
      <c r="L73" s="118">
        <f t="shared" si="11"/>
        <v>1.0233903480586424</v>
      </c>
      <c r="M73" s="118">
        <f t="shared" si="11"/>
        <v>1.0198741378830711</v>
      </c>
      <c r="N73" s="118">
        <f t="shared" si="11"/>
        <v>1.0169361589656924</v>
      </c>
      <c r="O73" s="118">
        <f t="shared" si="11"/>
        <v>1.0144413499119946</v>
      </c>
      <c r="P73" s="118">
        <f t="shared" si="11"/>
        <v>1.0123326409772462</v>
      </c>
      <c r="Q73" s="118">
        <f t="shared" si="11"/>
        <v>1.010457939687744</v>
      </c>
      <c r="R73" s="118">
        <f t="shared" si="11"/>
        <v>1.0088738667243713</v>
      </c>
      <c r="S73" s="118">
        <f t="shared" si="11"/>
        <v>1.0075312848150413</v>
      </c>
      <c r="U73" s="3">
        <f>MATCH($C$1, 'Industry LDF'!$A$5:$M$5, 0)</f>
        <v>7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2.0893935911937378</v>
      </c>
      <c r="D74" s="111">
        <f>[1]!ldfsir(prldfs, prldf_ages, prldf_type, prldf_ret, D$72, $U$75, $U$74, prldf_cutoff, 3)</f>
        <v>1.3058709944960851</v>
      </c>
      <c r="E74" s="111">
        <f>[1]!ldfsir(prldfs, prldf_ages, prldf_type, prldf_ret, E$72, $U$75, $U$74, prldf_cutoff, 3)</f>
        <v>1.1609006822322765</v>
      </c>
      <c r="F74" s="111">
        <f>[1]!ldfsir(prldfs, prldf_ages, prldf_type, prldf_ret, F$72, $U$75, $U$74, prldf_cutoff, 3)</f>
        <v>1.0993377672654132</v>
      </c>
      <c r="G74" s="111">
        <f>[1]!ldfsir(prldfs, prldf_ages, prldf_type, prldf_ret, G$72, $U$75, $U$74, prldf_cutoff, 3)</f>
        <v>1.0662701464055235</v>
      </c>
      <c r="H74" s="111">
        <f>[1]!ldfsir(prldfs, prldf_ages, prldf_type, prldf_ret, H$72, $U$75, $U$74, prldf_cutoff, 3)</f>
        <v>1.0532850010578598</v>
      </c>
      <c r="I74" s="111">
        <f>[1]!ldfsir(prldfs, prldf_ages, prldf_type, prldf_ret, I$72, $U$75, $U$74, prldf_cutoff, 3)</f>
        <v>1.0434348508271416</v>
      </c>
      <c r="J74" s="111">
        <f>[1]!ldfsir(prldfs, prldf_ages, prldf_type, prldf_ret, J$72, $U$75, $U$74, prldf_cutoff, 3)</f>
        <v>1.035707189281625</v>
      </c>
      <c r="K74" s="111">
        <f>[1]!ldfsir(prldfs, prldf_ages, prldf_type, prldf_ret, K$72, $U$75, $U$74, prldf_cutoff, 3)</f>
        <v>1.0293953417324988</v>
      </c>
      <c r="L74" s="111">
        <f>[1]!ldfsir(prldfs, prldf_ages, prldf_type, prldf_ret, L$72, $U$75, $U$74, prldf_cutoff, 3)</f>
        <v>1.0250647787872338</v>
      </c>
      <c r="M74" s="111">
        <f>[1]!ldfsir(prldfs, prldf_ages, prldf_type, prldf_ret, M$72, $U$75, $U$74, prldf_cutoff, 3)</f>
        <v>1.0213958279801436</v>
      </c>
      <c r="N74" s="111">
        <f>[1]!ldfsir(prldfs, prldf_ages, prldf_type, prldf_ret, N$72, $U$75, $U$74, prldf_cutoff, 3)</f>
        <v>1.0182694150462284</v>
      </c>
      <c r="O74" s="111">
        <f>[1]!ldfsir(prldfs, prldf_ages, prldf_type, prldf_ret, O$72, $U$75, $U$74, prldf_cutoff, 3)</f>
        <v>1.0156002546631409</v>
      </c>
      <c r="P74" s="111">
        <f>[1]!ldfsir(prldfs, prldf_ages, prldf_type, prldf_ret, P$72, $U$75, $U$74, prldf_cutoff, 3)</f>
        <v>1.0132952749353585</v>
      </c>
      <c r="Q74" s="111">
        <f>[1]!ldfsir(prldfs, prldf_ages, prldf_type, prldf_ret, Q$72, $U$75, $U$74, prldf_cutoff, 3)</f>
        <v>1.0112955211351899</v>
      </c>
      <c r="R74" s="111">
        <f>[1]!ldfsir(prldfs, prldf_ages, prldf_type, prldf_ret, R$72, $U$75, $U$74, prldf_cutoff, 3)</f>
        <v>1.0095626261415263</v>
      </c>
      <c r="S74" s="111">
        <f>[1]!ldfsir(prldfs, prldf_ages, prldf_type, prldf_ret, S$72, $U$75, $U$74, prldf_cutoff, 3)</f>
        <v>1.0081183337586399</v>
      </c>
      <c r="U74" s="105">
        <v>250000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93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2">D61&gt;=E61</f>
        <v>1</v>
      </c>
      <c r="E78" s="1" t="b">
        <f t="shared" si="12"/>
        <v>1</v>
      </c>
      <c r="F78" s="1" t="b">
        <f t="shared" si="12"/>
        <v>1</v>
      </c>
      <c r="G78" s="1" t="b">
        <f t="shared" si="12"/>
        <v>1</v>
      </c>
      <c r="H78" s="1" t="b">
        <f t="shared" si="12"/>
        <v>1</v>
      </c>
      <c r="I78" s="1" t="b">
        <f t="shared" si="12"/>
        <v>1</v>
      </c>
      <c r="J78" s="1" t="b">
        <f t="shared" si="12"/>
        <v>1</v>
      </c>
      <c r="K78" s="1" t="b">
        <f t="shared" si="12"/>
        <v>1</v>
      </c>
      <c r="L78" s="1" t="b">
        <f t="shared" si="12"/>
        <v>1</v>
      </c>
      <c r="M78" s="1" t="b">
        <f t="shared" si="12"/>
        <v>1</v>
      </c>
      <c r="N78" s="1" t="b">
        <f t="shared" si="12"/>
        <v>1</v>
      </c>
      <c r="O78" s="1" t="b">
        <f t="shared" si="12"/>
        <v>1</v>
      </c>
      <c r="P78" s="1" t="b">
        <f t="shared" si="12"/>
        <v>1</v>
      </c>
      <c r="Q78" s="1" t="b">
        <f t="shared" si="12"/>
        <v>1</v>
      </c>
    </row>
    <row r="79" spans="1:21" x14ac:dyDescent="0.2">
      <c r="A79" s="3" t="s">
        <v>174</v>
      </c>
      <c r="C79" s="1" t="b">
        <f>C61&lt;='e8.2'!C61</f>
        <v>1</v>
      </c>
      <c r="D79" s="1" t="b">
        <f>D61&lt;='e8.2'!D61</f>
        <v>1</v>
      </c>
      <c r="E79" s="1" t="b">
        <f>E61&lt;='e8.2'!E61</f>
        <v>1</v>
      </c>
      <c r="F79" s="1" t="b">
        <f>F61&lt;='e8.2'!F61</f>
        <v>1</v>
      </c>
      <c r="G79" s="1" t="b">
        <f>G61&lt;='e8.2'!G61</f>
        <v>1</v>
      </c>
      <c r="H79" s="1" t="b">
        <f>H61&lt;='e8.2'!H61</f>
        <v>1</v>
      </c>
      <c r="I79" s="1" t="b">
        <f>I61&lt;='e8.2'!I61</f>
        <v>1</v>
      </c>
      <c r="J79" s="1" t="b">
        <f>J61&lt;='e8.2'!J61</f>
        <v>1</v>
      </c>
      <c r="K79" s="1" t="b">
        <f>K61&lt;='e8.2'!K61</f>
        <v>1</v>
      </c>
      <c r="L79" s="1" t="b">
        <f>L61&lt;='e8.2'!L61</f>
        <v>1</v>
      </c>
      <c r="M79" s="1" t="b">
        <f>M61&lt;='e8.2'!M61</f>
        <v>1</v>
      </c>
      <c r="N79" s="1" t="b">
        <f>N61&lt;='e8.2'!N61</f>
        <v>1</v>
      </c>
      <c r="O79" s="1" t="b">
        <f>O61&lt;='e8.2'!O61</f>
        <v>1</v>
      </c>
      <c r="P79" s="1" t="b">
        <f>P61&lt;='e8.2'!P61</f>
        <v>1</v>
      </c>
      <c r="Q79" s="1" t="b">
        <f>Q61&lt;='e8.2'!Q61</f>
        <v>1</v>
      </c>
      <c r="R79" s="1" t="b">
        <f>R61&lt;='e8.2'!R61</f>
        <v>1</v>
      </c>
      <c r="S79" s="1" t="b">
        <f>S61&lt;='e8.2'!S61</f>
        <v>1</v>
      </c>
    </row>
    <row r="80" spans="1:21" x14ac:dyDescent="0.2">
      <c r="A80" s="3" t="s">
        <v>90</v>
      </c>
      <c r="C80" s="1" t="b">
        <f>C61&lt;='e8.3'!C61</f>
        <v>1</v>
      </c>
      <c r="D80" s="1" t="b">
        <f>D61&lt;='e8.3'!D61</f>
        <v>1</v>
      </c>
      <c r="E80" s="1" t="b">
        <f>E61&lt;='e8.3'!E61</f>
        <v>1</v>
      </c>
      <c r="F80" s="1" t="b">
        <f>F61&lt;='e8.3'!F61</f>
        <v>1</v>
      </c>
      <c r="G80" s="1" t="b">
        <f>G61&lt;='e8.3'!G61</f>
        <v>1</v>
      </c>
      <c r="H80" s="1" t="b">
        <f>H61&lt;='e8.3'!H61</f>
        <v>1</v>
      </c>
      <c r="I80" s="1" t="b">
        <f>I61&lt;='e8.3'!I61</f>
        <v>1</v>
      </c>
      <c r="J80" s="1" t="b">
        <f>J61&lt;='e8.3'!J61</f>
        <v>1</v>
      </c>
      <c r="K80" s="1" t="b">
        <f>K61&lt;='e8.3'!K61</f>
        <v>1</v>
      </c>
      <c r="L80" s="1" t="b">
        <f>L61&lt;='e8.3'!L61</f>
        <v>1</v>
      </c>
      <c r="M80" s="1" t="b">
        <f>M61&lt;='e8.3'!M61</f>
        <v>1</v>
      </c>
      <c r="N80" s="1" t="b">
        <f>N61&lt;='e8.3'!N61</f>
        <v>1</v>
      </c>
      <c r="O80" s="1" t="b">
        <f>O61&lt;='e8.3'!O61</f>
        <v>1</v>
      </c>
      <c r="P80" s="1" t="b">
        <f>P61&lt;='e8.3'!P61</f>
        <v>1</v>
      </c>
      <c r="Q80" s="1" t="b">
        <f>Q61&lt;='e8.3'!Q61</f>
        <v>1</v>
      </c>
      <c r="R80" s="1" t="b">
        <f>R61&lt;='e8.3'!R61</f>
        <v>1</v>
      </c>
      <c r="S80" s="1" t="b">
        <f>S61&lt;='e8.3'!S61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1
</oddHeader>
    <oddFooter xml:space="preserve">&amp;L&amp;"Arial"&amp;10 Oliver Wyman Actuarial Consulting, Inc.
&amp;C&amp;"Arial"&amp;10 &amp;R&amp;"Arial"&amp;10 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6">
    <tabColor rgb="FF00B050"/>
    <pageSetUpPr fitToPage="1"/>
  </sheetPr>
  <dimension ref="A1:W80"/>
  <sheetViews>
    <sheetView zoomScale="85" zoomScaleNormal="85" zoomScaleSheetLayoutView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2</v>
      </c>
      <c r="C1" s="1" t="str">
        <f>VLOOKUP(A1, index_lkups, 2, FALSE)</f>
        <v>Paid 250K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Paid Loss &amp; ALAE Limited to $250,000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889820</v>
      </c>
      <c r="F13" s="424">
        <v>986168</v>
      </c>
      <c r="G13" s="424">
        <v>1097393.1399999999</v>
      </c>
      <c r="H13" s="424">
        <v>1152952.29</v>
      </c>
      <c r="I13" s="424">
        <v>1202154.28</v>
      </c>
      <c r="J13" s="424">
        <v>1259103.5200000003</v>
      </c>
      <c r="K13" s="424">
        <v>1255894.8600000003</v>
      </c>
      <c r="L13" s="424">
        <v>1263581.3900000001</v>
      </c>
      <c r="M13" s="424">
        <v>1259056.8500000001</v>
      </c>
      <c r="N13" s="424">
        <v>1260257.28</v>
      </c>
      <c r="O13" s="424">
        <v>1273397.6000000003</v>
      </c>
      <c r="P13" s="481">
        <v>1279527.4100000004</v>
      </c>
      <c r="Q13" s="481">
        <v>1257622.9500000004</v>
      </c>
      <c r="R13" s="424">
        <v>1243025.0200000005</v>
      </c>
      <c r="S13" s="482">
        <f>$U13</f>
        <v>1243025.0200000005</v>
      </c>
      <c r="U13" s="107">
        <f>'e7'!C56</f>
        <v>1243025.0200000005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885706</v>
      </c>
      <c r="E14" s="90">
        <v>1174043</v>
      </c>
      <c r="F14" s="90">
        <v>1493567.14</v>
      </c>
      <c r="G14" s="90">
        <v>1737792.43</v>
      </c>
      <c r="H14" s="90">
        <v>1788576.24</v>
      </c>
      <c r="I14" s="90">
        <v>1834602.36</v>
      </c>
      <c r="J14" s="90">
        <v>1861340.65</v>
      </c>
      <c r="K14" s="90">
        <v>1892249.9299999995</v>
      </c>
      <c r="L14" s="90">
        <v>1946761.2799999996</v>
      </c>
      <c r="M14" s="90">
        <v>1962797.2699999993</v>
      </c>
      <c r="N14" s="90">
        <v>1963188.4299999992</v>
      </c>
      <c r="O14" s="90">
        <v>1963807.1299999992</v>
      </c>
      <c r="P14" s="90">
        <v>1965707.3799999992</v>
      </c>
      <c r="Q14" s="90">
        <v>1968673.0799999994</v>
      </c>
      <c r="R14" s="107">
        <f>$U14</f>
        <v>1971339.2299999993</v>
      </c>
      <c r="S14" s="90"/>
      <c r="U14" s="107">
        <f>'e7'!C57</f>
        <v>1971339.2299999993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211399</v>
      </c>
      <c r="D15" s="90">
        <v>446575</v>
      </c>
      <c r="E15" s="90">
        <v>588433</v>
      </c>
      <c r="F15" s="90">
        <v>641498</v>
      </c>
      <c r="G15" s="90">
        <v>655143</v>
      </c>
      <c r="H15" s="90">
        <v>708243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'e7'!C58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334255</v>
      </c>
      <c r="D16" s="90">
        <v>1270543.27</v>
      </c>
      <c r="E16" s="90">
        <v>1544657.17</v>
      </c>
      <c r="F16" s="90">
        <v>1709353.99</v>
      </c>
      <c r="G16" s="90">
        <v>1742971.1600000013</v>
      </c>
      <c r="H16" s="90">
        <v>1766641.2300000014</v>
      </c>
      <c r="I16" s="90">
        <v>1770858.0400000014</v>
      </c>
      <c r="J16" s="90">
        <v>1774917.2900000012</v>
      </c>
      <c r="K16" s="90">
        <v>1775477.7400000014</v>
      </c>
      <c r="L16" s="90">
        <v>1775477.7400000014</v>
      </c>
      <c r="M16" s="90">
        <v>1775477.7400000014</v>
      </c>
      <c r="N16" s="90">
        <v>1775477.7400000007</v>
      </c>
      <c r="O16" s="90">
        <v>1775477.7400000007</v>
      </c>
      <c r="P16" s="107">
        <f>$U16</f>
        <v>1775477.7400000007</v>
      </c>
      <c r="Q16" s="90"/>
      <c r="R16" s="90"/>
      <c r="S16" s="90"/>
      <c r="U16" s="107">
        <f>'e7'!C59</f>
        <v>1775477.7400000007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347849.49</v>
      </c>
      <c r="D17" s="90">
        <v>758111.05</v>
      </c>
      <c r="E17" s="90">
        <v>1083953.47</v>
      </c>
      <c r="F17" s="90">
        <v>1099997.5399999998</v>
      </c>
      <c r="G17" s="90">
        <v>1100030.42</v>
      </c>
      <c r="H17" s="90">
        <v>1100030.4200000002</v>
      </c>
      <c r="I17" s="90">
        <v>1100030.42</v>
      </c>
      <c r="J17" s="90">
        <v>1100030.4200000002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'e7'!C60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222764.54</v>
      </c>
      <c r="D18" s="90">
        <v>469378.97</v>
      </c>
      <c r="E18" s="90">
        <v>628368.21999999986</v>
      </c>
      <c r="F18" s="90">
        <v>652011.89999999979</v>
      </c>
      <c r="G18" s="90">
        <v>658612.91</v>
      </c>
      <c r="H18" s="90">
        <v>741337.19999999984</v>
      </c>
      <c r="I18" s="90">
        <v>766269.99000000011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'e7'!C61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404401.32</v>
      </c>
      <c r="D19" s="90">
        <v>954257.30999999959</v>
      </c>
      <c r="E19" s="90">
        <v>1323186.3500000001</v>
      </c>
      <c r="F19" s="90">
        <v>1396089.0600000005</v>
      </c>
      <c r="G19" s="90">
        <v>1421916.81</v>
      </c>
      <c r="H19" s="90">
        <v>1407050.4000000006</v>
      </c>
      <c r="I19" s="90">
        <v>1409733.5599999998</v>
      </c>
      <c r="J19" s="90">
        <v>1422575.0900000008</v>
      </c>
      <c r="K19" s="90">
        <v>1440795.9600000002</v>
      </c>
      <c r="L19" s="90">
        <v>1463135.0100000002</v>
      </c>
      <c r="M19" s="107">
        <f>$U19</f>
        <v>1514381.6700000002</v>
      </c>
      <c r="N19" s="90"/>
      <c r="O19" s="90"/>
      <c r="P19" s="90"/>
      <c r="Q19" s="90"/>
      <c r="R19" s="90"/>
      <c r="S19" s="90"/>
      <c r="U19" s="107">
        <f>'e7'!C62</f>
        <v>1514381.6700000002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357259.98999999987</v>
      </c>
      <c r="D20" s="90">
        <v>945944.79000000015</v>
      </c>
      <c r="E20" s="90">
        <v>1041213.3600000002</v>
      </c>
      <c r="F20" s="90">
        <v>1052451.29</v>
      </c>
      <c r="G20" s="90">
        <v>1084549.8400000001</v>
      </c>
      <c r="H20" s="90">
        <v>1104286.57</v>
      </c>
      <c r="I20" s="90">
        <v>1118367.83</v>
      </c>
      <c r="J20" s="90">
        <v>1135122.3100000003</v>
      </c>
      <c r="K20" s="90">
        <v>1182322.2200000002</v>
      </c>
      <c r="L20" s="107">
        <f>$U20</f>
        <v>1183179.1900000002</v>
      </c>
      <c r="M20" s="90"/>
      <c r="N20" s="90"/>
      <c r="O20" s="90"/>
      <c r="P20" s="90"/>
      <c r="Q20" s="90"/>
      <c r="R20" s="90"/>
      <c r="S20" s="90"/>
      <c r="U20" s="107">
        <f>'e7'!C63</f>
        <v>1183179.1900000002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272973.83</v>
      </c>
      <c r="D21" s="90">
        <v>806555.11999999988</v>
      </c>
      <c r="E21" s="90">
        <v>939406.48999999964</v>
      </c>
      <c r="F21" s="90">
        <v>1105440.2299999997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'e7'!C64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391086.17999999993</v>
      </c>
      <c r="D22" s="90">
        <v>1207128.9899999998</v>
      </c>
      <c r="E22" s="90">
        <v>1540096.9600000002</v>
      </c>
      <c r="F22" s="90">
        <v>1775707.1599999997</v>
      </c>
      <c r="G22" s="90">
        <v>1811450.4699999997</v>
      </c>
      <c r="H22" s="90">
        <v>1827849.9099999985</v>
      </c>
      <c r="I22" s="90">
        <v>1828669.29</v>
      </c>
      <c r="J22" s="107">
        <f>$U22</f>
        <v>1828733.7599999993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'e7'!C65</f>
        <v>1828733.7599999993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464901.17000000022</v>
      </c>
      <c r="D23" s="90">
        <v>1135597.2400000005</v>
      </c>
      <c r="E23" s="90">
        <v>1504435.2699999996</v>
      </c>
      <c r="F23" s="90">
        <v>1644964.8999999997</v>
      </c>
      <c r="G23" s="90">
        <v>1799495.8199999996</v>
      </c>
      <c r="H23" s="90">
        <v>1808441.4999999995</v>
      </c>
      <c r="I23" s="107">
        <f>$U23</f>
        <v>1811366.5999999999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'e7'!C66</f>
        <v>1811366.5999999999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592225.76000000059</v>
      </c>
      <c r="D24" s="90">
        <v>1525919.2300000014</v>
      </c>
      <c r="E24" s="90">
        <v>2026922.7700000007</v>
      </c>
      <c r="F24" s="90">
        <v>2100363.66</v>
      </c>
      <c r="G24" s="90">
        <v>2173022.2300000004</v>
      </c>
      <c r="H24" s="107">
        <f>$U24</f>
        <v>2173195.9299999997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'e7'!C67</f>
        <v>2173195.9299999997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729211.94999999984</v>
      </c>
      <c r="D25" s="90">
        <v>1873770.8999999997</v>
      </c>
      <c r="E25" s="90">
        <v>2498577.4199999995</v>
      </c>
      <c r="F25" s="90">
        <v>2725300.9999999991</v>
      </c>
      <c r="G25" s="107">
        <f>$U25</f>
        <v>2776114.1900000009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'e7'!C68</f>
        <v>2776114.1900000009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587820.25</v>
      </c>
      <c r="D26" s="90">
        <v>1826727.6300000011</v>
      </c>
      <c r="E26" s="90">
        <v>2143917.7400000007</v>
      </c>
      <c r="F26" s="107">
        <f>$U26</f>
        <v>2347544.3600000013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'e7'!C69</f>
        <v>2347544.3600000013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613311.33000000007</v>
      </c>
      <c r="D27" s="90">
        <v>2024291.8599999996</v>
      </c>
      <c r="E27" s="107">
        <f>$U27</f>
        <v>2258070.4400000018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'e7'!C70</f>
        <v>2258070.4400000018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2510372.1899999976</v>
      </c>
      <c r="D28" s="107">
        <f>$U28</f>
        <v>4199295.1499999976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'e7'!C71</f>
        <v>4199295.1499999976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619309.30000000005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'e7'!C72</f>
        <v>619309.30000000005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1.1082780787125486</v>
      </c>
      <c r="F34" s="109">
        <f t="shared" si="2"/>
        <v>1.1127851846744163</v>
      </c>
      <c r="G34" s="109">
        <f t="shared" si="2"/>
        <v>1.0506283008111388</v>
      </c>
      <c r="H34" s="109">
        <f t="shared" si="2"/>
        <v>1.0426747840537269</v>
      </c>
      <c r="I34" s="109">
        <f t="shared" si="2"/>
        <v>1.0473726550306008</v>
      </c>
      <c r="J34" s="109">
        <f t="shared" si="2"/>
        <v>0.99745163130033987</v>
      </c>
      <c r="K34" s="109">
        <f t="shared" si="2"/>
        <v>1.0061203610627085</v>
      </c>
      <c r="L34" s="109">
        <f t="shared" si="2"/>
        <v>0.99641927299989752</v>
      </c>
      <c r="M34" s="109">
        <f t="shared" si="2"/>
        <v>1.0009534358992607</v>
      </c>
      <c r="N34" s="109">
        <f t="shared" si="2"/>
        <v>1.0104266963647299</v>
      </c>
      <c r="O34" s="109">
        <f t="shared" si="2"/>
        <v>1.0048137439555407</v>
      </c>
      <c r="P34" s="109">
        <f t="shared" si="2"/>
        <v>0.98288082003651644</v>
      </c>
      <c r="Q34" s="109">
        <f t="shared" si="2"/>
        <v>0.98839244306093499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1.3255448196128286</v>
      </c>
      <c r="E35" s="109">
        <f t="shared" si="3"/>
        <v>1.2721571015712372</v>
      </c>
      <c r="F35" s="109">
        <f t="shared" si="3"/>
        <v>1.1635181194465753</v>
      </c>
      <c r="G35" s="109">
        <f t="shared" si="3"/>
        <v>1.0292231736790338</v>
      </c>
      <c r="H35" s="109">
        <f t="shared" si="3"/>
        <v>1.0257333844488508</v>
      </c>
      <c r="I35" s="109">
        <f t="shared" si="3"/>
        <v>1.0145744334483466</v>
      </c>
      <c r="J35" s="109">
        <f t="shared" si="3"/>
        <v>1.016605923262891</v>
      </c>
      <c r="K35" s="109">
        <f t="shared" si="3"/>
        <v>1.0288076903245018</v>
      </c>
      <c r="L35" s="109">
        <f t="shared" si="3"/>
        <v>1.0082372657422074</v>
      </c>
      <c r="M35" s="109">
        <f t="shared" si="3"/>
        <v>1.0001992870104206</v>
      </c>
      <c r="N35" s="109">
        <f t="shared" si="3"/>
        <v>1.0003151505940773</v>
      </c>
      <c r="O35" s="109">
        <f t="shared" si="3"/>
        <v>1.000967635757591</v>
      </c>
      <c r="P35" s="109">
        <f t="shared" si="3"/>
        <v>1.0015087189630434</v>
      </c>
      <c r="Q35" s="109">
        <f t="shared" si="3"/>
        <v>1.0013542878333055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2.1124745150166273</v>
      </c>
      <c r="D36" s="109">
        <f t="shared" si="3"/>
        <v>1.3176577282651289</v>
      </c>
      <c r="E36" s="109">
        <f t="shared" si="3"/>
        <v>1.0901801904379937</v>
      </c>
      <c r="F36" s="109">
        <f t="shared" si="3"/>
        <v>1.0212705261746724</v>
      </c>
      <c r="G36" s="109">
        <f t="shared" si="3"/>
        <v>1.081051007184691</v>
      </c>
      <c r="H36" s="109">
        <f t="shared" si="3"/>
        <v>0.98797285677373492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3.8011197139908153</v>
      </c>
      <c r="D37" s="109">
        <f t="shared" si="3"/>
        <v>1.2157454267574845</v>
      </c>
      <c r="E37" s="109">
        <f t="shared" si="3"/>
        <v>1.1066235428797446</v>
      </c>
      <c r="F37" s="109">
        <f t="shared" si="3"/>
        <v>1.0196665934596738</v>
      </c>
      <c r="G37" s="109">
        <f t="shared" si="3"/>
        <v>1.0135802992861913</v>
      </c>
      <c r="H37" s="109">
        <f t="shared" si="3"/>
        <v>1.0023869079518766</v>
      </c>
      <c r="I37" s="109">
        <f t="shared" si="3"/>
        <v>1.002292250371464</v>
      </c>
      <c r="J37" s="109">
        <f t="shared" si="3"/>
        <v>1.0003157611924554</v>
      </c>
      <c r="K37" s="109">
        <f t="shared" si="3"/>
        <v>1</v>
      </c>
      <c r="L37" s="109">
        <f t="shared" si="3"/>
        <v>1</v>
      </c>
      <c r="M37" s="109">
        <f t="shared" si="3"/>
        <v>0.99999999999999956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2.1794226290226848</v>
      </c>
      <c r="D38" s="109">
        <f t="shared" si="3"/>
        <v>1.4298082978740383</v>
      </c>
      <c r="E38" s="109">
        <f t="shared" si="3"/>
        <v>1.0148014379251904</v>
      </c>
      <c r="F38" s="109">
        <f t="shared" si="3"/>
        <v>1.0000298909759382</v>
      </c>
      <c r="G38" s="109">
        <f t="shared" si="3"/>
        <v>1.0000000000000002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0.99967273632305531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2.1070632246945586</v>
      </c>
      <c r="D39" s="109">
        <f t="shared" si="3"/>
        <v>1.3387225678219028</v>
      </c>
      <c r="E39" s="109">
        <f t="shared" si="3"/>
        <v>1.0376271097860423</v>
      </c>
      <c r="F39" s="109">
        <f t="shared" si="3"/>
        <v>1.010124063686568</v>
      </c>
      <c r="G39" s="109">
        <f t="shared" si="3"/>
        <v>1.1256038087683398</v>
      </c>
      <c r="H39" s="109">
        <f t="shared" si="3"/>
        <v>1.0336321851918402</v>
      </c>
      <c r="I39" s="109">
        <f t="shared" si="3"/>
        <v>0.99999999999999956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2.3596790188518662</v>
      </c>
      <c r="D40" s="109">
        <f t="shared" si="3"/>
        <v>1.3866137949731825</v>
      </c>
      <c r="E40" s="109">
        <f t="shared" si="3"/>
        <v>1.0550963286463773</v>
      </c>
      <c r="F40" s="109">
        <f t="shared" si="3"/>
        <v>1.0185000733405929</v>
      </c>
      <c r="G40" s="109">
        <f t="shared" si="3"/>
        <v>0.9895448102902733</v>
      </c>
      <c r="H40" s="109">
        <f t="shared" si="3"/>
        <v>1.0019069395097711</v>
      </c>
      <c r="I40" s="109">
        <f t="shared" si="3"/>
        <v>1.0091091893988826</v>
      </c>
      <c r="J40" s="109">
        <f t="shared" si="3"/>
        <v>1.0128083713317371</v>
      </c>
      <c r="K40" s="109">
        <f t="shared" si="3"/>
        <v>1.0155046589664229</v>
      </c>
      <c r="L40" s="109">
        <f t="shared" si="3"/>
        <v>1.0350252435009397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2.647777015276747</v>
      </c>
      <c r="D41" s="109">
        <f t="shared" si="3"/>
        <v>1.1007126113565253</v>
      </c>
      <c r="E41" s="109">
        <f t="shared" si="3"/>
        <v>1.0107931096850311</v>
      </c>
      <c r="F41" s="109">
        <f t="shared" si="3"/>
        <v>1.0304988461746292</v>
      </c>
      <c r="G41" s="109">
        <f t="shared" si="3"/>
        <v>1.0181980848385908</v>
      </c>
      <c r="H41" s="109">
        <f t="shared" si="3"/>
        <v>1.0127514545431808</v>
      </c>
      <c r="I41" s="109">
        <f t="shared" si="3"/>
        <v>1.0149811891495486</v>
      </c>
      <c r="J41" s="109">
        <f t="shared" si="3"/>
        <v>1.0415813428951104</v>
      </c>
      <c r="K41" s="109">
        <f t="shared" si="3"/>
        <v>1.0007248193305545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2.9546975986672415</v>
      </c>
      <c r="D42" s="109">
        <f t="shared" si="3"/>
        <v>1.1647145578841527</v>
      </c>
      <c r="E42" s="109">
        <f t="shared" si="3"/>
        <v>1.1767432328469438</v>
      </c>
      <c r="F42" s="109">
        <f t="shared" si="3"/>
        <v>1.0954664097940419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3.0866061030333518</v>
      </c>
      <c r="D43" s="109">
        <f t="shared" si="3"/>
        <v>1.2758346231085052</v>
      </c>
      <c r="E43" s="109">
        <f t="shared" si="3"/>
        <v>1.1529840043317789</v>
      </c>
      <c r="F43" s="109">
        <f t="shared" si="3"/>
        <v>1.0201290566401726</v>
      </c>
      <c r="G43" s="109">
        <f t="shared" si="3"/>
        <v>1.0090532091666844</v>
      </c>
      <c r="H43" s="109">
        <f t="shared" si="3"/>
        <v>1.000448275318186</v>
      </c>
      <c r="I43" s="109">
        <f t="shared" si="3"/>
        <v>1.0000352551444658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2.4426637601277705</v>
      </c>
      <c r="D44" s="109">
        <f t="shared" si="3"/>
        <v>1.3247965185262329</v>
      </c>
      <c r="E44" s="109">
        <f t="shared" si="3"/>
        <v>1.0934102203014691</v>
      </c>
      <c r="F44" s="109">
        <f t="shared" si="3"/>
        <v>1.0939417734688441</v>
      </c>
      <c r="G44" s="109">
        <f t="shared" si="3"/>
        <v>1.0049712146594483</v>
      </c>
      <c r="H44" s="109">
        <f t="shared" si="3"/>
        <v>1.0016174700702236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2.5765836832224251</v>
      </c>
      <c r="D45" s="109">
        <f t="shared" si="3"/>
        <v>1.3283290033640895</v>
      </c>
      <c r="E45" s="109">
        <f t="shared" si="3"/>
        <v>1.0362327026401699</v>
      </c>
      <c r="F45" s="109">
        <f t="shared" si="3"/>
        <v>1.0345933284715088</v>
      </c>
      <c r="G45" s="109">
        <f t="shared" si="3"/>
        <v>1.0000799347552001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2.5695833701024786</v>
      </c>
      <c r="D46" s="109">
        <f t="shared" si="3"/>
        <v>1.33344872630907</v>
      </c>
      <c r="E46" s="109">
        <f t="shared" si="3"/>
        <v>1.0907410665705926</v>
      </c>
      <c r="F46" s="109">
        <f t="shared" si="3"/>
        <v>1.018644982700994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3.1076296367809735</v>
      </c>
      <c r="D47" s="109">
        <f t="shared" si="3"/>
        <v>1.1736384257788883</v>
      </c>
      <c r="E47" s="109">
        <f t="shared" si="3"/>
        <v>1.0949787467125489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3.3005942675149984</v>
      </c>
      <c r="D48" s="109">
        <f t="shared" si="3"/>
        <v>1.1154865978663779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1.672777911868121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2.711222656638657</v>
      </c>
      <c r="D52" s="109">
        <f>[1]!avg(D34:D49, , FALSE, TRUE, )</f>
        <v>1.2858128539716946</v>
      </c>
      <c r="E52" s="109">
        <f>[1]!avg(E34:E49, , FALSE, TRUE, )</f>
        <v>1.0958206251027014</v>
      </c>
      <c r="F52" s="109">
        <f>[1]!avg(F34:F49, , FALSE, TRUE, )</f>
        <v>1.0517103221923028</v>
      </c>
      <c r="G52" s="109">
        <f>[1]!avg(G34:G49, , FALSE, TRUE, )</f>
        <v>1.0293491615057055</v>
      </c>
      <c r="H52" s="109">
        <f>[1]!avg(H34:H49, , FALSE, TRUE, )</f>
        <v>1.0108041449781131</v>
      </c>
      <c r="I52" s="109">
        <f>[1]!avg(I34:I49, , FALSE, TRUE, )</f>
        <v>1.0098144130443161</v>
      </c>
      <c r="J52" s="109">
        <f>[1]!avg(J34:J49, , FALSE, TRUE, )</f>
        <v>1.0085544707881988</v>
      </c>
      <c r="K52" s="109">
        <f>[1]!avg(K34:K49, , FALSE, TRUE, )</f>
        <v>1.007204672907662</v>
      </c>
      <c r="L52" s="109">
        <f>[1]!avg(L34:L49, , FALSE, TRUE, )</f>
        <v>1.0008034886549082</v>
      </c>
      <c r="M52" s="109">
        <f>[1]!avg(M34:M49, , FALSE, TRUE, )</f>
        <v>1.0002305445819362</v>
      </c>
      <c r="N52" s="109">
        <f>[1]!avg(N34:N49, , FALSE, TRUE, )</f>
        <v>1.0026854617397019</v>
      </c>
      <c r="O52" s="109">
        <f>[1]!avg(O34:O49, , FALSE, TRUE, )</f>
        <v>1.0019271265710437</v>
      </c>
      <c r="P52" s="109">
        <f>[1]!avg(P34:P49, , FALSE, TRUE, )</f>
        <v>0.99219476949977992</v>
      </c>
      <c r="Q52" s="109">
        <f>[1]!avg(Q34:Q49, , FALSE, TRUE, )</f>
        <v>0.98839244306093499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 1, TRUE)</f>
        <v>2.7570145880127122</v>
      </c>
      <c r="D53" s="109">
        <f>[1]!DAvg(D$13:D$29, E$13:E$29, , FALSE, 1, TRUE)</f>
        <v>1.2786711800907906</v>
      </c>
      <c r="E53" s="109">
        <f>[1]!DAvg(E$13:E$29, F$13:F$29, , FALSE, 1, TRUE)</f>
        <v>1.0953220266255388</v>
      </c>
      <c r="F53" s="109">
        <f>[1]!DAvg(F$13:F$29, G$13:G$29, , FALSE, 1, TRUE)</f>
        <v>1.053375824714716</v>
      </c>
      <c r="G53" s="109">
        <f>[1]!DAvg(G$13:G$29, H$13:H$29, , FALSE, 1, TRUE)</f>
        <v>1.0207570536593495</v>
      </c>
      <c r="H53" s="109">
        <f>[1]!DAvg(H$13:H$29, I$13:I$29, , FALSE, 1, TRUE)</f>
        <v>1.0104684250977174</v>
      </c>
      <c r="I53" s="109">
        <f>[1]!DAvg(I$13:I$29, J$13:J$29, , FALSE, 1, TRUE)</f>
        <v>1.0105575767361994</v>
      </c>
      <c r="J53" s="109">
        <f>[1]!DAvg(J$13:J$29, K$13:K$29, , FALSE, 1, TRUE)</f>
        <v>1.0093144092602804</v>
      </c>
      <c r="K53" s="109">
        <f>[1]!DAvg(K$13:K$29, L$13:L$29, , FALSE, 1, TRUE)</f>
        <v>1.0094665327080874</v>
      </c>
      <c r="L53" s="109">
        <f>[1]!DAvg(L$13:L$29, M$13:M$29, , FALSE, 1, TRUE)</f>
        <v>1.001539628159634</v>
      </c>
      <c r="M53" s="109">
        <f>[1]!DAvg(M$13:M$29, N$13:N$29, , FALSE, 1, TRUE)</f>
        <v>1.0002341660965772</v>
      </c>
      <c r="N53" s="109">
        <f>[1]!DAvg(N$13:N$29, O$13:O$29, , FALSE, 1, TRUE)</f>
        <v>1.0024143869782107</v>
      </c>
      <c r="O53" s="109">
        <f>[1]!DAvg(O$13:O$29, P$13:P$29, , FALSE, 1, TRUE)</f>
        <v>1.002039616203283</v>
      </c>
      <c r="P53" s="109">
        <f>[1]!DAvg(P$13:P$29, Q$13:Q$29, , FALSE, 1, TRUE)</f>
        <v>0.99416413257421032</v>
      </c>
      <c r="Q53" s="109">
        <f>[1]!DAvg(Q$13:Q$29, R$13:R$29, , FALSE, 1, TRUE)</f>
        <v>0.98839244306093499</v>
      </c>
      <c r="R53" s="109" t="str">
        <f>[1]!DAvg(R$13:R$29, S$13:S$29, , FALSE, 1, TRUE)</f>
        <v/>
      </c>
      <c r="S53" s="109" t="str">
        <f>[1]!DAvg(S$13:S$29, T$13:T$29, , FALSE, 1, TRUE)</f>
        <v/>
      </c>
    </row>
    <row r="54" spans="1:19" x14ac:dyDescent="0.2">
      <c r="A54" s="3" t="s">
        <v>102</v>
      </c>
      <c r="C54" s="109">
        <f>[1]!DAvg(C$13:C$29, D$13:D$29, 4, FALSE, 1, TRUE)</f>
        <v>2.8743351664286689</v>
      </c>
      <c r="D54" s="109">
        <f>[1]!DAvg(D$13:D$29, E$13:E$29, 4, FALSE, 1, TRUE)</f>
        <v>1.284789991850066</v>
      </c>
      <c r="E54" s="109">
        <f>[1]!DAvg(E$13:E$29, F$13:F$29, 4, FALSE, 1, TRUE)</f>
        <v>1.089339683435596</v>
      </c>
      <c r="F54" s="109">
        <f>[1]!DAvg(F$13:F$29, G$13:G$29, 4, FALSE, 1, TRUE)</f>
        <v>1.0556050022335024</v>
      </c>
      <c r="G54" s="109">
        <f>[1]!DAvg(G$13:G$29, H$13:H$29, 4, FALSE, 1, TRUE)</f>
        <v>1.0078349555042174</v>
      </c>
      <c r="H54" s="109">
        <f>[1]!DAvg(H$13:H$29, I$13:I$29, 4, FALSE, 1, TRUE)</f>
        <v>1.003284225445235</v>
      </c>
      <c r="I54" s="109">
        <f>[1]!DAvg(I$13:I$29, J$13:J$29, 4, FALSE, 1, TRUE)</f>
        <v>1.0065664035577813</v>
      </c>
      <c r="J54" s="109">
        <f>[1]!DAvg(J$13:J$29, K$13:K$29, 4, FALSE, 1, TRUE)</f>
        <v>1.0147063318731615</v>
      </c>
      <c r="K54" s="109">
        <f>[1]!DAvg(K$13:K$29, L$13:L$29, 4, FALSE, 1, TRUE)</f>
        <v>1.0043955350003937</v>
      </c>
      <c r="L54" s="109">
        <f>[1]!DAvg(L$13:L$29, M$13:M$29, 4, FALSE, 1, TRUE)</f>
        <v>1.0000264976297106</v>
      </c>
      <c r="M54" s="109">
        <f>[1]!DAvg(M$13:M$29, N$13:N$29, 4, FALSE, 1, TRUE)</f>
        <v>1.000070634735259</v>
      </c>
      <c r="N54" s="109">
        <f>[1]!DAvg(N$13:N$29, O$13:O$29, 4, FALSE, 1, TRUE)</f>
        <v>1.0024143869782107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2.9656847607845216</v>
      </c>
      <c r="D55" s="109">
        <f>[1]!DAvg(D$13:D$29, E$13:E$29, 3, FALSE, 1, TRUE)</f>
        <v>1.2760973646316398</v>
      </c>
      <c r="E55" s="109">
        <f>[1]!DAvg(E$13:E$29, F$13:F$29, 3, FALSE, 1, TRUE)</f>
        <v>1.0730843809064583</v>
      </c>
      <c r="F55" s="109">
        <f>[1]!DAvg(F$13:F$29, G$13:G$29, 3, FALSE, 1, TRUE)</f>
        <v>1.0476238179455213</v>
      </c>
      <c r="G55" s="109">
        <f>[1]!DAvg(G$13:G$29, H$13:H$29, 3, FALSE, 1, TRUE)</f>
        <v>1.0055040722138395</v>
      </c>
      <c r="H55" s="109">
        <f>[1]!DAvg(H$13:H$29, I$13:I$29, 3, FALSE, 1, TRUE)</f>
        <v>1.0037518336702984</v>
      </c>
      <c r="I55" s="109">
        <f>[1]!DAvg(I$13:I$29, J$13:J$29, 3, FALSE, 1, TRUE)</f>
        <v>1.007911431453228</v>
      </c>
      <c r="J55" s="109">
        <f>[1]!DAvg(J$13:J$29, K$13:K$29, 3, FALSE, 1, TRUE)</f>
        <v>1.0196815348420127</v>
      </c>
      <c r="K55" s="109">
        <f>[1]!DAvg(K$13:K$29, L$13:L$29, 3, FALSE, 1, TRUE)</f>
        <v>1.0067556186827193</v>
      </c>
      <c r="L55" s="109">
        <f>[1]!DAvg(L$13:L$29, M$13:M$29, 3, FALSE, 1, TRUE)</f>
        <v>0.99999999999999989</v>
      </c>
      <c r="M55" s="109">
        <f>[1]!DAvg(M$13:M$29, N$13:N$29, 3, FALSE, 1, TRUE)</f>
        <v>0.99999999999999978</v>
      </c>
      <c r="N55" s="109">
        <f>[1]!DAvg(N$13:N$29, O$13:O$29, 3, FALSE, 1, TRUE)</f>
        <v>1.0001393937490761</v>
      </c>
      <c r="O55" s="109">
        <f>[1]!DAvg(O$13:O$29, P$13:P$29, 3, FALSE, 1, TRUE)</f>
        <v>1.002039616203283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2.1100997861961637</v>
      </c>
      <c r="D57" s="109">
        <f t="shared" ref="D57:S57" si="5">IF(ISBLANK(E73), D73, D73/E73)</f>
        <v>1.2674665040305289</v>
      </c>
      <c r="E57" s="109">
        <f t="shared" si="5"/>
        <v>1.1207972949818685</v>
      </c>
      <c r="F57" s="109">
        <f t="shared" si="5"/>
        <v>1.0666318126598884</v>
      </c>
      <c r="G57" s="109">
        <f t="shared" si="5"/>
        <v>1.0406317534253346</v>
      </c>
      <c r="H57" s="109">
        <f t="shared" si="5"/>
        <v>1.0274586496125724</v>
      </c>
      <c r="I57" s="109">
        <f t="shared" si="5"/>
        <v>1.0171075010649466</v>
      </c>
      <c r="J57" s="109">
        <f t="shared" si="5"/>
        <v>1.0134692140905346</v>
      </c>
      <c r="K57" s="109">
        <f t="shared" si="5"/>
        <v>1.0104173332576984</v>
      </c>
      <c r="L57" s="109">
        <f t="shared" si="5"/>
        <v>1.008716664882908</v>
      </c>
      <c r="M57" s="109">
        <f t="shared" si="5"/>
        <v>1.0072585453486047</v>
      </c>
      <c r="N57" s="109">
        <f t="shared" si="5"/>
        <v>1.0064122613324038</v>
      </c>
      <c r="O57" s="109">
        <f t="shared" si="5"/>
        <v>1.005612719874398</v>
      </c>
      <c r="P57" s="109">
        <f t="shared" si="5"/>
        <v>1.0049620076798735</v>
      </c>
      <c r="Q57" s="109">
        <f t="shared" si="5"/>
        <v>1.004336718485821</v>
      </c>
      <c r="R57" s="109">
        <f t="shared" si="5"/>
        <v>1.0037951232156195</v>
      </c>
      <c r="S57" s="109">
        <f t="shared" si="5"/>
        <v>1.0230083778265775</v>
      </c>
    </row>
    <row r="58" spans="1:19" x14ac:dyDescent="0.2">
      <c r="A58" s="3" t="s">
        <v>18</v>
      </c>
      <c r="C58" s="109">
        <f>IF(ISBLANK(D74), C74, C74/D74)</f>
        <v>2.7000000000000006</v>
      </c>
      <c r="D58" s="109">
        <f t="shared" ref="D58:S58" si="6">IF(ISBLANK(E74), D74, D74/E74)</f>
        <v>1.3295597319558596</v>
      </c>
      <c r="E58" s="109">
        <f t="shared" si="6"/>
        <v>1.1024170097787436</v>
      </c>
      <c r="F58" s="109">
        <f t="shared" si="6"/>
        <v>1.0630311737554785</v>
      </c>
      <c r="G58" s="109">
        <f t="shared" si="6"/>
        <v>1.0349999999999999</v>
      </c>
      <c r="H58" s="109">
        <f t="shared" si="6"/>
        <v>1.0272989789941493</v>
      </c>
      <c r="I58" s="109">
        <f t="shared" si="6"/>
        <v>1.0172927199660806</v>
      </c>
      <c r="J58" s="109">
        <f t="shared" si="6"/>
        <v>1.0135655042925988</v>
      </c>
      <c r="K58" s="109">
        <f t="shared" si="6"/>
        <v>1.010771508881628</v>
      </c>
      <c r="L58" s="109">
        <f t="shared" si="6"/>
        <v>1.009232244874753</v>
      </c>
      <c r="M58" s="109">
        <f t="shared" si="6"/>
        <v>1.0077089785022966</v>
      </c>
      <c r="N58" s="109">
        <f t="shared" si="6"/>
        <v>1.006789066387183</v>
      </c>
      <c r="O58" s="109">
        <f t="shared" si="6"/>
        <v>1.0060420601685256</v>
      </c>
      <c r="P58" s="109">
        <f t="shared" si="6"/>
        <v>1.0052850652391885</v>
      </c>
      <c r="Q58" s="109">
        <f t="shared" si="6"/>
        <v>1.0039848905059421</v>
      </c>
      <c r="R58" s="109">
        <f t="shared" si="6"/>
        <v>1.0033496660416759</v>
      </c>
      <c r="S58" s="109">
        <f t="shared" si="6"/>
        <v>1.017826056254413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2.7000000000000006</v>
      </c>
      <c r="D61" s="109">
        <f t="shared" ref="D61:S61" si="8">D58</f>
        <v>1.3295597319558596</v>
      </c>
      <c r="E61" s="109">
        <f t="shared" si="8"/>
        <v>1.1024170097787436</v>
      </c>
      <c r="F61" s="109">
        <f t="shared" si="8"/>
        <v>1.0630311737554785</v>
      </c>
      <c r="G61" s="109">
        <f t="shared" si="8"/>
        <v>1.0349999999999999</v>
      </c>
      <c r="H61" s="109">
        <f t="shared" si="8"/>
        <v>1.0272989789941493</v>
      </c>
      <c r="I61" s="109">
        <f t="shared" si="8"/>
        <v>1.0172927199660806</v>
      </c>
      <c r="J61" s="109">
        <f t="shared" si="8"/>
        <v>1.0135655042925988</v>
      </c>
      <c r="K61" s="109">
        <f t="shared" si="8"/>
        <v>1.010771508881628</v>
      </c>
      <c r="L61" s="109">
        <f t="shared" si="8"/>
        <v>1.009232244874753</v>
      </c>
      <c r="M61" s="109">
        <f t="shared" si="8"/>
        <v>1.0077089785022966</v>
      </c>
      <c r="N61" s="109">
        <f t="shared" si="8"/>
        <v>1.006789066387183</v>
      </c>
      <c r="O61" s="109">
        <f t="shared" si="8"/>
        <v>1.0060420601685256</v>
      </c>
      <c r="P61" s="109">
        <f t="shared" si="8"/>
        <v>1.0052850652391885</v>
      </c>
      <c r="Q61" s="109">
        <f t="shared" si="8"/>
        <v>1.0039848905059421</v>
      </c>
      <c r="R61" s="109">
        <f t="shared" si="8"/>
        <v>1.0033496660416759</v>
      </c>
      <c r="S61" s="109">
        <f t="shared" si="8"/>
        <v>1.017826056254413</v>
      </c>
    </row>
    <row r="62" spans="1:19" x14ac:dyDescent="0.2">
      <c r="A62" s="3" t="s">
        <v>107</v>
      </c>
      <c r="C62" s="109">
        <f>PRODUCT(C61:$S$61)</f>
        <v>4.9496516653317242</v>
      </c>
      <c r="D62" s="109">
        <f>PRODUCT(D61:$S$61)</f>
        <v>1.8332043204932298</v>
      </c>
      <c r="E62" s="109">
        <f>PRODUCT(E61:$S$61)</f>
        <v>1.3788055372258305</v>
      </c>
      <c r="F62" s="109">
        <f>PRODUCT(F61:$S$61)</f>
        <v>1.2507114140977906</v>
      </c>
      <c r="G62" s="109">
        <f>PRODUCT(G61:$S$61)</f>
        <v>1.176551962892372</v>
      </c>
      <c r="H62" s="109">
        <f>PRODUCT(H61:$S$61)</f>
        <v>1.136765181538524</v>
      </c>
      <c r="I62" s="109">
        <f>PRODUCT(I61:$S$61)</f>
        <v>1.1065572971283932</v>
      </c>
      <c r="J62" s="109">
        <f>PRODUCT(J61:$S$61)</f>
        <v>1.0877471895850084</v>
      </c>
      <c r="K62" s="109">
        <f>PRODUCT(K61:$S$61)</f>
        <v>1.07318884174554</v>
      </c>
      <c r="L62" s="109">
        <f>PRODUCT(L61:$S$61)</f>
        <v>1.0617521688289118</v>
      </c>
      <c r="M62" s="109">
        <f>PRODUCT(M61:$S$61)</f>
        <v>1.0520394827066555</v>
      </c>
      <c r="N62" s="109">
        <f>PRODUCT(N61:$S$61)</f>
        <v>1.0439913756352999</v>
      </c>
      <c r="O62" s="109">
        <f>PRODUCT(O61:$S$61)</f>
        <v>1.0369514434454634</v>
      </c>
      <c r="P62" s="109">
        <f>PRODUCT(P61:$S$61)</f>
        <v>1.0307237485396585</v>
      </c>
      <c r="Q62" s="109">
        <f>PRODUCT(Q61:$S$61)</f>
        <v>1.0253049450151908</v>
      </c>
      <c r="R62" s="109">
        <f>PRODUCT(R61:$S$61)</f>
        <v>1.0212354336313814</v>
      </c>
      <c r="S62" s="109">
        <f>PRODUCT(S61:$S$61)</f>
        <v>1.017826056254413</v>
      </c>
    </row>
    <row r="63" spans="1:19" ht="12" customHeight="1" x14ac:dyDescent="0.2"/>
    <row r="64" spans="1:19" ht="12" customHeight="1" x14ac:dyDescent="0.2"/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3.794816783797665</v>
      </c>
      <c r="D73" s="118">
        <f t="shared" si="10"/>
        <v>1.7984063164323181</v>
      </c>
      <c r="E73" s="118">
        <f t="shared" si="10"/>
        <v>1.4188984961049518</v>
      </c>
      <c r="F73" s="118">
        <f t="shared" si="10"/>
        <v>1.2659724487717521</v>
      </c>
      <c r="G73" s="118">
        <f t="shared" si="10"/>
        <v>1.1868879530367302</v>
      </c>
      <c r="H73" s="118">
        <f t="shared" si="10"/>
        <v>1.1405455860153988</v>
      </c>
      <c r="I73" s="118">
        <f t="shared" si="10"/>
        <v>1.1100647081471049</v>
      </c>
      <c r="J73" s="118">
        <f t="shared" si="10"/>
        <v>1.0913936894426881</v>
      </c>
      <c r="K73" s="118">
        <f t="shared" si="10"/>
        <v>1.0768888430637542</v>
      </c>
      <c r="L73" s="118">
        <f t="shared" si="10"/>
        <v>1.0657861931086872</v>
      </c>
      <c r="M73" s="118">
        <f t="shared" si="10"/>
        <v>1.0565763709598313</v>
      </c>
      <c r="N73" s="118">
        <f t="shared" si="10"/>
        <v>1.0489624295956288</v>
      </c>
      <c r="O73" s="118">
        <f t="shared" si="10"/>
        <v>1.0422790638568853</v>
      </c>
      <c r="P73" s="118">
        <f t="shared" si="10"/>
        <v>1.036461694703968</v>
      </c>
      <c r="Q73" s="118">
        <f t="shared" si="10"/>
        <v>1.0313441570759643</v>
      </c>
      <c r="R73" s="118">
        <f t="shared" si="10"/>
        <v>1.0268908206710403</v>
      </c>
      <c r="S73" s="118">
        <f t="shared" si="10"/>
        <v>1.0230083778265775</v>
      </c>
      <c r="U73" s="3">
        <f>MATCH($C$1, 'Industry LDF'!$A$5:$M$5, 0)</f>
        <v>13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4.9496516653317215</v>
      </c>
      <c r="D74" s="111">
        <f>[1]!ldfsir(prldfs, prldf_ages, prldf_type, prldf_ret, D$72, $U$75, $U$74, prldf_cutoff, 3)</f>
        <v>1.8332043204932298</v>
      </c>
      <c r="E74" s="111">
        <f>[1]!ldfsir(prldfs, prldf_ages, prldf_type, prldf_ret, E$72, $U$75, $U$74, prldf_cutoff, 3)</f>
        <v>1.3788055372258301</v>
      </c>
      <c r="F74" s="111">
        <f>[1]!ldfsir(prldfs, prldf_ages, prldf_type, prldf_ret, F$72, $U$75, $U$74, prldf_cutoff, 3)</f>
        <v>1.2507114140977904</v>
      </c>
      <c r="G74" s="111">
        <f>[1]!ldfsir(prldfs, prldf_ages, prldf_type, prldf_ret, G$72, $U$75, $U$74, prldf_cutoff, 3)</f>
        <v>1.176551962892372</v>
      </c>
      <c r="H74" s="111">
        <f>[1]!ldfsir(prldfs, prldf_ages, prldf_type, prldf_ret, H$72, $U$75, $U$74, prldf_cutoff, 3)</f>
        <v>1.1367651815385238</v>
      </c>
      <c r="I74" s="111">
        <f>[1]!ldfsir(prldfs, prldf_ages, prldf_type, prldf_ret, I$72, $U$75, $U$74, prldf_cutoff, 3)</f>
        <v>1.106557297128393</v>
      </c>
      <c r="J74" s="111">
        <f>[1]!ldfsir(prldfs, prldf_ages, prldf_type, prldf_ret, J$72, $U$75, $U$74, prldf_cutoff, 3)</f>
        <v>1.0877471895850084</v>
      </c>
      <c r="K74" s="111">
        <f>[1]!ldfsir(prldfs, prldf_ages, prldf_type, prldf_ret, K$72, $U$75, $U$74, prldf_cutoff, 3)</f>
        <v>1.0731888417455402</v>
      </c>
      <c r="L74" s="111">
        <f>[1]!ldfsir(prldfs, prldf_ages, prldf_type, prldf_ret, L$72, $U$75, $U$74, prldf_cutoff, 3)</f>
        <v>1.0617521688289118</v>
      </c>
      <c r="M74" s="111">
        <f>[1]!ldfsir(prldfs, prldf_ages, prldf_type, prldf_ret, M$72, $U$75, $U$74, prldf_cutoff, 3)</f>
        <v>1.0520394827066555</v>
      </c>
      <c r="N74" s="111">
        <f>[1]!ldfsir(prldfs, prldf_ages, prldf_type, prldf_ret, N$72, $U$75, $U$74, prldf_cutoff, 3)</f>
        <v>1.0439913756352999</v>
      </c>
      <c r="O74" s="111">
        <f>[1]!ldfsir(prldfs, prldf_ages, prldf_type, prldf_ret, O$72, $U$75, $U$74, prldf_cutoff, 3)</f>
        <v>1.0369514434454634</v>
      </c>
      <c r="P74" s="111">
        <f>[1]!ldfsir(prldfs, prldf_ages, prldf_type, prldf_ret, P$72, $U$75, $U$74, prldf_cutoff, 3)</f>
        <v>1.0307237485396585</v>
      </c>
      <c r="Q74" s="111">
        <f>[1]!ldfsir(prldfs, prldf_ages, prldf_type, prldf_ret, Q$72, $U$75, $U$74, prldf_cutoff, 3)</f>
        <v>1.0253049450151908</v>
      </c>
      <c r="R74" s="111">
        <f>[1]!ldfsir(prldfs, prldf_ages, prldf_type, prldf_ret, R$72, $U$75, $U$74, prldf_cutoff, 3)</f>
        <v>1.0212354336313814</v>
      </c>
      <c r="S74" s="111">
        <f>[1]!ldfsir(prldfs, prldf_ages, prldf_type, prldf_ret, S$72, $U$75, $U$74, prldf_cutoff, 3)</f>
        <v>1.017826056254413</v>
      </c>
      <c r="U74" s="105">
        <v>250000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75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1</v>
      </c>
    </row>
    <row r="79" spans="1:21" x14ac:dyDescent="0.2">
      <c r="A79" s="3" t="s">
        <v>174</v>
      </c>
      <c r="C79" s="1" t="b">
        <f>'e8.1'!C79</f>
        <v>1</v>
      </c>
      <c r="D79" s="1" t="b">
        <f>'e8.1'!D79</f>
        <v>1</v>
      </c>
      <c r="E79" s="1" t="b">
        <f>'e8.1'!E79</f>
        <v>1</v>
      </c>
      <c r="F79" s="1" t="b">
        <f>'e8.1'!F79</f>
        <v>1</v>
      </c>
      <c r="G79" s="1" t="b">
        <f>'e8.1'!G79</f>
        <v>1</v>
      </c>
      <c r="H79" s="1" t="b">
        <f>'e8.1'!H79</f>
        <v>1</v>
      </c>
      <c r="I79" s="1" t="b">
        <f>'e8.1'!I79</f>
        <v>1</v>
      </c>
      <c r="J79" s="1" t="b">
        <f>'e8.1'!J79</f>
        <v>1</v>
      </c>
      <c r="K79" s="1" t="b">
        <f>'e8.1'!K79</f>
        <v>1</v>
      </c>
      <c r="L79" s="1" t="b">
        <f>'e8.1'!L79</f>
        <v>1</v>
      </c>
      <c r="M79" s="1" t="b">
        <f>'e8.1'!M79</f>
        <v>1</v>
      </c>
      <c r="N79" s="1" t="b">
        <f>'e8.1'!N79</f>
        <v>1</v>
      </c>
      <c r="O79" s="1" t="b">
        <f>'e8.1'!O79</f>
        <v>1</v>
      </c>
      <c r="P79" s="1" t="b">
        <f>'e8.1'!P79</f>
        <v>1</v>
      </c>
      <c r="Q79" s="1" t="b">
        <f>'e8.1'!Q79</f>
        <v>1</v>
      </c>
      <c r="R79" s="1" t="b">
        <f>'e8.1'!R79</f>
        <v>1</v>
      </c>
      <c r="S79" s="1" t="b">
        <f>'e8.1'!S79</f>
        <v>1</v>
      </c>
    </row>
    <row r="80" spans="1:21" x14ac:dyDescent="0.2">
      <c r="A80" s="3" t="s">
        <v>90</v>
      </c>
      <c r="C80" s="1" t="b">
        <f>C61&lt;='e8.4'!C61</f>
        <v>1</v>
      </c>
      <c r="D80" s="1" t="b">
        <f>D61&lt;='e8.4'!D61</f>
        <v>1</v>
      </c>
      <c r="E80" s="1" t="b">
        <f>E61&lt;='e8.4'!E61</f>
        <v>1</v>
      </c>
      <c r="F80" s="1" t="b">
        <f>F61&lt;='e8.4'!F61</f>
        <v>1</v>
      </c>
      <c r="G80" s="1" t="b">
        <f>G61&lt;='e8.4'!G61</f>
        <v>1</v>
      </c>
      <c r="H80" s="1" t="b">
        <f>H61&lt;='e8.4'!H61</f>
        <v>1</v>
      </c>
      <c r="I80" s="1" t="b">
        <f>I61&lt;='e8.4'!I61</f>
        <v>1</v>
      </c>
      <c r="J80" s="1" t="b">
        <f>J61&lt;='e8.4'!J61</f>
        <v>1</v>
      </c>
      <c r="K80" s="1" t="b">
        <f>K61&lt;='e8.4'!K61</f>
        <v>1</v>
      </c>
      <c r="L80" s="1" t="b">
        <f>L61&lt;='e8.4'!L61</f>
        <v>1</v>
      </c>
      <c r="M80" s="1" t="b">
        <f>M61&lt;='e8.4'!M61</f>
        <v>1</v>
      </c>
      <c r="N80" s="1" t="b">
        <f>N61&lt;='e8.4'!N61</f>
        <v>1</v>
      </c>
      <c r="O80" s="1" t="b">
        <f>O61&lt;='e8.4'!O61</f>
        <v>1</v>
      </c>
      <c r="P80" s="1" t="b">
        <f>P61&lt;='e8.4'!P61</f>
        <v>1</v>
      </c>
      <c r="Q80" s="1" t="b">
        <f>Q61&lt;='e8.4'!Q61</f>
        <v>1</v>
      </c>
      <c r="R80" s="1" t="b">
        <f>R61&lt;='e8.4'!R61</f>
        <v>1</v>
      </c>
      <c r="S80" s="1" t="b">
        <f>S61&lt;='e8.4'!S61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2
</oddHeader>
    <oddFooter xml:space="preserve">&amp;L&amp;"Arial"&amp;10 Oliver Wyman Actuarial Consulting, Inc.
&amp;C&amp;"Arial"&amp;10 &amp;R&amp;"Arial"&amp;10 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7">
    <tabColor rgb="FF00B050"/>
    <pageSetUpPr fitToPage="1"/>
  </sheetPr>
  <dimension ref="A1:W80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3</v>
      </c>
      <c r="C1" s="1" t="str">
        <f>VLOOKUP(A1, index_lkups, 2, FALSE)</f>
        <v>Rept 350K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Reported Loss &amp; ALAE Limited to $350,000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1018559</v>
      </c>
      <c r="F13" s="424">
        <v>1081460</v>
      </c>
      <c r="G13" s="424">
        <v>1160148.54</v>
      </c>
      <c r="H13" s="424">
        <v>1336352.25</v>
      </c>
      <c r="I13" s="424">
        <v>1431990.95</v>
      </c>
      <c r="J13" s="424">
        <v>1393720.9200000004</v>
      </c>
      <c r="K13" s="424">
        <v>1390635.0200000003</v>
      </c>
      <c r="L13" s="424">
        <v>1392635.0200000003</v>
      </c>
      <c r="M13" s="424">
        <v>1392635.0200000003</v>
      </c>
      <c r="N13" s="424">
        <v>1426510.0200000003</v>
      </c>
      <c r="O13" s="424">
        <v>1432957.9800000004</v>
      </c>
      <c r="P13" s="481">
        <v>1392533.1800000004</v>
      </c>
      <c r="Q13" s="481">
        <v>1370628.7200000004</v>
      </c>
      <c r="R13" s="424">
        <v>1343025.0200000005</v>
      </c>
      <c r="S13" s="482">
        <f>$U13</f>
        <v>1343025.0200000005</v>
      </c>
      <c r="U13" s="107">
        <f>'e7'!M56</f>
        <v>1343025.0200000005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1030367</v>
      </c>
      <c r="E14" s="90">
        <v>1539425</v>
      </c>
      <c r="F14" s="90">
        <v>1750911.85</v>
      </c>
      <c r="G14" s="90">
        <v>2134988.2799999998</v>
      </c>
      <c r="H14" s="90">
        <v>2358327.5499999998</v>
      </c>
      <c r="I14" s="90">
        <v>2374787.7100000004</v>
      </c>
      <c r="J14" s="90">
        <v>2497283.09</v>
      </c>
      <c r="K14" s="90">
        <v>2497283.0899999989</v>
      </c>
      <c r="L14" s="90">
        <v>2508275.9499999988</v>
      </c>
      <c r="M14" s="90">
        <v>2362797.2699999986</v>
      </c>
      <c r="N14" s="90">
        <v>2376605.1299999994</v>
      </c>
      <c r="O14" s="90">
        <v>2396669.33</v>
      </c>
      <c r="P14" s="90">
        <v>2397469.33</v>
      </c>
      <c r="Q14" s="90">
        <v>2386789.33</v>
      </c>
      <c r="R14" s="107">
        <f>$U14</f>
        <v>2385205.2599999993</v>
      </c>
      <c r="S14" s="90"/>
      <c r="U14" s="107">
        <f>'e7'!M57</f>
        <v>2385205.2599999993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400689</v>
      </c>
      <c r="D15" s="90">
        <v>585124</v>
      </c>
      <c r="E15" s="90">
        <v>720306</v>
      </c>
      <c r="F15" s="90">
        <v>687459</v>
      </c>
      <c r="G15" s="90">
        <v>803494</v>
      </c>
      <c r="H15" s="90">
        <v>805477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'e7'!M58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783622</v>
      </c>
      <c r="D16" s="90">
        <v>2068448.45</v>
      </c>
      <c r="E16" s="90">
        <v>2070540.04</v>
      </c>
      <c r="F16" s="90">
        <v>2072987.12</v>
      </c>
      <c r="G16" s="90">
        <v>2035914.8200000015</v>
      </c>
      <c r="H16" s="90">
        <v>2036227</v>
      </c>
      <c r="I16" s="90">
        <v>2036242.9900000005</v>
      </c>
      <c r="J16" s="90">
        <v>2036242.9900000009</v>
      </c>
      <c r="K16" s="90">
        <v>2005503.3400000005</v>
      </c>
      <c r="L16" s="90">
        <v>2005481.3700000015</v>
      </c>
      <c r="M16" s="90">
        <v>2005481.3700000015</v>
      </c>
      <c r="N16" s="90">
        <v>2005481.3700000008</v>
      </c>
      <c r="O16" s="90">
        <v>2005481.3700000008</v>
      </c>
      <c r="P16" s="107">
        <f>$U16</f>
        <v>2005481.3700000008</v>
      </c>
      <c r="Q16" s="90"/>
      <c r="R16" s="90"/>
      <c r="S16" s="90"/>
      <c r="U16" s="107">
        <f>'e7'!M59</f>
        <v>2005481.3700000008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688159.9</v>
      </c>
      <c r="D17" s="90">
        <v>1082819.05</v>
      </c>
      <c r="E17" s="90">
        <v>1113970.23</v>
      </c>
      <c r="F17" s="90">
        <v>1099997.5399999998</v>
      </c>
      <c r="G17" s="90">
        <v>1100029</v>
      </c>
      <c r="H17" s="90">
        <v>1100049.21</v>
      </c>
      <c r="I17" s="90">
        <v>1100049.2099999997</v>
      </c>
      <c r="J17" s="90">
        <v>1100049.21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'e7'!M60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644636.94999999995</v>
      </c>
      <c r="D18" s="90">
        <v>635297.81999999995</v>
      </c>
      <c r="E18" s="90">
        <v>660688.12999999989</v>
      </c>
      <c r="F18" s="90">
        <v>676922</v>
      </c>
      <c r="G18" s="90">
        <v>696806.18</v>
      </c>
      <c r="H18" s="90">
        <v>741352.17999999982</v>
      </c>
      <c r="I18" s="90">
        <v>766285.18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'e7'!M61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894685.16</v>
      </c>
      <c r="D19" s="90">
        <v>1435747.8599999999</v>
      </c>
      <c r="E19" s="90">
        <v>1550979</v>
      </c>
      <c r="F19" s="90">
        <v>1523961.0300000003</v>
      </c>
      <c r="G19" s="90">
        <v>1543533.56</v>
      </c>
      <c r="H19" s="90">
        <v>1529463.7600000002</v>
      </c>
      <c r="I19" s="90">
        <v>1541462.5999999999</v>
      </c>
      <c r="J19" s="90">
        <v>1554635.2400000007</v>
      </c>
      <c r="K19" s="90">
        <v>1572730.2400000005</v>
      </c>
      <c r="L19" s="90">
        <v>1714995.4700000004</v>
      </c>
      <c r="M19" s="107">
        <f>$U19</f>
        <v>1732294.4700000004</v>
      </c>
      <c r="N19" s="90"/>
      <c r="O19" s="90"/>
      <c r="P19" s="90"/>
      <c r="Q19" s="90"/>
      <c r="R19" s="90"/>
      <c r="S19" s="90"/>
      <c r="U19" s="107">
        <f>'e7'!M62</f>
        <v>1732294.4700000004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742783.04000000015</v>
      </c>
      <c r="D20" s="90">
        <v>1082561</v>
      </c>
      <c r="E20" s="90">
        <v>1155731.3700000001</v>
      </c>
      <c r="F20" s="90">
        <v>1133434.4900000002</v>
      </c>
      <c r="G20" s="90">
        <v>1166253.0500000003</v>
      </c>
      <c r="H20" s="90">
        <v>1318396.33</v>
      </c>
      <c r="I20" s="90">
        <v>1325981.0399999993</v>
      </c>
      <c r="J20" s="90">
        <v>1325981.0400000003</v>
      </c>
      <c r="K20" s="90">
        <v>1187635.5200000003</v>
      </c>
      <c r="L20" s="107">
        <f>$U20</f>
        <v>1200315.5200000003</v>
      </c>
      <c r="M20" s="90"/>
      <c r="N20" s="90"/>
      <c r="O20" s="90"/>
      <c r="P20" s="90"/>
      <c r="Q20" s="90"/>
      <c r="R20" s="90"/>
      <c r="S20" s="90"/>
      <c r="U20" s="107">
        <f>'e7'!M63</f>
        <v>1200315.5200000003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458521.01</v>
      </c>
      <c r="D21" s="90">
        <v>880038.00999999989</v>
      </c>
      <c r="E21" s="90">
        <v>1126810.5599999996</v>
      </c>
      <c r="F21" s="90">
        <v>1167572.6599999999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'e7'!M64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685785.19000000006</v>
      </c>
      <c r="D22" s="90">
        <v>1376198.1099999999</v>
      </c>
      <c r="E22" s="90">
        <v>1673596.5400000003</v>
      </c>
      <c r="F22" s="90">
        <v>1812180.21</v>
      </c>
      <c r="G22" s="90">
        <v>1853694.2199999997</v>
      </c>
      <c r="H22" s="90">
        <v>1893132.9099999985</v>
      </c>
      <c r="I22" s="90">
        <v>1926182.29</v>
      </c>
      <c r="J22" s="107">
        <f>$U22</f>
        <v>1928733.7599999993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'e7'!M65</f>
        <v>1928733.7599999993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766763.04000000039</v>
      </c>
      <c r="D23" s="90">
        <v>1420541.2300000002</v>
      </c>
      <c r="E23" s="90">
        <v>1693465.93</v>
      </c>
      <c r="F23" s="90">
        <v>1802508.0899999999</v>
      </c>
      <c r="G23" s="90">
        <v>1929563.5999999996</v>
      </c>
      <c r="H23" s="90">
        <v>1947334.3199999994</v>
      </c>
      <c r="I23" s="107">
        <f>$U23</f>
        <v>1956047.24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'e7'!M66</f>
        <v>1956047.24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1299979.4700000002</v>
      </c>
      <c r="D24" s="90">
        <v>1835988.2100000009</v>
      </c>
      <c r="E24" s="90">
        <v>2194045.5700000008</v>
      </c>
      <c r="F24" s="90">
        <v>2326884.67</v>
      </c>
      <c r="G24" s="90">
        <v>2275068.2200000002</v>
      </c>
      <c r="H24" s="107">
        <f>$U24</f>
        <v>2275241.92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'e7'!M67</f>
        <v>2275241.92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1326440.2600000012</v>
      </c>
      <c r="D25" s="90">
        <v>2913245.9099999997</v>
      </c>
      <c r="E25" s="90">
        <v>3133245.92</v>
      </c>
      <c r="F25" s="90">
        <v>3208618.3299999996</v>
      </c>
      <c r="G25" s="107">
        <f>$U25</f>
        <v>3238342.4400000018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'e7'!M68</f>
        <v>3238342.4400000018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1273406.9200000006</v>
      </c>
      <c r="D26" s="90">
        <v>2127545.5500000012</v>
      </c>
      <c r="E26" s="90">
        <v>2444111.0400000019</v>
      </c>
      <c r="F26" s="107">
        <f>$U26</f>
        <v>2628716.9900000021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'e7'!M69</f>
        <v>2628716.9900000021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1415374.3399999989</v>
      </c>
      <c r="D27" s="90">
        <v>2264112.3000000003</v>
      </c>
      <c r="E27" s="107">
        <f>$U27</f>
        <v>2585441.4500000016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'e7'!M70</f>
        <v>2585441.4500000016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4706747.6700000055</v>
      </c>
      <c r="D28" s="107">
        <f>$U28</f>
        <v>5817996.7700000023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'e7'!M71</f>
        <v>5817996.7700000023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1261811.2200000007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'e7'!M72</f>
        <v>1261811.2200000007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1.0617548909783332</v>
      </c>
      <c r="F34" s="109">
        <f t="shared" si="2"/>
        <v>1.072761396630481</v>
      </c>
      <c r="G34" s="109">
        <f t="shared" si="2"/>
        <v>1.1518803014655348</v>
      </c>
      <c r="H34" s="109">
        <f t="shared" si="2"/>
        <v>1.0715669839295738</v>
      </c>
      <c r="I34" s="109">
        <f t="shared" si="2"/>
        <v>0.97327494981724605</v>
      </c>
      <c r="J34" s="109">
        <f t="shared" si="2"/>
        <v>0.99778585514810225</v>
      </c>
      <c r="K34" s="109">
        <f t="shared" si="2"/>
        <v>1.0014381918844528</v>
      </c>
      <c r="L34" s="109">
        <f t="shared" si="2"/>
        <v>1</v>
      </c>
      <c r="M34" s="109">
        <f t="shared" si="2"/>
        <v>1.0243243918998963</v>
      </c>
      <c r="N34" s="109">
        <f t="shared" si="2"/>
        <v>1.0045200944329855</v>
      </c>
      <c r="O34" s="109">
        <f t="shared" si="2"/>
        <v>0.97178926349256933</v>
      </c>
      <c r="P34" s="109">
        <f t="shared" si="2"/>
        <v>0.98427006241962578</v>
      </c>
      <c r="Q34" s="109">
        <f t="shared" si="2"/>
        <v>0.9798605562562559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1.4940550308773475</v>
      </c>
      <c r="E35" s="109">
        <f t="shared" si="3"/>
        <v>1.1373804180132192</v>
      </c>
      <c r="F35" s="109">
        <f t="shared" si="3"/>
        <v>1.2193579476887999</v>
      </c>
      <c r="G35" s="109">
        <f t="shared" si="3"/>
        <v>1.104609131624835</v>
      </c>
      <c r="H35" s="109">
        <f t="shared" si="3"/>
        <v>1.0069795902609036</v>
      </c>
      <c r="I35" s="109">
        <f t="shared" si="3"/>
        <v>1.0515816127412918</v>
      </c>
      <c r="J35" s="109">
        <f t="shared" si="3"/>
        <v>0.99999999999999967</v>
      </c>
      <c r="K35" s="109">
        <f t="shared" si="3"/>
        <v>1.0044019278567253</v>
      </c>
      <c r="L35" s="109">
        <f t="shared" si="3"/>
        <v>0.94200052829115544</v>
      </c>
      <c r="M35" s="109">
        <f t="shared" si="3"/>
        <v>1.0058438615006529</v>
      </c>
      <c r="N35" s="109">
        <f t="shared" si="3"/>
        <v>1.0084423784779093</v>
      </c>
      <c r="O35" s="109">
        <f t="shared" si="3"/>
        <v>1.000333796569258</v>
      </c>
      <c r="P35" s="109">
        <f t="shared" si="3"/>
        <v>0.99554530276305975</v>
      </c>
      <c r="Q35" s="109">
        <f t="shared" si="3"/>
        <v>0.99933631762967501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1.4602946424783312</v>
      </c>
      <c r="D36" s="109">
        <f t="shared" si="3"/>
        <v>1.2310313711281711</v>
      </c>
      <c r="E36" s="109">
        <f t="shared" si="3"/>
        <v>0.95439854728407092</v>
      </c>
      <c r="F36" s="109">
        <f t="shared" si="3"/>
        <v>1.1687882477355014</v>
      </c>
      <c r="G36" s="109">
        <f t="shared" si="3"/>
        <v>1.0024679711360633</v>
      </c>
      <c r="H36" s="109">
        <f t="shared" si="3"/>
        <v>0.86870867821179298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2.6395997687660633</v>
      </c>
      <c r="D37" s="109">
        <f t="shared" si="3"/>
        <v>1.0010111878785279</v>
      </c>
      <c r="E37" s="109">
        <f t="shared" si="3"/>
        <v>1.0011818559181305</v>
      </c>
      <c r="F37" s="109">
        <f t="shared" si="3"/>
        <v>0.98211648319358658</v>
      </c>
      <c r="G37" s="109">
        <f t="shared" si="3"/>
        <v>1.0001533364740665</v>
      </c>
      <c r="H37" s="109">
        <f t="shared" si="3"/>
        <v>1.0000078527590492</v>
      </c>
      <c r="I37" s="109">
        <f t="shared" si="3"/>
        <v>1.0000000000000002</v>
      </c>
      <c r="J37" s="109">
        <f t="shared" si="3"/>
        <v>0.9849037417680685</v>
      </c>
      <c r="K37" s="109">
        <f t="shared" si="3"/>
        <v>0.99998904514414866</v>
      </c>
      <c r="L37" s="109">
        <f t="shared" si="3"/>
        <v>1</v>
      </c>
      <c r="M37" s="109">
        <f t="shared" si="3"/>
        <v>0.99999999999999967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1.5734991969162981</v>
      </c>
      <c r="D38" s="109">
        <f t="shared" si="3"/>
        <v>1.0287685924993655</v>
      </c>
      <c r="E38" s="109">
        <f t="shared" si="3"/>
        <v>0.98745685510823733</v>
      </c>
      <c r="F38" s="109">
        <f t="shared" si="3"/>
        <v>1.0000286000639602</v>
      </c>
      <c r="G38" s="109">
        <f t="shared" si="3"/>
        <v>1.0000183722429135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0.99965566085902646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0.98551257417062421</v>
      </c>
      <c r="D39" s="109">
        <f t="shared" si="3"/>
        <v>1.0399659957907614</v>
      </c>
      <c r="E39" s="109">
        <f t="shared" si="3"/>
        <v>1.024571154320572</v>
      </c>
      <c r="F39" s="109">
        <f t="shared" si="3"/>
        <v>1.0293744035501875</v>
      </c>
      <c r="G39" s="109">
        <f t="shared" si="3"/>
        <v>1.0639288245118603</v>
      </c>
      <c r="H39" s="109">
        <f t="shared" si="3"/>
        <v>1.0336317888752957</v>
      </c>
      <c r="I39" s="109">
        <f t="shared" si="3"/>
        <v>0.99998017709281506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1.6047520671964648</v>
      </c>
      <c r="D40" s="109">
        <f t="shared" si="3"/>
        <v>1.0802586186686012</v>
      </c>
      <c r="E40" s="109">
        <f t="shared" si="3"/>
        <v>0.98258005427539652</v>
      </c>
      <c r="F40" s="109">
        <f t="shared" si="3"/>
        <v>1.0128431958657105</v>
      </c>
      <c r="G40" s="109">
        <f t="shared" si="3"/>
        <v>0.99088468150961373</v>
      </c>
      <c r="H40" s="109">
        <f t="shared" si="3"/>
        <v>1.007845128674379</v>
      </c>
      <c r="I40" s="109">
        <f t="shared" si="3"/>
        <v>1.0085455462883115</v>
      </c>
      <c r="J40" s="109">
        <f t="shared" si="3"/>
        <v>1.0116393862267008</v>
      </c>
      <c r="K40" s="109">
        <f t="shared" si="3"/>
        <v>1.0904574900270245</v>
      </c>
      <c r="L40" s="109">
        <f t="shared" si="3"/>
        <v>1.0100869071100229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1.4574390389958281</v>
      </c>
      <c r="D41" s="109">
        <f t="shared" si="3"/>
        <v>1.0675900665181917</v>
      </c>
      <c r="E41" s="109">
        <f t="shared" si="3"/>
        <v>0.98070755836626644</v>
      </c>
      <c r="F41" s="109">
        <f t="shared" si="3"/>
        <v>1.0289549685399111</v>
      </c>
      <c r="G41" s="109">
        <f t="shared" si="3"/>
        <v>1.1304547756595362</v>
      </c>
      <c r="H41" s="109">
        <f t="shared" si="3"/>
        <v>1.0057529817304629</v>
      </c>
      <c r="I41" s="109">
        <f t="shared" si="3"/>
        <v>1.0000000000000007</v>
      </c>
      <c r="J41" s="109">
        <f t="shared" si="3"/>
        <v>0.89566553681642391</v>
      </c>
      <c r="K41" s="109">
        <f t="shared" si="3"/>
        <v>1.0106766762920665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1.9192970241429066</v>
      </c>
      <c r="D42" s="109">
        <f t="shared" si="3"/>
        <v>1.2804112404190358</v>
      </c>
      <c r="E42" s="109">
        <f t="shared" si="3"/>
        <v>1.0361747586036116</v>
      </c>
      <c r="F42" s="109">
        <f t="shared" si="3"/>
        <v>1.0371711170420861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2.0067480751516373</v>
      </c>
      <c r="D43" s="109">
        <f t="shared" si="3"/>
        <v>1.2161014666703767</v>
      </c>
      <c r="E43" s="109">
        <f t="shared" si="3"/>
        <v>1.0828059013554125</v>
      </c>
      <c r="F43" s="109">
        <f t="shared" si="3"/>
        <v>1.0229083232290677</v>
      </c>
      <c r="G43" s="109">
        <f t="shared" si="3"/>
        <v>1.0212757258314151</v>
      </c>
      <c r="H43" s="109">
        <f t="shared" si="3"/>
        <v>1.0174575064568507</v>
      </c>
      <c r="I43" s="109">
        <f t="shared" si="3"/>
        <v>1.0013246254070789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1.8526469794370886</v>
      </c>
      <c r="D44" s="109">
        <f t="shared" si="3"/>
        <v>1.1921272640569536</v>
      </c>
      <c r="E44" s="109">
        <f t="shared" si="3"/>
        <v>1.0643899343165408</v>
      </c>
      <c r="F44" s="109">
        <f t="shared" si="3"/>
        <v>1.0704881773928681</v>
      </c>
      <c r="G44" s="109">
        <f t="shared" si="3"/>
        <v>1.0092097093871379</v>
      </c>
      <c r="H44" s="109">
        <f t="shared" si="3"/>
        <v>1.0044742805128606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1.4123209268835613</v>
      </c>
      <c r="D45" s="109">
        <f t="shared" si="3"/>
        <v>1.195021600928472</v>
      </c>
      <c r="E45" s="109">
        <f t="shared" si="3"/>
        <v>1.0605452784647491</v>
      </c>
      <c r="F45" s="109">
        <f t="shared" si="3"/>
        <v>0.97773140600045305</v>
      </c>
      <c r="G45" s="109">
        <f t="shared" si="3"/>
        <v>1.0000763493588776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2.1962888174096866</v>
      </c>
      <c r="D46" s="109">
        <f t="shared" si="3"/>
        <v>1.07551714369351</v>
      </c>
      <c r="E46" s="109">
        <f t="shared" si="3"/>
        <v>1.0240556955708091</v>
      </c>
      <c r="F46" s="109">
        <f t="shared" si="3"/>
        <v>1.0092638347546941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1.6707507369286168</v>
      </c>
      <c r="D47" s="109">
        <f t="shared" si="3"/>
        <v>1.148793754380488</v>
      </c>
      <c r="E47" s="109">
        <f t="shared" si="3"/>
        <v>1.0755309177769599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1.5996561729386742</v>
      </c>
      <c r="D48" s="109">
        <f t="shared" si="3"/>
        <v>1.1419227968506691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1.2360970202594259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1.7214466170319833</v>
      </c>
      <c r="D52" s="109">
        <f>[1]!avg(D34:D49, , FALSE, TRUE, )</f>
        <v>1.1577425641161387</v>
      </c>
      <c r="E52" s="109">
        <f>[1]!avg(E34:E49, , FALSE, TRUE, )</f>
        <v>1.0306156078904114</v>
      </c>
      <c r="F52" s="109">
        <f>[1]!avg(F34:F49, , FALSE, TRUE, )</f>
        <v>1.0518770222443841</v>
      </c>
      <c r="G52" s="109">
        <f>[1]!avg(G34:G49, , FALSE, TRUE, )</f>
        <v>1.0432608816110314</v>
      </c>
      <c r="H52" s="109">
        <f>[1]!avg(H34:H49, , FALSE, TRUE, )</f>
        <v>1.0012485172888272</v>
      </c>
      <c r="I52" s="109">
        <f>[1]!avg(I34:I49, , FALSE, TRUE, )</f>
        <v>1.0037091428821847</v>
      </c>
      <c r="J52" s="109">
        <f>[1]!avg(J34:J49, , FALSE, TRUE, )</f>
        <v>0.98620627260229032</v>
      </c>
      <c r="K52" s="109">
        <f>[1]!avg(K34:K49, , FALSE, TRUE, )</f>
        <v>1.0137552364160503</v>
      </c>
      <c r="L52" s="109">
        <f>[1]!avg(L34:L49, , FALSE, TRUE, )</f>
        <v>0.99036082024641658</v>
      </c>
      <c r="M52" s="109">
        <f>[1]!avg(M34:M49, , FALSE, TRUE, )</f>
        <v>1.0060336506801097</v>
      </c>
      <c r="N52" s="109">
        <f>[1]!avg(N34:N49, , FALSE, TRUE, )</f>
        <v>1.0032406182277236</v>
      </c>
      <c r="O52" s="109">
        <f>[1]!avg(O34:O49, , FALSE, TRUE, )</f>
        <v>0.99070768668727582</v>
      </c>
      <c r="P52" s="109">
        <f>[1]!avg(P34:P49, , FALSE, TRUE, )</f>
        <v>0.98990768259134287</v>
      </c>
      <c r="Q52" s="109">
        <f>[1]!avg(Q34:Q49, , FALSE, TRUE, )</f>
        <v>0.9798605562562559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 1, TRUE)</f>
        <v>1.7316522001209216</v>
      </c>
      <c r="D53" s="109">
        <f>[1]!DAvg(D$13:D$29, E$13:E$29, , FALSE, 1, TRUE)</f>
        <v>1.1409009468492837</v>
      </c>
      <c r="E53" s="109">
        <f>[1]!DAvg(E$13:E$29, F$13:F$29, , FALSE, 1, TRUE)</f>
        <v>1.0352918873752091</v>
      </c>
      <c r="F53" s="109">
        <f>[1]!DAvg(F$13:F$29, G$13:G$29, , FALSE, 1, TRUE)</f>
        <v>1.0451782715116047</v>
      </c>
      <c r="G53" s="109">
        <f>[1]!DAvg(G$13:G$29, H$13:H$29, , FALSE, 1, TRUE)</f>
        <v>1.0411171071259511</v>
      </c>
      <c r="H53" s="109">
        <f>[1]!DAvg(H$13:H$29, I$13:I$29, , FALSE, 1, TRUE)</f>
        <v>1.0059016858056802</v>
      </c>
      <c r="I53" s="109">
        <f>[1]!DAvg(I$13:I$29, J$13:J$29, , FALSE, 1, TRUE)</f>
        <v>1.0077972732963436</v>
      </c>
      <c r="J53" s="109">
        <f>[1]!DAvg(J$13:J$29, K$13:K$29, , FALSE, 1, TRUE)</f>
        <v>0.98642024632495384</v>
      </c>
      <c r="K53" s="109">
        <f>[1]!DAvg(K$13:K$29, L$13:L$29, , FALSE, 1, TRUE)</f>
        <v>1.0154743772358461</v>
      </c>
      <c r="L53" s="109">
        <f>[1]!DAvg(L$13:L$29, M$13:M$29, , FALSE, 1, TRUE)</f>
        <v>0.98284198990474059</v>
      </c>
      <c r="M53" s="109">
        <f>[1]!DAvg(M$13:M$29, N$13:N$29, , FALSE, 1, TRUE)</f>
        <v>1.0063069029183029</v>
      </c>
      <c r="N53" s="109">
        <f>[1]!DAvg(N$13:N$29, O$13:O$29, , FALSE, 1, TRUE)</f>
        <v>1.0040735068040714</v>
      </c>
      <c r="O53" s="109">
        <f>[1]!DAvg(O$13:O$29, P$13:P$29, , FALSE, 1, TRUE)</f>
        <v>0.99125177460165736</v>
      </c>
      <c r="P53" s="109">
        <f>[1]!DAvg(P$13:P$29, Q$13:Q$29, , FALSE, 1, TRUE)</f>
        <v>0.99140252284423946</v>
      </c>
      <c r="Q53" s="109">
        <f>[1]!DAvg(Q$13:Q$29, R$13:R$29, , FALSE, 1, TRUE)</f>
        <v>0.9798605562562559</v>
      </c>
      <c r="R53" s="109" t="str">
        <f>[1]!DAvg(R$13:R$29, S$13:S$29, , FALSE, 1, TRUE)</f>
        <v/>
      </c>
      <c r="S53" s="109" t="str">
        <f>[1]!DAvg(S$13:S$29, T$13:T$29, , FALSE, 1, TRUE)</f>
        <v/>
      </c>
    </row>
    <row r="54" spans="1:19" x14ac:dyDescent="0.2">
      <c r="A54" s="3" t="s">
        <v>102</v>
      </c>
      <c r="C54" s="109">
        <f>[1]!DAvg(C$13:C$29, D$13:D$29, 4, FALSE, 1, TRUE)</f>
        <v>1.7197641231625371</v>
      </c>
      <c r="D54" s="109">
        <f>[1]!DAvg(D$13:D$29, E$13:E$29, 4, FALSE, 1, TRUE)</f>
        <v>1.1407138007642925</v>
      </c>
      <c r="E54" s="109">
        <f>[1]!DAvg(E$13:E$29, F$13:F$29, 4, FALSE, 1, TRUE)</f>
        <v>1.0524291214847203</v>
      </c>
      <c r="F54" s="109">
        <f>[1]!DAvg(F$13:F$29, G$13:G$29, 4, FALSE, 1, TRUE)</f>
        <v>1.0225277492310985</v>
      </c>
      <c r="G54" s="109">
        <f>[1]!DAvg(G$13:G$29, H$13:H$29, 4, FALSE, 1, TRUE)</f>
        <v>1.0341771485400824</v>
      </c>
      <c r="H54" s="109">
        <f>[1]!DAvg(H$13:H$29, I$13:I$29, 4, FALSE, 1, TRUE)</f>
        <v>1.0089500405911267</v>
      </c>
      <c r="I54" s="109">
        <f>[1]!DAvg(I$13:I$29, J$13:J$29, 4, FALSE, 1, TRUE)</f>
        <v>1.0027148104483672</v>
      </c>
      <c r="J54" s="109">
        <f>[1]!DAvg(J$13:J$29, K$13:K$29, 4, FALSE, 1, TRUE)</f>
        <v>0.97458796090483213</v>
      </c>
      <c r="K54" s="109">
        <f>[1]!DAvg(K$13:K$29, L$13:L$29, 4, FALSE, 1, TRUE)</f>
        <v>1.0261276109582973</v>
      </c>
      <c r="L54" s="109">
        <f>[1]!DAvg(L$13:L$29, M$13:M$29, 4, FALSE, 1, TRUE)</f>
        <v>1.0000251643644493</v>
      </c>
      <c r="M54" s="109">
        <f>[1]!DAvg(M$13:M$29, N$13:N$29, 4, FALSE, 1, TRUE)</f>
        <v>1.0022387050062731</v>
      </c>
      <c r="N54" s="109">
        <f>[1]!DAvg(N$13:N$29, O$13:O$29, 4, FALSE, 1, TRUE)</f>
        <v>1.0040735068040714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1.8193028015052077</v>
      </c>
      <c r="D55" s="109">
        <f>[1]!DAvg(D$13:D$29, E$13:E$29, 3, FALSE, 1, TRUE)</f>
        <v>1.130093285364776</v>
      </c>
      <c r="E55" s="109">
        <f>[1]!DAvg(E$13:E$29, F$13:F$29, 3, FALSE, 1, TRUE)</f>
        <v>1.0451879549485985</v>
      </c>
      <c r="F55" s="109">
        <f>[1]!DAvg(F$13:F$29, G$13:G$29, 3, FALSE, 1, TRUE)</f>
        <v>1.0196501954262793</v>
      </c>
      <c r="G55" s="109">
        <f>[1]!DAvg(G$13:G$29, H$13:H$29, 3, FALSE, 1, TRUE)</f>
        <v>1.0116943902504649</v>
      </c>
      <c r="H55" s="109">
        <f>[1]!DAvg(H$13:H$29, I$13:I$29, 3, FALSE, 1, TRUE)</f>
        <v>1.0093320565279682</v>
      </c>
      <c r="I55" s="109">
        <f>[1]!DAvg(I$13:I$29, J$13:J$29, 3, FALSE, 1, TRUE)</f>
        <v>1.0032283829402078</v>
      </c>
      <c r="J55" s="109">
        <f>[1]!DAvg(J$13:J$29, K$13:K$29, 3, FALSE, 1, TRUE)</f>
        <v>0.96702652314956894</v>
      </c>
      <c r="K55" s="109">
        <f>[1]!DAvg(K$13:K$29, L$13:L$29, 3, FALSE, 1, TRUE)</f>
        <v>1.0413721593255814</v>
      </c>
      <c r="L55" s="109">
        <f>[1]!DAvg(L$13:L$29, M$13:M$29, 3, FALSE, 1, TRUE)</f>
        <v>1</v>
      </c>
      <c r="M55" s="109">
        <f>[1]!DAvg(M$13:M$29, N$13:N$29, 3, FALSE, 1, TRUE)</f>
        <v>0.99999999999999978</v>
      </c>
      <c r="N55" s="109">
        <f>[1]!DAvg(N$13:N$29, O$13:O$29, 3, FALSE, 1, TRUE)</f>
        <v>1.0039481484894157</v>
      </c>
      <c r="O55" s="109">
        <f>[1]!DAvg(O$13:O$29, P$13:P$29, 3, FALSE, 1, TRUE)</f>
        <v>0.99125177460165736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1.3690672326822995</v>
      </c>
      <c r="D57" s="109">
        <f t="shared" ref="D57:S57" si="5">IF(ISBLANK(E73), D73, D73/E73)</f>
        <v>1.1032327586678448</v>
      </c>
      <c r="E57" s="109">
        <f t="shared" si="5"/>
        <v>1.0437713702483737</v>
      </c>
      <c r="F57" s="109">
        <f t="shared" si="5"/>
        <v>1.0221472630014121</v>
      </c>
      <c r="G57" s="109">
        <f t="shared" si="5"/>
        <v>1.0145313446799333</v>
      </c>
      <c r="H57" s="109">
        <f t="shared" si="5"/>
        <v>1.0112281729573152</v>
      </c>
      <c r="I57" s="109">
        <f t="shared" si="5"/>
        <v>1.0086381291914701</v>
      </c>
      <c r="J57" s="109">
        <f t="shared" si="5"/>
        <v>1.0068181178577451</v>
      </c>
      <c r="K57" s="109">
        <f t="shared" si="5"/>
        <v>1.0051072124647658</v>
      </c>
      <c r="L57" s="109">
        <f t="shared" si="5"/>
        <v>1.0042653335480458</v>
      </c>
      <c r="M57" s="109">
        <f t="shared" si="5"/>
        <v>1.0035933498197942</v>
      </c>
      <c r="N57" s="109">
        <f t="shared" si="5"/>
        <v>1.0030569797199338</v>
      </c>
      <c r="O57" s="109">
        <f t="shared" si="5"/>
        <v>1.0025981709683793</v>
      </c>
      <c r="P57" s="109">
        <f t="shared" si="5"/>
        <v>1.0023361940636195</v>
      </c>
      <c r="Q57" s="109">
        <f t="shared" si="5"/>
        <v>1.0018574331110921</v>
      </c>
      <c r="R57" s="109">
        <f t="shared" si="5"/>
        <v>1.0014521293665388</v>
      </c>
      <c r="S57" s="109">
        <f t="shared" si="5"/>
        <v>1.0123012304474974</v>
      </c>
    </row>
    <row r="58" spans="1:19" x14ac:dyDescent="0.2">
      <c r="A58" s="3" t="s">
        <v>18</v>
      </c>
      <c r="C58" s="109">
        <f>IF(ISBLANK(D74), C74, C74/D74)</f>
        <v>1.7200000000000002</v>
      </c>
      <c r="D58" s="109">
        <f t="shared" ref="D58:S58" si="6">IF(ISBLANK(E74), D74, D74/E74)</f>
        <v>1.1349999999999998</v>
      </c>
      <c r="E58" s="109">
        <f t="shared" si="6"/>
        <v>1.0559999999999996</v>
      </c>
      <c r="F58" s="109">
        <f t="shared" si="6"/>
        <v>1.0336441208415497</v>
      </c>
      <c r="G58" s="109">
        <f t="shared" si="6"/>
        <v>1.013702254658684</v>
      </c>
      <c r="H58" s="109">
        <f t="shared" si="6"/>
        <v>1.0104493374511418</v>
      </c>
      <c r="I58" s="109">
        <f t="shared" si="6"/>
        <v>1.0082504566344761</v>
      </c>
      <c r="J58" s="109">
        <f t="shared" si="6"/>
        <v>1.0068021531419167</v>
      </c>
      <c r="K58" s="109">
        <f t="shared" si="6"/>
        <v>1.0052326296115435</v>
      </c>
      <c r="L58" s="109">
        <f t="shared" si="6"/>
        <v>1.0044361420430385</v>
      </c>
      <c r="M58" s="109">
        <f t="shared" si="6"/>
        <v>1.0038188174759681</v>
      </c>
      <c r="N58" s="109">
        <f t="shared" si="6"/>
        <v>1.0032698032503675</v>
      </c>
      <c r="O58" s="109">
        <f t="shared" si="6"/>
        <v>1.0028438713225694</v>
      </c>
      <c r="P58" s="109">
        <f t="shared" si="6"/>
        <v>1.0024864530891433</v>
      </c>
      <c r="Q58" s="109">
        <f t="shared" si="6"/>
        <v>1.0020371376639035</v>
      </c>
      <c r="R58" s="109">
        <f t="shared" si="6"/>
        <v>1.0019361659837236</v>
      </c>
      <c r="S58" s="109">
        <f t="shared" si="6"/>
        <v>1.0127868633190751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1.7200000000000002</v>
      </c>
      <c r="D61" s="109">
        <v>1.1499999999999999</v>
      </c>
      <c r="E61" s="109">
        <f t="shared" ref="E61:S61" si="8">E58</f>
        <v>1.0559999999999996</v>
      </c>
      <c r="F61" s="109">
        <v>1.028</v>
      </c>
      <c r="G61" s="109">
        <f t="shared" si="8"/>
        <v>1.013702254658684</v>
      </c>
      <c r="H61" s="109">
        <f t="shared" si="8"/>
        <v>1.0104493374511418</v>
      </c>
      <c r="I61" s="109">
        <f t="shared" si="8"/>
        <v>1.0082504566344761</v>
      </c>
      <c r="J61" s="109">
        <f t="shared" si="8"/>
        <v>1.0068021531419167</v>
      </c>
      <c r="K61" s="109">
        <f t="shared" si="8"/>
        <v>1.0052326296115435</v>
      </c>
      <c r="L61" s="109">
        <f t="shared" si="8"/>
        <v>1.0044361420430385</v>
      </c>
      <c r="M61" s="109">
        <f t="shared" si="8"/>
        <v>1.0038188174759681</v>
      </c>
      <c r="N61" s="109">
        <f t="shared" si="8"/>
        <v>1.0032698032503675</v>
      </c>
      <c r="O61" s="109">
        <f t="shared" si="8"/>
        <v>1.0028438713225694</v>
      </c>
      <c r="P61" s="109">
        <f t="shared" si="8"/>
        <v>1.0024864530891433</v>
      </c>
      <c r="Q61" s="109">
        <f t="shared" si="8"/>
        <v>1.0020371376639035</v>
      </c>
      <c r="R61" s="109">
        <f t="shared" si="8"/>
        <v>1.0019361659837236</v>
      </c>
      <c r="S61" s="109">
        <f t="shared" si="8"/>
        <v>1.0127868633190751</v>
      </c>
    </row>
    <row r="62" spans="1:19" x14ac:dyDescent="0.2">
      <c r="A62" s="3" t="s">
        <v>107</v>
      </c>
      <c r="C62" s="109">
        <f>PRODUCT(C61:$S$61)</f>
        <v>2.3207939784376244</v>
      </c>
      <c r="D62" s="109">
        <f>PRODUCT(D61:$S$61)</f>
        <v>1.3492988246730373</v>
      </c>
      <c r="E62" s="109">
        <f>PRODUCT(E61:$S$61)</f>
        <v>1.1733033258026413</v>
      </c>
      <c r="F62" s="109">
        <f>PRODUCT(F61:$S$61)</f>
        <v>1.1110826948888652</v>
      </c>
      <c r="G62" s="109">
        <f>PRODUCT(G61:$S$61)</f>
        <v>1.0808197421097909</v>
      </c>
      <c r="H62" s="109">
        <f>PRODUCT(H61:$S$61)</f>
        <v>1.066210257639908</v>
      </c>
      <c r="I62" s="109">
        <f>PRODUCT(I61:$S$61)</f>
        <v>1.0551842810144474</v>
      </c>
      <c r="J62" s="109">
        <f>PRODUCT(J61:$S$61)</f>
        <v>1.0465497675415243</v>
      </c>
      <c r="K62" s="109">
        <f>PRODUCT(K61:$S$61)</f>
        <v>1.0394790717079503</v>
      </c>
      <c r="L62" s="109">
        <f>PRODUCT(L61:$S$61)</f>
        <v>1.0340681759501187</v>
      </c>
      <c r="M62" s="109">
        <f>PRODUCT(M61:$S$61)</f>
        <v>1.0295011625595312</v>
      </c>
      <c r="N62" s="109">
        <f>PRODUCT(N61:$S$61)</f>
        <v>1.0255846420055563</v>
      </c>
      <c r="O62" s="109">
        <f>PRODUCT(O61:$S$61)</f>
        <v>1.0222421114269495</v>
      </c>
      <c r="P62" s="109">
        <f>PRODUCT(P61:$S$61)</f>
        <v>1.0193432304460288</v>
      </c>
      <c r="Q62" s="109">
        <f>PRODUCT(Q61:$S$61)</f>
        <v>1.0168149677284335</v>
      </c>
      <c r="R62" s="109">
        <f>PRODUCT(R61:$S$61)</f>
        <v>1.0147477867925956</v>
      </c>
      <c r="S62" s="109">
        <f>PRODUCT(S61:$S$61)</f>
        <v>1.0127868633190751</v>
      </c>
    </row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1.7411743230672185</v>
      </c>
      <c r="D73" s="118">
        <f t="shared" si="10"/>
        <v>1.2717960677912659</v>
      </c>
      <c r="E73" s="118">
        <f t="shared" si="10"/>
        <v>1.1527903407499986</v>
      </c>
      <c r="F73" s="118">
        <f t="shared" si="10"/>
        <v>1.1044471745528746</v>
      </c>
      <c r="G73" s="118">
        <f t="shared" si="10"/>
        <v>1.0805166873017873</v>
      </c>
      <c r="H73" s="118">
        <f t="shared" si="10"/>
        <v>1.0650402207559897</v>
      </c>
      <c r="I73" s="118">
        <f t="shared" si="10"/>
        <v>1.0532145456759796</v>
      </c>
      <c r="J73" s="118">
        <f t="shared" si="10"/>
        <v>1.0441946573249636</v>
      </c>
      <c r="K73" s="118">
        <f t="shared" si="10"/>
        <v>1.0371234275628118</v>
      </c>
      <c r="L73" s="118">
        <f t="shared" si="10"/>
        <v>1.0318535323406293</v>
      </c>
      <c r="M73" s="118">
        <f t="shared" si="10"/>
        <v>1.0274710257050446</v>
      </c>
      <c r="N73" s="118">
        <f t="shared" si="10"/>
        <v>1.0237921822514446</v>
      </c>
      <c r="O73" s="118">
        <f t="shared" si="10"/>
        <v>1.020672008620388</v>
      </c>
      <c r="P73" s="118">
        <f t="shared" si="10"/>
        <v>1.0180270004228631</v>
      </c>
      <c r="Q73" s="118">
        <f t="shared" si="10"/>
        <v>1.0156542350283</v>
      </c>
      <c r="R73" s="118">
        <f t="shared" si="10"/>
        <v>1.0137712227920137</v>
      </c>
      <c r="S73" s="118">
        <f t="shared" si="10"/>
        <v>1.0123012304474974</v>
      </c>
      <c r="U73" s="3">
        <f>MATCH($C$1, 'Industry LDF'!$A$5:$M$5, 0)</f>
        <v>5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2.3030986156729409</v>
      </c>
      <c r="D74" s="111">
        <f>[1]!ldfsir(prldfs, prldf_ages, prldf_type, prldf_ret, D$72, $U$75, $U$74, prldf_cutoff, 3)</f>
        <v>1.3390108230656632</v>
      </c>
      <c r="E74" s="111">
        <f>[1]!ldfsir(prldfs, prldf_ages, prldf_type, prldf_ret, E$72, $U$75, $U$74, prldf_cutoff, 3)</f>
        <v>1.1797452185600559</v>
      </c>
      <c r="F74" s="111">
        <f>[1]!ldfsir(prldfs, prldf_ages, prldf_type, prldf_ret, F$72, $U$75, $U$74, prldf_cutoff, 3)</f>
        <v>1.1171829721212654</v>
      </c>
      <c r="G74" s="111">
        <f>[1]!ldfsir(prldfs, prldf_ages, prldf_type, prldf_ret, G$72, $U$75, $U$74, prldf_cutoff, 3)</f>
        <v>1.0808197421097909</v>
      </c>
      <c r="H74" s="111">
        <f>[1]!ldfsir(prldfs, prldf_ages, prldf_type, prldf_ret, H$72, $U$75, $U$74, prldf_cutoff, 3)</f>
        <v>1.0662102576399077</v>
      </c>
      <c r="I74" s="111">
        <f>[1]!ldfsir(prldfs, prldf_ages, prldf_type, prldf_ret, I$72, $U$75, $U$74, prldf_cutoff, 3)</f>
        <v>1.0551842810144474</v>
      </c>
      <c r="J74" s="111">
        <f>[1]!ldfsir(prldfs, prldf_ages, prldf_type, prldf_ret, J$72, $U$75, $U$74, prldf_cutoff, 3)</f>
        <v>1.046549767541525</v>
      </c>
      <c r="K74" s="111">
        <f>[1]!ldfsir(prldfs, prldf_ages, prldf_type, prldf_ret, K$72, $U$75, $U$74, prldf_cutoff, 3)</f>
        <v>1.0394790717079501</v>
      </c>
      <c r="L74" s="111">
        <f>[1]!ldfsir(prldfs, prldf_ages, prldf_type, prldf_ret, L$72, $U$75, $U$74, prldf_cutoff, 3)</f>
        <v>1.0340681759501187</v>
      </c>
      <c r="M74" s="111">
        <f>[1]!ldfsir(prldfs, prldf_ages, prldf_type, prldf_ret, M$72, $U$75, $U$74, prldf_cutoff, 3)</f>
        <v>1.0295011625595314</v>
      </c>
      <c r="N74" s="111">
        <f>[1]!ldfsir(prldfs, prldf_ages, prldf_type, prldf_ret, N$72, $U$75, $U$74, prldf_cutoff, 3)</f>
        <v>1.0255846420055561</v>
      </c>
      <c r="O74" s="111">
        <f>[1]!ldfsir(prldfs, prldf_ages, prldf_type, prldf_ret, O$72, $U$75, $U$74, prldf_cutoff, 3)</f>
        <v>1.0222421114269498</v>
      </c>
      <c r="P74" s="111">
        <f>[1]!ldfsir(prldfs, prldf_ages, prldf_type, prldf_ret, P$72, $U$75, $U$74, prldf_cutoff, 3)</f>
        <v>1.019343230446029</v>
      </c>
      <c r="Q74" s="111">
        <f>[1]!ldfsir(prldfs, prldf_ages, prldf_type, prldf_ret, Q$72, $U$75, $U$74, prldf_cutoff, 3)</f>
        <v>1.0168149677284335</v>
      </c>
      <c r="R74" s="111">
        <f>[1]!ldfsir(prldfs, prldf_ages, prldf_type, prldf_ret, R$72, $U$75, $U$74, prldf_cutoff, 3)</f>
        <v>1.0147477867925956</v>
      </c>
      <c r="S74" s="111">
        <f>[1]!ldfsir(prldfs, prldf_ages, prldf_type, prldf_ret, S$72, $U$75, $U$74, prldf_cutoff, 3)</f>
        <v>1.0127868633190751</v>
      </c>
      <c r="U74" s="105">
        <v>350000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93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1</v>
      </c>
    </row>
    <row r="79" spans="1:21" x14ac:dyDescent="0.2">
      <c r="A79" s="3" t="s">
        <v>174</v>
      </c>
      <c r="C79" s="1" t="b">
        <f>C61&lt;='e8.4'!C61</f>
        <v>1</v>
      </c>
      <c r="D79" s="1" t="b">
        <f>D61&lt;='e8.4'!D61</f>
        <v>1</v>
      </c>
      <c r="E79" s="1" t="b">
        <f>E61&lt;='e8.4'!E61</f>
        <v>1</v>
      </c>
      <c r="F79" s="1" t="b">
        <f>F61&lt;='e8.4'!F61</f>
        <v>1</v>
      </c>
      <c r="G79" s="1" t="b">
        <f>G61&lt;='e8.4'!G61</f>
        <v>1</v>
      </c>
      <c r="H79" s="1" t="b">
        <f>H61&lt;='e8.4'!H61</f>
        <v>1</v>
      </c>
      <c r="I79" s="1" t="b">
        <f>I61&lt;='e8.4'!I61</f>
        <v>1</v>
      </c>
      <c r="J79" s="1" t="b">
        <f>J61&lt;='e8.4'!J61</f>
        <v>1</v>
      </c>
      <c r="K79" s="1" t="b">
        <f>K61&lt;='e8.4'!K61</f>
        <v>1</v>
      </c>
      <c r="L79" s="1" t="b">
        <f>L61&lt;='e8.4'!L61</f>
        <v>1</v>
      </c>
      <c r="M79" s="1" t="b">
        <f>M61&lt;='e8.4'!M61</f>
        <v>1</v>
      </c>
      <c r="N79" s="1" t="b">
        <f>N61&lt;='e8.4'!N61</f>
        <v>1</v>
      </c>
      <c r="O79" s="1" t="b">
        <f>O61&lt;='e8.4'!O61</f>
        <v>1</v>
      </c>
      <c r="P79" s="1" t="b">
        <f>P61&lt;='e8.4'!P61</f>
        <v>1</v>
      </c>
      <c r="Q79" s="1" t="b">
        <f>Q61&lt;='e8.4'!Q61</f>
        <v>1</v>
      </c>
      <c r="R79" s="1" t="b">
        <f>R61&lt;='e8.4'!R61</f>
        <v>1</v>
      </c>
      <c r="S79" s="1" t="b">
        <f>S61&lt;='e8.4'!S61</f>
        <v>1</v>
      </c>
    </row>
    <row r="80" spans="1:21" x14ac:dyDescent="0.2">
      <c r="A80" s="3" t="s">
        <v>90</v>
      </c>
      <c r="C80" s="1" t="b">
        <f>C61&lt;='e8.5'!C61</f>
        <v>1</v>
      </c>
      <c r="D80" s="1" t="b">
        <f>D61&lt;='e8.5'!D61</f>
        <v>1</v>
      </c>
      <c r="E80" s="1" t="b">
        <f>E61&lt;='e8.5'!E61</f>
        <v>1</v>
      </c>
      <c r="F80" s="1" t="b">
        <f>F61&lt;='e8.5'!F61</f>
        <v>1</v>
      </c>
      <c r="G80" s="1" t="b">
        <f>G61&lt;='e8.5'!G61</f>
        <v>1</v>
      </c>
      <c r="H80" s="1" t="b">
        <f>H61&lt;='e8.5'!H61</f>
        <v>1</v>
      </c>
      <c r="I80" s="1" t="b">
        <f>I61&lt;='e8.5'!I61</f>
        <v>1</v>
      </c>
      <c r="J80" s="1" t="b">
        <f>J61&lt;='e8.5'!J61</f>
        <v>1</v>
      </c>
      <c r="K80" s="1" t="b">
        <f>K61&lt;='e8.5'!K61</f>
        <v>1</v>
      </c>
      <c r="L80" s="1" t="b">
        <f>L61&lt;='e8.5'!L61</f>
        <v>1</v>
      </c>
      <c r="M80" s="1" t="b">
        <f>M61&lt;='e8.5'!M61</f>
        <v>1</v>
      </c>
      <c r="N80" s="1" t="b">
        <f>N61&lt;='e8.5'!N61</f>
        <v>1</v>
      </c>
      <c r="O80" s="1" t="b">
        <f>O61&lt;='e8.5'!O61</f>
        <v>1</v>
      </c>
      <c r="P80" s="1" t="b">
        <f>P61&lt;='e8.5'!P61</f>
        <v>1</v>
      </c>
      <c r="Q80" s="1" t="b">
        <f>Q61&lt;='e8.5'!Q61</f>
        <v>1</v>
      </c>
      <c r="R80" s="1" t="b">
        <f>R61&lt;='e8.5'!R61</f>
        <v>1</v>
      </c>
      <c r="S80" s="1" t="b">
        <f>S61&lt;='e8.5'!S61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3
</oddHeader>
    <oddFooter xml:space="preserve">&amp;L&amp;"Arial"&amp;10 Oliver Wyman Actuarial Consulting, Inc.
&amp;C&amp;"Arial"&amp;10 &amp;R&amp;"Arial"&amp;10 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8">
    <tabColor rgb="FF00B050"/>
    <pageSetUpPr fitToPage="1"/>
  </sheetPr>
  <dimension ref="A1:W80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4</v>
      </c>
      <c r="C1" s="1" t="str">
        <f>VLOOKUP(A1, index_lkups, 2, FALSE)</f>
        <v>Paid 350K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Paid Loss &amp; ALAE Limited to $350,000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889820</v>
      </c>
      <c r="F13" s="424">
        <v>986168</v>
      </c>
      <c r="G13" s="424">
        <v>1097393.1399999999</v>
      </c>
      <c r="H13" s="424">
        <v>1152952.29</v>
      </c>
      <c r="I13" s="424">
        <v>1302154.28</v>
      </c>
      <c r="J13" s="424">
        <v>1372238.2800000005</v>
      </c>
      <c r="K13" s="424">
        <v>1368900.6300000004</v>
      </c>
      <c r="L13" s="424">
        <v>1376587.1600000001</v>
      </c>
      <c r="M13" s="424">
        <v>1372062.62</v>
      </c>
      <c r="N13" s="424">
        <v>1373263.05</v>
      </c>
      <c r="O13" s="424">
        <v>1386403.3700000003</v>
      </c>
      <c r="P13" s="481">
        <v>1392533.1800000004</v>
      </c>
      <c r="Q13" s="481">
        <v>1370628.7200000004</v>
      </c>
      <c r="R13" s="424">
        <v>1343025.0200000005</v>
      </c>
      <c r="S13" s="482">
        <f>$U13</f>
        <v>1343025.0200000005</v>
      </c>
      <c r="U13" s="107">
        <f>'e7'!I56</f>
        <v>1343025.0200000005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885706</v>
      </c>
      <c r="E14" s="90">
        <v>1174043</v>
      </c>
      <c r="F14" s="90">
        <v>1493567.14</v>
      </c>
      <c r="G14" s="90">
        <v>1860442.47</v>
      </c>
      <c r="H14" s="90">
        <v>2044276.16</v>
      </c>
      <c r="I14" s="90">
        <v>2114533.1899999995</v>
      </c>
      <c r="J14" s="90">
        <v>2161340.65</v>
      </c>
      <c r="K14" s="90">
        <v>2192249.9299999988</v>
      </c>
      <c r="L14" s="90">
        <v>2254788.1999999988</v>
      </c>
      <c r="M14" s="90">
        <v>2287657.7799999989</v>
      </c>
      <c r="N14" s="90">
        <v>2306076.23</v>
      </c>
      <c r="O14" s="90">
        <v>2321126.6999999997</v>
      </c>
      <c r="P14" s="90">
        <v>2333805.6399999997</v>
      </c>
      <c r="Q14" s="90">
        <v>2351823.8399999994</v>
      </c>
      <c r="R14" s="107">
        <f>$U14</f>
        <v>2359249.2899999996</v>
      </c>
      <c r="S14" s="90"/>
      <c r="U14" s="107">
        <f>'e7'!I57</f>
        <v>2359249.2899999996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211399</v>
      </c>
      <c r="D15" s="90">
        <v>446575</v>
      </c>
      <c r="E15" s="90">
        <v>588433</v>
      </c>
      <c r="F15" s="90">
        <v>641498</v>
      </c>
      <c r="G15" s="90">
        <v>655143</v>
      </c>
      <c r="H15" s="90">
        <v>708243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'e7'!I58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334255</v>
      </c>
      <c r="D16" s="90">
        <v>1388359.95</v>
      </c>
      <c r="E16" s="90">
        <v>1675133.17</v>
      </c>
      <c r="F16" s="90">
        <v>1839357.62</v>
      </c>
      <c r="G16" s="90">
        <v>1872974.7900000014</v>
      </c>
      <c r="H16" s="90">
        <v>1973357.8100000015</v>
      </c>
      <c r="I16" s="90">
        <v>2000861.6700000013</v>
      </c>
      <c r="J16" s="90">
        <v>2004920.9200000013</v>
      </c>
      <c r="K16" s="90">
        <v>2005481.3700000015</v>
      </c>
      <c r="L16" s="90">
        <v>2005481.3700000015</v>
      </c>
      <c r="M16" s="90">
        <v>2005481.3700000015</v>
      </c>
      <c r="N16" s="90">
        <v>2005481.3700000008</v>
      </c>
      <c r="O16" s="90">
        <v>2005481.3700000008</v>
      </c>
      <c r="P16" s="107">
        <f>$U16</f>
        <v>2005481.3700000008</v>
      </c>
      <c r="Q16" s="90"/>
      <c r="R16" s="90"/>
      <c r="S16" s="90"/>
      <c r="U16" s="107">
        <f>'e7'!I59</f>
        <v>2005481.3700000008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347849.49</v>
      </c>
      <c r="D17" s="90">
        <v>758111.05</v>
      </c>
      <c r="E17" s="90">
        <v>1083953.47</v>
      </c>
      <c r="F17" s="90">
        <v>1099997.5399999998</v>
      </c>
      <c r="G17" s="90">
        <v>1100030.42</v>
      </c>
      <c r="H17" s="90">
        <v>1100030.4200000002</v>
      </c>
      <c r="I17" s="90">
        <v>1100030.42</v>
      </c>
      <c r="J17" s="90">
        <v>1100030.4200000002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'e7'!I60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222764.54</v>
      </c>
      <c r="D18" s="90">
        <v>469378.97</v>
      </c>
      <c r="E18" s="90">
        <v>628368.21999999986</v>
      </c>
      <c r="F18" s="90">
        <v>652011.89999999979</v>
      </c>
      <c r="G18" s="90">
        <v>658612.91</v>
      </c>
      <c r="H18" s="90">
        <v>741337.19999999984</v>
      </c>
      <c r="I18" s="90">
        <v>766269.99000000011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'e7'!I61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404401.32</v>
      </c>
      <c r="D19" s="90">
        <v>954257.30999999959</v>
      </c>
      <c r="E19" s="90">
        <v>1323186.3500000001</v>
      </c>
      <c r="F19" s="90">
        <v>1496089.0600000005</v>
      </c>
      <c r="G19" s="90">
        <v>1521916.81</v>
      </c>
      <c r="H19" s="90">
        <v>1507050.4000000008</v>
      </c>
      <c r="I19" s="90">
        <v>1509733.5599999998</v>
      </c>
      <c r="J19" s="90">
        <v>1522575.0900000008</v>
      </c>
      <c r="K19" s="90">
        <v>1540795.9600000004</v>
      </c>
      <c r="L19" s="90">
        <v>1563135.0100000005</v>
      </c>
      <c r="M19" s="107">
        <f>$U19</f>
        <v>1614381.6700000004</v>
      </c>
      <c r="N19" s="90"/>
      <c r="O19" s="90"/>
      <c r="P19" s="90"/>
      <c r="Q19" s="90"/>
      <c r="R19" s="90"/>
      <c r="S19" s="90"/>
      <c r="U19" s="107">
        <f>'e7'!I62</f>
        <v>1614381.6700000004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357259.98999999987</v>
      </c>
      <c r="D20" s="90">
        <v>945944.79000000015</v>
      </c>
      <c r="E20" s="90">
        <v>1041213.3600000002</v>
      </c>
      <c r="F20" s="90">
        <v>1052451.29</v>
      </c>
      <c r="G20" s="90">
        <v>1084549.8400000001</v>
      </c>
      <c r="H20" s="90">
        <v>1104286.57</v>
      </c>
      <c r="I20" s="90">
        <v>1118367.83</v>
      </c>
      <c r="J20" s="90">
        <v>1135122.3100000003</v>
      </c>
      <c r="K20" s="90">
        <v>1182322.2200000002</v>
      </c>
      <c r="L20" s="107">
        <f>$U20</f>
        <v>1183179.1900000002</v>
      </c>
      <c r="M20" s="90"/>
      <c r="N20" s="90"/>
      <c r="O20" s="90"/>
      <c r="P20" s="90"/>
      <c r="Q20" s="90"/>
      <c r="R20" s="90"/>
      <c r="S20" s="90"/>
      <c r="U20" s="107">
        <f>'e7'!I63</f>
        <v>1183179.1900000002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272973.83</v>
      </c>
      <c r="D21" s="90">
        <v>806555.11999999988</v>
      </c>
      <c r="E21" s="90">
        <v>939406.48999999964</v>
      </c>
      <c r="F21" s="90">
        <v>1105440.2299999997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'e7'!I64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391086.17999999993</v>
      </c>
      <c r="D22" s="90">
        <v>1207128.9899999998</v>
      </c>
      <c r="E22" s="90">
        <v>1540096.9600000002</v>
      </c>
      <c r="F22" s="90">
        <v>1775707.1599999997</v>
      </c>
      <c r="G22" s="90">
        <v>1811450.4699999997</v>
      </c>
      <c r="H22" s="90">
        <v>1856160.4899999986</v>
      </c>
      <c r="I22" s="90">
        <v>1900189.83</v>
      </c>
      <c r="J22" s="107">
        <f>$U22</f>
        <v>1925803.2599999993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'e7'!I65</f>
        <v>1925803.2599999993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464901.17000000022</v>
      </c>
      <c r="D23" s="90">
        <v>1135597.2400000005</v>
      </c>
      <c r="E23" s="90">
        <v>1504435.2699999996</v>
      </c>
      <c r="F23" s="90">
        <v>1644964.8999999997</v>
      </c>
      <c r="G23" s="90">
        <v>1842763.0499999996</v>
      </c>
      <c r="H23" s="90">
        <v>1908441.4999999995</v>
      </c>
      <c r="I23" s="107">
        <f>$U23</f>
        <v>1911366.5999999999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'e7'!I66</f>
        <v>1911366.5999999999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592225.76000000059</v>
      </c>
      <c r="D24" s="90">
        <v>1525919.2300000014</v>
      </c>
      <c r="E24" s="90">
        <v>2102257.7600000007</v>
      </c>
      <c r="F24" s="90">
        <v>2200363.66</v>
      </c>
      <c r="G24" s="90">
        <v>2275068.2200000002</v>
      </c>
      <c r="H24" s="107">
        <f>$U24</f>
        <v>2275241.92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'e7'!I67</f>
        <v>2275241.92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729211.94999999984</v>
      </c>
      <c r="D25" s="90">
        <v>1897574.3599999996</v>
      </c>
      <c r="E25" s="90">
        <v>2581784.8799999994</v>
      </c>
      <c r="F25" s="90">
        <v>2759688.9699999993</v>
      </c>
      <c r="G25" s="107">
        <f>$U25</f>
        <v>2810502.1600000011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'e7'!I68</f>
        <v>2810502.1600000011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587820.25</v>
      </c>
      <c r="D26" s="90">
        <v>1903333.2600000009</v>
      </c>
      <c r="E26" s="90">
        <v>2246189.3800000018</v>
      </c>
      <c r="F26" s="107">
        <f>$U26</f>
        <v>2449912.0500000017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'e7'!I69</f>
        <v>2449912.0500000017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613311.33000000007</v>
      </c>
      <c r="D27" s="90">
        <v>2024291.8599999996</v>
      </c>
      <c r="E27" s="107">
        <f>$U27</f>
        <v>2258070.4400000018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'e7'!I70</f>
        <v>2258070.4400000018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2510372.1899999976</v>
      </c>
      <c r="D28" s="107">
        <f>$U28</f>
        <v>4199295.1499999976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'e7'!I71</f>
        <v>4199295.1499999976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619309.30000000005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'e7'!I72</f>
        <v>619309.30000000005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1.1082780787125486</v>
      </c>
      <c r="F34" s="109">
        <f t="shared" si="2"/>
        <v>1.1127851846744163</v>
      </c>
      <c r="G34" s="109">
        <f t="shared" si="2"/>
        <v>1.0506283008111388</v>
      </c>
      <c r="H34" s="109">
        <f t="shared" si="2"/>
        <v>1.1294086418788414</v>
      </c>
      <c r="I34" s="109">
        <f t="shared" si="2"/>
        <v>1.0538215794214496</v>
      </c>
      <c r="J34" s="109">
        <f t="shared" si="2"/>
        <v>0.99756773291588974</v>
      </c>
      <c r="K34" s="109">
        <f t="shared" si="2"/>
        <v>1.005615111741164</v>
      </c>
      <c r="L34" s="109">
        <f t="shared" si="2"/>
        <v>0.9967132193794398</v>
      </c>
      <c r="M34" s="109">
        <f t="shared" si="2"/>
        <v>1.0008749090475184</v>
      </c>
      <c r="N34" s="109">
        <f t="shared" si="2"/>
        <v>1.0095686838730571</v>
      </c>
      <c r="O34" s="109">
        <f t="shared" si="2"/>
        <v>1.0044213755770084</v>
      </c>
      <c r="P34" s="109">
        <f t="shared" si="2"/>
        <v>0.98427006241962578</v>
      </c>
      <c r="Q34" s="109">
        <f t="shared" si="2"/>
        <v>0.9798605562562559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1.3255448196128286</v>
      </c>
      <c r="E35" s="109">
        <f t="shared" si="3"/>
        <v>1.2721571015712372</v>
      </c>
      <c r="F35" s="109">
        <f t="shared" si="3"/>
        <v>1.2456369855592833</v>
      </c>
      <c r="G35" s="109">
        <f t="shared" si="3"/>
        <v>1.0988118111494196</v>
      </c>
      <c r="H35" s="109">
        <f t="shared" si="3"/>
        <v>1.0343676805388171</v>
      </c>
      <c r="I35" s="109">
        <f t="shared" si="3"/>
        <v>1.0221360725011843</v>
      </c>
      <c r="J35" s="109">
        <f t="shared" si="3"/>
        <v>1.0143009756467583</v>
      </c>
      <c r="K35" s="109">
        <f t="shared" si="3"/>
        <v>1.0285269800419152</v>
      </c>
      <c r="L35" s="109">
        <f t="shared" si="3"/>
        <v>1.0145776796241883</v>
      </c>
      <c r="M35" s="109">
        <f t="shared" si="3"/>
        <v>1.0080512260885459</v>
      </c>
      <c r="N35" s="109">
        <f t="shared" si="3"/>
        <v>1.0065264408020023</v>
      </c>
      <c r="O35" s="109">
        <f t="shared" si="3"/>
        <v>1.005462407545439</v>
      </c>
      <c r="P35" s="109">
        <f t="shared" si="3"/>
        <v>1.007720522948089</v>
      </c>
      <c r="Q35" s="109">
        <f t="shared" si="3"/>
        <v>1.0031573155581246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2.1124745150166273</v>
      </c>
      <c r="D36" s="109">
        <f t="shared" si="3"/>
        <v>1.3176577282651289</v>
      </c>
      <c r="E36" s="109">
        <f t="shared" si="3"/>
        <v>1.0901801904379937</v>
      </c>
      <c r="F36" s="109">
        <f t="shared" si="3"/>
        <v>1.0212705261746724</v>
      </c>
      <c r="G36" s="109">
        <f t="shared" si="3"/>
        <v>1.081051007184691</v>
      </c>
      <c r="H36" s="109">
        <f t="shared" si="3"/>
        <v>0.98797285677373492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4.1535951593843023</v>
      </c>
      <c r="D37" s="109">
        <f t="shared" si="3"/>
        <v>1.2065553821255071</v>
      </c>
      <c r="E37" s="109">
        <f t="shared" si="3"/>
        <v>1.0980366534082782</v>
      </c>
      <c r="F37" s="109">
        <f t="shared" si="3"/>
        <v>1.0182765817992487</v>
      </c>
      <c r="G37" s="109">
        <f t="shared" si="3"/>
        <v>1.0535954998091566</v>
      </c>
      <c r="H37" s="109">
        <f t="shared" si="3"/>
        <v>1.013937594013931</v>
      </c>
      <c r="I37" s="109">
        <f t="shared" si="3"/>
        <v>1.0020287509430874</v>
      </c>
      <c r="J37" s="109">
        <f t="shared" si="3"/>
        <v>1.0002795372098767</v>
      </c>
      <c r="K37" s="109">
        <f t="shared" si="3"/>
        <v>1</v>
      </c>
      <c r="L37" s="109">
        <f t="shared" si="3"/>
        <v>1</v>
      </c>
      <c r="M37" s="109">
        <f t="shared" si="3"/>
        <v>0.99999999999999967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2.1794226290226848</v>
      </c>
      <c r="D38" s="109">
        <f t="shared" si="3"/>
        <v>1.4298082978740383</v>
      </c>
      <c r="E38" s="109">
        <f t="shared" si="3"/>
        <v>1.0148014379251904</v>
      </c>
      <c r="F38" s="109">
        <f t="shared" si="3"/>
        <v>1.0000298909759382</v>
      </c>
      <c r="G38" s="109">
        <f t="shared" si="3"/>
        <v>1.0000000000000002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0.99967273632305531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2.1070632246945586</v>
      </c>
      <c r="D39" s="109">
        <f t="shared" si="3"/>
        <v>1.3387225678219028</v>
      </c>
      <c r="E39" s="109">
        <f t="shared" si="3"/>
        <v>1.0376271097860423</v>
      </c>
      <c r="F39" s="109">
        <f t="shared" si="3"/>
        <v>1.010124063686568</v>
      </c>
      <c r="G39" s="109">
        <f t="shared" si="3"/>
        <v>1.1256038087683398</v>
      </c>
      <c r="H39" s="109">
        <f t="shared" si="3"/>
        <v>1.0336321851918402</v>
      </c>
      <c r="I39" s="109">
        <f t="shared" si="3"/>
        <v>0.99999999999999956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2.3596790188518662</v>
      </c>
      <c r="D40" s="109">
        <f t="shared" si="3"/>
        <v>1.3866137949731825</v>
      </c>
      <c r="E40" s="109">
        <f t="shared" si="3"/>
        <v>1.1306714734474101</v>
      </c>
      <c r="F40" s="109">
        <f t="shared" si="3"/>
        <v>1.017263511037237</v>
      </c>
      <c r="G40" s="109">
        <f t="shared" si="3"/>
        <v>0.99023178540225254</v>
      </c>
      <c r="H40" s="109">
        <f t="shared" si="3"/>
        <v>1.0017804049552683</v>
      </c>
      <c r="I40" s="109">
        <f t="shared" si="3"/>
        <v>1.0085058253590129</v>
      </c>
      <c r="J40" s="109">
        <f t="shared" si="3"/>
        <v>1.0119671404843487</v>
      </c>
      <c r="K40" s="109">
        <f t="shared" si="3"/>
        <v>1.0144983830305474</v>
      </c>
      <c r="L40" s="109">
        <f t="shared" si="3"/>
        <v>1.0327845385537107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2.647777015276747</v>
      </c>
      <c r="D41" s="109">
        <f t="shared" si="3"/>
        <v>1.1007126113565253</v>
      </c>
      <c r="E41" s="109">
        <f t="shared" si="3"/>
        <v>1.0107931096850311</v>
      </c>
      <c r="F41" s="109">
        <f t="shared" si="3"/>
        <v>1.0304988461746292</v>
      </c>
      <c r="G41" s="109">
        <f t="shared" si="3"/>
        <v>1.0181980848385908</v>
      </c>
      <c r="H41" s="109">
        <f t="shared" si="3"/>
        <v>1.0127514545431808</v>
      </c>
      <c r="I41" s="109">
        <f t="shared" si="3"/>
        <v>1.0149811891495486</v>
      </c>
      <c r="J41" s="109">
        <f t="shared" si="3"/>
        <v>1.0415813428951104</v>
      </c>
      <c r="K41" s="109">
        <f t="shared" si="3"/>
        <v>1.0007248193305545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2.9546975986672415</v>
      </c>
      <c r="D42" s="109">
        <f t="shared" si="3"/>
        <v>1.1647145578841527</v>
      </c>
      <c r="E42" s="109">
        <f t="shared" si="3"/>
        <v>1.1767432328469438</v>
      </c>
      <c r="F42" s="109">
        <f t="shared" si="3"/>
        <v>1.0954664097940419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3.0866061030333518</v>
      </c>
      <c r="D43" s="109">
        <f t="shared" si="3"/>
        <v>1.2758346231085052</v>
      </c>
      <c r="E43" s="109">
        <f t="shared" si="3"/>
        <v>1.1529840043317789</v>
      </c>
      <c r="F43" s="109">
        <f t="shared" si="3"/>
        <v>1.0201290566401726</v>
      </c>
      <c r="G43" s="109">
        <f t="shared" si="3"/>
        <v>1.0246818893149194</v>
      </c>
      <c r="H43" s="109">
        <f t="shared" si="3"/>
        <v>1.0237206535949925</v>
      </c>
      <c r="I43" s="109">
        <f t="shared" si="3"/>
        <v>1.0134794058970409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2.4426637601277705</v>
      </c>
      <c r="D44" s="109">
        <f t="shared" si="3"/>
        <v>1.3247965185262329</v>
      </c>
      <c r="E44" s="109">
        <f t="shared" si="3"/>
        <v>1.0934102203014691</v>
      </c>
      <c r="F44" s="109">
        <f t="shared" si="3"/>
        <v>1.1202446021796575</v>
      </c>
      <c r="G44" s="109">
        <f t="shared" si="3"/>
        <v>1.0356412887701432</v>
      </c>
      <c r="H44" s="109">
        <f t="shared" si="3"/>
        <v>1.0015327166171981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2.5765836832224251</v>
      </c>
      <c r="D45" s="109">
        <f t="shared" si="3"/>
        <v>1.3776992377243971</v>
      </c>
      <c r="E45" s="109">
        <f t="shared" si="3"/>
        <v>1.0466669225185781</v>
      </c>
      <c r="F45" s="109">
        <f t="shared" si="3"/>
        <v>1.033951006080513</v>
      </c>
      <c r="G45" s="109">
        <f t="shared" si="3"/>
        <v>1.0000763493588776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2.6022260880392869</v>
      </c>
      <c r="D46" s="109">
        <f t="shared" si="3"/>
        <v>1.3605711240744209</v>
      </c>
      <c r="E46" s="109">
        <f t="shared" si="3"/>
        <v>1.0689074025408345</v>
      </c>
      <c r="F46" s="109">
        <f t="shared" si="3"/>
        <v>1.0184126510459626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3.2379511593892878</v>
      </c>
      <c r="D47" s="109">
        <f t="shared" si="3"/>
        <v>1.1801345708633288</v>
      </c>
      <c r="E47" s="109">
        <f t="shared" si="3"/>
        <v>1.0906970141582628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3.3005942675149984</v>
      </c>
      <c r="D48" s="109">
        <f t="shared" si="3"/>
        <v>1.1154865978663779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1.672777911868121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2.7508718632493188</v>
      </c>
      <c r="D52" s="109">
        <f>[1]!avg(D34:D49, , FALSE, TRUE, )</f>
        <v>1.2914896795546271</v>
      </c>
      <c r="E52" s="109">
        <f>[1]!avg(E34:E49, , FALSE, TRUE, )</f>
        <v>1.1000966875010258</v>
      </c>
      <c r="F52" s="109">
        <f>[1]!avg(F34:F49, , FALSE, TRUE, )</f>
        <v>1.0604730553980317</v>
      </c>
      <c r="G52" s="109">
        <f>[1]!avg(G34:G49, , FALSE, TRUE, )</f>
        <v>1.0435845767206382</v>
      </c>
      <c r="H52" s="109">
        <f>[1]!avg(H34:H49, , FALSE, TRUE, )</f>
        <v>1.0238106133480573</v>
      </c>
      <c r="I52" s="109">
        <f>[1]!avg(I34:I49, , FALSE, TRUE, )</f>
        <v>1.0112748241526976</v>
      </c>
      <c r="J52" s="109">
        <f>[1]!avg(J34:J49, , FALSE, TRUE, )</f>
        <v>1.00817118318438</v>
      </c>
      <c r="K52" s="109">
        <f>[1]!avg(K34:K49, , FALSE, TRUE, )</f>
        <v>1.0069486392590894</v>
      </c>
      <c r="L52" s="109">
        <f>[1]!avg(L34:L49, , FALSE, TRUE, )</f>
        <v>1.0019092153651619</v>
      </c>
      <c r="M52" s="109">
        <f>[1]!avg(M34:M49, , FALSE, TRUE, )</f>
        <v>1.0017852270272127</v>
      </c>
      <c r="N52" s="109">
        <f>[1]!avg(N34:N49, , FALSE, TRUE, )</f>
        <v>1.0040237811687649</v>
      </c>
      <c r="O52" s="109">
        <f>[1]!avg(O34:O49, , FALSE, TRUE, )</f>
        <v>1.0032945943741491</v>
      </c>
      <c r="P52" s="109">
        <f>[1]!avg(P34:P49, , FALSE, TRUE, )</f>
        <v>0.99599529268385756</v>
      </c>
      <c r="Q52" s="109">
        <f>[1]!avg(Q34:Q49, , FALSE, TRUE, )</f>
        <v>0.9798605562562559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 1, TRUE)</f>
        <v>2.7964806077503619</v>
      </c>
      <c r="D53" s="109">
        <f>[1]!DAvg(D$13:D$29, E$13:E$29, , FALSE, 1, TRUE)</f>
        <v>1.2865075127638823</v>
      </c>
      <c r="E53" s="109">
        <f>[1]!DAvg(E$13:E$29, F$13:F$29, , FALSE, 1, TRUE)</f>
        <v>1.0981232775653695</v>
      </c>
      <c r="F53" s="109">
        <f>[1]!DAvg(F$13:F$29, G$13:G$29, , FALSE, 1, TRUE)</f>
        <v>1.0627799184450042</v>
      </c>
      <c r="G53" s="109">
        <f>[1]!DAvg(G$13:G$29, H$13:H$29, , FALSE, 1, TRUE)</f>
        <v>1.0402313108642762</v>
      </c>
      <c r="H53" s="109">
        <f>[1]!DAvg(H$13:H$29, I$13:I$29, , FALSE, 1, TRUE)</f>
        <v>1.0242405025356212</v>
      </c>
      <c r="I53" s="109">
        <f>[1]!DAvg(I$13:I$29, J$13:J$29, , FALSE, 1, TRUE)</f>
        <v>1.0127317710532842</v>
      </c>
      <c r="J53" s="109">
        <f>[1]!DAvg(J$13:J$29, K$13:K$29, , FALSE, 1, TRUE)</f>
        <v>1.0086592578648896</v>
      </c>
      <c r="K53" s="109">
        <f>[1]!DAvg(K$13:K$29, L$13:L$29, , FALSE, 1, TRUE)</f>
        <v>1.0095692089871282</v>
      </c>
      <c r="L53" s="109">
        <f>[1]!DAvg(L$13:L$29, M$13:M$29, , FALSE, 1, TRUE)</f>
        <v>1.0034696731078563</v>
      </c>
      <c r="M53" s="109">
        <f>[1]!DAvg(M$13:M$29, N$13:N$29, , FALSE, 1, TRUE)</f>
        <v>1.002628216572822</v>
      </c>
      <c r="N53" s="109">
        <f>[1]!DAvg(N$13:N$29, O$13:O$29, , FALSE, 1, TRUE)</f>
        <v>1.0044153937117539</v>
      </c>
      <c r="O53" s="109">
        <f>[1]!DAvg(O$13:O$29, P$13:P$29, , FALSE, 1, TRUE)</f>
        <v>1.0042675677718691</v>
      </c>
      <c r="P53" s="109">
        <f>[1]!DAvg(P$13:P$29, Q$13:Q$29, , FALSE, 1, TRUE)</f>
        <v>0.99895708356439805</v>
      </c>
      <c r="Q53" s="109">
        <f>[1]!DAvg(Q$13:Q$29, R$13:R$29, , FALSE, 1, TRUE)</f>
        <v>0.9798605562562559</v>
      </c>
      <c r="R53" s="109" t="str">
        <f>[1]!DAvg(R$13:R$29, S$13:S$29, , FALSE, 1, TRUE)</f>
        <v/>
      </c>
      <c r="S53" s="109" t="str">
        <f>[1]!DAvg(S$13:S$29, T$13:T$29, , FALSE, 1, TRUE)</f>
        <v/>
      </c>
    </row>
    <row r="54" spans="1:19" x14ac:dyDescent="0.2">
      <c r="A54" s="3" t="s">
        <v>102</v>
      </c>
      <c r="C54" s="109">
        <f>[1]!DAvg(C$13:C$29, D$13:D$29, 4, FALSE, 1, TRUE)</f>
        <v>2.9141394605656199</v>
      </c>
      <c r="D54" s="109">
        <f>[1]!DAvg(D$13:D$29, E$13:E$29, 4, FALSE, 1, TRUE)</f>
        <v>1.3051862849811824</v>
      </c>
      <c r="E54" s="109">
        <f>[1]!DAvg(E$13:E$29, F$13:F$29, 4, FALSE, 1, TRUE)</f>
        <v>1.0843816396903196</v>
      </c>
      <c r="F54" s="109">
        <f>[1]!DAvg(F$13:F$29, G$13:G$29, 4, FALSE, 1, TRUE)</f>
        <v>1.0615148902747507</v>
      </c>
      <c r="G54" s="109">
        <f>[1]!DAvg(G$13:G$29, H$13:H$29, 4, FALSE, 1, TRUE)</f>
        <v>1.0220716129253467</v>
      </c>
      <c r="H54" s="109">
        <f>[1]!DAvg(H$13:H$29, I$13:I$29, 4, FALSE, 1, TRUE)</f>
        <v>1.0108178665750467</v>
      </c>
      <c r="I54" s="109">
        <f>[1]!DAvg(I$13:I$29, J$13:J$29, 4, FALSE, 1, TRUE)</f>
        <v>1.0064238783403983</v>
      </c>
      <c r="J54" s="109">
        <f>[1]!DAvg(J$13:J$29, K$13:K$29, 4, FALSE, 1, TRUE)</f>
        <v>1.014381258066966</v>
      </c>
      <c r="K54" s="109">
        <f>[1]!DAvg(K$13:K$29, L$13:L$29, 4, FALSE, 1, TRUE)</f>
        <v>1.0041275224082171</v>
      </c>
      <c r="L54" s="109">
        <f>[1]!DAvg(L$13:L$29, M$13:M$29, 4, FALSE, 1, TRUE)</f>
        <v>1.0000251643644491</v>
      </c>
      <c r="M54" s="109">
        <f>[1]!DAvg(M$13:M$29, N$13:N$29, 4, FALSE, 1, TRUE)</f>
        <v>1.0030230608409234</v>
      </c>
      <c r="N54" s="109">
        <f>[1]!DAvg(N$13:N$29, O$13:O$29, 4, FALSE, 1, TRUE)</f>
        <v>1.0044153937117539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3.0177009374077568</v>
      </c>
      <c r="D55" s="109">
        <f>[1]!DAvg(D$13:D$29, E$13:E$29, 3, FALSE, 1, TRUE)</f>
        <v>1.3010056859648067</v>
      </c>
      <c r="E55" s="109">
        <f>[1]!DAvg(E$13:E$29, F$13:F$29, 3, FALSE, 1, TRUE)</f>
        <v>1.0673088966394968</v>
      </c>
      <c r="F55" s="109">
        <f>[1]!DAvg(F$13:F$29, G$13:G$29, 3, FALSE, 1, TRUE)</f>
        <v>1.05483794007984</v>
      </c>
      <c r="G55" s="109">
        <f>[1]!DAvg(G$13:G$29, H$13:H$29, 3, FALSE, 1, TRUE)</f>
        <v>1.0229351018296904</v>
      </c>
      <c r="H55" s="109">
        <f>[1]!DAvg(H$13:H$29, I$13:I$29, 3, FALSE, 1, TRUE)</f>
        <v>1.0140819853350613</v>
      </c>
      <c r="I55" s="109">
        <f>[1]!DAvg(I$13:I$29, J$13:J$29, 3, FALSE, 1, TRUE)</f>
        <v>1.0077054537910899</v>
      </c>
      <c r="J55" s="109">
        <f>[1]!DAvg(J$13:J$29, K$13:K$29, 3, FALSE, 1, TRUE)</f>
        <v>1.0191067181863549</v>
      </c>
      <c r="K55" s="109">
        <f>[1]!DAvg(K$13:K$29, L$13:L$29, 3, FALSE, 1, TRUE)</f>
        <v>1.0065573169079709</v>
      </c>
      <c r="L55" s="109">
        <f>[1]!DAvg(L$13:L$29, M$13:M$29, 3, FALSE, 1, TRUE)</f>
        <v>0.99999999999999967</v>
      </c>
      <c r="M55" s="109">
        <f>[1]!DAvg(M$13:M$29, N$13:N$29, 3, FALSE, 1, TRUE)</f>
        <v>0.99999999999999978</v>
      </c>
      <c r="N55" s="109">
        <f>[1]!DAvg(N$13:N$29, O$13:O$29, 3, FALSE, 1, TRUE)</f>
        <v>1.0030032481019582</v>
      </c>
      <c r="O55" s="109">
        <f>[1]!DAvg(O$13:O$29, P$13:P$29, 3, FALSE, 1, TRUE)</f>
        <v>1.0042675677718691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2.1182669228137008</v>
      </c>
      <c r="D57" s="109">
        <f t="shared" ref="D57:S57" si="5">IF(ISBLANK(E73), D73, D73/E73)</f>
        <v>1.2687312601405893</v>
      </c>
      <c r="E57" s="109">
        <f t="shared" si="5"/>
        <v>1.1221280398840028</v>
      </c>
      <c r="F57" s="109">
        <f t="shared" si="5"/>
        <v>1.0678195975651248</v>
      </c>
      <c r="G57" s="109">
        <f t="shared" si="5"/>
        <v>1.0416581597512953</v>
      </c>
      <c r="H57" s="109">
        <f t="shared" si="5"/>
        <v>1.0282897840846801</v>
      </c>
      <c r="I57" s="109">
        <f t="shared" si="5"/>
        <v>1.0189829661584453</v>
      </c>
      <c r="J57" s="109">
        <f t="shared" si="5"/>
        <v>1.0147299649747994</v>
      </c>
      <c r="K57" s="109">
        <f t="shared" si="5"/>
        <v>1.0115237743947987</v>
      </c>
      <c r="L57" s="109">
        <f t="shared" si="5"/>
        <v>1.0096583544967377</v>
      </c>
      <c r="M57" s="109">
        <f t="shared" si="5"/>
        <v>1.0080260147306463</v>
      </c>
      <c r="N57" s="109">
        <f t="shared" si="5"/>
        <v>1.0071550750491434</v>
      </c>
      <c r="O57" s="109">
        <f t="shared" si="5"/>
        <v>1.0063046215435765</v>
      </c>
      <c r="P57" s="109">
        <f t="shared" si="5"/>
        <v>1.005626189448962</v>
      </c>
      <c r="Q57" s="109">
        <f t="shared" si="5"/>
        <v>1.0049461365465993</v>
      </c>
      <c r="R57" s="109">
        <f t="shared" si="5"/>
        <v>1.0043506782271669</v>
      </c>
      <c r="S57" s="109">
        <f t="shared" si="5"/>
        <v>1.0367892348107899</v>
      </c>
    </row>
    <row r="58" spans="1:19" x14ac:dyDescent="0.2">
      <c r="A58" s="3" t="s">
        <v>18</v>
      </c>
      <c r="C58" s="109">
        <f>IF(ISBLANK(D74), C74, C74/D74)</f>
        <v>2.7200000000000006</v>
      </c>
      <c r="D58" s="109">
        <f t="shared" ref="D58:S58" si="6">IF(ISBLANK(E74), D74, D74/E74)</f>
        <v>1.3573929848640445</v>
      </c>
      <c r="E58" s="109">
        <f t="shared" si="6"/>
        <v>1.10520190600222</v>
      </c>
      <c r="F58" s="109">
        <f t="shared" si="6"/>
        <v>1.0649999999999995</v>
      </c>
      <c r="G58" s="109">
        <f t="shared" si="6"/>
        <v>1.036</v>
      </c>
      <c r="H58" s="109">
        <f t="shared" si="6"/>
        <v>1.0279534075153791</v>
      </c>
      <c r="I58" s="109">
        <f t="shared" si="6"/>
        <v>1.0191366952012313</v>
      </c>
      <c r="J58" s="109">
        <f t="shared" si="6"/>
        <v>1.0147526982106763</v>
      </c>
      <c r="K58" s="109">
        <f t="shared" si="6"/>
        <v>1.0118901658791875</v>
      </c>
      <c r="L58" s="109">
        <f t="shared" si="6"/>
        <v>1.0102455635435432</v>
      </c>
      <c r="M58" s="109">
        <f t="shared" si="6"/>
        <v>1.0085442716895192</v>
      </c>
      <c r="N58" s="109">
        <f t="shared" si="6"/>
        <v>1.0075890576715052</v>
      </c>
      <c r="O58" s="109">
        <f t="shared" si="6"/>
        <v>1.0068341182947864</v>
      </c>
      <c r="P58" s="109">
        <f t="shared" si="6"/>
        <v>1.0060260183053609</v>
      </c>
      <c r="Q58" s="109">
        <f t="shared" si="6"/>
        <v>1.0049809612503362</v>
      </c>
      <c r="R58" s="109">
        <f t="shared" si="6"/>
        <v>1.0042960124460376</v>
      </c>
      <c r="S58" s="109">
        <f t="shared" si="6"/>
        <v>1.0273203611294961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2.7200000000000006</v>
      </c>
      <c r="D61" s="109">
        <f t="shared" ref="D61:S61" si="8">D58</f>
        <v>1.3573929848640445</v>
      </c>
      <c r="E61" s="109">
        <f t="shared" si="8"/>
        <v>1.10520190600222</v>
      </c>
      <c r="F61" s="109">
        <f t="shared" si="8"/>
        <v>1.0649999999999995</v>
      </c>
      <c r="G61" s="109">
        <f t="shared" si="8"/>
        <v>1.036</v>
      </c>
      <c r="H61" s="109">
        <f t="shared" si="8"/>
        <v>1.0279534075153791</v>
      </c>
      <c r="I61" s="109">
        <f t="shared" si="8"/>
        <v>1.0191366952012313</v>
      </c>
      <c r="J61" s="109">
        <f t="shared" si="8"/>
        <v>1.0147526982106763</v>
      </c>
      <c r="K61" s="109">
        <f t="shared" si="8"/>
        <v>1.0118901658791875</v>
      </c>
      <c r="L61" s="109">
        <f t="shared" si="8"/>
        <v>1.0102455635435432</v>
      </c>
      <c r="M61" s="109">
        <f t="shared" si="8"/>
        <v>1.0085442716895192</v>
      </c>
      <c r="N61" s="109">
        <f t="shared" si="8"/>
        <v>1.0075890576715052</v>
      </c>
      <c r="O61" s="109">
        <f t="shared" si="8"/>
        <v>1.0068341182947864</v>
      </c>
      <c r="P61" s="109">
        <f t="shared" si="8"/>
        <v>1.0060260183053609</v>
      </c>
      <c r="Q61" s="109">
        <f t="shared" si="8"/>
        <v>1.0049809612503362</v>
      </c>
      <c r="R61" s="109">
        <f t="shared" si="8"/>
        <v>1.0042960124460376</v>
      </c>
      <c r="S61" s="109">
        <f t="shared" si="8"/>
        <v>1.0273203611294961</v>
      </c>
    </row>
    <row r="62" spans="1:19" x14ac:dyDescent="0.2">
      <c r="A62" s="3" t="s">
        <v>107</v>
      </c>
      <c r="C62" s="109">
        <f>PRODUCT(C61:$S$61)</f>
        <v>5.2218322855892874</v>
      </c>
      <c r="D62" s="109">
        <f>PRODUCT(D61:$S$61)</f>
        <v>1.9197912814666496</v>
      </c>
      <c r="E62" s="109">
        <f>PRODUCT(E61:$S$61)</f>
        <v>1.4143223833287559</v>
      </c>
      <c r="F62" s="109">
        <f>PRODUCT(F61:$S$61)</f>
        <v>1.2796959321620236</v>
      </c>
      <c r="G62" s="109">
        <f>PRODUCT(G61:$S$61)</f>
        <v>1.2015924245652811</v>
      </c>
      <c r="H62" s="109">
        <f>PRODUCT(H61:$S$61)</f>
        <v>1.159838247649885</v>
      </c>
      <c r="I62" s="109">
        <f>PRODUCT(I61:$S$61)</f>
        <v>1.1282984609713769</v>
      </c>
      <c r="J62" s="109">
        <f>PRODUCT(J61:$S$61)</f>
        <v>1.1071119961474762</v>
      </c>
      <c r="K62" s="109">
        <f>PRODUCT(K61:$S$61)</f>
        <v>1.0910165581226421</v>
      </c>
      <c r="L62" s="109">
        <f>PRODUCT(L61:$S$61)</f>
        <v>1.0781966214433019</v>
      </c>
      <c r="M62" s="109">
        <f>PRODUCT(M61:$S$61)</f>
        <v>1.0672619216078643</v>
      </c>
      <c r="N62" s="109">
        <f>PRODUCT(N61:$S$61)</f>
        <v>1.0582202007056973</v>
      </c>
      <c r="O62" s="109">
        <f>PRODUCT(O61:$S$61)</f>
        <v>1.0502497944461588</v>
      </c>
      <c r="P62" s="109">
        <f>PRODUCT(P61:$S$61)</f>
        <v>1.0431209822576364</v>
      </c>
      <c r="Q62" s="109">
        <f>PRODUCT(Q61:$S$61)</f>
        <v>1.0368727679774741</v>
      </c>
      <c r="R62" s="109">
        <f>PRODUCT(R61:$S$61)</f>
        <v>1.0317337421869763</v>
      </c>
      <c r="S62" s="109">
        <f>PRODUCT(S61:$S$61)</f>
        <v>1.0273203611294961</v>
      </c>
    </row>
    <row r="63" spans="1:19" ht="12" customHeight="1" x14ac:dyDescent="0.2"/>
    <row r="64" spans="1:19" ht="12" customHeight="1" x14ac:dyDescent="0.2"/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3.9160847795141991</v>
      </c>
      <c r="D73" s="118">
        <f t="shared" si="10"/>
        <v>1.8487211112716857</v>
      </c>
      <c r="E73" s="118">
        <f t="shared" si="10"/>
        <v>1.457141610167962</v>
      </c>
      <c r="F73" s="118">
        <f t="shared" si="10"/>
        <v>1.2985519997509289</v>
      </c>
      <c r="G73" s="118">
        <f t="shared" si="10"/>
        <v>1.2160780741540307</v>
      </c>
      <c r="H73" s="118">
        <f t="shared" si="10"/>
        <v>1.167444485285249</v>
      </c>
      <c r="I73" s="118">
        <f t="shared" si="10"/>
        <v>1.1353263480337266</v>
      </c>
      <c r="J73" s="118">
        <f t="shared" si="10"/>
        <v>1.1141759830528812</v>
      </c>
      <c r="K73" s="118">
        <f t="shared" si="10"/>
        <v>1.0980024454885902</v>
      </c>
      <c r="L73" s="118">
        <f t="shared" si="10"/>
        <v>1.0854934637058158</v>
      </c>
      <c r="M73" s="118">
        <f t="shared" si="10"/>
        <v>1.0751096733576557</v>
      </c>
      <c r="N73" s="118">
        <f t="shared" si="10"/>
        <v>1.0665495311100028</v>
      </c>
      <c r="O73" s="118">
        <f t="shared" si="10"/>
        <v>1.058972503373387</v>
      </c>
      <c r="P73" s="118">
        <f t="shared" si="10"/>
        <v>1.0523379111078939</v>
      </c>
      <c r="Q73" s="118">
        <f t="shared" si="10"/>
        <v>1.0464503830041736</v>
      </c>
      <c r="R73" s="118">
        <f t="shared" si="10"/>
        <v>1.0412999711608422</v>
      </c>
      <c r="S73" s="118">
        <f t="shared" si="10"/>
        <v>1.0367892348107899</v>
      </c>
      <c r="U73" s="3">
        <f>MATCH($C$1, 'Industry LDF'!$A$5:$M$5, 0)</f>
        <v>11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5.2218322855892882</v>
      </c>
      <c r="D74" s="111">
        <f>[1]!ldfsir(prldfs, prldf_ages, prldf_type, prldf_ret, D$72, $U$75, $U$74, prldf_cutoff, 3)</f>
        <v>1.9197912814666498</v>
      </c>
      <c r="E74" s="111">
        <f>[1]!ldfsir(prldfs, prldf_ages, prldf_type, prldf_ret, E$72, $U$75, $U$74, prldf_cutoff, 3)</f>
        <v>1.4143223833287564</v>
      </c>
      <c r="F74" s="111">
        <f>[1]!ldfsir(prldfs, prldf_ages, prldf_type, prldf_ret, F$72, $U$75, $U$74, prldf_cutoff, 3)</f>
        <v>1.2796959321620238</v>
      </c>
      <c r="G74" s="111">
        <f>[1]!ldfsir(prldfs, prldf_ages, prldf_type, prldf_ret, G$72, $U$75, $U$74, prldf_cutoff, 3)</f>
        <v>1.2015924245652811</v>
      </c>
      <c r="H74" s="111">
        <f>[1]!ldfsir(prldfs, prldf_ages, prldf_type, prldf_ret, H$72, $U$75, $U$74, prldf_cutoff, 3)</f>
        <v>1.1598382476498852</v>
      </c>
      <c r="I74" s="111">
        <f>[1]!ldfsir(prldfs, prldf_ages, prldf_type, prldf_ret, I$72, $U$75, $U$74, prldf_cutoff, 3)</f>
        <v>1.1282984609713773</v>
      </c>
      <c r="J74" s="111">
        <f>[1]!ldfsir(prldfs, prldf_ages, prldf_type, prldf_ret, J$72, $U$75, $U$74, prldf_cutoff, 3)</f>
        <v>1.1071119961474762</v>
      </c>
      <c r="K74" s="111">
        <f>[1]!ldfsir(prldfs, prldf_ages, prldf_type, prldf_ret, K$72, $U$75, $U$74, prldf_cutoff, 3)</f>
        <v>1.0910165581226421</v>
      </c>
      <c r="L74" s="111">
        <f>[1]!ldfsir(prldfs, prldf_ages, prldf_type, prldf_ret, L$72, $U$75, $U$74, prldf_cutoff, 3)</f>
        <v>1.0781966214433019</v>
      </c>
      <c r="M74" s="111">
        <f>[1]!ldfsir(prldfs, prldf_ages, prldf_type, prldf_ret, M$72, $U$75, $U$74, prldf_cutoff, 3)</f>
        <v>1.0672619216078645</v>
      </c>
      <c r="N74" s="111">
        <f>[1]!ldfsir(prldfs, prldf_ages, prldf_type, prldf_ret, N$72, $U$75, $U$74, prldf_cutoff, 3)</f>
        <v>1.0582202007056976</v>
      </c>
      <c r="O74" s="111">
        <f>[1]!ldfsir(prldfs, prldf_ages, prldf_type, prldf_ret, O$72, $U$75, $U$74, prldf_cutoff, 3)</f>
        <v>1.0502497944461591</v>
      </c>
      <c r="P74" s="111">
        <f>[1]!ldfsir(prldfs, prldf_ages, prldf_type, prldf_ret, P$72, $U$75, $U$74, prldf_cutoff, 3)</f>
        <v>1.0431209822576366</v>
      </c>
      <c r="Q74" s="111">
        <f>[1]!ldfsir(prldfs, prldf_ages, prldf_type, prldf_ret, Q$72, $U$75, $U$74, prldf_cutoff, 3)</f>
        <v>1.0368727679774741</v>
      </c>
      <c r="R74" s="111">
        <f>[1]!ldfsir(prldfs, prldf_ages, prldf_type, prldf_ret, R$72, $U$75, $U$74, prldf_cutoff, 3)</f>
        <v>1.0317337421869763</v>
      </c>
      <c r="S74" s="111">
        <f>[1]!ldfsir(prldfs, prldf_ages, prldf_type, prldf_ret, S$72, $U$75, $U$74, prldf_cutoff, 3)</f>
        <v>1.0273203611294961</v>
      </c>
      <c r="U74" s="105">
        <v>350000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75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1</v>
      </c>
    </row>
    <row r="79" spans="1:21" x14ac:dyDescent="0.2">
      <c r="A79" s="3" t="s">
        <v>174</v>
      </c>
      <c r="C79" s="1" t="b">
        <f>'e8.3'!C79</f>
        <v>1</v>
      </c>
      <c r="D79" s="1" t="b">
        <f>'e8.3'!D79</f>
        <v>1</v>
      </c>
      <c r="E79" s="1" t="b">
        <f>'e8.3'!E79</f>
        <v>1</v>
      </c>
      <c r="F79" s="1" t="b">
        <f>'e8.3'!F79</f>
        <v>1</v>
      </c>
      <c r="G79" s="1" t="b">
        <f>'e8.3'!G79</f>
        <v>1</v>
      </c>
      <c r="H79" s="1" t="b">
        <f>'e8.3'!H79</f>
        <v>1</v>
      </c>
      <c r="I79" s="1" t="b">
        <f>'e8.3'!I79</f>
        <v>1</v>
      </c>
      <c r="J79" s="1" t="b">
        <f>'e8.3'!J79</f>
        <v>1</v>
      </c>
      <c r="K79" s="1" t="b">
        <f>'e8.3'!K79</f>
        <v>1</v>
      </c>
      <c r="L79" s="1" t="b">
        <f>'e8.3'!L79</f>
        <v>1</v>
      </c>
      <c r="M79" s="1" t="b">
        <f>'e8.3'!M79</f>
        <v>1</v>
      </c>
      <c r="N79" s="1" t="b">
        <f>'e8.3'!N79</f>
        <v>1</v>
      </c>
      <c r="O79" s="1" t="b">
        <f>'e8.3'!O79</f>
        <v>1</v>
      </c>
      <c r="P79" s="1" t="b">
        <f>'e8.3'!P79</f>
        <v>1</v>
      </c>
      <c r="Q79" s="1" t="b">
        <f>'e8.3'!Q79</f>
        <v>1</v>
      </c>
      <c r="R79" s="1" t="b">
        <f>'e8.3'!R79</f>
        <v>1</v>
      </c>
      <c r="S79" s="1" t="b">
        <f>'e8.3'!S79</f>
        <v>1</v>
      </c>
    </row>
    <row r="80" spans="1:21" x14ac:dyDescent="0.2">
      <c r="A80" s="3" t="s">
        <v>90</v>
      </c>
      <c r="C80" s="1" t="b">
        <f>C61&lt;='e8.6'!C61</f>
        <v>1</v>
      </c>
      <c r="D80" s="1" t="b">
        <f>D61&lt;='e8.6'!D61</f>
        <v>1</v>
      </c>
      <c r="E80" s="1" t="b">
        <f>E61&lt;='e8.6'!E61</f>
        <v>1</v>
      </c>
      <c r="F80" s="1" t="b">
        <f>F61&lt;='e8.6'!F61</f>
        <v>1</v>
      </c>
      <c r="G80" s="1" t="b">
        <f>G61&lt;='e8.6'!G61</f>
        <v>1</v>
      </c>
      <c r="H80" s="1" t="b">
        <f>H61&lt;='e8.6'!H61</f>
        <v>1</v>
      </c>
      <c r="I80" s="1" t="b">
        <f>I61&lt;='e8.6'!I61</f>
        <v>1</v>
      </c>
      <c r="J80" s="1" t="b">
        <f>J61&lt;='e8.6'!J61</f>
        <v>1</v>
      </c>
      <c r="K80" s="1" t="b">
        <f>K61&lt;='e8.6'!K61</f>
        <v>1</v>
      </c>
      <c r="L80" s="1" t="b">
        <f>L61&lt;='e8.6'!L61</f>
        <v>1</v>
      </c>
      <c r="M80" s="1" t="b">
        <f>M61&lt;='e8.6'!M61</f>
        <v>1</v>
      </c>
      <c r="N80" s="1" t="b">
        <f>N61&lt;='e8.6'!N61</f>
        <v>1</v>
      </c>
      <c r="O80" s="1" t="b">
        <f>O61&lt;='e8.6'!O61</f>
        <v>1</v>
      </c>
      <c r="P80" s="1" t="b">
        <f>P61&lt;='e8.6'!P61</f>
        <v>1</v>
      </c>
      <c r="Q80" s="1" t="b">
        <f>Q61&lt;='e8.6'!Q61</f>
        <v>1</v>
      </c>
      <c r="R80" s="1" t="b">
        <f>R61&lt;='e8.6'!R61</f>
        <v>1</v>
      </c>
      <c r="S80" s="1" t="b">
        <f>S61&lt;='e8.6'!S61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4
</oddHeader>
    <oddFooter xml:space="preserve">&amp;L&amp;"Arial"&amp;10 Oliver Wyman Actuarial Consulting, Inc.
&amp;C&amp;"Arial"&amp;10 &amp;R&amp;"Arial"&amp;10 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9">
    <tabColor rgb="FF00B050"/>
    <pageSetUpPr fitToPage="1"/>
  </sheetPr>
  <dimension ref="A1:W89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5</v>
      </c>
      <c r="C1" s="1" t="str">
        <f>VLOOKUP(A1, index_lkups, 2, FALSE)</f>
        <v>Rept 500K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Reported Loss &amp; ALAE Limited to $500,000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1018559</v>
      </c>
      <c r="F13" s="424">
        <v>1081460</v>
      </c>
      <c r="G13" s="424">
        <v>1160148.54</v>
      </c>
      <c r="H13" s="424">
        <v>1336352.25</v>
      </c>
      <c r="I13" s="424">
        <v>1581990.95</v>
      </c>
      <c r="J13" s="424">
        <v>1543720.9200000004</v>
      </c>
      <c r="K13" s="424">
        <v>1540635.0200000003</v>
      </c>
      <c r="L13" s="424">
        <v>1542635.0200000003</v>
      </c>
      <c r="M13" s="424">
        <v>1542635.0200000003</v>
      </c>
      <c r="N13" s="424">
        <v>1576510.0200000003</v>
      </c>
      <c r="O13" s="424">
        <v>1582957.9800000004</v>
      </c>
      <c r="P13" s="481">
        <v>1542533.1800000004</v>
      </c>
      <c r="Q13" s="481">
        <v>1520628.7200000004</v>
      </c>
      <c r="R13" s="424">
        <v>1493025.0200000005</v>
      </c>
      <c r="S13" s="482">
        <f>$U13</f>
        <v>1493025.0200000005</v>
      </c>
      <c r="U13" s="107">
        <f>'e7'!S56</f>
        <v>1493025.0200000005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1030367</v>
      </c>
      <c r="E14" s="90">
        <v>1539425</v>
      </c>
      <c r="F14" s="90">
        <v>1750911.85</v>
      </c>
      <c r="G14" s="90">
        <v>2339518.4900000002</v>
      </c>
      <c r="H14" s="90">
        <v>2714954.59</v>
      </c>
      <c r="I14" s="90">
        <v>2659782.4400000004</v>
      </c>
      <c r="J14" s="90">
        <v>2743473.3200000003</v>
      </c>
      <c r="K14" s="90">
        <v>2739244.3199999989</v>
      </c>
      <c r="L14" s="90">
        <v>2750237.1799999988</v>
      </c>
      <c r="M14" s="90">
        <v>2604758.4999999986</v>
      </c>
      <c r="N14" s="90">
        <v>2632111.5300000003</v>
      </c>
      <c r="O14" s="90">
        <v>2652175.7300000004</v>
      </c>
      <c r="P14" s="90">
        <v>2652975.7300000004</v>
      </c>
      <c r="Q14" s="90">
        <v>2740295.6100000003</v>
      </c>
      <c r="R14" s="107">
        <f>$U14</f>
        <v>2738711.5400000005</v>
      </c>
      <c r="S14" s="90"/>
      <c r="U14" s="107">
        <f>'e7'!S57</f>
        <v>2738711.5400000005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400689</v>
      </c>
      <c r="D15" s="90">
        <v>585124</v>
      </c>
      <c r="E15" s="90">
        <v>720306</v>
      </c>
      <c r="F15" s="90">
        <v>687459</v>
      </c>
      <c r="G15" s="90">
        <v>803494</v>
      </c>
      <c r="H15" s="90">
        <v>805477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'e7'!S58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783622</v>
      </c>
      <c r="D16" s="90">
        <v>2136076.4500000002</v>
      </c>
      <c r="E16" s="90">
        <v>2142519.04</v>
      </c>
      <c r="F16" s="90">
        <v>2292259.12</v>
      </c>
      <c r="G16" s="90">
        <v>2259536.7200000016</v>
      </c>
      <c r="H16" s="90">
        <v>2259850</v>
      </c>
      <c r="I16" s="90">
        <v>2259865.9900000007</v>
      </c>
      <c r="J16" s="90">
        <v>2259865.9900000012</v>
      </c>
      <c r="K16" s="90">
        <v>2229126.3400000003</v>
      </c>
      <c r="L16" s="90">
        <v>2229103.2700000014</v>
      </c>
      <c r="M16" s="90">
        <v>2229103.2700000014</v>
      </c>
      <c r="N16" s="90">
        <v>2229103.2700000005</v>
      </c>
      <c r="O16" s="90">
        <v>2229103.2700000005</v>
      </c>
      <c r="P16" s="107">
        <f>$U16</f>
        <v>2229103.2700000005</v>
      </c>
      <c r="Q16" s="90"/>
      <c r="R16" s="90"/>
      <c r="S16" s="90"/>
      <c r="U16" s="107">
        <f>'e7'!S59</f>
        <v>2229103.2700000005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688159.9</v>
      </c>
      <c r="D17" s="90">
        <v>1082819.05</v>
      </c>
      <c r="E17" s="90">
        <v>1113970.23</v>
      </c>
      <c r="F17" s="90">
        <v>1099997.5399999998</v>
      </c>
      <c r="G17" s="90">
        <v>1100029</v>
      </c>
      <c r="H17" s="90">
        <v>1100049.21</v>
      </c>
      <c r="I17" s="90">
        <v>1100049.2099999997</v>
      </c>
      <c r="J17" s="90">
        <v>1100049.21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'e7'!S60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644636.94999999995</v>
      </c>
      <c r="D18" s="90">
        <v>635297.81999999995</v>
      </c>
      <c r="E18" s="90">
        <v>660688.12999999989</v>
      </c>
      <c r="F18" s="90">
        <v>676922</v>
      </c>
      <c r="G18" s="90">
        <v>696806.18</v>
      </c>
      <c r="H18" s="90">
        <v>741352.17999999982</v>
      </c>
      <c r="I18" s="90">
        <v>766285.18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'e7'!S61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894685.16</v>
      </c>
      <c r="D19" s="90">
        <v>1435747.8599999999</v>
      </c>
      <c r="E19" s="90">
        <v>1700979</v>
      </c>
      <c r="F19" s="90">
        <v>1673961.0300000003</v>
      </c>
      <c r="G19" s="90">
        <v>1693533.5599999996</v>
      </c>
      <c r="H19" s="90">
        <v>1679463.7600000002</v>
      </c>
      <c r="I19" s="90">
        <v>1691462.5999999992</v>
      </c>
      <c r="J19" s="90">
        <v>1704635.2400000007</v>
      </c>
      <c r="K19" s="90">
        <v>1722730.2400000005</v>
      </c>
      <c r="L19" s="90">
        <v>1864995.4700000004</v>
      </c>
      <c r="M19" s="107">
        <f>$U19</f>
        <v>1882294.4700000004</v>
      </c>
      <c r="N19" s="90"/>
      <c r="O19" s="90"/>
      <c r="P19" s="90"/>
      <c r="Q19" s="90"/>
      <c r="R19" s="90"/>
      <c r="S19" s="90"/>
      <c r="U19" s="107">
        <f>'e7'!S62</f>
        <v>1882294.4700000004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742783.04000000015</v>
      </c>
      <c r="D20" s="90">
        <v>1082561</v>
      </c>
      <c r="E20" s="90">
        <v>1155731.3700000001</v>
      </c>
      <c r="F20" s="90">
        <v>1133434.4900000002</v>
      </c>
      <c r="G20" s="90">
        <v>1166253.0500000003</v>
      </c>
      <c r="H20" s="90">
        <v>1318396.33</v>
      </c>
      <c r="I20" s="90">
        <v>1325981.0399999993</v>
      </c>
      <c r="J20" s="90">
        <v>1325981.0400000003</v>
      </c>
      <c r="K20" s="90">
        <v>1187635.5200000003</v>
      </c>
      <c r="L20" s="107">
        <f>$U20</f>
        <v>1200315.5200000003</v>
      </c>
      <c r="M20" s="90"/>
      <c r="N20" s="90"/>
      <c r="O20" s="90"/>
      <c r="P20" s="90"/>
      <c r="Q20" s="90"/>
      <c r="R20" s="90"/>
      <c r="S20" s="90"/>
      <c r="U20" s="107">
        <f>'e7'!S63</f>
        <v>1200315.5200000003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458521.01</v>
      </c>
      <c r="D21" s="90">
        <v>880038.00999999989</v>
      </c>
      <c r="E21" s="90">
        <v>1126810.5599999996</v>
      </c>
      <c r="F21" s="90">
        <v>1167572.6599999999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'e7'!S64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685785.19000000006</v>
      </c>
      <c r="D22" s="90">
        <v>1376198.1099999999</v>
      </c>
      <c r="E22" s="90">
        <v>1673596.5400000003</v>
      </c>
      <c r="F22" s="90">
        <v>1812180.21</v>
      </c>
      <c r="G22" s="90">
        <v>1853694.2199999997</v>
      </c>
      <c r="H22" s="90">
        <v>1893132.9099999985</v>
      </c>
      <c r="I22" s="90">
        <v>1926182.29</v>
      </c>
      <c r="J22" s="107">
        <f>$U22</f>
        <v>1930458.7599999993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'e7'!S65</f>
        <v>1930458.7599999993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766763.04000000039</v>
      </c>
      <c r="D23" s="90">
        <v>1420541.2300000002</v>
      </c>
      <c r="E23" s="90">
        <v>1693465.93</v>
      </c>
      <c r="F23" s="90">
        <v>1802508.0899999999</v>
      </c>
      <c r="G23" s="90">
        <v>1929563.5999999996</v>
      </c>
      <c r="H23" s="90">
        <v>2097334.3199999994</v>
      </c>
      <c r="I23" s="107">
        <f>$U23</f>
        <v>2106047.2399999998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'e7'!S66</f>
        <v>2106047.2399999998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1299979.4700000002</v>
      </c>
      <c r="D24" s="90">
        <v>1835988.2100000009</v>
      </c>
      <c r="E24" s="90">
        <v>2302280.5499999998</v>
      </c>
      <c r="F24" s="90">
        <v>2394145.5599999987</v>
      </c>
      <c r="G24" s="90">
        <v>2342329.11</v>
      </c>
      <c r="H24" s="107">
        <f>$U24</f>
        <v>2342502.8100000005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'e7'!S67</f>
        <v>2342502.8100000005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1326440.2600000012</v>
      </c>
      <c r="D25" s="90">
        <v>2989793.0899999994</v>
      </c>
      <c r="E25" s="90">
        <v>3283245.92</v>
      </c>
      <c r="F25" s="90">
        <v>3276954.1399999997</v>
      </c>
      <c r="G25" s="107">
        <f>$U25</f>
        <v>3251678.2500000009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'e7'!S68</f>
        <v>3251678.2500000009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1273406.9200000006</v>
      </c>
      <c r="D26" s="90">
        <v>2127545.5500000012</v>
      </c>
      <c r="E26" s="90">
        <v>2444111.0400000019</v>
      </c>
      <c r="F26" s="107">
        <f>$U26</f>
        <v>2628716.9900000021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'e7'!S69</f>
        <v>2628716.9900000021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1415374.3399999989</v>
      </c>
      <c r="D27" s="90">
        <v>2264112.3000000003</v>
      </c>
      <c r="E27" s="107">
        <f>$U27</f>
        <v>2585441.4500000016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'e7'!S70</f>
        <v>2585441.4500000016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4706747.6700000055</v>
      </c>
      <c r="D28" s="107">
        <f>$U28</f>
        <v>5817996.7700000023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'e7'!S71</f>
        <v>5817996.7700000023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1261811.2200000007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'e7'!S72</f>
        <v>1261811.2200000007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1.0617548909783332</v>
      </c>
      <c r="F34" s="109">
        <f t="shared" si="2"/>
        <v>1.072761396630481</v>
      </c>
      <c r="G34" s="109">
        <f t="shared" si="2"/>
        <v>1.1518803014655348</v>
      </c>
      <c r="H34" s="109">
        <f t="shared" si="2"/>
        <v>1.1838128382692512</v>
      </c>
      <c r="I34" s="109">
        <f t="shared" si="2"/>
        <v>0.97580894505117144</v>
      </c>
      <c r="J34" s="109">
        <f t="shared" si="2"/>
        <v>0.99800099878156723</v>
      </c>
      <c r="K34" s="109">
        <f t="shared" si="2"/>
        <v>1.0012981659991087</v>
      </c>
      <c r="L34" s="109">
        <f t="shared" si="2"/>
        <v>1</v>
      </c>
      <c r="M34" s="109">
        <f t="shared" si="2"/>
        <v>1.0219591799491237</v>
      </c>
      <c r="N34" s="109">
        <f t="shared" si="2"/>
        <v>1.0040900215781694</v>
      </c>
      <c r="O34" s="109">
        <f t="shared" si="2"/>
        <v>0.97446249331267776</v>
      </c>
      <c r="P34" s="109">
        <f t="shared" si="2"/>
        <v>0.98579968309012322</v>
      </c>
      <c r="Q34" s="109">
        <f t="shared" si="2"/>
        <v>0.98184717963238266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1.4940550308773475</v>
      </c>
      <c r="E35" s="109">
        <f t="shared" si="3"/>
        <v>1.1373804180132192</v>
      </c>
      <c r="F35" s="109">
        <f t="shared" si="3"/>
        <v>1.3361714868741108</v>
      </c>
      <c r="G35" s="109">
        <f t="shared" si="3"/>
        <v>1.1604757994453805</v>
      </c>
      <c r="H35" s="109">
        <f t="shared" si="3"/>
        <v>0.97967842622369627</v>
      </c>
      <c r="I35" s="109">
        <f t="shared" si="3"/>
        <v>1.03146531037328</v>
      </c>
      <c r="J35" s="109">
        <f t="shared" si="3"/>
        <v>0.99845852337284569</v>
      </c>
      <c r="K35" s="109">
        <f t="shared" si="3"/>
        <v>1.0040130994959953</v>
      </c>
      <c r="L35" s="109">
        <f t="shared" si="3"/>
        <v>0.94710322402084601</v>
      </c>
      <c r="M35" s="109">
        <f t="shared" si="3"/>
        <v>1.0105011769805154</v>
      </c>
      <c r="N35" s="109">
        <f t="shared" si="3"/>
        <v>1.0076228532762821</v>
      </c>
      <c r="O35" s="109">
        <f t="shared" si="3"/>
        <v>1.0003016391376147</v>
      </c>
      <c r="P35" s="109">
        <f t="shared" si="3"/>
        <v>1.0329139384927581</v>
      </c>
      <c r="Q35" s="109">
        <f t="shared" si="3"/>
        <v>0.99942193462843232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1.4602946424783312</v>
      </c>
      <c r="D36" s="109">
        <f t="shared" si="3"/>
        <v>1.2310313711281711</v>
      </c>
      <c r="E36" s="109">
        <f t="shared" si="3"/>
        <v>0.95439854728407092</v>
      </c>
      <c r="F36" s="109">
        <f t="shared" si="3"/>
        <v>1.1687882477355014</v>
      </c>
      <c r="G36" s="109">
        <f t="shared" si="3"/>
        <v>1.0024679711360633</v>
      </c>
      <c r="H36" s="109">
        <f t="shared" si="3"/>
        <v>0.86870867821179298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2.7259015826508191</v>
      </c>
      <c r="D37" s="109">
        <f t="shared" si="3"/>
        <v>1.0030160858708965</v>
      </c>
      <c r="E37" s="109">
        <f t="shared" si="3"/>
        <v>1.06988973129499</v>
      </c>
      <c r="F37" s="109">
        <f t="shared" si="3"/>
        <v>0.98572482503636039</v>
      </c>
      <c r="G37" s="109">
        <f t="shared" si="3"/>
        <v>1.0001386478906165</v>
      </c>
      <c r="H37" s="109">
        <f t="shared" si="3"/>
        <v>1.0000070756908648</v>
      </c>
      <c r="I37" s="109">
        <f t="shared" si="3"/>
        <v>1.0000000000000002</v>
      </c>
      <c r="J37" s="109">
        <f t="shared" si="3"/>
        <v>0.98639757838029996</v>
      </c>
      <c r="K37" s="109">
        <f t="shared" si="3"/>
        <v>0.99998965065389744</v>
      </c>
      <c r="L37" s="109">
        <f t="shared" si="3"/>
        <v>1</v>
      </c>
      <c r="M37" s="109">
        <f t="shared" si="3"/>
        <v>0.99999999999999956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1.5734991969162981</v>
      </c>
      <c r="D38" s="109">
        <f t="shared" si="3"/>
        <v>1.0287685924993655</v>
      </c>
      <c r="E38" s="109">
        <f t="shared" si="3"/>
        <v>0.98745685510823733</v>
      </c>
      <c r="F38" s="109">
        <f t="shared" si="3"/>
        <v>1.0000286000639602</v>
      </c>
      <c r="G38" s="109">
        <f t="shared" si="3"/>
        <v>1.0000183722429135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0.99965566085902646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0.98551257417062421</v>
      </c>
      <c r="D39" s="109">
        <f t="shared" si="3"/>
        <v>1.0399659957907614</v>
      </c>
      <c r="E39" s="109">
        <f t="shared" si="3"/>
        <v>1.024571154320572</v>
      </c>
      <c r="F39" s="109">
        <f t="shared" si="3"/>
        <v>1.0293744035501875</v>
      </c>
      <c r="G39" s="109">
        <f t="shared" si="3"/>
        <v>1.0639288245118603</v>
      </c>
      <c r="H39" s="109">
        <f t="shared" si="3"/>
        <v>1.0336317888752957</v>
      </c>
      <c r="I39" s="109">
        <f t="shared" si="3"/>
        <v>0.99998017709281506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1.6047520671964648</v>
      </c>
      <c r="D40" s="109">
        <f t="shared" si="3"/>
        <v>1.1847337874492812</v>
      </c>
      <c r="E40" s="109">
        <f t="shared" si="3"/>
        <v>0.98411622365708229</v>
      </c>
      <c r="F40" s="109">
        <f t="shared" si="3"/>
        <v>1.0116923450720949</v>
      </c>
      <c r="G40" s="109">
        <f t="shared" si="3"/>
        <v>0.99169204535869993</v>
      </c>
      <c r="H40" s="109">
        <f t="shared" si="3"/>
        <v>1.0071444471061399</v>
      </c>
      <c r="I40" s="109">
        <f t="shared" si="3"/>
        <v>1.0077877217030997</v>
      </c>
      <c r="J40" s="109">
        <f t="shared" si="3"/>
        <v>1.0106151741882325</v>
      </c>
      <c r="K40" s="109">
        <f t="shared" si="3"/>
        <v>1.0825812577597755</v>
      </c>
      <c r="L40" s="109">
        <f t="shared" si="3"/>
        <v>1.0092756257472304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1.4574390389958281</v>
      </c>
      <c r="D41" s="109">
        <f t="shared" si="3"/>
        <v>1.0675900665181917</v>
      </c>
      <c r="E41" s="109">
        <f t="shared" si="3"/>
        <v>0.98070755836626644</v>
      </c>
      <c r="F41" s="109">
        <f t="shared" si="3"/>
        <v>1.0289549685399111</v>
      </c>
      <c r="G41" s="109">
        <f t="shared" si="3"/>
        <v>1.1304547756595362</v>
      </c>
      <c r="H41" s="109">
        <f t="shared" si="3"/>
        <v>1.0057529817304629</v>
      </c>
      <c r="I41" s="109">
        <f t="shared" si="3"/>
        <v>1.0000000000000007</v>
      </c>
      <c r="J41" s="109">
        <f t="shared" si="3"/>
        <v>0.89566553681642391</v>
      </c>
      <c r="K41" s="109">
        <f t="shared" si="3"/>
        <v>1.0106766762920665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1.9192970241429066</v>
      </c>
      <c r="D42" s="109">
        <f t="shared" si="3"/>
        <v>1.2804112404190358</v>
      </c>
      <c r="E42" s="109">
        <f t="shared" si="3"/>
        <v>1.0361747586036116</v>
      </c>
      <c r="F42" s="109">
        <f t="shared" si="3"/>
        <v>1.0371711170420861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2.0067480751516373</v>
      </c>
      <c r="D43" s="109">
        <f t="shared" si="3"/>
        <v>1.2161014666703767</v>
      </c>
      <c r="E43" s="109">
        <f t="shared" si="3"/>
        <v>1.0828059013554125</v>
      </c>
      <c r="F43" s="109">
        <f t="shared" si="3"/>
        <v>1.0229083232290677</v>
      </c>
      <c r="G43" s="109">
        <f t="shared" si="3"/>
        <v>1.0212757258314151</v>
      </c>
      <c r="H43" s="109">
        <f t="shared" si="3"/>
        <v>1.0174575064568507</v>
      </c>
      <c r="I43" s="109">
        <f t="shared" si="3"/>
        <v>1.0022201792749321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1.8526469794370886</v>
      </c>
      <c r="D44" s="109">
        <f t="shared" si="3"/>
        <v>1.1921272640569536</v>
      </c>
      <c r="E44" s="109">
        <f t="shared" si="3"/>
        <v>1.0643899343165408</v>
      </c>
      <c r="F44" s="109">
        <f t="shared" si="3"/>
        <v>1.0704881773928681</v>
      </c>
      <c r="G44" s="109">
        <f t="shared" si="3"/>
        <v>1.086947494241703</v>
      </c>
      <c r="H44" s="109">
        <f t="shared" si="3"/>
        <v>1.004154282851768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1.4123209268835613</v>
      </c>
      <c r="D45" s="109">
        <f t="shared" si="3"/>
        <v>1.2539734936533165</v>
      </c>
      <c r="E45" s="109">
        <f t="shared" si="3"/>
        <v>1.0399017443812393</v>
      </c>
      <c r="F45" s="109">
        <f t="shared" si="3"/>
        <v>0.97835701769110528</v>
      </c>
      <c r="G45" s="109">
        <f t="shared" si="3"/>
        <v>1.0000741569573888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2.2539975452795717</v>
      </c>
      <c r="D46" s="109">
        <f t="shared" si="3"/>
        <v>1.0981515513503313</v>
      </c>
      <c r="E46" s="109">
        <f t="shared" si="3"/>
        <v>0.99808367080830784</v>
      </c>
      <c r="F46" s="109">
        <f t="shared" si="3"/>
        <v>0.99228677335106108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1.6707507369286168</v>
      </c>
      <c r="D47" s="109">
        <f t="shared" si="3"/>
        <v>1.148793754380488</v>
      </c>
      <c r="E47" s="109">
        <f t="shared" si="3"/>
        <v>1.0755309177769599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1.5996561729386742</v>
      </c>
      <c r="D48" s="109">
        <f t="shared" si="3"/>
        <v>1.1419227968506691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1.2360970202594259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1.7325243510131094</v>
      </c>
      <c r="D52" s="109">
        <f>[1]!avg(D34:D49, , FALSE, TRUE, )</f>
        <v>1.1722092077434245</v>
      </c>
      <c r="E52" s="109">
        <f>[1]!avg(E34:E49, , FALSE, TRUE, )</f>
        <v>1.0324331837298373</v>
      </c>
      <c r="F52" s="109">
        <f>[1]!avg(F34:F49, , FALSE, TRUE, )</f>
        <v>1.0618684090714778</v>
      </c>
      <c r="G52" s="109">
        <f>[1]!avg(G34:G49, , FALSE, TRUE, )</f>
        <v>1.0554788023329176</v>
      </c>
      <c r="H52" s="109">
        <f>[1]!avg(H34:H49, , FALSE, TRUE, )</f>
        <v>1.0096728404554318</v>
      </c>
      <c r="I52" s="109">
        <f>[1]!avg(I34:I49, , FALSE, TRUE, )</f>
        <v>1.0016713504689296</v>
      </c>
      <c r="J52" s="109">
        <f>[1]!avg(J34:J49, , FALSE, TRUE, )</f>
        <v>0.98609918404979957</v>
      </c>
      <c r="K52" s="109">
        <f>[1]!avg(K34:K49, , FALSE, TRUE, )</f>
        <v>1.0125545962726825</v>
      </c>
      <c r="L52" s="109">
        <f>[1]!avg(L34:L49, , FALSE, TRUE, )</f>
        <v>0.9912112695346984</v>
      </c>
      <c r="M52" s="109">
        <f>[1]!avg(M34:M49, , FALSE, TRUE, )</f>
        <v>1.0064920713859278</v>
      </c>
      <c r="N52" s="109">
        <f>[1]!avg(N34:N49, , FALSE, TRUE, )</f>
        <v>1.0029282187136128</v>
      </c>
      <c r="O52" s="109">
        <f>[1]!avg(O34:O49, , FALSE, TRUE, )</f>
        <v>0.99158804415009749</v>
      </c>
      <c r="P52" s="109">
        <f>[1]!avg(P34:P49, , FALSE, TRUE, )</f>
        <v>1.0093568107914406</v>
      </c>
      <c r="Q52" s="109">
        <f>[1]!avg(Q34:Q49, , FALSE, TRUE, )</f>
        <v>0.98184717963238266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FALSE,1, TRUE)</f>
        <v>1.7443204302729589</v>
      </c>
      <c r="D53" s="109">
        <f>[1]!DAvg(D$13:D$29, E$13:E$29, , FALSE,1, TRUE)</f>
        <v>1.1578588762328197</v>
      </c>
      <c r="E53" s="109">
        <f>[1]!DAvg(E$13:E$29, F$13:F$29, , FALSE,1, TRUE)</f>
        <v>1.035674721874388</v>
      </c>
      <c r="F53" s="109">
        <f>[1]!DAvg(F$13:F$29, G$13:G$29, , FALSE,1, TRUE)</f>
        <v>1.0559425312906174</v>
      </c>
      <c r="G53" s="109">
        <f>[1]!DAvg(G$13:G$29, H$13:H$29, , FALSE,1, TRUE)</f>
        <v>1.0582833654566706</v>
      </c>
      <c r="H53" s="109">
        <f>[1]!DAvg(H$13:H$29, I$13:I$29, , FALSE,1, TRUE)</f>
        <v>1.0108188241258615</v>
      </c>
      <c r="I53" s="109">
        <f>[1]!DAvg(I$13:I$29, J$13:J$29, , FALSE,1, TRUE)</f>
        <v>1.0044050597578662</v>
      </c>
      <c r="J53" s="109">
        <f>[1]!DAvg(J$13:J$29, K$13:K$29, , FALSE,1, TRUE)</f>
        <v>0.98693284656170255</v>
      </c>
      <c r="K53" s="109">
        <f>[1]!DAvg(K$13:K$29, L$13:L$29, , FALSE,1, TRUE)</f>
        <v>1.0143770725259122</v>
      </c>
      <c r="L53" s="109">
        <f>[1]!DAvg(L$13:L$29, M$13:M$29, , FALSE,1, TRUE)</f>
        <v>0.98400424772953776</v>
      </c>
      <c r="M53" s="109">
        <f>[1]!DAvg(M$13:M$29, N$13:N$29, , FALSE,1, TRUE)</f>
        <v>1.0074887447199012</v>
      </c>
      <c r="N53" s="109">
        <f>[1]!DAvg(N$13:N$29, O$13:O$29, , FALSE,1, TRUE)</f>
        <v>1.0037144545902128</v>
      </c>
      <c r="O53" s="109">
        <f>[1]!DAvg(O$13:O$29, P$13:P$29, , FALSE,1, TRUE)</f>
        <v>0.99197061560775124</v>
      </c>
      <c r="P53" s="109">
        <f>[1]!DAvg(P$13:P$29, Q$13:Q$29, , FALSE,1, TRUE)</f>
        <v>1.0155917723935903</v>
      </c>
      <c r="Q53" s="109">
        <f>[1]!DAvg(Q$13:Q$29, R$13:R$29, , FALSE,1, TRUE)</f>
        <v>0.98184717963238266</v>
      </c>
      <c r="R53" s="109" t="str">
        <f>[1]!DAvg(R$13:R$29, S$13:S$29, , FALSE,1, TRUE)</f>
        <v/>
      </c>
      <c r="S53" s="109" t="str">
        <f>[1]!DAvg(S$13:S$29, T$13:T$29, , FALSE,1, TRUE)</f>
        <v/>
      </c>
    </row>
    <row r="54" spans="1:19" x14ac:dyDescent="0.2">
      <c r="A54" s="3" t="s">
        <v>102</v>
      </c>
      <c r="C54" s="109">
        <f>[1]!DAvg(C$13:C$29, D$13:D$29, 4, FALSE, 1, TRUE)</f>
        <v>1.7341656820394291</v>
      </c>
      <c r="D54" s="109">
        <f>[1]!DAvg(D$13:D$29, E$13:E$29, 4, FALSE, 1, TRUE)</f>
        <v>1.1611245062747635</v>
      </c>
      <c r="E54" s="109">
        <f>[1]!DAvg(E$13:E$29, F$13:F$29, 4, FALSE, 1, TRUE)</f>
        <v>1.0372181792588813</v>
      </c>
      <c r="F54" s="109">
        <f>[1]!DAvg(F$13:F$29, G$13:G$29, 4, FALSE, 1, TRUE)</f>
        <v>1.0223166078389885</v>
      </c>
      <c r="G54" s="109">
        <f>[1]!DAvg(G$13:G$29, H$13:H$29, 4, FALSE, 1, TRUE)</f>
        <v>1.058525886712421</v>
      </c>
      <c r="H54" s="109">
        <f>[1]!DAvg(H$13:H$29, I$13:I$29, 4, FALSE, 1, TRUE)</f>
        <v>1.0087300716025223</v>
      </c>
      <c r="I54" s="109">
        <f>[1]!DAvg(I$13:I$29, J$13:J$29, 4, FALSE, 1, TRUE)</f>
        <v>1.0026333098119453</v>
      </c>
      <c r="J54" s="109">
        <f>[1]!DAvg(J$13:J$29, K$13:K$29, 4, FALSE, 1, TRUE)</f>
        <v>0.97536636729385673</v>
      </c>
      <c r="K54" s="109">
        <f>[1]!DAvg(K$13:K$29, L$13:L$29, 4, FALSE, 1, TRUE)</f>
        <v>1.0244494883964661</v>
      </c>
      <c r="L54" s="109">
        <f>[1]!DAvg(L$13:L$29, M$13:M$29, 4, FALSE, 1, TRUE)</f>
        <v>1.0000239907305306</v>
      </c>
      <c r="M54" s="109">
        <f>[1]!DAvg(M$13:M$29, N$13:N$29, 4, FALSE, 1, TRUE)</f>
        <v>1.0041235482753141</v>
      </c>
      <c r="N54" s="109">
        <f>[1]!DAvg(N$13:N$29, O$13:O$29, 4, FALSE, 1, TRUE)</f>
        <v>1.0037144545902128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1.8383670497960465</v>
      </c>
      <c r="D55" s="109">
        <f>[1]!DAvg(D$13:D$29, E$13:E$29, 3, FALSE, 1, TRUE)</f>
        <v>1.1547907473959751</v>
      </c>
      <c r="E55" s="109">
        <f>[1]!DAvg(E$13:E$29, F$13:F$29, 3, FALSE, 1, TRUE)</f>
        <v>1.0267365837612359</v>
      </c>
      <c r="F55" s="109">
        <f>[1]!DAvg(F$13:F$29, G$13:G$29, 3, FALSE, 1, TRUE)</f>
        <v>1.019430237666781</v>
      </c>
      <c r="G55" s="109">
        <f>[1]!DAvg(G$13:G$29, H$13:H$29, 3, FALSE, 1, TRUE)</f>
        <v>1.0417290474817213</v>
      </c>
      <c r="H55" s="109">
        <f>[1]!DAvg(H$13:H$29, I$13:I$29, 3, FALSE, 1, TRUE)</f>
        <v>1.0093320565279682</v>
      </c>
      <c r="I55" s="109">
        <f>[1]!DAvg(I$13:I$29, J$13:J$29, 3, FALSE, 1, TRUE)</f>
        <v>1.0031139082970435</v>
      </c>
      <c r="J55" s="109">
        <f>[1]!DAvg(J$13:J$29, K$13:K$29, 3, FALSE, 1, TRUE)</f>
        <v>0.96832917515856987</v>
      </c>
      <c r="K55" s="109">
        <f>[1]!DAvg(K$13:K$29, L$13:L$29, 3, FALSE, 1, TRUE)</f>
        <v>1.0396428772308768</v>
      </c>
      <c r="L55" s="109">
        <f>[1]!DAvg(L$13:L$29, M$13:M$29, 3, FALSE, 1, TRUE)</f>
        <v>0.99999999999999978</v>
      </c>
      <c r="M55" s="109">
        <f>[1]!DAvg(M$13:M$29, N$13:N$29, 3, FALSE, 1, TRUE)</f>
        <v>0.99999999999999978</v>
      </c>
      <c r="N55" s="109">
        <f>[1]!DAvg(N$13:N$29, O$13:O$29, 3, FALSE, 1, TRUE)</f>
        <v>1.0036079846573132</v>
      </c>
      <c r="O55" s="109">
        <f>[1]!DAvg(O$13:O$29, P$13:P$29, 3, FALSE, 1, TRUE)</f>
        <v>0.99197061560775124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1.3729713136440069</v>
      </c>
      <c r="D57" s="109">
        <f t="shared" ref="D57:S57" si="5">IF(ISBLANK(E73), D73, D73/E73)</f>
        <v>1.1052231189281359</v>
      </c>
      <c r="E57" s="109">
        <f t="shared" si="5"/>
        <v>1.0464907038865832</v>
      </c>
      <c r="F57" s="109">
        <f t="shared" si="5"/>
        <v>1.0248628675867515</v>
      </c>
      <c r="G57" s="109">
        <f t="shared" si="5"/>
        <v>1.0163914630819675</v>
      </c>
      <c r="H57" s="109">
        <f t="shared" si="5"/>
        <v>1.0129619986249245</v>
      </c>
      <c r="I57" s="109">
        <f t="shared" si="5"/>
        <v>1.0100672716714458</v>
      </c>
      <c r="J57" s="109">
        <f t="shared" si="5"/>
        <v>1.0079265674068147</v>
      </c>
      <c r="K57" s="109">
        <f t="shared" si="5"/>
        <v>1.0066276578519042</v>
      </c>
      <c r="L57" s="109">
        <f t="shared" si="5"/>
        <v>1.0055144190782721</v>
      </c>
      <c r="M57" s="109">
        <f t="shared" si="5"/>
        <v>1.0046648078658049</v>
      </c>
      <c r="N57" s="109">
        <f t="shared" si="5"/>
        <v>1.0039687285994616</v>
      </c>
      <c r="O57" s="109">
        <f t="shared" si="5"/>
        <v>1.0033826809168205</v>
      </c>
      <c r="P57" s="109">
        <f t="shared" si="5"/>
        <v>1.0030669300062001</v>
      </c>
      <c r="Q57" s="109">
        <f t="shared" si="5"/>
        <v>1.0022939409780245</v>
      </c>
      <c r="R57" s="109">
        <f t="shared" si="5"/>
        <v>1.0016336936522396</v>
      </c>
      <c r="S57" s="109">
        <f t="shared" si="5"/>
        <v>1.0195414371226936</v>
      </c>
    </row>
    <row r="58" spans="1:19" x14ac:dyDescent="0.2">
      <c r="A58" s="3" t="s">
        <v>18</v>
      </c>
      <c r="C58" s="109">
        <f>IF(ISBLANK(D74), C74, C74/D74)</f>
        <v>1.7199999999999989</v>
      </c>
      <c r="D58" s="109">
        <f t="shared" ref="D58:S58" si="6">IF(ISBLANK(E74), D74, D74/E74)</f>
        <v>1.1399999999999999</v>
      </c>
      <c r="E58" s="109">
        <f t="shared" si="6"/>
        <v>1.0560000000000003</v>
      </c>
      <c r="F58" s="109">
        <f t="shared" si="6"/>
        <v>1.0345692737519807</v>
      </c>
      <c r="G58" s="109">
        <f t="shared" si="6"/>
        <v>1.0154085615072121</v>
      </c>
      <c r="H58" s="109">
        <f t="shared" si="6"/>
        <v>1.0120079276408009</v>
      </c>
      <c r="I58" s="109">
        <f t="shared" si="6"/>
        <v>1.0094917218767905</v>
      </c>
      <c r="J58" s="109">
        <f t="shared" si="6"/>
        <v>1.0078340877116707</v>
      </c>
      <c r="K58" s="109">
        <f t="shared" si="6"/>
        <v>1.006780926975644</v>
      </c>
      <c r="L58" s="109">
        <f t="shared" si="6"/>
        <v>1.005728543122689</v>
      </c>
      <c r="M58" s="109">
        <f t="shared" si="6"/>
        <v>1.0049638737406279</v>
      </c>
      <c r="N58" s="109">
        <f t="shared" si="6"/>
        <v>1.0042497107658872</v>
      </c>
      <c r="O58" s="109">
        <f t="shared" si="6"/>
        <v>1.0037116431351714</v>
      </c>
      <c r="P58" s="109">
        <f t="shared" si="6"/>
        <v>1.0032613222622482</v>
      </c>
      <c r="Q58" s="109">
        <f t="shared" si="6"/>
        <v>1.0025247298573221</v>
      </c>
      <c r="R58" s="109">
        <f t="shared" si="6"/>
        <v>1.0026521333649197</v>
      </c>
      <c r="S58" s="109">
        <f t="shared" si="6"/>
        <v>1.0199212009725269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1.7199999999999989</v>
      </c>
      <c r="D61" s="109">
        <v>1.1599999999999999</v>
      </c>
      <c r="E61" s="109">
        <f t="shared" ref="E61:S61" si="8">E58</f>
        <v>1.0560000000000003</v>
      </c>
      <c r="F61" s="109">
        <v>1.03</v>
      </c>
      <c r="G61" s="109">
        <f t="shared" si="8"/>
        <v>1.0154085615072121</v>
      </c>
      <c r="H61" s="109">
        <f t="shared" si="8"/>
        <v>1.0120079276408009</v>
      </c>
      <c r="I61" s="109">
        <f t="shared" si="8"/>
        <v>1.0094917218767905</v>
      </c>
      <c r="J61" s="109">
        <f t="shared" si="8"/>
        <v>1.0078340877116707</v>
      </c>
      <c r="K61" s="109">
        <f t="shared" si="8"/>
        <v>1.006780926975644</v>
      </c>
      <c r="L61" s="109">
        <f t="shared" si="8"/>
        <v>1.005728543122689</v>
      </c>
      <c r="M61" s="109">
        <f t="shared" si="8"/>
        <v>1.0049638737406279</v>
      </c>
      <c r="N61" s="109">
        <f t="shared" si="8"/>
        <v>1.0042497107658872</v>
      </c>
      <c r="O61" s="109">
        <f t="shared" si="8"/>
        <v>1.0037116431351714</v>
      </c>
      <c r="P61" s="109">
        <f t="shared" si="8"/>
        <v>1.0032613222622482</v>
      </c>
      <c r="Q61" s="109">
        <f t="shared" si="8"/>
        <v>1.0025247298573221</v>
      </c>
      <c r="R61" s="109">
        <f t="shared" si="8"/>
        <v>1.0026521333649197</v>
      </c>
      <c r="S61" s="109">
        <f t="shared" si="8"/>
        <v>1.0199212009725269</v>
      </c>
    </row>
    <row r="62" spans="1:19" x14ac:dyDescent="0.2">
      <c r="A62" s="3" t="s">
        <v>107</v>
      </c>
      <c r="C62" s="109">
        <f>PRODUCT(C61:$S$61)</f>
        <v>2.3935751547223241</v>
      </c>
      <c r="D62" s="109">
        <f>PRODUCT(D61:$S$61)</f>
        <v>1.391613462047864</v>
      </c>
      <c r="E62" s="109">
        <f>PRODUCT(E61:$S$61)</f>
        <v>1.1996667776274685</v>
      </c>
      <c r="F62" s="109">
        <f>PRODUCT(F61:$S$61)</f>
        <v>1.1360480848744967</v>
      </c>
      <c r="G62" s="109">
        <f>PRODUCT(G61:$S$61)</f>
        <v>1.1029593057033951</v>
      </c>
      <c r="H62" s="109">
        <f>PRODUCT(H61:$S$61)</f>
        <v>1.0862221843651068</v>
      </c>
      <c r="I62" s="109">
        <f>PRODUCT(I61:$S$61)</f>
        <v>1.0733336713056336</v>
      </c>
      <c r="J62" s="109">
        <f>PRODUCT(J61:$S$61)</f>
        <v>1.0632416770195516</v>
      </c>
      <c r="K62" s="109">
        <f>PRODUCT(K61:$S$61)</f>
        <v>1.054976895486524</v>
      </c>
      <c r="L62" s="109">
        <f>PRODUCT(L61:$S$61)</f>
        <v>1.0478713563393183</v>
      </c>
      <c r="M62" s="109">
        <f>PRODUCT(M61:$S$61)</f>
        <v>1.0419027713837967</v>
      </c>
      <c r="N62" s="109">
        <f>PRODUCT(N61:$S$61)</f>
        <v>1.0367564432994758</v>
      </c>
      <c r="O62" s="109">
        <f>PRODUCT(O61:$S$61)</f>
        <v>1.0323691729109858</v>
      </c>
      <c r="P62" s="109">
        <f>PRODUCT(P61:$S$61)</f>
        <v>1.0285515565868109</v>
      </c>
      <c r="Q62" s="109">
        <f>PRODUCT(Q61:$S$61)</f>
        <v>1.0252080228384921</v>
      </c>
      <c r="R62" s="109">
        <f>PRODUCT(R61:$S$61)</f>
        <v>1.022626168019215</v>
      </c>
      <c r="S62" s="109">
        <f>PRODUCT(S61:$S$61)</f>
        <v>1.0199212009725269</v>
      </c>
    </row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1.7941133283456059</v>
      </c>
      <c r="D73" s="118">
        <f t="shared" si="10"/>
        <v>1.3067376648852516</v>
      </c>
      <c r="E73" s="118">
        <f t="shared" si="10"/>
        <v>1.1823292894493087</v>
      </c>
      <c r="F73" s="118">
        <f t="shared" si="10"/>
        <v>1.1298039104009543</v>
      </c>
      <c r="G73" s="118">
        <f t="shared" si="10"/>
        <v>1.1023952044055492</v>
      </c>
      <c r="H73" s="118">
        <f t="shared" si="10"/>
        <v>1.0846167490061316</v>
      </c>
      <c r="I73" s="118">
        <f t="shared" si="10"/>
        <v>1.0707378465119886</v>
      </c>
      <c r="J73" s="118">
        <f t="shared" si="10"/>
        <v>1.0600658753551591</v>
      </c>
      <c r="K73" s="118">
        <f t="shared" si="10"/>
        <v>1.051729272383888</v>
      </c>
      <c r="L73" s="118">
        <f t="shared" si="10"/>
        <v>1.0448046645452087</v>
      </c>
      <c r="M73" s="118">
        <f t="shared" si="10"/>
        <v>1.0390747708053285</v>
      </c>
      <c r="N73" s="118">
        <f t="shared" si="10"/>
        <v>1.0342501923727379</v>
      </c>
      <c r="O73" s="118">
        <f t="shared" si="10"/>
        <v>1.030161759934016</v>
      </c>
      <c r="P73" s="118">
        <f t="shared" si="10"/>
        <v>1.026688799325026</v>
      </c>
      <c r="Q73" s="118">
        <f t="shared" si="10"/>
        <v>1.023549644208368</v>
      </c>
      <c r="R73" s="118">
        <f t="shared" si="10"/>
        <v>1.0212070554967163</v>
      </c>
      <c r="S73" s="118">
        <f t="shared" si="10"/>
        <v>1.0195414371226936</v>
      </c>
      <c r="U73" s="3">
        <f>MATCH($C$1, 'Industry LDF'!$A$5:$M$5, 0)</f>
        <v>4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2.362741892216873</v>
      </c>
      <c r="D74" s="111">
        <f>[1]!ldfsir(prldfs, prldf_ages, prldf_type, prldf_ret, D$72, $U$75, $U$74, prldf_cutoff, 3)</f>
        <v>1.3736871466377178</v>
      </c>
      <c r="E74" s="111">
        <f>[1]!ldfsir(prldfs, prldf_ages, prldf_type, prldf_ret, E$72, $U$75, $U$74, prldf_cutoff, 3)</f>
        <v>1.2049887251208053</v>
      </c>
      <c r="F74" s="111">
        <f>[1]!ldfsir(prldfs, prldf_ages, prldf_type, prldf_ret, F$72, $U$75, $U$74, prldf_cutoff, 3)</f>
        <v>1.1410878078795501</v>
      </c>
      <c r="G74" s="111">
        <f>[1]!ldfsir(prldfs, prldf_ages, prldf_type, prldf_ret, G$72, $U$75, $U$74, prldf_cutoff, 3)</f>
        <v>1.1029593057033948</v>
      </c>
      <c r="H74" s="111">
        <f>[1]!ldfsir(prldfs, prldf_ages, prldf_type, prldf_ret, H$72, $U$75, $U$74, prldf_cutoff, 3)</f>
        <v>1.0862221843651068</v>
      </c>
      <c r="I74" s="111">
        <f>[1]!ldfsir(prldfs, prldf_ages, prldf_type, prldf_ret, I$72, $U$75, $U$74, prldf_cutoff, 3)</f>
        <v>1.0733336713056334</v>
      </c>
      <c r="J74" s="111">
        <f>[1]!ldfsir(prldfs, prldf_ages, prldf_type, prldf_ret, J$72, $U$75, $U$74, prldf_cutoff, 3)</f>
        <v>1.0632416770195516</v>
      </c>
      <c r="K74" s="111">
        <f>[1]!ldfsir(prldfs, prldf_ages, prldf_type, prldf_ret, K$72, $U$75, $U$74, prldf_cutoff, 3)</f>
        <v>1.0549768954865242</v>
      </c>
      <c r="L74" s="111">
        <f>[1]!ldfsir(prldfs, prldf_ages, prldf_type, prldf_ret, L$72, $U$75, $U$74, prldf_cutoff, 3)</f>
        <v>1.0478713563393183</v>
      </c>
      <c r="M74" s="111">
        <f>[1]!ldfsir(prldfs, prldf_ages, prldf_type, prldf_ret, M$72, $U$75, $U$74, prldf_cutoff, 3)</f>
        <v>1.0419027713837969</v>
      </c>
      <c r="N74" s="111">
        <f>[1]!ldfsir(prldfs, prldf_ages, prldf_type, prldf_ret, N$72, $U$75, $U$74, prldf_cutoff, 3)</f>
        <v>1.0367564432994758</v>
      </c>
      <c r="O74" s="111">
        <f>[1]!ldfsir(prldfs, prldf_ages, prldf_type, prldf_ret, O$72, $U$75, $U$74, prldf_cutoff, 3)</f>
        <v>1.0323691729109858</v>
      </c>
      <c r="P74" s="111">
        <f>[1]!ldfsir(prldfs, prldf_ages, prldf_type, prldf_ret, P$72, $U$75, $U$74, prldf_cutoff, 3)</f>
        <v>1.0285515565868106</v>
      </c>
      <c r="Q74" s="111">
        <f>[1]!ldfsir(prldfs, prldf_ages, prldf_type, prldf_ret, Q$72, $U$75, $U$74, prldf_cutoff, 3)</f>
        <v>1.0252080228384921</v>
      </c>
      <c r="R74" s="111">
        <f>[1]!ldfsir(prldfs, prldf_ages, prldf_type, prldf_ret, R$72, $U$75, $U$74, prldf_cutoff, 3)</f>
        <v>1.022626168019215</v>
      </c>
      <c r="S74" s="111">
        <f>[1]!ldfsir(prldfs, prldf_ages, prldf_type, prldf_ret, S$72, $U$75, $U$74, prldf_cutoff, 3)</f>
        <v>1.0199212009725269</v>
      </c>
      <c r="U74" s="105">
        <v>500000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93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0</v>
      </c>
    </row>
    <row r="79" spans="1:21" x14ac:dyDescent="0.2">
      <c r="A79" s="3" t="s">
        <v>174</v>
      </c>
      <c r="C79" s="1" t="b">
        <f>C61&lt;='e8.6'!C61</f>
        <v>1</v>
      </c>
      <c r="D79" s="1" t="b">
        <f>D61&lt;='e8.6'!D61</f>
        <v>1</v>
      </c>
      <c r="E79" s="1" t="b">
        <f>E61&lt;='e8.6'!E61</f>
        <v>1</v>
      </c>
      <c r="F79" s="1" t="b">
        <f>F61&lt;='e8.6'!F61</f>
        <v>1</v>
      </c>
      <c r="G79" s="1" t="b">
        <f>G61&lt;='e8.6'!G61</f>
        <v>1</v>
      </c>
      <c r="H79" s="1" t="b">
        <f>H61&lt;='e8.6'!H61</f>
        <v>1</v>
      </c>
      <c r="I79" s="1" t="b">
        <f>I61&lt;='e8.6'!I61</f>
        <v>1</v>
      </c>
      <c r="J79" s="1" t="b">
        <f>J61&lt;='e8.6'!J61</f>
        <v>1</v>
      </c>
      <c r="K79" s="1" t="b">
        <f>K61&lt;='e8.6'!K61</f>
        <v>1</v>
      </c>
      <c r="L79" s="1" t="b">
        <f>L61&lt;='e8.6'!L61</f>
        <v>1</v>
      </c>
      <c r="M79" s="1" t="b">
        <f>M61&lt;='e8.6'!M61</f>
        <v>1</v>
      </c>
      <c r="N79" s="1" t="b">
        <f>N61&lt;='e8.6'!N61</f>
        <v>1</v>
      </c>
      <c r="O79" s="1" t="b">
        <f>O61&lt;='e8.6'!O61</f>
        <v>1</v>
      </c>
      <c r="P79" s="1" t="b">
        <f>P61&lt;='e8.6'!P61</f>
        <v>1</v>
      </c>
      <c r="Q79" s="1" t="b">
        <f>Q61&lt;='e8.6'!Q61</f>
        <v>1</v>
      </c>
      <c r="R79" s="1" t="b">
        <f>R61&lt;='e8.6'!R61</f>
        <v>1</v>
      </c>
      <c r="S79" s="1" t="b">
        <f>S61&lt;='e8.6'!S61</f>
        <v>1</v>
      </c>
    </row>
    <row r="80" spans="1:21" x14ac:dyDescent="0.2">
      <c r="A80" s="3" t="s">
        <v>90</v>
      </c>
      <c r="C80" s="1" t="b">
        <f>C61&lt;=C84</f>
        <v>1</v>
      </c>
      <c r="D80" s="1" t="b">
        <f t="shared" ref="D80:S80" si="12">D61&lt;=D84</f>
        <v>1</v>
      </c>
      <c r="E80" s="1" t="b">
        <f t="shared" si="12"/>
        <v>1</v>
      </c>
      <c r="F80" s="1" t="b">
        <f t="shared" si="12"/>
        <v>1</v>
      </c>
      <c r="G80" s="1" t="b">
        <f t="shared" si="12"/>
        <v>1</v>
      </c>
      <c r="H80" s="1" t="b">
        <f t="shared" si="12"/>
        <v>1</v>
      </c>
      <c r="I80" s="1" t="b">
        <f t="shared" si="12"/>
        <v>1</v>
      </c>
      <c r="J80" s="1" t="b">
        <f t="shared" si="12"/>
        <v>1</v>
      </c>
      <c r="K80" s="1" t="b">
        <f t="shared" si="12"/>
        <v>1</v>
      </c>
      <c r="L80" s="1" t="b">
        <f t="shared" si="12"/>
        <v>1</v>
      </c>
      <c r="M80" s="1" t="b">
        <f t="shared" si="12"/>
        <v>1</v>
      </c>
      <c r="N80" s="1" t="b">
        <f t="shared" si="12"/>
        <v>1</v>
      </c>
      <c r="O80" s="1" t="b">
        <f t="shared" si="12"/>
        <v>1</v>
      </c>
      <c r="P80" s="1" t="b">
        <f t="shared" si="12"/>
        <v>1</v>
      </c>
      <c r="Q80" s="1" t="b">
        <f t="shared" si="12"/>
        <v>1</v>
      </c>
      <c r="R80" s="1" t="b">
        <f t="shared" si="12"/>
        <v>1</v>
      </c>
      <c r="S80" s="1" t="b">
        <f t="shared" si="12"/>
        <v>1</v>
      </c>
    </row>
    <row r="82" spans="1:19" x14ac:dyDescent="0.2">
      <c r="A82" s="82" t="s">
        <v>193</v>
      </c>
    </row>
    <row r="83" spans="1:19" x14ac:dyDescent="0.2">
      <c r="A83" s="3" t="s">
        <v>194</v>
      </c>
      <c r="C83" s="118">
        <f t="shared" ref="C83:S83" si="13">1 / (1 - (1-1/C62) * VLOOKUP(C$72, indrels, 2, FALSE))</f>
        <v>2.4348606528091143</v>
      </c>
      <c r="D83" s="118">
        <f t="shared" si="13"/>
        <v>1.4064420440837213</v>
      </c>
      <c r="E83" s="118">
        <f t="shared" si="13"/>
        <v>1.2098708961736411</v>
      </c>
      <c r="F83" s="118">
        <f t="shared" si="13"/>
        <v>1.1445546903412831</v>
      </c>
      <c r="G83" s="118">
        <f t="shared" si="13"/>
        <v>1.1102787705643589</v>
      </c>
      <c r="H83" s="118">
        <f t="shared" si="13"/>
        <v>1.093095495943573</v>
      </c>
      <c r="I83" s="118">
        <f t="shared" si="13"/>
        <v>1.0798162572509111</v>
      </c>
      <c r="J83" s="118">
        <f t="shared" si="13"/>
        <v>1.0694562818710105</v>
      </c>
      <c r="K83" s="118">
        <f t="shared" si="13"/>
        <v>1.0605578041539341</v>
      </c>
      <c r="L83" s="118">
        <f t="shared" si="13"/>
        <v>1.0528969745071488</v>
      </c>
      <c r="M83" s="118">
        <f t="shared" si="13"/>
        <v>1.0467324738808523</v>
      </c>
      <c r="N83" s="118">
        <f t="shared" si="13"/>
        <v>1.0414204171974328</v>
      </c>
      <c r="O83" s="118">
        <f t="shared" si="13"/>
        <v>1.0368521258966024</v>
      </c>
      <c r="P83" s="118">
        <f t="shared" si="13"/>
        <v>1.0328558570312276</v>
      </c>
      <c r="Q83" s="118">
        <f t="shared" si="13"/>
        <v>1.0293366129409074</v>
      </c>
      <c r="R83" s="118">
        <f t="shared" si="13"/>
        <v>1.0264193514236082</v>
      </c>
      <c r="S83" s="118">
        <f t="shared" si="13"/>
        <v>1.0230758096585728</v>
      </c>
    </row>
    <row r="84" spans="1:19" x14ac:dyDescent="0.2">
      <c r="A84" s="3" t="s">
        <v>195</v>
      </c>
      <c r="C84" s="118">
        <f>MIN(MAX(IF(ISBLANK(D83), C83, C83/D83), C61), 'e8.7'!C61)</f>
        <v>1.7200000000000006</v>
      </c>
      <c r="D84" s="118">
        <f>MIN(MAX(IF(ISBLANK(E83), D83, D83/E83), D61), 'e8.7'!D61)</f>
        <v>1.1624728295653359</v>
      </c>
      <c r="E84" s="118">
        <f>MIN(MAX(IF(ISBLANK(F83), E83, E83/F83), E61), 'e8.7'!E61)</f>
        <v>1.0559999999999996</v>
      </c>
      <c r="F84" s="118">
        <f>MIN(MAX(IF(ISBLANK(G83), F83, F83/G83), F61), 'e8.7'!F61)</f>
        <v>1.0308714538056976</v>
      </c>
      <c r="G84" s="118">
        <f>MIN(MAX(IF(ISBLANK(H83), G83, G83/H83), G61), 'e8.7'!G61)</f>
        <v>1.0157198293145953</v>
      </c>
      <c r="H84" s="118">
        <f>MIN(MAX(IF(ISBLANK(I83), H83, H83/I83), H61), 'e8.7'!H61)</f>
        <v>1.012297683613756</v>
      </c>
      <c r="I84" s="118">
        <f>MIN(MAX(IF(ISBLANK(J83), I83, I83/J83), I61), 'e8.7'!I61)</f>
        <v>1.0096871424812017</v>
      </c>
      <c r="J84" s="118">
        <f>MIN(MAX(IF(ISBLANK(K83), J83, J83/K83), J61), 'e8.7'!J61)</f>
        <v>1.0083903750292755</v>
      </c>
      <c r="K84" s="118">
        <f>MIN(MAX(IF(ISBLANK(L83), K83, K83/L83), K61), 'e8.7'!K61)</f>
        <v>1.0072759537089289</v>
      </c>
      <c r="L84" s="118">
        <f>MIN(MAX(IF(ISBLANK(M83), L83, L83/M83), L61), 'e8.7'!L61)</f>
        <v>1.0058892800024071</v>
      </c>
      <c r="M84" s="118">
        <f>MIN(MAX(IF(ISBLANK(N83), M83, M83/N83), M61), 'e8.7'!M61)</f>
        <v>1.0051007802379319</v>
      </c>
      <c r="N84" s="118">
        <f>MIN(MAX(IF(ISBLANK(O83), N83, N83/O83), N61), 'e8.7'!N61)</f>
        <v>1.0044059236478684</v>
      </c>
      <c r="O84" s="118">
        <f>MIN(MAX(IF(ISBLANK(P83), O83, O83/P83), O61), 'e8.7'!O61)</f>
        <v>1.0038691447970884</v>
      </c>
      <c r="P84" s="118">
        <f>MIN(MAX(IF(ISBLANK(Q83), P83, P83/Q83), P61), 'e8.7'!P61)</f>
        <v>1.0034189438577001</v>
      </c>
      <c r="Q84" s="118">
        <f>MIN(MAX(IF(ISBLANK(R83), Q83, Q83/R83), Q61), 'e8.7'!Q61)</f>
        <v>1.0028421731461445</v>
      </c>
      <c r="R84" s="118">
        <f>MIN(MAX(IF(ISBLANK(S83), R83, R83/S83), R61), 'e8.7'!R61)</f>
        <v>1.0032681270864485</v>
      </c>
      <c r="S84" s="118">
        <f>MIN(MAX(IF(ISBLANK(T83), S83, S83/T83), S61), 'e8.7'!S61)</f>
        <v>1.0230758096585728</v>
      </c>
    </row>
    <row r="85" spans="1:19" x14ac:dyDescent="0.2">
      <c r="A85" s="645" t="s">
        <v>196</v>
      </c>
      <c r="B85" s="646"/>
      <c r="C85" s="647">
        <f>PRODUCT(C$84:$S$84)</f>
        <v>2.41663869711696</v>
      </c>
      <c r="D85" s="647">
        <f>PRODUCT(D$84:$S$84)</f>
        <v>1.4050224983238135</v>
      </c>
      <c r="E85" s="647">
        <f>PRODUCT(E$84:$S$84)</f>
        <v>1.2086497530003948</v>
      </c>
      <c r="F85" s="647">
        <f>PRODUCT(F$84:$S$84)</f>
        <v>1.1445546903412835</v>
      </c>
      <c r="G85" s="647">
        <f>PRODUCT(G$84:$S$84)</f>
        <v>1.1102787705643591</v>
      </c>
      <c r="H85" s="647">
        <f>PRODUCT(H$84:$S$84)</f>
        <v>1.093095495943573</v>
      </c>
      <c r="I85" s="647">
        <f>PRODUCT(I$84:$S$84)</f>
        <v>1.0798162572509113</v>
      </c>
      <c r="J85" s="647">
        <f>PRODUCT(J$84:$S$84)</f>
        <v>1.0694562818710107</v>
      </c>
      <c r="K85" s="647">
        <f>PRODUCT(K$84:$S$84)</f>
        <v>1.0605578041539341</v>
      </c>
      <c r="L85" s="647">
        <f>PRODUCT(L$84:$S$84)</f>
        <v>1.0528969745071488</v>
      </c>
      <c r="M85" s="647">
        <f>PRODUCT(M$84:$S$84)</f>
        <v>1.0467324738808523</v>
      </c>
      <c r="N85" s="647">
        <f>PRODUCT(N$84:$S$84)</f>
        <v>1.0414204171974331</v>
      </c>
      <c r="O85" s="647">
        <f>PRODUCT(O$84:$S$84)</f>
        <v>1.0368521258966024</v>
      </c>
      <c r="P85" s="647">
        <f>PRODUCT(P$84:$S$84)</f>
        <v>1.0328558570312276</v>
      </c>
      <c r="Q85" s="647">
        <f>PRODUCT(Q$84:$S$84)</f>
        <v>1.0293366129409076</v>
      </c>
      <c r="R85" s="647">
        <f>PRODUCT(R$84:$S$84)</f>
        <v>1.0264193514236082</v>
      </c>
      <c r="S85" s="648">
        <f>PRODUCT(S$84:$S$84)</f>
        <v>1.0230758096585728</v>
      </c>
    </row>
    <row r="87" spans="1:19" x14ac:dyDescent="0.2">
      <c r="C87" s="1" t="b">
        <f>C84&gt;=D84</f>
        <v>1</v>
      </c>
      <c r="D87" s="1" t="b">
        <f t="shared" ref="D87:Q87" si="14">D84&gt;=E84</f>
        <v>1</v>
      </c>
      <c r="E87" s="1" t="b">
        <f t="shared" si="14"/>
        <v>1</v>
      </c>
      <c r="F87" s="1" t="b">
        <f t="shared" si="14"/>
        <v>1</v>
      </c>
      <c r="G87" s="1" t="b">
        <f t="shared" si="14"/>
        <v>1</v>
      </c>
      <c r="H87" s="1" t="b">
        <f t="shared" si="14"/>
        <v>1</v>
      </c>
      <c r="I87" s="1" t="b">
        <f t="shared" si="14"/>
        <v>1</v>
      </c>
      <c r="J87" s="1" t="b">
        <f t="shared" si="14"/>
        <v>1</v>
      </c>
      <c r="K87" s="1" t="b">
        <f t="shared" si="14"/>
        <v>1</v>
      </c>
      <c r="L87" s="1" t="b">
        <f t="shared" si="14"/>
        <v>1</v>
      </c>
      <c r="M87" s="1" t="b">
        <f t="shared" si="14"/>
        <v>1</v>
      </c>
      <c r="N87" s="1" t="b">
        <f t="shared" si="14"/>
        <v>1</v>
      </c>
      <c r="O87" s="1" t="b">
        <f t="shared" si="14"/>
        <v>1</v>
      </c>
      <c r="P87" s="1" t="b">
        <f t="shared" si="14"/>
        <v>1</v>
      </c>
      <c r="Q87" s="1" t="b">
        <f t="shared" si="14"/>
        <v>0</v>
      </c>
    </row>
    <row r="88" spans="1:19" x14ac:dyDescent="0.2">
      <c r="C88" s="1" t="b">
        <f>C84&lt;='e8.6'!C84</f>
        <v>1</v>
      </c>
      <c r="D88" s="1" t="b">
        <f>D84&lt;='e8.6'!D84</f>
        <v>1</v>
      </c>
      <c r="E88" s="1" t="b">
        <f>E84&lt;='e8.6'!E84</f>
        <v>1</v>
      </c>
      <c r="F88" s="1" t="b">
        <f>F84&lt;='e8.6'!F84</f>
        <v>1</v>
      </c>
      <c r="G88" s="1" t="b">
        <f>G84&lt;='e8.6'!G84</f>
        <v>1</v>
      </c>
      <c r="H88" s="1" t="b">
        <f>H84&lt;='e8.6'!H84</f>
        <v>1</v>
      </c>
      <c r="I88" s="1" t="b">
        <f>I84&lt;='e8.6'!I84</f>
        <v>1</v>
      </c>
      <c r="J88" s="1" t="b">
        <f>J84&lt;='e8.6'!J84</f>
        <v>1</v>
      </c>
      <c r="K88" s="1" t="b">
        <f>K84&lt;='e8.6'!K84</f>
        <v>1</v>
      </c>
      <c r="L88" s="1" t="b">
        <f>L84&lt;='e8.6'!L84</f>
        <v>1</v>
      </c>
      <c r="M88" s="1" t="b">
        <f>M84&lt;='e8.6'!M84</f>
        <v>1</v>
      </c>
      <c r="N88" s="1" t="b">
        <f>N84&lt;='e8.6'!N84</f>
        <v>1</v>
      </c>
      <c r="O88" s="1" t="b">
        <f>O84&lt;='e8.6'!O84</f>
        <v>1</v>
      </c>
      <c r="P88" s="1" t="b">
        <f>P84&lt;='e8.6'!P84</f>
        <v>1</v>
      </c>
      <c r="Q88" s="1" t="b">
        <f>Q84&lt;='e8.6'!Q84</f>
        <v>1</v>
      </c>
      <c r="R88" s="1" t="b">
        <f>R84&lt;='e8.6'!R84</f>
        <v>1</v>
      </c>
      <c r="S88" s="1" t="b">
        <f>S84&lt;='e8.6'!S84</f>
        <v>1</v>
      </c>
    </row>
    <row r="89" spans="1:19" x14ac:dyDescent="0.2">
      <c r="C89" s="1" t="b">
        <f>C84&lt;='e8.7'!C61</f>
        <v>1</v>
      </c>
      <c r="D89" s="1" t="b">
        <f>D84&lt;='e8.7'!D61</f>
        <v>1</v>
      </c>
      <c r="E89" s="1" t="b">
        <f>E84&lt;='e8.7'!E61</f>
        <v>1</v>
      </c>
      <c r="F89" s="1" t="b">
        <f>F84&lt;='e8.7'!F61</f>
        <v>1</v>
      </c>
      <c r="G89" s="1" t="b">
        <f>G84&lt;='e8.7'!G61</f>
        <v>1</v>
      </c>
      <c r="H89" s="1" t="b">
        <f>H84&lt;='e8.7'!H61</f>
        <v>1</v>
      </c>
      <c r="I89" s="1" t="b">
        <f>I84&lt;='e8.7'!I61</f>
        <v>1</v>
      </c>
      <c r="J89" s="1" t="b">
        <f>J84&lt;='e8.7'!J61</f>
        <v>1</v>
      </c>
      <c r="K89" s="1" t="b">
        <f>K84&lt;='e8.7'!K61</f>
        <v>1</v>
      </c>
      <c r="L89" s="1" t="b">
        <f>L84&lt;='e8.7'!L61</f>
        <v>1</v>
      </c>
      <c r="M89" s="1" t="b">
        <f>M84&lt;='e8.7'!M61</f>
        <v>1</v>
      </c>
      <c r="N89" s="1" t="b">
        <f>N84&lt;='e8.7'!N61</f>
        <v>1</v>
      </c>
      <c r="O89" s="1" t="b">
        <f>O84&lt;='e8.7'!O61</f>
        <v>1</v>
      </c>
      <c r="P89" s="1" t="b">
        <f>P84&lt;='e8.7'!P61</f>
        <v>1</v>
      </c>
      <c r="Q89" s="1" t="b">
        <f>Q84&lt;='e8.7'!Q61</f>
        <v>1</v>
      </c>
      <c r="R89" s="1" t="b">
        <f>R84&lt;='e8.7'!R61</f>
        <v>1</v>
      </c>
      <c r="S89" s="1" t="b">
        <f>S84&lt;='e8.7'!S61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5
</oddHeader>
    <oddFooter xml:space="preserve">&amp;L&amp;"Arial"&amp;10 Oliver Wyman Actuarial Consulting, Inc.
&amp;C&amp;"Arial"&amp;10 &amp;R&amp;"Arial"&amp;10 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0">
    <tabColor rgb="FF00B050"/>
    <pageSetUpPr fitToPage="1"/>
  </sheetPr>
  <dimension ref="A1:W89"/>
  <sheetViews>
    <sheetView topLeftCell="A31" zoomScale="85" zoomScaleNormal="85" workbookViewId="0">
      <selection activeCell="C85" sqref="C85"/>
    </sheetView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6</v>
      </c>
      <c r="C1" s="1" t="str">
        <f>VLOOKUP(A1, index_lkups, 2, FALSE)</f>
        <v>Paid 500K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Paid Loss &amp; ALAE Limited to $500,000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889820</v>
      </c>
      <c r="F13" s="424">
        <v>986168</v>
      </c>
      <c r="G13" s="424">
        <v>1097393.1399999999</v>
      </c>
      <c r="H13" s="424">
        <v>1152952.29</v>
      </c>
      <c r="I13" s="424">
        <v>1452154.28</v>
      </c>
      <c r="J13" s="424">
        <v>1522238.2800000005</v>
      </c>
      <c r="K13" s="424">
        <v>1518900.6300000004</v>
      </c>
      <c r="L13" s="424">
        <v>1526587.1600000001</v>
      </c>
      <c r="M13" s="424">
        <v>1522062.62</v>
      </c>
      <c r="N13" s="424">
        <v>1523263.05</v>
      </c>
      <c r="O13" s="424">
        <v>1536403.3700000003</v>
      </c>
      <c r="P13" s="481">
        <v>1542533.1800000004</v>
      </c>
      <c r="Q13" s="481">
        <v>1520628.7200000004</v>
      </c>
      <c r="R13" s="424">
        <v>1493025.0200000005</v>
      </c>
      <c r="S13" s="482">
        <f>$U13</f>
        <v>1493025.0200000005</v>
      </c>
      <c r="U13" s="107">
        <f>'e7'!O56</f>
        <v>1493025.0200000005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885706</v>
      </c>
      <c r="E14" s="90">
        <v>1174043</v>
      </c>
      <c r="F14" s="90">
        <v>1493567.14</v>
      </c>
      <c r="G14" s="90">
        <v>1914972.68</v>
      </c>
      <c r="H14" s="90">
        <v>2195707.2000000002</v>
      </c>
      <c r="I14" s="90">
        <v>2249527.9200000009</v>
      </c>
      <c r="J14" s="90">
        <v>2303249.8800000004</v>
      </c>
      <c r="K14" s="90">
        <v>2334159.1599999988</v>
      </c>
      <c r="L14" s="90">
        <v>2396697.4299999988</v>
      </c>
      <c r="M14" s="90">
        <v>2429567.0099999988</v>
      </c>
      <c r="N14" s="90">
        <v>2447437.2100000004</v>
      </c>
      <c r="O14" s="90">
        <v>2462487.6800000002</v>
      </c>
      <c r="P14" s="90">
        <v>2475166.6200000006</v>
      </c>
      <c r="Q14" s="90">
        <v>2591184.7000000002</v>
      </c>
      <c r="R14" s="107">
        <f>$U14</f>
        <v>2598610.1500000004</v>
      </c>
      <c r="S14" s="90"/>
      <c r="U14" s="107">
        <f>'e7'!O57</f>
        <v>2598610.1500000004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211399</v>
      </c>
      <c r="D15" s="90">
        <v>446575</v>
      </c>
      <c r="E15" s="90">
        <v>588433</v>
      </c>
      <c r="F15" s="90">
        <v>641498</v>
      </c>
      <c r="G15" s="90">
        <v>655143</v>
      </c>
      <c r="H15" s="90">
        <v>708243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'e7'!O58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334255</v>
      </c>
      <c r="D16" s="90">
        <v>1429503.55</v>
      </c>
      <c r="E16" s="90">
        <v>1740609.78</v>
      </c>
      <c r="F16" s="90">
        <v>1912979.62</v>
      </c>
      <c r="G16" s="90">
        <v>1946596.6900000013</v>
      </c>
      <c r="H16" s="90">
        <v>2046979.7100000014</v>
      </c>
      <c r="I16" s="90">
        <v>2093703.1300000018</v>
      </c>
      <c r="J16" s="90">
        <v>2228542.8200000012</v>
      </c>
      <c r="K16" s="90">
        <v>2229103.2700000014</v>
      </c>
      <c r="L16" s="90">
        <v>2229103.2700000014</v>
      </c>
      <c r="M16" s="90">
        <v>2229103.2700000014</v>
      </c>
      <c r="N16" s="90">
        <v>2229103.2700000005</v>
      </c>
      <c r="O16" s="90">
        <v>2229103.2700000005</v>
      </c>
      <c r="P16" s="107">
        <f>$U16</f>
        <v>2229103.2700000005</v>
      </c>
      <c r="Q16" s="90"/>
      <c r="R16" s="90"/>
      <c r="S16" s="90"/>
      <c r="U16" s="107">
        <f>'e7'!O59</f>
        <v>2229103.2700000005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347849.49</v>
      </c>
      <c r="D17" s="90">
        <v>758111.05</v>
      </c>
      <c r="E17" s="90">
        <v>1083953.47</v>
      </c>
      <c r="F17" s="90">
        <v>1099997.5399999998</v>
      </c>
      <c r="G17" s="90">
        <v>1100030.42</v>
      </c>
      <c r="H17" s="90">
        <v>1100030.4200000002</v>
      </c>
      <c r="I17" s="90">
        <v>1100030.42</v>
      </c>
      <c r="J17" s="90">
        <v>1100030.4200000002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'e7'!O60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222764.54</v>
      </c>
      <c r="D18" s="90">
        <v>469378.97</v>
      </c>
      <c r="E18" s="90">
        <v>628368.21999999986</v>
      </c>
      <c r="F18" s="90">
        <v>652011.89999999979</v>
      </c>
      <c r="G18" s="90">
        <v>658612.91</v>
      </c>
      <c r="H18" s="90">
        <v>741337.19999999984</v>
      </c>
      <c r="I18" s="90">
        <v>766269.99000000011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'e7'!O61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404401.32</v>
      </c>
      <c r="D19" s="90">
        <v>954257.30999999959</v>
      </c>
      <c r="E19" s="90">
        <v>1323186.3500000001</v>
      </c>
      <c r="F19" s="90">
        <v>1646089.0600000005</v>
      </c>
      <c r="G19" s="90">
        <v>1671916.8099999996</v>
      </c>
      <c r="H19" s="90">
        <v>1657050.4000000006</v>
      </c>
      <c r="I19" s="90">
        <v>1659733.5599999996</v>
      </c>
      <c r="J19" s="90">
        <v>1672575.0900000008</v>
      </c>
      <c r="K19" s="90">
        <v>1690795.9600000004</v>
      </c>
      <c r="L19" s="90">
        <v>1713135.0100000005</v>
      </c>
      <c r="M19" s="107">
        <f>$U19</f>
        <v>1764381.6700000004</v>
      </c>
      <c r="N19" s="90"/>
      <c r="O19" s="90"/>
      <c r="P19" s="90"/>
      <c r="Q19" s="90"/>
      <c r="R19" s="90"/>
      <c r="S19" s="90"/>
      <c r="U19" s="107">
        <f>'e7'!O62</f>
        <v>1764381.6700000004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357259.98999999987</v>
      </c>
      <c r="D20" s="90">
        <v>945944.79000000015</v>
      </c>
      <c r="E20" s="90">
        <v>1041213.3600000002</v>
      </c>
      <c r="F20" s="90">
        <v>1052451.29</v>
      </c>
      <c r="G20" s="90">
        <v>1084549.8400000001</v>
      </c>
      <c r="H20" s="90">
        <v>1104286.57</v>
      </c>
      <c r="I20" s="90">
        <v>1118367.83</v>
      </c>
      <c r="J20" s="90">
        <v>1135122.3100000003</v>
      </c>
      <c r="K20" s="90">
        <v>1182322.2200000002</v>
      </c>
      <c r="L20" s="107">
        <f>$U20</f>
        <v>1183179.1900000002</v>
      </c>
      <c r="M20" s="90"/>
      <c r="N20" s="90"/>
      <c r="O20" s="90"/>
      <c r="P20" s="90"/>
      <c r="Q20" s="90"/>
      <c r="R20" s="90"/>
      <c r="S20" s="90"/>
      <c r="U20" s="107">
        <f>'e7'!O63</f>
        <v>1183179.1900000002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272973.83</v>
      </c>
      <c r="D21" s="90">
        <v>806555.11999999988</v>
      </c>
      <c r="E21" s="90">
        <v>939406.48999999964</v>
      </c>
      <c r="F21" s="90">
        <v>1105440.2299999997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'e7'!O64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391086.17999999993</v>
      </c>
      <c r="D22" s="90">
        <v>1207128.9899999998</v>
      </c>
      <c r="E22" s="90">
        <v>1540096.9600000002</v>
      </c>
      <c r="F22" s="90">
        <v>1775707.1599999997</v>
      </c>
      <c r="G22" s="90">
        <v>1811450.4699999997</v>
      </c>
      <c r="H22" s="90">
        <v>1856160.4899999986</v>
      </c>
      <c r="I22" s="90">
        <v>1900189.83</v>
      </c>
      <c r="J22" s="107">
        <f>$U22</f>
        <v>1925803.2599999993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'e7'!O65</f>
        <v>1925803.2599999993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464901.17000000022</v>
      </c>
      <c r="D23" s="90">
        <v>1135597.2400000005</v>
      </c>
      <c r="E23" s="90">
        <v>1504435.2699999996</v>
      </c>
      <c r="F23" s="90">
        <v>1644964.8999999997</v>
      </c>
      <c r="G23" s="90">
        <v>1842763.0499999996</v>
      </c>
      <c r="H23" s="90">
        <v>2058441.4999999995</v>
      </c>
      <c r="I23" s="107">
        <f>$U23</f>
        <v>2061366.5999999999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'e7'!O66</f>
        <v>2061366.5999999999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592225.76000000059</v>
      </c>
      <c r="D24" s="90">
        <v>1525919.2300000014</v>
      </c>
      <c r="E24" s="90">
        <v>2102257.7600000007</v>
      </c>
      <c r="F24" s="90">
        <v>2267624.5499999998</v>
      </c>
      <c r="G24" s="90">
        <v>2342329.11</v>
      </c>
      <c r="H24" s="107">
        <f>$U24</f>
        <v>2342502.8100000005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'e7'!O67</f>
        <v>2342502.8100000005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729211.94999999984</v>
      </c>
      <c r="D25" s="90">
        <v>1897574.3599999996</v>
      </c>
      <c r="E25" s="90">
        <v>2581784.8799999994</v>
      </c>
      <c r="F25" s="90">
        <v>2759688.9699999993</v>
      </c>
      <c r="G25" s="107">
        <f>$U25</f>
        <v>2810502.1600000011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'e7'!O68</f>
        <v>2810502.1600000011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587820.25</v>
      </c>
      <c r="D26" s="90">
        <v>1903333.2600000009</v>
      </c>
      <c r="E26" s="90">
        <v>2246189.3800000018</v>
      </c>
      <c r="F26" s="107">
        <f>$U26</f>
        <v>2449912.0500000017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'e7'!O69</f>
        <v>2449912.0500000017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613311.33000000007</v>
      </c>
      <c r="D27" s="90">
        <v>2024291.8599999996</v>
      </c>
      <c r="E27" s="107">
        <f>$U27</f>
        <v>2258070.4400000018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'e7'!O70</f>
        <v>2258070.4400000018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2510372.1899999976</v>
      </c>
      <c r="D28" s="107">
        <f>$U28</f>
        <v>4199295.1499999976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'e7'!O71</f>
        <v>4199295.1499999976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619309.30000000005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'e7'!O72</f>
        <v>619309.30000000005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1.1082780787125486</v>
      </c>
      <c r="F34" s="109">
        <f t="shared" si="2"/>
        <v>1.1127851846744163</v>
      </c>
      <c r="G34" s="109">
        <f t="shared" si="2"/>
        <v>1.0506283008111388</v>
      </c>
      <c r="H34" s="109">
        <f t="shared" si="2"/>
        <v>1.2595094286165127</v>
      </c>
      <c r="I34" s="109">
        <f t="shared" si="2"/>
        <v>1.0482620896176407</v>
      </c>
      <c r="J34" s="109">
        <f t="shared" si="2"/>
        <v>0.99780740634114118</v>
      </c>
      <c r="K34" s="109">
        <f t="shared" si="2"/>
        <v>1.0050605878015864</v>
      </c>
      <c r="L34" s="109">
        <f t="shared" si="2"/>
        <v>0.99703617315895676</v>
      </c>
      <c r="M34" s="109">
        <f t="shared" si="2"/>
        <v>1.0007886863419588</v>
      </c>
      <c r="N34" s="109">
        <f t="shared" si="2"/>
        <v>1.0086264286394921</v>
      </c>
      <c r="O34" s="109">
        <f t="shared" si="2"/>
        <v>1.0039897139772611</v>
      </c>
      <c r="P34" s="109">
        <f t="shared" si="2"/>
        <v>0.98579968309012322</v>
      </c>
      <c r="Q34" s="109">
        <f t="shared" si="2"/>
        <v>0.98184717963238266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1.3255448196128286</v>
      </c>
      <c r="E35" s="109">
        <f t="shared" si="3"/>
        <v>1.2721571015712372</v>
      </c>
      <c r="F35" s="109">
        <f t="shared" si="3"/>
        <v>1.2821470349166895</v>
      </c>
      <c r="G35" s="109">
        <f t="shared" si="3"/>
        <v>1.1465997520131725</v>
      </c>
      <c r="H35" s="109">
        <f t="shared" si="3"/>
        <v>1.0245117928292082</v>
      </c>
      <c r="I35" s="109">
        <f t="shared" si="3"/>
        <v>1.0238814373106333</v>
      </c>
      <c r="J35" s="109">
        <f t="shared" si="3"/>
        <v>1.0134198552525262</v>
      </c>
      <c r="K35" s="109">
        <f t="shared" si="3"/>
        <v>1.0267926331124737</v>
      </c>
      <c r="L35" s="109">
        <f t="shared" si="3"/>
        <v>1.0137145304987456</v>
      </c>
      <c r="M35" s="109">
        <f t="shared" si="3"/>
        <v>1.0073553023754638</v>
      </c>
      <c r="N35" s="109">
        <f t="shared" si="3"/>
        <v>1.0061494815632062</v>
      </c>
      <c r="O35" s="109">
        <f t="shared" si="3"/>
        <v>1.0051488338816787</v>
      </c>
      <c r="P35" s="109">
        <f t="shared" si="3"/>
        <v>1.0468728363830309</v>
      </c>
      <c r="Q35" s="109">
        <f t="shared" si="3"/>
        <v>1.002865658322234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2.1124745150166273</v>
      </c>
      <c r="D36" s="109">
        <f t="shared" si="3"/>
        <v>1.3176577282651289</v>
      </c>
      <c r="E36" s="109">
        <f t="shared" si="3"/>
        <v>1.0901801904379937</v>
      </c>
      <c r="F36" s="109">
        <f t="shared" si="3"/>
        <v>1.0212705261746724</v>
      </c>
      <c r="G36" s="109">
        <f t="shared" si="3"/>
        <v>1.081051007184691</v>
      </c>
      <c r="H36" s="109">
        <f t="shared" si="3"/>
        <v>0.98797285677373492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4.2766856142765253</v>
      </c>
      <c r="D37" s="109">
        <f t="shared" si="3"/>
        <v>1.2176323591501399</v>
      </c>
      <c r="E37" s="109">
        <f t="shared" si="3"/>
        <v>1.0990284220969964</v>
      </c>
      <c r="F37" s="109">
        <f t="shared" si="3"/>
        <v>1.017573145917781</v>
      </c>
      <c r="G37" s="109">
        <f t="shared" si="3"/>
        <v>1.0515684735906954</v>
      </c>
      <c r="H37" s="109">
        <f t="shared" si="3"/>
        <v>1.0228255413435439</v>
      </c>
      <c r="I37" s="109">
        <f t="shared" si="3"/>
        <v>1.0644024876630906</v>
      </c>
      <c r="J37" s="109">
        <f t="shared" si="3"/>
        <v>1.0002514872027455</v>
      </c>
      <c r="K37" s="109">
        <f t="shared" si="3"/>
        <v>1</v>
      </c>
      <c r="L37" s="109">
        <f t="shared" si="3"/>
        <v>1</v>
      </c>
      <c r="M37" s="109">
        <f t="shared" si="3"/>
        <v>0.99999999999999956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2.1794226290226848</v>
      </c>
      <c r="D38" s="109">
        <f t="shared" si="3"/>
        <v>1.4298082978740383</v>
      </c>
      <c r="E38" s="109">
        <f t="shared" si="3"/>
        <v>1.0148014379251904</v>
      </c>
      <c r="F38" s="109">
        <f t="shared" si="3"/>
        <v>1.0000298909759382</v>
      </c>
      <c r="G38" s="109">
        <f t="shared" si="3"/>
        <v>1.0000000000000002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0.99967273632305531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2.1070632246945586</v>
      </c>
      <c r="D39" s="109">
        <f t="shared" si="3"/>
        <v>1.3387225678219028</v>
      </c>
      <c r="E39" s="109">
        <f t="shared" si="3"/>
        <v>1.0376271097860423</v>
      </c>
      <c r="F39" s="109">
        <f t="shared" si="3"/>
        <v>1.010124063686568</v>
      </c>
      <c r="G39" s="109">
        <f t="shared" si="3"/>
        <v>1.1256038087683398</v>
      </c>
      <c r="H39" s="109">
        <f t="shared" si="3"/>
        <v>1.0336321851918402</v>
      </c>
      <c r="I39" s="109">
        <f t="shared" si="3"/>
        <v>0.99999999999999956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2.3596790188518662</v>
      </c>
      <c r="D40" s="109">
        <f t="shared" si="3"/>
        <v>1.3866137949731825</v>
      </c>
      <c r="E40" s="109">
        <f t="shared" si="3"/>
        <v>1.2440341906489591</v>
      </c>
      <c r="F40" s="109">
        <f t="shared" si="3"/>
        <v>1.0156903721843573</v>
      </c>
      <c r="G40" s="109">
        <f t="shared" si="3"/>
        <v>0.99110816404794744</v>
      </c>
      <c r="H40" s="109">
        <f t="shared" si="3"/>
        <v>1.0016192386182092</v>
      </c>
      <c r="I40" s="109">
        <f t="shared" si="3"/>
        <v>1.0077371032974722</v>
      </c>
      <c r="J40" s="109">
        <f t="shared" si="3"/>
        <v>1.0108939025272698</v>
      </c>
      <c r="K40" s="109">
        <f t="shared" si="3"/>
        <v>1.0132121500929065</v>
      </c>
      <c r="L40" s="109">
        <f t="shared" si="3"/>
        <v>1.0299139645742224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2.647777015276747</v>
      </c>
      <c r="D41" s="109">
        <f t="shared" si="3"/>
        <v>1.1007126113565253</v>
      </c>
      <c r="E41" s="109">
        <f t="shared" si="3"/>
        <v>1.0107931096850311</v>
      </c>
      <c r="F41" s="109">
        <f t="shared" si="3"/>
        <v>1.0304988461746292</v>
      </c>
      <c r="G41" s="109">
        <f t="shared" si="3"/>
        <v>1.0181980848385908</v>
      </c>
      <c r="H41" s="109">
        <f t="shared" si="3"/>
        <v>1.0127514545431808</v>
      </c>
      <c r="I41" s="109">
        <f t="shared" si="3"/>
        <v>1.0149811891495486</v>
      </c>
      <c r="J41" s="109">
        <f t="shared" si="3"/>
        <v>1.0415813428951104</v>
      </c>
      <c r="K41" s="109">
        <f t="shared" si="3"/>
        <v>1.0007248193305545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2.9546975986672415</v>
      </c>
      <c r="D42" s="109">
        <f t="shared" si="3"/>
        <v>1.1647145578841527</v>
      </c>
      <c r="E42" s="109">
        <f t="shared" si="3"/>
        <v>1.1767432328469438</v>
      </c>
      <c r="F42" s="109">
        <f t="shared" si="3"/>
        <v>1.0954664097940419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3.0866061030333518</v>
      </c>
      <c r="D43" s="109">
        <f t="shared" si="3"/>
        <v>1.2758346231085052</v>
      </c>
      <c r="E43" s="109">
        <f t="shared" si="3"/>
        <v>1.1529840043317789</v>
      </c>
      <c r="F43" s="109">
        <f t="shared" si="3"/>
        <v>1.0201290566401726</v>
      </c>
      <c r="G43" s="109">
        <f t="shared" si="3"/>
        <v>1.0246818893149194</v>
      </c>
      <c r="H43" s="109">
        <f t="shared" si="3"/>
        <v>1.0237206535949925</v>
      </c>
      <c r="I43" s="109">
        <f t="shared" si="3"/>
        <v>1.0134794058970409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2.4426637601277705</v>
      </c>
      <c r="D44" s="109">
        <f t="shared" si="3"/>
        <v>1.3247965185262329</v>
      </c>
      <c r="E44" s="109">
        <f t="shared" si="3"/>
        <v>1.0934102203014691</v>
      </c>
      <c r="F44" s="109">
        <f t="shared" si="3"/>
        <v>1.1202446021796575</v>
      </c>
      <c r="G44" s="109">
        <f t="shared" si="3"/>
        <v>1.1170407937146341</v>
      </c>
      <c r="H44" s="109">
        <f t="shared" si="3"/>
        <v>1.0014210265387675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2.5765836832224251</v>
      </c>
      <c r="D45" s="109">
        <f t="shared" si="3"/>
        <v>1.3776992377243971</v>
      </c>
      <c r="E45" s="109">
        <f t="shared" si="3"/>
        <v>1.0786615196035709</v>
      </c>
      <c r="F45" s="109">
        <f t="shared" si="3"/>
        <v>1.0329439721403617</v>
      </c>
      <c r="G45" s="109">
        <f t="shared" si="3"/>
        <v>1.0000741569573888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2.6022260880392869</v>
      </c>
      <c r="D46" s="109">
        <f t="shared" si="3"/>
        <v>1.3605711240744209</v>
      </c>
      <c r="E46" s="109">
        <f t="shared" si="3"/>
        <v>1.0689074025408345</v>
      </c>
      <c r="F46" s="109">
        <f t="shared" si="3"/>
        <v>1.0184126510459626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3.2379511593892878</v>
      </c>
      <c r="D47" s="109">
        <f t="shared" si="3"/>
        <v>1.1801345708633288</v>
      </c>
      <c r="E47" s="109">
        <f t="shared" si="3"/>
        <v>1.0906970141582628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3.3005942675149984</v>
      </c>
      <c r="D48" s="109">
        <f t="shared" si="3"/>
        <v>1.1154865978663779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1.672777911868121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2.7603403597794904</v>
      </c>
      <c r="D52" s="109">
        <f>[1]!avg(D34:D49, , FALSE, TRUE, )</f>
        <v>1.2923417547103679</v>
      </c>
      <c r="E52" s="109">
        <f>[1]!avg(E34:E49, , FALSE, TRUE, )</f>
        <v>1.1113543092683535</v>
      </c>
      <c r="F52" s="109">
        <f>[1]!avg(F34:F49, , FALSE, TRUE, )</f>
        <v>1.0632419254549406</v>
      </c>
      <c r="G52" s="109">
        <f>[1]!avg(G34:G49, , FALSE, TRUE, )</f>
        <v>1.055224285651136</v>
      </c>
      <c r="H52" s="109">
        <f>[1]!avg(H34:H49, , FALSE, TRUE, )</f>
        <v>1.0367077813501189</v>
      </c>
      <c r="I52" s="109">
        <f>[1]!avg(I34:I49, , FALSE, TRUE, )</f>
        <v>1.0176960341153762</v>
      </c>
      <c r="J52" s="109">
        <f>[1]!avg(J34:J49, , FALSE, TRUE, )</f>
        <v>1.0079533413177313</v>
      </c>
      <c r="K52" s="109">
        <f>[1]!avg(K34:K49, , FALSE, TRUE, )</f>
        <v>1.0064379101438523</v>
      </c>
      <c r="L52" s="109">
        <f>[1]!avg(L34:L49, , FALSE, TRUE, )</f>
        <v>1.0018191828075078</v>
      </c>
      <c r="M52" s="109">
        <f>[1]!avg(M34:M49, , FALSE, TRUE, )</f>
        <v>1.0016287977434846</v>
      </c>
      <c r="N52" s="109">
        <f>[1]!avg(N34:N49, , FALSE, TRUE, )</f>
        <v>1.0036939775506746</v>
      </c>
      <c r="O52" s="109">
        <f>[1]!avg(O34:O49, , FALSE, TRUE, )</f>
        <v>1.0030461826196466</v>
      </c>
      <c r="P52" s="109">
        <f>[1]!avg(P34:P49, , FALSE, TRUE, )</f>
        <v>1.016336259736577</v>
      </c>
      <c r="Q52" s="109">
        <f>[1]!avg(Q34:Q49, , FALSE, TRUE, )</f>
        <v>0.98184717963238266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FALSE,1, TRUE)</f>
        <v>2.8039214069267286</v>
      </c>
      <c r="D53" s="109">
        <f>[1]!DAvg(D$13:D$29, E$13:E$29, , FALSE,1, TRUE)</f>
        <v>1.2873807845179648</v>
      </c>
      <c r="E53" s="109">
        <f>[1]!DAvg(E$13:E$29, F$13:F$29, , FALSE,1, TRUE)</f>
        <v>1.1109011105933453</v>
      </c>
      <c r="F53" s="109">
        <f>[1]!DAvg(F$13:F$29, G$13:G$29, , FALSE,1, TRUE)</f>
        <v>1.0650079190131052</v>
      </c>
      <c r="G53" s="109">
        <f>[1]!DAvg(G$13:G$29, H$13:H$29, , FALSE,1, TRUE)</f>
        <v>1.0559512049618867</v>
      </c>
      <c r="H53" s="109">
        <f>[1]!DAvg(H$13:H$29, I$13:I$29, , FALSE,1, TRUE)</f>
        <v>1.0346719119752623</v>
      </c>
      <c r="I53" s="109">
        <f>[1]!DAvg(I$13:I$29, J$13:J$29, , FALSE,1, TRUE)</f>
        <v>1.0233350073497887</v>
      </c>
      <c r="J53" s="109">
        <f>[1]!DAvg(J$13:J$29, K$13:K$29, , FALSE,1, TRUE)</f>
        <v>1.0081549587831726</v>
      </c>
      <c r="K53" s="109">
        <f>[1]!DAvg(K$13:K$29, L$13:L$29, , FALSE,1, TRUE)</f>
        <v>1.0089532076419039</v>
      </c>
      <c r="L53" s="109">
        <f>[1]!DAvg(L$13:L$29, M$13:M$29, , FALSE,1, TRUE)</f>
        <v>1.0032644983433359</v>
      </c>
      <c r="M53" s="109">
        <f>[1]!DAvg(M$13:M$29, N$13:N$29, , FALSE,1, TRUE)</f>
        <v>1.0023897304252711</v>
      </c>
      <c r="N53" s="109">
        <f>[1]!DAvg(N$13:N$29, O$13:O$29, , FALSE,1, TRUE)</f>
        <v>1.0040858328878683</v>
      </c>
      <c r="O53" s="109">
        <f>[1]!DAvg(O$13:O$29, P$13:P$29, , FALSE,1, TRUE)</f>
        <v>1.004002942547717</v>
      </c>
      <c r="P53" s="109">
        <f>[1]!DAvg(P$13:P$29, Q$13:Q$29, , FALSE,1, TRUE)</f>
        <v>1.0234247516452075</v>
      </c>
      <c r="Q53" s="109">
        <f>[1]!DAvg(Q$13:Q$29, R$13:R$29, , FALSE,1, TRUE)</f>
        <v>0.98184717963238266</v>
      </c>
      <c r="R53" s="109" t="str">
        <f>[1]!DAvg(R$13:R$29, S$13:S$29, , FALSE,1, TRUE)</f>
        <v/>
      </c>
      <c r="S53" s="109" t="str">
        <f>[1]!DAvg(S$13:S$29, T$13:T$29, , FALSE,1, TRUE)</f>
        <v/>
      </c>
    </row>
    <row r="54" spans="1:19" x14ac:dyDescent="0.2">
      <c r="A54" s="3" t="s">
        <v>102</v>
      </c>
      <c r="C54" s="109">
        <f>[1]!DAvg(C$13:C$29, D$13:D$29, 4, FALSE, 1, TRUE)</f>
        <v>2.9141394605656199</v>
      </c>
      <c r="D54" s="109">
        <f>[1]!DAvg(D$13:D$29, E$13:E$29, 4, FALSE, 1, TRUE)</f>
        <v>1.3051862849811824</v>
      </c>
      <c r="E54" s="109">
        <f>[1]!DAvg(E$13:E$29, F$13:F$29, 4, FALSE, 1, TRUE)</f>
        <v>1.0930845236154121</v>
      </c>
      <c r="F54" s="109">
        <f>[1]!DAvg(F$13:F$29, G$13:G$29, 4, FALSE, 1, TRUE)</f>
        <v>1.0609058666452553</v>
      </c>
      <c r="G54" s="109">
        <f>[1]!DAvg(G$13:G$29, H$13:H$29, 4, FALSE, 1, TRUE)</f>
        <v>1.0472828155736658</v>
      </c>
      <c r="H54" s="109">
        <f>[1]!DAvg(H$13:H$29, I$13:I$29, 4, FALSE, 1, TRUE)</f>
        <v>1.0105395178296319</v>
      </c>
      <c r="I54" s="109">
        <f>[1]!DAvg(I$13:I$29, J$13:J$29, 4, FALSE, 1, TRUE)</f>
        <v>1.0062213255055876</v>
      </c>
      <c r="J54" s="109">
        <f>[1]!DAvg(J$13:J$29, K$13:K$29, 4, FALSE, 1, TRUE)</f>
        <v>1.0139197283877202</v>
      </c>
      <c r="K54" s="109">
        <f>[1]!DAvg(K$13:K$29, L$13:L$29, 4, FALSE, 1, TRUE)</f>
        <v>1.0038609867175647</v>
      </c>
      <c r="L54" s="109">
        <f>[1]!DAvg(L$13:L$29, M$13:M$29, 4, FALSE, 1, TRUE)</f>
        <v>1.0000239907305306</v>
      </c>
      <c r="M54" s="109">
        <f>[1]!DAvg(M$13:M$29, N$13:N$29, 4, FALSE, 1, TRUE)</f>
        <v>1.0027670641523514</v>
      </c>
      <c r="N54" s="109">
        <f>[1]!DAvg(N$13:N$29, O$13:O$29, 4, FALSE, 1, TRUE)</f>
        <v>1.0040858328878683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3.0177009374077568</v>
      </c>
      <c r="D55" s="109">
        <f>[1]!DAvg(D$13:D$29, E$13:E$29, 3, FALSE, 1, TRUE)</f>
        <v>1.3010056859648067</v>
      </c>
      <c r="E55" s="109">
        <f>[1]!DAvg(E$13:E$29, F$13:F$29, 3, FALSE, 1, TRUE)</f>
        <v>1.078177625748364</v>
      </c>
      <c r="F55" s="109">
        <f>[1]!DAvg(F$13:F$29, G$13:G$29, 3, FALSE, 1, TRUE)</f>
        <v>1.0541895124558212</v>
      </c>
      <c r="G55" s="109">
        <f>[1]!DAvg(G$13:G$29, H$13:H$29, 3, FALSE, 1, TRUE)</f>
        <v>1.0537663989408372</v>
      </c>
      <c r="H55" s="109">
        <f>[1]!DAvg(H$13:H$29, I$13:I$29, 3, FALSE, 1, TRUE)</f>
        <v>1.0140819853350613</v>
      </c>
      <c r="I55" s="109">
        <f>[1]!DAvg(I$13:I$29, J$13:J$29, 3, FALSE, 1, TRUE)</f>
        <v>1.007415841651639</v>
      </c>
      <c r="J55" s="109">
        <f>[1]!DAvg(J$13:J$29, K$13:K$29, 3, FALSE, 1, TRUE)</f>
        <v>1.0183048060771474</v>
      </c>
      <c r="K55" s="109">
        <f>[1]!DAvg(K$13:K$29, L$13:L$29, 3, FALSE, 1, TRUE)</f>
        <v>1.0062807719426223</v>
      </c>
      <c r="L55" s="109">
        <f>[1]!DAvg(L$13:L$29, M$13:M$29, 3, FALSE, 1, TRUE)</f>
        <v>0.99999999999999989</v>
      </c>
      <c r="M55" s="109">
        <f>[1]!DAvg(M$13:M$29, N$13:N$29, 3, FALSE, 1, TRUE)</f>
        <v>0.99999999999999978</v>
      </c>
      <c r="N55" s="109">
        <f>[1]!DAvg(N$13:N$29, O$13:O$29, 3, FALSE, 1, TRUE)</f>
        <v>1.0027993685275656</v>
      </c>
      <c r="O55" s="109">
        <f>[1]!DAvg(O$13:O$29, P$13:P$29, 3, FALSE, 1, TRUE)</f>
        <v>1.004002942547717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2.1315053645725697</v>
      </c>
      <c r="D57" s="109">
        <f t="shared" ref="D57:S57" si="5">IF(ISBLANK(E73), D73, D73/E73)</f>
        <v>1.2703545422712268</v>
      </c>
      <c r="E57" s="109">
        <f t="shared" si="5"/>
        <v>1.1242612993995216</v>
      </c>
      <c r="F57" s="109">
        <f t="shared" si="5"/>
        <v>1.0697113963067697</v>
      </c>
      <c r="G57" s="109">
        <f t="shared" si="5"/>
        <v>1.0432855149795952</v>
      </c>
      <c r="H57" s="109">
        <f t="shared" si="5"/>
        <v>1.0296011688324289</v>
      </c>
      <c r="I57" s="109">
        <f t="shared" si="5"/>
        <v>1.0216616798075162</v>
      </c>
      <c r="J57" s="109">
        <f t="shared" si="5"/>
        <v>1.0167229719008239</v>
      </c>
      <c r="K57" s="109">
        <f t="shared" si="5"/>
        <v>1.0132672482506222</v>
      </c>
      <c r="L57" s="109">
        <f t="shared" si="5"/>
        <v>1.0111380491689059</v>
      </c>
      <c r="M57" s="109">
        <f t="shared" si="5"/>
        <v>1.009229066170497</v>
      </c>
      <c r="N57" s="109">
        <f t="shared" si="5"/>
        <v>1.0083172037879413</v>
      </c>
      <c r="O57" s="109">
        <f t="shared" si="5"/>
        <v>1.0073850537301554</v>
      </c>
      <c r="P57" s="109">
        <f t="shared" si="5"/>
        <v>1.0066614691655218</v>
      </c>
      <c r="Q57" s="109">
        <f t="shared" si="5"/>
        <v>1.0058944895276756</v>
      </c>
      <c r="R57" s="109">
        <f t="shared" si="5"/>
        <v>1.0052138728788758</v>
      </c>
      <c r="S57" s="109">
        <f t="shared" si="5"/>
        <v>1.0581708293487313</v>
      </c>
    </row>
    <row r="58" spans="1:19" x14ac:dyDescent="0.2">
      <c r="A58" s="3" t="s">
        <v>18</v>
      </c>
      <c r="C58" s="109">
        <f>IF(ISBLANK(D74), C74, C74/D74)</f>
        <v>2.7299999999999995</v>
      </c>
      <c r="D58" s="109">
        <f t="shared" ref="D58:S58" si="6">IF(ISBLANK(E74), D74, D74/E74)</f>
        <v>1.3573929848640458</v>
      </c>
      <c r="E58" s="109">
        <f t="shared" si="6"/>
        <v>1.1101283087933926</v>
      </c>
      <c r="F58" s="109">
        <f t="shared" si="6"/>
        <v>1.0665354825981921</v>
      </c>
      <c r="G58" s="109">
        <f t="shared" si="6"/>
        <v>1.0380000000000007</v>
      </c>
      <c r="H58" s="109">
        <f t="shared" si="6"/>
        <v>1.0289879227070124</v>
      </c>
      <c r="I58" s="109">
        <f t="shared" si="6"/>
        <v>1.0215808003402238</v>
      </c>
      <c r="J58" s="109">
        <f t="shared" si="6"/>
        <v>1.016634008756234</v>
      </c>
      <c r="K58" s="109">
        <f t="shared" si="6"/>
        <v>1.0136575177581018</v>
      </c>
      <c r="L58" s="109">
        <f t="shared" si="6"/>
        <v>1.0118419347434684</v>
      </c>
      <c r="M58" s="109">
        <f t="shared" si="6"/>
        <v>1.0098567896214254</v>
      </c>
      <c r="N58" s="109">
        <f t="shared" si="6"/>
        <v>1.0088434313460428</v>
      </c>
      <c r="O58" s="109">
        <f t="shared" si="6"/>
        <v>1.0080735239264971</v>
      </c>
      <c r="P58" s="109">
        <f t="shared" si="6"/>
        <v>1.0071830289192356</v>
      </c>
      <c r="Q58" s="109">
        <f t="shared" si="6"/>
        <v>1.0062355006753201</v>
      </c>
      <c r="R58" s="109">
        <f t="shared" si="6"/>
        <v>1.0054741420098812</v>
      </c>
      <c r="S58" s="109">
        <f t="shared" si="6"/>
        <v>1.040159108374157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2.7299999999999995</v>
      </c>
      <c r="D61" s="109">
        <f t="shared" ref="D61:S61" si="8">D58</f>
        <v>1.3573929848640458</v>
      </c>
      <c r="E61" s="109">
        <f t="shared" si="8"/>
        <v>1.1101283087933926</v>
      </c>
      <c r="F61" s="109">
        <f t="shared" si="8"/>
        <v>1.0665354825981921</v>
      </c>
      <c r="G61" s="109">
        <f t="shared" si="8"/>
        <v>1.0380000000000007</v>
      </c>
      <c r="H61" s="109">
        <f t="shared" si="8"/>
        <v>1.0289879227070124</v>
      </c>
      <c r="I61" s="109">
        <f t="shared" si="8"/>
        <v>1.0215808003402238</v>
      </c>
      <c r="J61" s="109">
        <f t="shared" si="8"/>
        <v>1.016634008756234</v>
      </c>
      <c r="K61" s="109">
        <f t="shared" si="8"/>
        <v>1.0136575177581018</v>
      </c>
      <c r="L61" s="109">
        <f t="shared" si="8"/>
        <v>1.0118419347434684</v>
      </c>
      <c r="M61" s="109">
        <f t="shared" si="8"/>
        <v>1.0098567896214254</v>
      </c>
      <c r="N61" s="109">
        <f t="shared" si="8"/>
        <v>1.0088434313460428</v>
      </c>
      <c r="O61" s="109">
        <f t="shared" si="8"/>
        <v>1.0080735239264971</v>
      </c>
      <c r="P61" s="109">
        <f t="shared" si="8"/>
        <v>1.0071830289192356</v>
      </c>
      <c r="Q61" s="109">
        <f t="shared" si="8"/>
        <v>1.0062355006753201</v>
      </c>
      <c r="R61" s="109">
        <f t="shared" si="8"/>
        <v>1.0054741420098812</v>
      </c>
      <c r="S61" s="109">
        <f t="shared" si="8"/>
        <v>1.040159108374157</v>
      </c>
    </row>
    <row r="62" spans="1:19" x14ac:dyDescent="0.2">
      <c r="A62" s="3" t="s">
        <v>107</v>
      </c>
      <c r="C62" s="109">
        <f>PRODUCT(C61:$S$61)</f>
        <v>5.434006164055269</v>
      </c>
      <c r="D62" s="109">
        <f>PRODUCT(D61:$S$61)</f>
        <v>1.9904784483718934</v>
      </c>
      <c r="E62" s="109">
        <f>PRODUCT(E61:$S$61)</f>
        <v>1.4663980664164522</v>
      </c>
      <c r="F62" s="109">
        <f>PRODUCT(F61:$S$61)</f>
        <v>1.3209266485693822</v>
      </c>
      <c r="G62" s="109">
        <f>PRODUCT(G61:$S$61)</f>
        <v>1.2385210526249602</v>
      </c>
      <c r="H62" s="109">
        <f>PRODUCT(H61:$S$61)</f>
        <v>1.193180204841001</v>
      </c>
      <c r="I62" s="109">
        <f>PRODUCT(I61:$S$61)</f>
        <v>1.1595667728558359</v>
      </c>
      <c r="J62" s="109">
        <f>PRODUCT(J61:$S$61)</f>
        <v>1.1350710315519414</v>
      </c>
      <c r="K62" s="109">
        <f>PRODUCT(K61:$S$61)</f>
        <v>1.1164991745068662</v>
      </c>
      <c r="L62" s="109">
        <f>PRODUCT(L61:$S$61)</f>
        <v>1.101456019362653</v>
      </c>
      <c r="M62" s="109">
        <f>PRODUCT(M61:$S$61)</f>
        <v>1.0885653001146909</v>
      </c>
      <c r="N62" s="109">
        <f>PRODUCT(N61:$S$61)</f>
        <v>1.0779402696522655</v>
      </c>
      <c r="O62" s="109">
        <f>PRODUCT(O61:$S$61)</f>
        <v>1.0684911415976914</v>
      </c>
      <c r="P62" s="109">
        <f>PRODUCT(P61:$S$61)</f>
        <v>1.0599337411777912</v>
      </c>
      <c r="Q62" s="109">
        <f>PRODUCT(Q61:$S$61)</f>
        <v>1.0523745046768311</v>
      </c>
      <c r="R62" s="109">
        <f>PRODUCT(R61:$S$61)</f>
        <v>1.0458530870462686</v>
      </c>
      <c r="S62" s="109">
        <f>PRODUCT(S61:$S$61)</f>
        <v>1.040159108374157</v>
      </c>
    </row>
    <row r="63" spans="1:19" ht="12" customHeight="1" x14ac:dyDescent="0.2"/>
    <row r="64" spans="1:19" ht="12" customHeight="1" x14ac:dyDescent="0.2"/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4.1104959612138421</v>
      </c>
      <c r="D73" s="118">
        <f t="shared" si="10"/>
        <v>1.9284473919389449</v>
      </c>
      <c r="E73" s="118">
        <f t="shared" si="10"/>
        <v>1.5180387268038849</v>
      </c>
      <c r="F73" s="118">
        <f t="shared" si="10"/>
        <v>1.3502543649013654</v>
      </c>
      <c r="G73" s="118">
        <f t="shared" si="10"/>
        <v>1.2622604279651353</v>
      </c>
      <c r="H73" s="118">
        <f t="shared" si="10"/>
        <v>1.2098897280192975</v>
      </c>
      <c r="I73" s="118">
        <f t="shared" si="10"/>
        <v>1.1751052394310277</v>
      </c>
      <c r="J73" s="118">
        <f t="shared" si="10"/>
        <v>1.1501901878637757</v>
      </c>
      <c r="K73" s="118">
        <f t="shared" si="10"/>
        <v>1.1312719586864717</v>
      </c>
      <c r="L73" s="118">
        <f t="shared" si="10"/>
        <v>1.1164596118542085</v>
      </c>
      <c r="M73" s="118">
        <f t="shared" si="10"/>
        <v>1.1041614078036828</v>
      </c>
      <c r="N73" s="118">
        <f t="shared" si="10"/>
        <v>1.094064216752501</v>
      </c>
      <c r="O73" s="118">
        <f t="shared" si="10"/>
        <v>1.0850397202809139</v>
      </c>
      <c r="P73" s="118">
        <f t="shared" si="10"/>
        <v>1.0770853868272297</v>
      </c>
      <c r="Q73" s="118">
        <f t="shared" si="10"/>
        <v>1.0699578952992868</v>
      </c>
      <c r="R73" s="118">
        <f t="shared" si="10"/>
        <v>1.0636879975370901</v>
      </c>
      <c r="S73" s="118">
        <f t="shared" si="10"/>
        <v>1.0581708293487313</v>
      </c>
      <c r="U73" s="3">
        <f>MATCH($C$1, 'Industry LDF'!$A$5:$M$5, 0)</f>
        <v>10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5.434006164055269</v>
      </c>
      <c r="D74" s="111">
        <f>[1]!ldfsir(prldfs, prldf_ages, prldf_type, prldf_ret, D$72, $U$75, $U$74, prldf_cutoff, 3)</f>
        <v>1.9904784483718938</v>
      </c>
      <c r="E74" s="111">
        <f>[1]!ldfsir(prldfs, prldf_ages, prldf_type, prldf_ret, E$72, $U$75, $U$74, prldf_cutoff, 3)</f>
        <v>1.4663980664164524</v>
      </c>
      <c r="F74" s="111">
        <f>[1]!ldfsir(prldfs, prldf_ages, prldf_type, prldf_ret, F$72, $U$75, $U$74, prldf_cutoff, 3)</f>
        <v>1.3209266485693822</v>
      </c>
      <c r="G74" s="111">
        <f>[1]!ldfsir(prldfs, prldf_ages, prldf_type, prldf_ret, G$72, $U$75, $U$74, prldf_cutoff, 3)</f>
        <v>1.2385210526249597</v>
      </c>
      <c r="H74" s="111">
        <f>[1]!ldfsir(prldfs, prldf_ages, prldf_type, prldf_ret, H$72, $U$75, $U$74, prldf_cutoff, 3)</f>
        <v>1.193180204841001</v>
      </c>
      <c r="I74" s="111">
        <f>[1]!ldfsir(prldfs, prldf_ages, prldf_type, prldf_ret, I$72, $U$75, $U$74, prldf_cutoff, 3)</f>
        <v>1.1595667728558361</v>
      </c>
      <c r="J74" s="111">
        <f>[1]!ldfsir(prldfs, prldf_ages, prldf_type, prldf_ret, J$72, $U$75, $U$74, prldf_cutoff, 3)</f>
        <v>1.1350710315519417</v>
      </c>
      <c r="K74" s="111">
        <f>[1]!ldfsir(prldfs, prldf_ages, prldf_type, prldf_ret, K$72, $U$75, $U$74, prldf_cutoff, 3)</f>
        <v>1.1164991745068664</v>
      </c>
      <c r="L74" s="111">
        <f>[1]!ldfsir(prldfs, prldf_ages, prldf_type, prldf_ret, L$72, $U$75, $U$74, prldf_cutoff, 3)</f>
        <v>1.1014560193626528</v>
      </c>
      <c r="M74" s="111">
        <f>[1]!ldfsir(prldfs, prldf_ages, prldf_type, prldf_ret, M$72, $U$75, $U$74, prldf_cutoff, 3)</f>
        <v>1.0885653001146907</v>
      </c>
      <c r="N74" s="111">
        <f>[1]!ldfsir(prldfs, prldf_ages, prldf_type, prldf_ret, N$72, $U$75, $U$74, prldf_cutoff, 3)</f>
        <v>1.0779402696522657</v>
      </c>
      <c r="O74" s="111">
        <f>[1]!ldfsir(prldfs, prldf_ages, prldf_type, prldf_ret, O$72, $U$75, $U$74, prldf_cutoff, 3)</f>
        <v>1.0684911415976917</v>
      </c>
      <c r="P74" s="111">
        <f>[1]!ldfsir(prldfs, prldf_ages, prldf_type, prldf_ret, P$72, $U$75, $U$74, prldf_cutoff, 3)</f>
        <v>1.0599337411777912</v>
      </c>
      <c r="Q74" s="111">
        <f>[1]!ldfsir(prldfs, prldf_ages, prldf_type, prldf_ret, Q$72, $U$75, $U$74, prldf_cutoff, 3)</f>
        <v>1.0523745046768311</v>
      </c>
      <c r="R74" s="111">
        <f>[1]!ldfsir(prldfs, prldf_ages, prldf_type, prldf_ret, R$72, $U$75, $U$74, prldf_cutoff, 3)</f>
        <v>1.0458530870462686</v>
      </c>
      <c r="S74" s="111">
        <f>[1]!ldfsir(prldfs, prldf_ages, prldf_type, prldf_ret, S$72, $U$75, $U$74, prldf_cutoff, 3)</f>
        <v>1.040159108374157</v>
      </c>
      <c r="U74" s="105">
        <v>500000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75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1</v>
      </c>
    </row>
    <row r="79" spans="1:21" x14ac:dyDescent="0.2">
      <c r="A79" s="3" t="s">
        <v>174</v>
      </c>
      <c r="C79" s="1" t="b">
        <f>C61&gt;='e8.5'!C61</f>
        <v>1</v>
      </c>
      <c r="D79" s="1" t="b">
        <f>D61&gt;='e8.5'!D61</f>
        <v>1</v>
      </c>
      <c r="E79" s="1" t="b">
        <f>E61&gt;='e8.5'!E61</f>
        <v>1</v>
      </c>
      <c r="F79" s="1" t="b">
        <f>F61&gt;='e8.5'!F61</f>
        <v>1</v>
      </c>
      <c r="G79" s="1" t="b">
        <f>G61&gt;='e8.5'!G61</f>
        <v>1</v>
      </c>
      <c r="H79" s="1" t="b">
        <f>H61&gt;='e8.5'!H61</f>
        <v>1</v>
      </c>
      <c r="I79" s="1" t="b">
        <f>I61&gt;='e8.5'!I61</f>
        <v>1</v>
      </c>
      <c r="J79" s="1" t="b">
        <f>J61&gt;='e8.5'!J61</f>
        <v>1</v>
      </c>
      <c r="K79" s="1" t="b">
        <f>K61&gt;='e8.5'!K61</f>
        <v>1</v>
      </c>
      <c r="L79" s="1" t="b">
        <f>L61&gt;='e8.5'!L61</f>
        <v>1</v>
      </c>
      <c r="M79" s="1" t="b">
        <f>M61&gt;='e8.5'!M61</f>
        <v>1</v>
      </c>
      <c r="N79" s="1" t="b">
        <f>N61&gt;='e8.5'!N61</f>
        <v>1</v>
      </c>
      <c r="O79" s="1" t="b">
        <f>O61&gt;='e8.5'!O61</f>
        <v>1</v>
      </c>
      <c r="P79" s="1" t="b">
        <f>P61&gt;='e8.5'!P61</f>
        <v>1</v>
      </c>
      <c r="Q79" s="1" t="b">
        <f>Q61&gt;='e8.5'!Q61</f>
        <v>1</v>
      </c>
      <c r="R79" s="1" t="b">
        <f>R61&gt;='e8.5'!R61</f>
        <v>1</v>
      </c>
      <c r="S79" s="1" t="b">
        <f>S61&gt;='e8.5'!S61</f>
        <v>1</v>
      </c>
    </row>
    <row r="80" spans="1:21" x14ac:dyDescent="0.2">
      <c r="A80" s="3" t="s">
        <v>90</v>
      </c>
      <c r="C80" s="1" t="b">
        <f>C61&gt;='e8.4'!C61</f>
        <v>1</v>
      </c>
      <c r="D80" s="1" t="b">
        <f>D61&gt;='e8.4'!D61</f>
        <v>1</v>
      </c>
      <c r="E80" s="1" t="b">
        <f>E61&gt;='e8.4'!E61</f>
        <v>1</v>
      </c>
      <c r="F80" s="1" t="b">
        <f>F61&gt;='e8.4'!F61</f>
        <v>1</v>
      </c>
      <c r="G80" s="1" t="b">
        <f>G61&gt;='e8.4'!G61</f>
        <v>1</v>
      </c>
      <c r="H80" s="1" t="b">
        <f>H61&gt;='e8.4'!H61</f>
        <v>1</v>
      </c>
      <c r="I80" s="1" t="b">
        <f>I61&gt;='e8.4'!I61</f>
        <v>1</v>
      </c>
      <c r="J80" s="1" t="b">
        <f>J61&gt;='e8.4'!J61</f>
        <v>1</v>
      </c>
      <c r="K80" s="1" t="b">
        <f>K61&gt;='e8.4'!K61</f>
        <v>1</v>
      </c>
      <c r="L80" s="1" t="b">
        <f>L61&gt;='e8.4'!L61</f>
        <v>1</v>
      </c>
      <c r="M80" s="1" t="b">
        <f>M61&gt;='e8.4'!M61</f>
        <v>1</v>
      </c>
      <c r="N80" s="1" t="b">
        <f>N61&gt;='e8.4'!N61</f>
        <v>1</v>
      </c>
      <c r="O80" s="1" t="b">
        <f>O61&gt;='e8.4'!O61</f>
        <v>1</v>
      </c>
      <c r="P80" s="1" t="b">
        <f>P61&gt;='e8.4'!P61</f>
        <v>1</v>
      </c>
      <c r="Q80" s="1" t="b">
        <f>Q61&gt;='e8.4'!Q61</f>
        <v>1</v>
      </c>
      <c r="R80" s="1" t="b">
        <f>R61&gt;='e8.4'!R61</f>
        <v>1</v>
      </c>
      <c r="S80" s="1" t="b">
        <f>S61&gt;='e8.4'!S61</f>
        <v>1</v>
      </c>
    </row>
    <row r="82" spans="1:19" x14ac:dyDescent="0.2">
      <c r="A82" s="82" t="s">
        <v>193</v>
      </c>
    </row>
    <row r="83" spans="1:19" x14ac:dyDescent="0.2">
      <c r="A83" s="3" t="s">
        <v>194</v>
      </c>
      <c r="C83" s="118">
        <f t="shared" ref="C83:S83" si="12">1 / (1 - (1-1/C62) * VLOOKUP(C$72, indrels, 3, FALSE))</f>
        <v>5.5357613000101304</v>
      </c>
      <c r="D83" s="118">
        <f t="shared" si="12"/>
        <v>2.0153928668537437</v>
      </c>
      <c r="E83" s="118">
        <f t="shared" si="12"/>
        <v>1.481492710545866</v>
      </c>
      <c r="F83" s="118">
        <f t="shared" si="12"/>
        <v>1.3343231510537072</v>
      </c>
      <c r="G83" s="118">
        <f t="shared" si="12"/>
        <v>1.2504432421819647</v>
      </c>
      <c r="H83" s="118">
        <f t="shared" si="12"/>
        <v>1.2041560653149772</v>
      </c>
      <c r="I83" s="118">
        <f t="shared" si="12"/>
        <v>1.1697401608927429</v>
      </c>
      <c r="J83" s="118">
        <f t="shared" si="12"/>
        <v>1.1444512919380496</v>
      </c>
      <c r="K83" s="118">
        <f t="shared" si="12"/>
        <v>1.1249551521169083</v>
      </c>
      <c r="L83" s="118">
        <f t="shared" si="12"/>
        <v>1.1091592340977148</v>
      </c>
      <c r="M83" s="118">
        <f t="shared" si="12"/>
        <v>1.0955980792810889</v>
      </c>
      <c r="N83" s="118">
        <f t="shared" si="12"/>
        <v>1.084414828093673</v>
      </c>
      <c r="O83" s="118">
        <f t="shared" si="12"/>
        <v>1.074439550968018</v>
      </c>
      <c r="P83" s="118">
        <f t="shared" si="12"/>
        <v>1.0653722879780263</v>
      </c>
      <c r="Q83" s="118">
        <f t="shared" si="12"/>
        <v>1.057338358723928</v>
      </c>
      <c r="R83" s="118">
        <f t="shared" si="12"/>
        <v>1.0503910462700758</v>
      </c>
      <c r="S83" s="118">
        <f t="shared" si="12"/>
        <v>1.0443081105504144</v>
      </c>
    </row>
    <row r="84" spans="1:19" x14ac:dyDescent="0.2">
      <c r="A84" s="3" t="s">
        <v>195</v>
      </c>
      <c r="C84" s="118">
        <f>MIN(MAX(IF(ISBLANK(D83), C83, C83/D83), C61), 'e8.8'!C61)</f>
        <v>2.7399999999999998</v>
      </c>
      <c r="D84" s="118">
        <f>MIN(MAX(IF(ISBLANK(E83), D83, D83/E83), D61), 'e8.8'!D61)</f>
        <v>1.3573929848640458</v>
      </c>
      <c r="E84" s="118">
        <f>MIN(MAX(IF(ISBLANK(F83), E83, E83/F83), E61), 'e8.8'!E61)</f>
        <v>1.1102952904444023</v>
      </c>
      <c r="F84" s="118">
        <f>MIN(MAX(IF(ISBLANK(G83), F83, F83/G83), F61), 'e8.8'!F61)</f>
        <v>1.0665354825981923</v>
      </c>
      <c r="G84" s="118">
        <f>MIN(MAX(IF(ISBLANK(H83), G83, G83/H83), G61), 'e8.8'!G61)</f>
        <v>1.038439516438328</v>
      </c>
      <c r="H84" s="118">
        <f>MIN(MAX(IF(ISBLANK(I83), H83, H83/I83), H61), 'e8.8'!H61)</f>
        <v>1.0294218370650523</v>
      </c>
      <c r="I84" s="118">
        <f>MIN(MAX(IF(ISBLANK(J83), I83, I83/J83), I61), 'e8.8'!I61)</f>
        <v>1.0220969377489786</v>
      </c>
      <c r="J84" s="118">
        <f>MIN(MAX(IF(ISBLANK(K83), J83, J83/K83), J61), 'e8.8'!J61)</f>
        <v>1.0173305929435978</v>
      </c>
      <c r="K84" s="118">
        <f>MIN(MAX(IF(ISBLANK(L83), K83, K83/L83), K61), 'e8.8'!K61)</f>
        <v>1.0142413438337763</v>
      </c>
      <c r="L84" s="118">
        <f>MIN(MAX(IF(ISBLANK(M83), L83, L83/M83), L61), 'e8.8'!L61)</f>
        <v>1.012377855596027</v>
      </c>
      <c r="M84" s="118">
        <f>MIN(MAX(IF(ISBLANK(N83), M83, M83/N83), M61), 'e8.8'!M61)</f>
        <v>1.010312705892334</v>
      </c>
      <c r="N84" s="118">
        <f>MIN(MAX(IF(ISBLANK(O83), N83, N83/O83), N61), 'e8.8'!N61)</f>
        <v>1.0092841678404967</v>
      </c>
      <c r="O84" s="118">
        <f>MIN(MAX(IF(ISBLANK(P83), O83, O83/P83), O61), 'e8.8'!O61)</f>
        <v>1.0085108868442603</v>
      </c>
      <c r="P84" s="118">
        <f>MIN(MAX(IF(ISBLANK(Q83), P83, P83/Q83), P61), 'e8.8'!P61)</f>
        <v>1.0075982576323006</v>
      </c>
      <c r="Q84" s="118">
        <f>MIN(MAX(IF(ISBLANK(R83), Q83, Q83/R83), Q61), 'e8.8'!Q61)</f>
        <v>1.0066140248229667</v>
      </c>
      <c r="R84" s="118">
        <f>MIN(MAX(IF(ISBLANK(S83), R83, R83/S83), R61), 'e8.8'!R61)</f>
        <v>1.0058248477228195</v>
      </c>
      <c r="S84" s="118">
        <f>MIN(MAX(IF(ISBLANK(T83), S83, S83/T83), S61), 'e8.8'!S61)</f>
        <v>1.0443081105504144</v>
      </c>
    </row>
    <row r="85" spans="1:19" x14ac:dyDescent="0.2">
      <c r="A85" s="645" t="s">
        <v>196</v>
      </c>
      <c r="B85" s="646"/>
      <c r="C85" s="647">
        <f>PRODUCT(C$84:$S$84)</f>
        <v>5.5072393692394774</v>
      </c>
      <c r="D85" s="647">
        <f>PRODUCT(D$84:$S$84)</f>
        <v>2.0099413756348459</v>
      </c>
      <c r="E85" s="647">
        <f>PRODUCT(E$84:$S$84)</f>
        <v>1.4807365280705047</v>
      </c>
      <c r="F85" s="647">
        <f>PRODUCT(F$84:$S$84)</f>
        <v>1.3336420867621903</v>
      </c>
      <c r="G85" s="647">
        <f>PRODUCT(G$84:$S$84)</f>
        <v>1.2504432421819645</v>
      </c>
      <c r="H85" s="647">
        <f>PRODUCT(H$84:$S$84)</f>
        <v>1.2041560653149772</v>
      </c>
      <c r="I85" s="647">
        <f>PRODUCT(I$84:$S$84)</f>
        <v>1.1697401608927429</v>
      </c>
      <c r="J85" s="647">
        <f>PRODUCT(J$84:$S$84)</f>
        <v>1.1444512919380498</v>
      </c>
      <c r="K85" s="647">
        <f>PRODUCT(K$84:$S$84)</f>
        <v>1.1249551521169083</v>
      </c>
      <c r="L85" s="647">
        <f>PRODUCT(L$84:$S$84)</f>
        <v>1.109159234097715</v>
      </c>
      <c r="M85" s="647">
        <f>PRODUCT(M$84:$S$84)</f>
        <v>1.0955980792810889</v>
      </c>
      <c r="N85" s="647">
        <f>PRODUCT(N$84:$S$84)</f>
        <v>1.0844148280936732</v>
      </c>
      <c r="O85" s="647">
        <f>PRODUCT(O$84:$S$84)</f>
        <v>1.074439550968018</v>
      </c>
      <c r="P85" s="647">
        <f>PRODUCT(P$84:$S$84)</f>
        <v>1.0653722879780265</v>
      </c>
      <c r="Q85" s="647">
        <f>PRODUCT(Q$84:$S$84)</f>
        <v>1.0573383587239282</v>
      </c>
      <c r="R85" s="647">
        <f>PRODUCT(R$84:$S$84)</f>
        <v>1.0503910462700761</v>
      </c>
      <c r="S85" s="648">
        <f>PRODUCT(S$84:$S$84)</f>
        <v>1.0443081105504144</v>
      </c>
    </row>
    <row r="87" spans="1:19" x14ac:dyDescent="0.2">
      <c r="C87" s="1" t="b">
        <f>C84&gt;=D84</f>
        <v>1</v>
      </c>
      <c r="D87" s="1" t="b">
        <f t="shared" ref="D87:Q87" si="13">D84&gt;=E84</f>
        <v>1</v>
      </c>
      <c r="E87" s="1" t="b">
        <f t="shared" si="13"/>
        <v>1</v>
      </c>
      <c r="F87" s="1" t="b">
        <f t="shared" si="13"/>
        <v>1</v>
      </c>
      <c r="G87" s="1" t="b">
        <f t="shared" si="13"/>
        <v>1</v>
      </c>
      <c r="H87" s="1" t="b">
        <f t="shared" si="13"/>
        <v>1</v>
      </c>
      <c r="I87" s="1" t="b">
        <f t="shared" si="13"/>
        <v>1</v>
      </c>
      <c r="J87" s="1" t="b">
        <f t="shared" si="13"/>
        <v>1</v>
      </c>
      <c r="K87" s="1" t="b">
        <f t="shared" si="13"/>
        <v>1</v>
      </c>
      <c r="L87" s="1" t="b">
        <f t="shared" si="13"/>
        <v>1</v>
      </c>
      <c r="M87" s="1" t="b">
        <f t="shared" si="13"/>
        <v>1</v>
      </c>
      <c r="N87" s="1" t="b">
        <f t="shared" si="13"/>
        <v>1</v>
      </c>
      <c r="O87" s="1" t="b">
        <f t="shared" si="13"/>
        <v>1</v>
      </c>
      <c r="P87" s="1" t="b">
        <f t="shared" si="13"/>
        <v>1</v>
      </c>
      <c r="Q87" s="1" t="b">
        <f t="shared" si="13"/>
        <v>1</v>
      </c>
    </row>
    <row r="88" spans="1:19" x14ac:dyDescent="0.2">
      <c r="C88" s="1" t="b">
        <f>'e8.5'!C88</f>
        <v>1</v>
      </c>
      <c r="D88" s="1" t="b">
        <f>'e8.5'!D88</f>
        <v>1</v>
      </c>
      <c r="E88" s="1" t="b">
        <f>'e8.5'!E88</f>
        <v>1</v>
      </c>
      <c r="F88" s="1" t="b">
        <f>'e8.5'!F88</f>
        <v>1</v>
      </c>
      <c r="G88" s="1" t="b">
        <f>'e8.5'!G88</f>
        <v>1</v>
      </c>
      <c r="H88" s="1" t="b">
        <f>'e8.5'!H88</f>
        <v>1</v>
      </c>
      <c r="I88" s="1" t="b">
        <f>'e8.5'!I88</f>
        <v>1</v>
      </c>
      <c r="J88" s="1" t="b">
        <f>'e8.5'!J88</f>
        <v>1</v>
      </c>
      <c r="K88" s="1" t="b">
        <f>'e8.5'!K88</f>
        <v>1</v>
      </c>
      <c r="L88" s="1" t="b">
        <f>'e8.5'!L88</f>
        <v>1</v>
      </c>
      <c r="M88" s="1" t="b">
        <f>'e8.5'!M88</f>
        <v>1</v>
      </c>
      <c r="N88" s="1" t="b">
        <f>'e8.5'!N88</f>
        <v>1</v>
      </c>
      <c r="O88" s="1" t="b">
        <f>'e8.5'!O88</f>
        <v>1</v>
      </c>
      <c r="P88" s="1" t="b">
        <f>'e8.5'!P88</f>
        <v>1</v>
      </c>
      <c r="Q88" s="1" t="b">
        <f>'e8.5'!Q88</f>
        <v>1</v>
      </c>
      <c r="R88" s="1" t="b">
        <f>'e8.5'!R88</f>
        <v>1</v>
      </c>
      <c r="S88" s="1" t="b">
        <f>'e8.5'!S88</f>
        <v>1</v>
      </c>
    </row>
    <row r="89" spans="1:19" x14ac:dyDescent="0.2">
      <c r="C89" s="1" t="b">
        <f>C84&lt;='e8.8'!C61</f>
        <v>1</v>
      </c>
      <c r="D89" s="1" t="b">
        <f>D84&lt;='e8.8'!D61</f>
        <v>1</v>
      </c>
      <c r="E89" s="1" t="b">
        <f>E84&lt;='e8.8'!E61</f>
        <v>1</v>
      </c>
      <c r="F89" s="1" t="b">
        <f>F84&lt;='e8.8'!F61</f>
        <v>1</v>
      </c>
      <c r="G89" s="1" t="b">
        <f>G84&lt;='e8.8'!G61</f>
        <v>1</v>
      </c>
      <c r="H89" s="1" t="b">
        <f>H84&lt;='e8.8'!H61</f>
        <v>1</v>
      </c>
      <c r="I89" s="1" t="b">
        <f>I84&lt;='e8.8'!I61</f>
        <v>1</v>
      </c>
      <c r="J89" s="1" t="b">
        <f>J84&lt;='e8.8'!J61</f>
        <v>1</v>
      </c>
      <c r="K89" s="1" t="b">
        <f>K84&lt;='e8.8'!K61</f>
        <v>1</v>
      </c>
      <c r="L89" s="1" t="b">
        <f>L84&lt;='e8.8'!L61</f>
        <v>1</v>
      </c>
      <c r="M89" s="1" t="b">
        <f>M84&lt;='e8.8'!M61</f>
        <v>1</v>
      </c>
      <c r="N89" s="1" t="b">
        <f>N84&lt;='e8.8'!N61</f>
        <v>1</v>
      </c>
      <c r="O89" s="1" t="b">
        <f>O84&lt;='e8.8'!O61</f>
        <v>1</v>
      </c>
      <c r="P89" s="1" t="b">
        <f>P84&lt;='e8.8'!P61</f>
        <v>1</v>
      </c>
      <c r="Q89" s="1" t="b">
        <f>Q84&lt;='e8.8'!Q61</f>
        <v>1</v>
      </c>
      <c r="R89" s="1" t="b">
        <f>R84&lt;='e8.8'!R61</f>
        <v>1</v>
      </c>
      <c r="S89" s="1" t="b">
        <f>S84&lt;='e8.8'!S61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6
</oddHeader>
    <oddFooter xml:space="preserve">&amp;L&amp;"Arial"&amp;10 Oliver Wyman Actuarial Consulting, Inc.
&amp;C&amp;"Arial"&amp;10 &amp;R&amp;"Arial"&amp;10 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11">
    <tabColor rgb="FF00B050"/>
    <pageSetUpPr fitToPage="1"/>
  </sheetPr>
  <dimension ref="A1:W80"/>
  <sheetViews>
    <sheetView zoomScale="85" zoomScaleNormal="85" zoomScaleSheetLayoutView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7</v>
      </c>
      <c r="C1" s="1" t="str">
        <f>VLOOKUP(A1, index_lkups, 2, FALSE)</f>
        <v>Rept Unl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Unlimited Reported Loss &amp; ALAE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1018559</v>
      </c>
      <c r="F13" s="424">
        <v>1081460</v>
      </c>
      <c r="G13" s="424">
        <v>1160148.54</v>
      </c>
      <c r="H13" s="424">
        <v>1336352.25</v>
      </c>
      <c r="I13" s="424">
        <v>1588307.24</v>
      </c>
      <c r="J13" s="424">
        <v>1550036.9200000004</v>
      </c>
      <c r="K13" s="424">
        <v>1547216.0200000003</v>
      </c>
      <c r="L13" s="424">
        <v>1549216.0200000003</v>
      </c>
      <c r="M13" s="424">
        <v>1549216.0200000003</v>
      </c>
      <c r="N13" s="424">
        <v>1583091.0200000003</v>
      </c>
      <c r="O13" s="424">
        <v>1589538.9800000004</v>
      </c>
      <c r="P13" s="481">
        <v>1549114.1800000004</v>
      </c>
      <c r="Q13" s="481">
        <v>1527209.7200000004</v>
      </c>
      <c r="R13" s="424">
        <v>1499605.6200000003</v>
      </c>
      <c r="S13" s="482">
        <f>$U13</f>
        <v>1499605.6200000003</v>
      </c>
      <c r="U13" s="107">
        <f>'e7'!I23</f>
        <v>1499605.6200000003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1030367</v>
      </c>
      <c r="E14" s="90">
        <v>1539425</v>
      </c>
      <c r="F14" s="90">
        <v>1750911.85</v>
      </c>
      <c r="G14" s="90">
        <v>2494079.64</v>
      </c>
      <c r="H14" s="90">
        <v>2957577.01</v>
      </c>
      <c r="I14" s="90">
        <v>2749955.8700000006</v>
      </c>
      <c r="J14" s="90">
        <v>2743473.3200000003</v>
      </c>
      <c r="K14" s="90">
        <v>2739244.3199999989</v>
      </c>
      <c r="L14" s="90">
        <v>2750237.1799999988</v>
      </c>
      <c r="M14" s="90">
        <v>2604758.4999999986</v>
      </c>
      <c r="N14" s="90">
        <v>2632111.5300000003</v>
      </c>
      <c r="O14" s="90">
        <v>2652175.7300000004</v>
      </c>
      <c r="P14" s="90">
        <v>2652975.7300000004</v>
      </c>
      <c r="Q14" s="90">
        <v>2740295.6100000003</v>
      </c>
      <c r="R14" s="107">
        <f>$U14</f>
        <v>2738711.5400000005</v>
      </c>
      <c r="S14" s="90"/>
      <c r="U14" s="107">
        <f>'e7'!I24</f>
        <v>2738711.5400000005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400689</v>
      </c>
      <c r="D15" s="90">
        <v>585124</v>
      </c>
      <c r="E15" s="90">
        <v>720306</v>
      </c>
      <c r="F15" s="90">
        <v>687459</v>
      </c>
      <c r="G15" s="90">
        <v>803494</v>
      </c>
      <c r="H15" s="90">
        <v>805477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'e7'!I25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783622</v>
      </c>
      <c r="D16" s="90">
        <v>2136076.4500000002</v>
      </c>
      <c r="E16" s="90">
        <v>2142519.04</v>
      </c>
      <c r="F16" s="90">
        <v>2292259.12</v>
      </c>
      <c r="G16" s="90">
        <v>2346026.7200000007</v>
      </c>
      <c r="H16" s="90">
        <v>2342727</v>
      </c>
      <c r="I16" s="90">
        <v>2501696.9899999998</v>
      </c>
      <c r="J16" s="90">
        <v>2346911.6700000009</v>
      </c>
      <c r="K16" s="90">
        <v>2316172.0200000009</v>
      </c>
      <c r="L16" s="90">
        <v>2316148.9500000016</v>
      </c>
      <c r="M16" s="90">
        <v>2316148.9500000011</v>
      </c>
      <c r="N16" s="90">
        <v>2316148.9500000007</v>
      </c>
      <c r="O16" s="90">
        <v>2316148.9500000007</v>
      </c>
      <c r="P16" s="107">
        <f>$U16</f>
        <v>2316148.9500000007</v>
      </c>
      <c r="Q16" s="90"/>
      <c r="R16" s="90"/>
      <c r="S16" s="90"/>
      <c r="U16" s="107">
        <f>'e7'!I26</f>
        <v>2316148.9500000007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688159.9</v>
      </c>
      <c r="D17" s="90">
        <v>1082819.05</v>
      </c>
      <c r="E17" s="90">
        <v>1113970.23</v>
      </c>
      <c r="F17" s="90">
        <v>1099997.5399999998</v>
      </c>
      <c r="G17" s="90">
        <v>1100029</v>
      </c>
      <c r="H17" s="90">
        <v>1100049.21</v>
      </c>
      <c r="I17" s="90">
        <v>1100049.2099999997</v>
      </c>
      <c r="J17" s="90">
        <v>1100049.21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'e7'!I27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644636.94999999995</v>
      </c>
      <c r="D18" s="90">
        <v>635297.81999999995</v>
      </c>
      <c r="E18" s="90">
        <v>660688.12999999989</v>
      </c>
      <c r="F18" s="90">
        <v>676922</v>
      </c>
      <c r="G18" s="90">
        <v>696806.18</v>
      </c>
      <c r="H18" s="90">
        <v>741352.17999999982</v>
      </c>
      <c r="I18" s="90">
        <v>766285.18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'e7'!I28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894685.16</v>
      </c>
      <c r="D19" s="90">
        <v>1435747.8599999999</v>
      </c>
      <c r="E19" s="90">
        <v>1728195</v>
      </c>
      <c r="F19" s="90">
        <v>1753477.0300000005</v>
      </c>
      <c r="G19" s="90">
        <v>1773049.5599999996</v>
      </c>
      <c r="H19" s="90">
        <v>1759270.7600000005</v>
      </c>
      <c r="I19" s="90">
        <v>1775205.8799999994</v>
      </c>
      <c r="J19" s="90">
        <v>1788378.5200000005</v>
      </c>
      <c r="K19" s="90">
        <v>1806473.5200000005</v>
      </c>
      <c r="L19" s="90">
        <v>1948738.7500000005</v>
      </c>
      <c r="M19" s="107">
        <f>$U19</f>
        <v>1966037.7500000005</v>
      </c>
      <c r="N19" s="90"/>
      <c r="O19" s="90"/>
      <c r="P19" s="90"/>
      <c r="Q19" s="90"/>
      <c r="R19" s="90"/>
      <c r="S19" s="90"/>
      <c r="U19" s="107">
        <f>'e7'!I29</f>
        <v>1966037.7500000005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742783.04000000015</v>
      </c>
      <c r="D20" s="90">
        <v>1082561</v>
      </c>
      <c r="E20" s="90">
        <v>1155731.3700000001</v>
      </c>
      <c r="F20" s="90">
        <v>1133434.4900000002</v>
      </c>
      <c r="G20" s="90">
        <v>1166253.0500000003</v>
      </c>
      <c r="H20" s="90">
        <v>1318396.33</v>
      </c>
      <c r="I20" s="90">
        <v>1325981.0399999993</v>
      </c>
      <c r="J20" s="90">
        <v>1325981.0400000003</v>
      </c>
      <c r="K20" s="90">
        <v>1187635.5200000003</v>
      </c>
      <c r="L20" s="107">
        <f>$U20</f>
        <v>1200315.5200000003</v>
      </c>
      <c r="M20" s="90"/>
      <c r="N20" s="90"/>
      <c r="O20" s="90"/>
      <c r="P20" s="90"/>
      <c r="Q20" s="90"/>
      <c r="R20" s="90"/>
      <c r="S20" s="90"/>
      <c r="U20" s="107">
        <f>'e7'!I30</f>
        <v>1200315.5200000003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458521.01</v>
      </c>
      <c r="D21" s="90">
        <v>880038.00999999989</v>
      </c>
      <c r="E21" s="90">
        <v>1126810.5599999996</v>
      </c>
      <c r="F21" s="90">
        <v>1167572.6599999999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'e7'!I31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685785.19000000006</v>
      </c>
      <c r="D22" s="90">
        <v>1376198.1099999999</v>
      </c>
      <c r="E22" s="90">
        <v>1673596.5400000003</v>
      </c>
      <c r="F22" s="90">
        <v>1812180.21</v>
      </c>
      <c r="G22" s="90">
        <v>1853694.2199999997</v>
      </c>
      <c r="H22" s="90">
        <v>1893132.9099999985</v>
      </c>
      <c r="I22" s="90">
        <v>1926182.29</v>
      </c>
      <c r="J22" s="107">
        <f>$U22</f>
        <v>1930458.7599999993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'e7'!I32</f>
        <v>1930458.7599999993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766763.04000000039</v>
      </c>
      <c r="D23" s="90">
        <v>1420541.2300000002</v>
      </c>
      <c r="E23" s="90">
        <v>1693465.93</v>
      </c>
      <c r="F23" s="90">
        <v>1802508.0899999999</v>
      </c>
      <c r="G23" s="90">
        <v>1929563.5999999996</v>
      </c>
      <c r="H23" s="90">
        <v>2161387.5499999998</v>
      </c>
      <c r="I23" s="107">
        <f>$U23</f>
        <v>2170842.4800000004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'e7'!I33</f>
        <v>2170842.4800000004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1299979.4700000002</v>
      </c>
      <c r="D24" s="90">
        <v>1835988.2100000009</v>
      </c>
      <c r="E24" s="90">
        <v>2302280.5499999998</v>
      </c>
      <c r="F24" s="90">
        <v>2394145.5599999987</v>
      </c>
      <c r="G24" s="90">
        <v>2342329.11</v>
      </c>
      <c r="H24" s="107">
        <f>$U24</f>
        <v>2342502.8100000005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'e7'!I34</f>
        <v>2342502.8100000005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1326440.2600000012</v>
      </c>
      <c r="D25" s="90">
        <v>2989793.0899999994</v>
      </c>
      <c r="E25" s="90">
        <v>3443405.1</v>
      </c>
      <c r="F25" s="90">
        <v>3276954.1399999997</v>
      </c>
      <c r="G25" s="107">
        <f>$U25</f>
        <v>3251678.2500000009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'e7'!I35</f>
        <v>3251678.2500000009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1273406.9200000006</v>
      </c>
      <c r="D26" s="90">
        <v>2127545.5500000012</v>
      </c>
      <c r="E26" s="90">
        <v>2444111.0400000019</v>
      </c>
      <c r="F26" s="107">
        <f>$U26</f>
        <v>2628716.9900000021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'e7'!I36</f>
        <v>2628716.9900000021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1415374.3399999989</v>
      </c>
      <c r="D27" s="90">
        <v>2264112.3000000003</v>
      </c>
      <c r="E27" s="107">
        <f>$U27</f>
        <v>2585441.4500000016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'e7'!I37</f>
        <v>2585441.4500000016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4706747.6700000055</v>
      </c>
      <c r="D28" s="107">
        <f>$U28</f>
        <v>5817996.7700000023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'e7'!I38</f>
        <v>5817996.7700000023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1261811.2200000007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'e7'!I39</f>
        <v>1261811.2200000007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" si="0">D11&amp;" - "&amp;IF(ISBLANK(E11), "ULT", E11)</f>
        <v>24 - 36</v>
      </c>
      <c r="E32" s="108" t="str">
        <f t="shared" ref="E32" si="1">E11&amp;" - "&amp;IF(ISBLANK(F11), "ULT", F11)</f>
        <v>36 - 48</v>
      </c>
      <c r="F32" s="108" t="str">
        <f t="shared" ref="F32" si="2">F11&amp;" - "&amp;IF(ISBLANK(G11), "ULT", G11)</f>
        <v>48 - 60</v>
      </c>
      <c r="G32" s="108" t="str">
        <f t="shared" ref="G32" si="3">G11&amp;" - "&amp;IF(ISBLANK(H11), "ULT", H11)</f>
        <v>60 - 72</v>
      </c>
      <c r="H32" s="108" t="str">
        <f t="shared" ref="H32" si="4">H11&amp;" - "&amp;IF(ISBLANK(I11), "ULT", I11)</f>
        <v>72 - 84</v>
      </c>
      <c r="I32" s="108" t="str">
        <f t="shared" ref="I32" si="5">I11&amp;" - "&amp;IF(ISBLANK(J11), "ULT", J11)</f>
        <v>84 - 96</v>
      </c>
      <c r="J32" s="108" t="str">
        <f t="shared" ref="J32" si="6">J11&amp;" - "&amp;IF(ISBLANK(K11), "ULT", K11)</f>
        <v>96 - 108</v>
      </c>
      <c r="K32" s="108" t="str">
        <f t="shared" ref="K32" si="7">K11&amp;" - "&amp;IF(ISBLANK(L11), "ULT", L11)</f>
        <v>108 - 120</v>
      </c>
      <c r="L32" s="108" t="str">
        <f t="shared" ref="L32" si="8">L11&amp;" - "&amp;IF(ISBLANK(M11), "ULT", M11)</f>
        <v>120 - 132</v>
      </c>
      <c r="M32" s="108" t="str">
        <f t="shared" ref="M32" si="9">M11&amp;" - "&amp;IF(ISBLANK(N11), "ULT", N11)</f>
        <v>132 - 144</v>
      </c>
      <c r="N32" s="108" t="str">
        <f t="shared" ref="N32" si="10">N11&amp;" - "&amp;IF(ISBLANK(O11), "ULT", O11)</f>
        <v>144 - 156</v>
      </c>
      <c r="O32" s="108" t="str">
        <f t="shared" ref="O32" si="11">O11&amp;" - "&amp;IF(ISBLANK(P11), "ULT", P11)</f>
        <v>156 - 168</v>
      </c>
      <c r="P32" s="108" t="str">
        <f t="shared" ref="P32" si="12">P11&amp;" - "&amp;IF(ISBLANK(Q11), "ULT", Q11)</f>
        <v>168 - 180</v>
      </c>
      <c r="Q32" s="108" t="str">
        <f t="shared" ref="Q32" si="13">Q11&amp;" - "&amp;IF(ISBLANK(R11), "ULT", R11)</f>
        <v>180 - 192</v>
      </c>
      <c r="R32" s="108" t="str">
        <f t="shared" ref="R32" si="14">R11&amp;" - "&amp;IF(ISBLANK(S11), "ULT", S11)</f>
        <v>192 - 204</v>
      </c>
      <c r="S32" s="108" t="str">
        <f t="shared" ref="S32" si="15">S11&amp;" - "&amp;IF(ISBLANK(T11), "ULT", T11)</f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6">A13</f>
        <v>10/1/02-9/30/03</v>
      </c>
      <c r="C34" s="109" t="str">
        <f>IFERROR(IF(OR(D13="", ISBLANK(D13)), "", D13/C13), "")</f>
        <v/>
      </c>
      <c r="D34" s="109" t="str">
        <f t="shared" ref="D34:S34" si="17">IFERROR(IF(OR(E13="", ISBLANK(E13)), "", E13/D13), "")</f>
        <v/>
      </c>
      <c r="E34" s="109">
        <f t="shared" si="17"/>
        <v>1.0617548909783332</v>
      </c>
      <c r="F34" s="109">
        <f t="shared" si="17"/>
        <v>1.072761396630481</v>
      </c>
      <c r="G34" s="109">
        <f t="shared" si="17"/>
        <v>1.1518803014655348</v>
      </c>
      <c r="H34" s="109">
        <f t="shared" si="17"/>
        <v>1.188539354051299</v>
      </c>
      <c r="I34" s="109">
        <f t="shared" si="17"/>
        <v>0.97590496407987182</v>
      </c>
      <c r="J34" s="109">
        <f t="shared" si="17"/>
        <v>0.9981801078647855</v>
      </c>
      <c r="K34" s="109">
        <f t="shared" si="17"/>
        <v>1.0012926443199572</v>
      </c>
      <c r="L34" s="109">
        <f t="shared" si="17"/>
        <v>1</v>
      </c>
      <c r="M34" s="109">
        <f t="shared" si="17"/>
        <v>1.0218658983399875</v>
      </c>
      <c r="N34" s="109">
        <f t="shared" si="17"/>
        <v>1.0040730191243206</v>
      </c>
      <c r="O34" s="109">
        <f t="shared" si="17"/>
        <v>0.9745682235486921</v>
      </c>
      <c r="P34" s="109">
        <f t="shared" si="17"/>
        <v>0.98586000936354479</v>
      </c>
      <c r="Q34" s="109">
        <f t="shared" si="17"/>
        <v>0.98192514123076691</v>
      </c>
      <c r="R34" s="109">
        <f t="shared" si="17"/>
        <v>1</v>
      </c>
      <c r="S34" s="109" t="str">
        <f t="shared" si="17"/>
        <v/>
      </c>
    </row>
    <row r="35" spans="1:19" x14ac:dyDescent="0.2">
      <c r="A35" s="3" t="str">
        <f t="shared" si="16"/>
        <v>10/1/03-9/30/04</v>
      </c>
      <c r="C35" s="109" t="str">
        <f t="shared" ref="C35:S35" si="18">IFERROR(IF(OR(D14="", ISBLANK(D14)), "", D14/C14), "")</f>
        <v/>
      </c>
      <c r="D35" s="109">
        <f t="shared" si="18"/>
        <v>1.4940550308773475</v>
      </c>
      <c r="E35" s="109">
        <f t="shared" si="18"/>
        <v>1.1373804180132192</v>
      </c>
      <c r="F35" s="109">
        <f t="shared" si="18"/>
        <v>1.4244461478743204</v>
      </c>
      <c r="G35" s="109">
        <f t="shared" si="18"/>
        <v>1.1858390416113576</v>
      </c>
      <c r="H35" s="109">
        <f t="shared" si="18"/>
        <v>0.92980025903027996</v>
      </c>
      <c r="I35" s="109">
        <f t="shared" si="18"/>
        <v>0.99764267126221184</v>
      </c>
      <c r="J35" s="109">
        <f t="shared" si="18"/>
        <v>0.99845852337284569</v>
      </c>
      <c r="K35" s="109">
        <f t="shared" si="18"/>
        <v>1.0040130994959953</v>
      </c>
      <c r="L35" s="109">
        <f t="shared" si="18"/>
        <v>0.94710322402084601</v>
      </c>
      <c r="M35" s="109">
        <f t="shared" si="18"/>
        <v>1.0105011769805154</v>
      </c>
      <c r="N35" s="109">
        <f t="shared" si="18"/>
        <v>1.0076228532762821</v>
      </c>
      <c r="O35" s="109">
        <f t="shared" si="18"/>
        <v>1.0003016391376147</v>
      </c>
      <c r="P35" s="109">
        <f t="shared" si="18"/>
        <v>1.0329139384927581</v>
      </c>
      <c r="Q35" s="109">
        <f t="shared" si="18"/>
        <v>0.99942193462843232</v>
      </c>
      <c r="R35" s="109" t="str">
        <f t="shared" si="18"/>
        <v/>
      </c>
      <c r="S35" s="109" t="str">
        <f t="shared" si="18"/>
        <v/>
      </c>
    </row>
    <row r="36" spans="1:19" x14ac:dyDescent="0.2">
      <c r="A36" s="3" t="str">
        <f t="shared" si="16"/>
        <v>10/1/04-9/30/05</v>
      </c>
      <c r="C36" s="109">
        <f t="shared" ref="C36:S36" si="19">IFERROR(IF(OR(D15="", ISBLANK(D15)), "", D15/C15), "")</f>
        <v>1.4602946424783312</v>
      </c>
      <c r="D36" s="109">
        <f t="shared" si="19"/>
        <v>1.2310313711281711</v>
      </c>
      <c r="E36" s="109">
        <f t="shared" si="19"/>
        <v>0.95439854728407092</v>
      </c>
      <c r="F36" s="109">
        <f t="shared" si="19"/>
        <v>1.1687882477355014</v>
      </c>
      <c r="G36" s="109">
        <f t="shared" si="19"/>
        <v>1.0024679711360633</v>
      </c>
      <c r="H36" s="109">
        <f t="shared" si="19"/>
        <v>0.86870867821179298</v>
      </c>
      <c r="I36" s="109">
        <f t="shared" si="19"/>
        <v>1</v>
      </c>
      <c r="J36" s="109">
        <f t="shared" si="19"/>
        <v>1</v>
      </c>
      <c r="K36" s="109">
        <f t="shared" si="19"/>
        <v>1</v>
      </c>
      <c r="L36" s="109">
        <f t="shared" si="19"/>
        <v>1.000164393187345</v>
      </c>
      <c r="M36" s="109">
        <f t="shared" si="19"/>
        <v>1</v>
      </c>
      <c r="N36" s="109">
        <f t="shared" si="19"/>
        <v>1</v>
      </c>
      <c r="O36" s="109">
        <f t="shared" si="19"/>
        <v>1</v>
      </c>
      <c r="P36" s="109">
        <f t="shared" si="19"/>
        <v>1</v>
      </c>
      <c r="Q36" s="109" t="str">
        <f t="shared" si="19"/>
        <v/>
      </c>
      <c r="R36" s="109" t="str">
        <f t="shared" si="19"/>
        <v/>
      </c>
      <c r="S36" s="109" t="str">
        <f t="shared" si="19"/>
        <v/>
      </c>
    </row>
    <row r="37" spans="1:19" x14ac:dyDescent="0.2">
      <c r="A37" s="3" t="str">
        <f t="shared" si="16"/>
        <v>10/1/05-9/30/06</v>
      </c>
      <c r="C37" s="109">
        <f t="shared" ref="C37:S37" si="20">IFERROR(IF(OR(D16="", ISBLANK(D16)), "", D16/C16), "")</f>
        <v>2.7259015826508191</v>
      </c>
      <c r="D37" s="109">
        <f t="shared" si="20"/>
        <v>1.0030160858708965</v>
      </c>
      <c r="E37" s="109">
        <f t="shared" si="20"/>
        <v>1.06988973129499</v>
      </c>
      <c r="F37" s="109">
        <f t="shared" si="20"/>
        <v>1.0234561614482749</v>
      </c>
      <c r="G37" s="109">
        <f t="shared" si="20"/>
        <v>0.99859348575535378</v>
      </c>
      <c r="H37" s="109">
        <f t="shared" si="20"/>
        <v>1.0678568138754536</v>
      </c>
      <c r="I37" s="109">
        <f t="shared" si="20"/>
        <v>0.93812787055397984</v>
      </c>
      <c r="J37" s="109">
        <f t="shared" si="20"/>
        <v>0.98690208481514774</v>
      </c>
      <c r="K37" s="109">
        <f t="shared" si="20"/>
        <v>0.99999003959990873</v>
      </c>
      <c r="L37" s="109">
        <f t="shared" si="20"/>
        <v>0.99999999999999978</v>
      </c>
      <c r="M37" s="109">
        <f t="shared" si="20"/>
        <v>0.99999999999999978</v>
      </c>
      <c r="N37" s="109">
        <f t="shared" si="20"/>
        <v>1</v>
      </c>
      <c r="O37" s="109">
        <f t="shared" si="20"/>
        <v>1</v>
      </c>
      <c r="P37" s="109" t="str">
        <f t="shared" si="20"/>
        <v/>
      </c>
      <c r="Q37" s="109" t="str">
        <f t="shared" si="20"/>
        <v/>
      </c>
      <c r="R37" s="109" t="str">
        <f t="shared" si="20"/>
        <v/>
      </c>
      <c r="S37" s="109" t="str">
        <f t="shared" si="20"/>
        <v/>
      </c>
    </row>
    <row r="38" spans="1:19" x14ac:dyDescent="0.2">
      <c r="A38" s="3" t="str">
        <f t="shared" si="16"/>
        <v>10/1/06-9/30/07</v>
      </c>
      <c r="C38" s="109">
        <f t="shared" ref="C38:S38" si="21">IFERROR(IF(OR(D17="", ISBLANK(D17)), "", D17/C17), "")</f>
        <v>1.5734991969162981</v>
      </c>
      <c r="D38" s="109">
        <f t="shared" si="21"/>
        <v>1.0287685924993655</v>
      </c>
      <c r="E38" s="109">
        <f t="shared" si="21"/>
        <v>0.98745685510823733</v>
      </c>
      <c r="F38" s="109">
        <f t="shared" si="21"/>
        <v>1.0000286000639602</v>
      </c>
      <c r="G38" s="109">
        <f t="shared" si="21"/>
        <v>1.0000183722429135</v>
      </c>
      <c r="H38" s="109">
        <f t="shared" si="21"/>
        <v>0.99999999999999978</v>
      </c>
      <c r="I38" s="109">
        <f t="shared" si="21"/>
        <v>1.0000000000000002</v>
      </c>
      <c r="J38" s="109">
        <f t="shared" si="21"/>
        <v>0.99965566085902646</v>
      </c>
      <c r="K38" s="109">
        <f t="shared" si="21"/>
        <v>1.0000000000000002</v>
      </c>
      <c r="L38" s="109">
        <f t="shared" si="21"/>
        <v>0.99999999999999956</v>
      </c>
      <c r="M38" s="109">
        <f t="shared" si="21"/>
        <v>1</v>
      </c>
      <c r="N38" s="109">
        <f t="shared" si="21"/>
        <v>1</v>
      </c>
      <c r="O38" s="109" t="str">
        <f t="shared" si="21"/>
        <v/>
      </c>
      <c r="P38" s="109" t="str">
        <f t="shared" si="21"/>
        <v/>
      </c>
      <c r="Q38" s="109" t="str">
        <f t="shared" si="21"/>
        <v/>
      </c>
      <c r="R38" s="109" t="str">
        <f t="shared" si="21"/>
        <v/>
      </c>
      <c r="S38" s="109" t="str">
        <f t="shared" si="21"/>
        <v/>
      </c>
    </row>
    <row r="39" spans="1:19" x14ac:dyDescent="0.2">
      <c r="A39" s="3" t="str">
        <f t="shared" si="16"/>
        <v>10/1/07-9/30/08</v>
      </c>
      <c r="C39" s="109">
        <f t="shared" ref="C39:S39" si="22">IFERROR(IF(OR(D18="", ISBLANK(D18)), "", D18/C18), "")</f>
        <v>0.98551257417062421</v>
      </c>
      <c r="D39" s="109">
        <f t="shared" si="22"/>
        <v>1.0399659957907614</v>
      </c>
      <c r="E39" s="109">
        <f t="shared" si="22"/>
        <v>1.024571154320572</v>
      </c>
      <c r="F39" s="109">
        <f t="shared" si="22"/>
        <v>1.0293744035501875</v>
      </c>
      <c r="G39" s="109">
        <f t="shared" si="22"/>
        <v>1.0639288245118603</v>
      </c>
      <c r="H39" s="109">
        <f t="shared" si="22"/>
        <v>1.0336317888752957</v>
      </c>
      <c r="I39" s="109">
        <f t="shared" si="22"/>
        <v>0.99998017709281506</v>
      </c>
      <c r="J39" s="109">
        <f t="shared" si="22"/>
        <v>1.0000000000000004</v>
      </c>
      <c r="K39" s="109">
        <f t="shared" si="22"/>
        <v>1</v>
      </c>
      <c r="L39" s="109">
        <f t="shared" si="22"/>
        <v>1</v>
      </c>
      <c r="M39" s="109">
        <f t="shared" si="22"/>
        <v>1</v>
      </c>
      <c r="N39" s="109" t="str">
        <f t="shared" si="22"/>
        <v/>
      </c>
      <c r="O39" s="109" t="str">
        <f t="shared" si="22"/>
        <v/>
      </c>
      <c r="P39" s="109" t="str">
        <f t="shared" si="22"/>
        <v/>
      </c>
      <c r="Q39" s="109" t="str">
        <f t="shared" si="22"/>
        <v/>
      </c>
      <c r="R39" s="109" t="str">
        <f t="shared" si="22"/>
        <v/>
      </c>
      <c r="S39" s="109" t="str">
        <f t="shared" si="22"/>
        <v/>
      </c>
    </row>
    <row r="40" spans="1:19" x14ac:dyDescent="0.2">
      <c r="A40" s="3" t="str">
        <f t="shared" si="16"/>
        <v>10/1/08-9/30/09</v>
      </c>
      <c r="C40" s="109">
        <f t="shared" ref="C40:S40" si="23">IFERROR(IF(OR(D19="", ISBLANK(D19)), "", D19/C19), "")</f>
        <v>1.6047520671964648</v>
      </c>
      <c r="D40" s="109">
        <f t="shared" si="23"/>
        <v>1.2036897620728477</v>
      </c>
      <c r="E40" s="109">
        <f t="shared" si="23"/>
        <v>1.0146291535388081</v>
      </c>
      <c r="F40" s="109">
        <f t="shared" si="23"/>
        <v>1.0111621251177718</v>
      </c>
      <c r="G40" s="109">
        <f t="shared" si="23"/>
        <v>0.99222875642573738</v>
      </c>
      <c r="H40" s="109">
        <f t="shared" si="23"/>
        <v>1.0090577984709976</v>
      </c>
      <c r="I40" s="109">
        <f t="shared" si="23"/>
        <v>1.007420344957398</v>
      </c>
      <c r="J40" s="109">
        <f t="shared" si="23"/>
        <v>1.0101181040801139</v>
      </c>
      <c r="K40" s="109">
        <f t="shared" si="23"/>
        <v>1.0787530115581212</v>
      </c>
      <c r="L40" s="109">
        <f t="shared" si="23"/>
        <v>1.0088770236646651</v>
      </c>
      <c r="M40" s="109" t="str">
        <f t="shared" si="23"/>
        <v/>
      </c>
      <c r="N40" s="109" t="str">
        <f t="shared" si="23"/>
        <v/>
      </c>
      <c r="O40" s="109" t="str">
        <f t="shared" si="23"/>
        <v/>
      </c>
      <c r="P40" s="109" t="str">
        <f t="shared" si="23"/>
        <v/>
      </c>
      <c r="Q40" s="109" t="str">
        <f t="shared" si="23"/>
        <v/>
      </c>
      <c r="R40" s="109" t="str">
        <f t="shared" si="23"/>
        <v/>
      </c>
      <c r="S40" s="109" t="str">
        <f t="shared" si="23"/>
        <v/>
      </c>
    </row>
    <row r="41" spans="1:19" x14ac:dyDescent="0.2">
      <c r="A41" s="3" t="str">
        <f t="shared" si="16"/>
        <v>10/1/09-9/30/10</v>
      </c>
      <c r="C41" s="109">
        <f t="shared" ref="C41:S41" si="24">IFERROR(IF(OR(D20="", ISBLANK(D20)), "", D20/C20), "")</f>
        <v>1.4574390389958281</v>
      </c>
      <c r="D41" s="109">
        <f t="shared" si="24"/>
        <v>1.0675900665181917</v>
      </c>
      <c r="E41" s="109">
        <f t="shared" si="24"/>
        <v>0.98070755836626644</v>
      </c>
      <c r="F41" s="109">
        <f t="shared" si="24"/>
        <v>1.0289549685399111</v>
      </c>
      <c r="G41" s="109">
        <f t="shared" si="24"/>
        <v>1.1304547756595362</v>
      </c>
      <c r="H41" s="109">
        <f t="shared" si="24"/>
        <v>1.0057529817304629</v>
      </c>
      <c r="I41" s="109">
        <f t="shared" si="24"/>
        <v>1.0000000000000007</v>
      </c>
      <c r="J41" s="109">
        <f t="shared" si="24"/>
        <v>0.89566553681642391</v>
      </c>
      <c r="K41" s="109">
        <f t="shared" si="24"/>
        <v>1.0106766762920665</v>
      </c>
      <c r="L41" s="109" t="str">
        <f t="shared" si="24"/>
        <v/>
      </c>
      <c r="M41" s="109" t="str">
        <f t="shared" si="24"/>
        <v/>
      </c>
      <c r="N41" s="109" t="str">
        <f t="shared" si="24"/>
        <v/>
      </c>
      <c r="O41" s="109" t="str">
        <f t="shared" si="24"/>
        <v/>
      </c>
      <c r="P41" s="109" t="str">
        <f t="shared" si="24"/>
        <v/>
      </c>
      <c r="Q41" s="109" t="str">
        <f t="shared" si="24"/>
        <v/>
      </c>
      <c r="R41" s="109" t="str">
        <f t="shared" si="24"/>
        <v/>
      </c>
      <c r="S41" s="109" t="str">
        <f t="shared" si="24"/>
        <v/>
      </c>
    </row>
    <row r="42" spans="1:19" x14ac:dyDescent="0.2">
      <c r="A42" s="3" t="str">
        <f t="shared" si="16"/>
        <v>10/1/10-9/30/11</v>
      </c>
      <c r="C42" s="109">
        <f t="shared" ref="C42:S42" si="25">IFERROR(IF(OR(D21="", ISBLANK(D21)), "", D21/C21), "")</f>
        <v>1.9192970241429066</v>
      </c>
      <c r="D42" s="109">
        <f t="shared" si="25"/>
        <v>1.2804112404190358</v>
      </c>
      <c r="E42" s="109">
        <f t="shared" si="25"/>
        <v>1.0361747586036116</v>
      </c>
      <c r="F42" s="109">
        <f t="shared" si="25"/>
        <v>1.0371711170420861</v>
      </c>
      <c r="G42" s="109">
        <f t="shared" si="25"/>
        <v>1.0009868678783693</v>
      </c>
      <c r="H42" s="109">
        <f t="shared" si="25"/>
        <v>1.0005346619899651</v>
      </c>
      <c r="I42" s="109">
        <f t="shared" si="25"/>
        <v>1.0000000000000002</v>
      </c>
      <c r="J42" s="109">
        <f t="shared" si="25"/>
        <v>1.0000552433431753</v>
      </c>
      <c r="K42" s="109" t="str">
        <f t="shared" si="25"/>
        <v/>
      </c>
      <c r="L42" s="109" t="str">
        <f t="shared" si="25"/>
        <v/>
      </c>
      <c r="M42" s="109" t="str">
        <f t="shared" si="25"/>
        <v/>
      </c>
      <c r="N42" s="109" t="str">
        <f t="shared" si="25"/>
        <v/>
      </c>
      <c r="O42" s="109" t="str">
        <f t="shared" si="25"/>
        <v/>
      </c>
      <c r="P42" s="109" t="str">
        <f t="shared" si="25"/>
        <v/>
      </c>
      <c r="Q42" s="109" t="str">
        <f t="shared" si="25"/>
        <v/>
      </c>
      <c r="R42" s="109" t="str">
        <f t="shared" si="25"/>
        <v/>
      </c>
      <c r="S42" s="109" t="str">
        <f t="shared" si="25"/>
        <v/>
      </c>
    </row>
    <row r="43" spans="1:19" x14ac:dyDescent="0.2">
      <c r="A43" s="3" t="str">
        <f t="shared" si="16"/>
        <v>10/1/11-9/30/12</v>
      </c>
      <c r="C43" s="109">
        <f t="shared" ref="C43:S43" si="26">IFERROR(IF(OR(D22="", ISBLANK(D22)), "", D22/C22), "")</f>
        <v>2.0067480751516373</v>
      </c>
      <c r="D43" s="109">
        <f t="shared" si="26"/>
        <v>1.2161014666703767</v>
      </c>
      <c r="E43" s="109">
        <f t="shared" si="26"/>
        <v>1.0828059013554125</v>
      </c>
      <c r="F43" s="109">
        <f t="shared" si="26"/>
        <v>1.0229083232290677</v>
      </c>
      <c r="G43" s="109">
        <f t="shared" si="26"/>
        <v>1.0212757258314151</v>
      </c>
      <c r="H43" s="109">
        <f t="shared" si="26"/>
        <v>1.0174575064568507</v>
      </c>
      <c r="I43" s="109">
        <f t="shared" si="26"/>
        <v>1.0022201792749321</v>
      </c>
      <c r="J43" s="109" t="str">
        <f t="shared" si="26"/>
        <v/>
      </c>
      <c r="K43" s="109" t="str">
        <f t="shared" si="26"/>
        <v/>
      </c>
      <c r="L43" s="109" t="str">
        <f t="shared" si="26"/>
        <v/>
      </c>
      <c r="M43" s="109" t="str">
        <f t="shared" si="26"/>
        <v/>
      </c>
      <c r="N43" s="109" t="str">
        <f t="shared" si="26"/>
        <v/>
      </c>
      <c r="O43" s="109" t="str">
        <f t="shared" si="26"/>
        <v/>
      </c>
      <c r="P43" s="109" t="str">
        <f t="shared" si="26"/>
        <v/>
      </c>
      <c r="Q43" s="109" t="str">
        <f t="shared" si="26"/>
        <v/>
      </c>
      <c r="R43" s="109" t="str">
        <f t="shared" si="26"/>
        <v/>
      </c>
      <c r="S43" s="109" t="str">
        <f t="shared" si="26"/>
        <v/>
      </c>
    </row>
    <row r="44" spans="1:19" x14ac:dyDescent="0.2">
      <c r="A44" s="3" t="str">
        <f t="shared" si="16"/>
        <v>10/1/12-9/30/13</v>
      </c>
      <c r="C44" s="109">
        <f t="shared" ref="C44:S44" si="27">IFERROR(IF(OR(D23="", ISBLANK(D23)), "", D23/C23), "")</f>
        <v>1.8526469794370886</v>
      </c>
      <c r="D44" s="109">
        <f t="shared" si="27"/>
        <v>1.1921272640569536</v>
      </c>
      <c r="E44" s="109">
        <f t="shared" si="27"/>
        <v>1.0643899343165408</v>
      </c>
      <c r="F44" s="109">
        <f t="shared" si="27"/>
        <v>1.0704881773928681</v>
      </c>
      <c r="G44" s="109">
        <f t="shared" si="27"/>
        <v>1.1201432023282365</v>
      </c>
      <c r="H44" s="109">
        <f t="shared" si="27"/>
        <v>1.0043744723152499</v>
      </c>
      <c r="I44" s="109" t="str">
        <f t="shared" si="27"/>
        <v/>
      </c>
      <c r="J44" s="109" t="str">
        <f t="shared" si="27"/>
        <v/>
      </c>
      <c r="K44" s="109" t="str">
        <f t="shared" si="27"/>
        <v/>
      </c>
      <c r="L44" s="109" t="str">
        <f t="shared" si="27"/>
        <v/>
      </c>
      <c r="M44" s="109" t="str">
        <f t="shared" si="27"/>
        <v/>
      </c>
      <c r="N44" s="109" t="str">
        <f t="shared" si="27"/>
        <v/>
      </c>
      <c r="O44" s="109" t="str">
        <f t="shared" si="27"/>
        <v/>
      </c>
      <c r="P44" s="109" t="str">
        <f t="shared" si="27"/>
        <v/>
      </c>
      <c r="Q44" s="109" t="str">
        <f t="shared" si="27"/>
        <v/>
      </c>
      <c r="R44" s="109" t="str">
        <f t="shared" si="27"/>
        <v/>
      </c>
      <c r="S44" s="109" t="str">
        <f t="shared" si="27"/>
        <v/>
      </c>
    </row>
    <row r="45" spans="1:19" x14ac:dyDescent="0.2">
      <c r="A45" s="3" t="str">
        <f t="shared" si="16"/>
        <v>10/1/13-9/30/14</v>
      </c>
      <c r="C45" s="109">
        <f t="shared" ref="C45:S45" si="28">IFERROR(IF(OR(D24="", ISBLANK(D24)), "", D24/C24), "")</f>
        <v>1.4123209268835613</v>
      </c>
      <c r="D45" s="109">
        <f t="shared" si="28"/>
        <v>1.2539734936533165</v>
      </c>
      <c r="E45" s="109">
        <f t="shared" si="28"/>
        <v>1.0399017443812393</v>
      </c>
      <c r="F45" s="109">
        <f t="shared" si="28"/>
        <v>0.97835701769110528</v>
      </c>
      <c r="G45" s="109">
        <f t="shared" si="28"/>
        <v>1.0000741569573888</v>
      </c>
      <c r="H45" s="109" t="str">
        <f t="shared" si="28"/>
        <v/>
      </c>
      <c r="I45" s="109" t="str">
        <f t="shared" si="28"/>
        <v/>
      </c>
      <c r="J45" s="109" t="str">
        <f t="shared" si="28"/>
        <v/>
      </c>
      <c r="K45" s="109" t="str">
        <f t="shared" si="28"/>
        <v/>
      </c>
      <c r="L45" s="109" t="str">
        <f t="shared" si="28"/>
        <v/>
      </c>
      <c r="M45" s="109" t="str">
        <f t="shared" si="28"/>
        <v/>
      </c>
      <c r="N45" s="109" t="str">
        <f t="shared" si="28"/>
        <v/>
      </c>
      <c r="O45" s="109" t="str">
        <f t="shared" si="28"/>
        <v/>
      </c>
      <c r="P45" s="109" t="str">
        <f t="shared" si="28"/>
        <v/>
      </c>
      <c r="Q45" s="109" t="str">
        <f t="shared" si="28"/>
        <v/>
      </c>
      <c r="R45" s="109" t="str">
        <f t="shared" si="28"/>
        <v/>
      </c>
      <c r="S45" s="109" t="str">
        <f t="shared" si="28"/>
        <v/>
      </c>
    </row>
    <row r="46" spans="1:19" x14ac:dyDescent="0.2">
      <c r="A46" s="3" t="str">
        <f t="shared" si="16"/>
        <v>10/1/14-9/30/15</v>
      </c>
      <c r="C46" s="109">
        <f t="shared" ref="C46:S46" si="29">IFERROR(IF(OR(D25="", ISBLANK(D25)), "", D25/C25), "")</f>
        <v>2.2539975452795717</v>
      </c>
      <c r="D46" s="109">
        <f t="shared" si="29"/>
        <v>1.151720201480565</v>
      </c>
      <c r="E46" s="109">
        <f t="shared" si="29"/>
        <v>0.95166094166498139</v>
      </c>
      <c r="F46" s="109">
        <f t="shared" si="29"/>
        <v>0.99228677335106108</v>
      </c>
      <c r="G46" s="109" t="str">
        <f t="shared" si="29"/>
        <v/>
      </c>
      <c r="H46" s="109" t="str">
        <f t="shared" si="29"/>
        <v/>
      </c>
      <c r="I46" s="109" t="str">
        <f t="shared" si="29"/>
        <v/>
      </c>
      <c r="J46" s="109" t="str">
        <f t="shared" si="29"/>
        <v/>
      </c>
      <c r="K46" s="109" t="str">
        <f t="shared" si="29"/>
        <v/>
      </c>
      <c r="L46" s="109" t="str">
        <f t="shared" si="29"/>
        <v/>
      </c>
      <c r="M46" s="109" t="str">
        <f t="shared" si="29"/>
        <v/>
      </c>
      <c r="N46" s="109" t="str">
        <f t="shared" si="29"/>
        <v/>
      </c>
      <c r="O46" s="109" t="str">
        <f t="shared" si="29"/>
        <v/>
      </c>
      <c r="P46" s="109" t="str">
        <f t="shared" si="29"/>
        <v/>
      </c>
      <c r="Q46" s="109" t="str">
        <f t="shared" si="29"/>
        <v/>
      </c>
      <c r="R46" s="109" t="str">
        <f t="shared" si="29"/>
        <v/>
      </c>
      <c r="S46" s="109" t="str">
        <f t="shared" si="29"/>
        <v/>
      </c>
    </row>
    <row r="47" spans="1:19" x14ac:dyDescent="0.2">
      <c r="A47" s="3" t="str">
        <f t="shared" si="16"/>
        <v>10/1/15-9/30/16</v>
      </c>
      <c r="C47" s="109">
        <f t="shared" ref="C47:S47" si="30">IFERROR(IF(OR(D26="", ISBLANK(D26)), "", D26/C26), "")</f>
        <v>1.6707507369286168</v>
      </c>
      <c r="D47" s="109">
        <f t="shared" si="30"/>
        <v>1.148793754380488</v>
      </c>
      <c r="E47" s="109">
        <f t="shared" si="30"/>
        <v>1.0755309177769599</v>
      </c>
      <c r="F47" s="109" t="str">
        <f t="shared" si="30"/>
        <v/>
      </c>
      <c r="G47" s="109" t="str">
        <f t="shared" si="30"/>
        <v/>
      </c>
      <c r="H47" s="109" t="str">
        <f t="shared" si="30"/>
        <v/>
      </c>
      <c r="I47" s="109" t="str">
        <f t="shared" si="30"/>
        <v/>
      </c>
      <c r="J47" s="109" t="str">
        <f t="shared" si="30"/>
        <v/>
      </c>
      <c r="K47" s="109" t="str">
        <f t="shared" si="30"/>
        <v/>
      </c>
      <c r="L47" s="109" t="str">
        <f t="shared" si="30"/>
        <v/>
      </c>
      <c r="M47" s="109" t="str">
        <f t="shared" si="30"/>
        <v/>
      </c>
      <c r="N47" s="109" t="str">
        <f t="shared" si="30"/>
        <v/>
      </c>
      <c r="O47" s="109" t="str">
        <f t="shared" si="30"/>
        <v/>
      </c>
      <c r="P47" s="109" t="str">
        <f t="shared" si="30"/>
        <v/>
      </c>
      <c r="Q47" s="109" t="str">
        <f t="shared" si="30"/>
        <v/>
      </c>
      <c r="R47" s="109" t="str">
        <f t="shared" si="30"/>
        <v/>
      </c>
      <c r="S47" s="109" t="str">
        <f t="shared" si="30"/>
        <v/>
      </c>
    </row>
    <row r="48" spans="1:19" x14ac:dyDescent="0.2">
      <c r="A48" s="3" t="str">
        <f t="shared" ref="A48:A49" si="31">A27</f>
        <v>10/1/16-9/30/17</v>
      </c>
      <c r="C48" s="109">
        <f t="shared" ref="C48:S48" si="32">IFERROR(IF(OR(D27="", ISBLANK(D27)), "", D27/C27), "")</f>
        <v>1.5996561729386742</v>
      </c>
      <c r="D48" s="109">
        <f t="shared" si="32"/>
        <v>1.1419227968506691</v>
      </c>
      <c r="E48" s="109" t="str">
        <f t="shared" si="32"/>
        <v/>
      </c>
      <c r="F48" s="109" t="str">
        <f t="shared" si="32"/>
        <v/>
      </c>
      <c r="G48" s="109" t="str">
        <f t="shared" si="32"/>
        <v/>
      </c>
      <c r="H48" s="109" t="str">
        <f t="shared" si="32"/>
        <v/>
      </c>
      <c r="I48" s="109" t="str">
        <f t="shared" si="32"/>
        <v/>
      </c>
      <c r="J48" s="109" t="str">
        <f t="shared" si="32"/>
        <v/>
      </c>
      <c r="K48" s="109" t="str">
        <f t="shared" si="32"/>
        <v/>
      </c>
      <c r="L48" s="109" t="str">
        <f t="shared" si="32"/>
        <v/>
      </c>
      <c r="M48" s="109" t="str">
        <f t="shared" si="32"/>
        <v/>
      </c>
      <c r="N48" s="109" t="str">
        <f t="shared" si="32"/>
        <v/>
      </c>
      <c r="O48" s="109" t="str">
        <f t="shared" si="32"/>
        <v/>
      </c>
      <c r="P48" s="109" t="str">
        <f t="shared" si="32"/>
        <v/>
      </c>
      <c r="Q48" s="109" t="str">
        <f t="shared" si="32"/>
        <v/>
      </c>
      <c r="R48" s="109" t="str">
        <f t="shared" si="32"/>
        <v/>
      </c>
      <c r="S48" s="109" t="str">
        <f t="shared" si="32"/>
        <v/>
      </c>
    </row>
    <row r="49" spans="1:19" x14ac:dyDescent="0.2">
      <c r="A49" s="3" t="str">
        <f t="shared" si="31"/>
        <v>10/1/17-9/30/18</v>
      </c>
      <c r="C49" s="109">
        <f t="shared" ref="C49:S49" si="33">IFERROR(IF(OR(D28="", ISBLANK(D28)), "", D28/C28), "")</f>
        <v>1.2360970202594259</v>
      </c>
      <c r="D49" s="109" t="str">
        <f t="shared" si="33"/>
        <v/>
      </c>
      <c r="E49" s="109" t="str">
        <f t="shared" si="33"/>
        <v/>
      </c>
      <c r="F49" s="109" t="str">
        <f t="shared" si="33"/>
        <v/>
      </c>
      <c r="G49" s="109" t="str">
        <f t="shared" si="33"/>
        <v/>
      </c>
      <c r="H49" s="109" t="str">
        <f t="shared" si="33"/>
        <v/>
      </c>
      <c r="I49" s="109" t="str">
        <f t="shared" si="33"/>
        <v/>
      </c>
      <c r="J49" s="109" t="str">
        <f t="shared" si="33"/>
        <v/>
      </c>
      <c r="K49" s="109" t="str">
        <f t="shared" si="33"/>
        <v/>
      </c>
      <c r="L49" s="109" t="str">
        <f t="shared" si="33"/>
        <v/>
      </c>
      <c r="M49" s="109" t="str">
        <f t="shared" si="33"/>
        <v/>
      </c>
      <c r="N49" s="109" t="str">
        <f t="shared" si="33"/>
        <v/>
      </c>
      <c r="O49" s="109" t="str">
        <f t="shared" si="33"/>
        <v/>
      </c>
      <c r="P49" s="109" t="str">
        <f t="shared" si="33"/>
        <v/>
      </c>
      <c r="Q49" s="109" t="str">
        <f t="shared" si="33"/>
        <v/>
      </c>
      <c r="R49" s="109" t="str">
        <f t="shared" si="33"/>
        <v/>
      </c>
      <c r="S49" s="109" t="str">
        <f t="shared" si="33"/>
        <v/>
      </c>
    </row>
    <row r="52" spans="1:19" x14ac:dyDescent="0.2">
      <c r="A52" s="3" t="s">
        <v>100</v>
      </c>
      <c r="C52" s="109">
        <f>[1]!avg(C34:C49, , FALSE, TRUE, )</f>
        <v>1.7325243510131094</v>
      </c>
      <c r="D52" s="109">
        <f>[1]!avg(D34:D49, , FALSE, TRUE, )</f>
        <v>1.1777880250321784</v>
      </c>
      <c r="E52" s="109">
        <f>[1]!avg(E34:E49, , FALSE, TRUE, )</f>
        <v>1.0312093530174065</v>
      </c>
      <c r="F52" s="109">
        <f>[1]!avg(F34:F49, , FALSE, TRUE, )</f>
        <v>1.0723247238596278</v>
      </c>
      <c r="G52" s="109">
        <f>[1]!avg(G34:G49, , FALSE, TRUE, )</f>
        <v>1.0607106658951253</v>
      </c>
      <c r="H52" s="109">
        <f>[1]!avg(H34:H49, , FALSE, TRUE, )</f>
        <v>1.0121339842692396</v>
      </c>
      <c r="I52" s="109">
        <f>[1]!avg(I34:I49, , FALSE, TRUE, )</f>
        <v>0.99100844754958628</v>
      </c>
      <c r="J52" s="109">
        <f>[1]!avg(J34:J49, , FALSE, TRUE, )</f>
        <v>0.98612250222604303</v>
      </c>
      <c r="K52" s="109">
        <f>[1]!avg(K34:K49, , FALSE, TRUE, )</f>
        <v>1.012006970710569</v>
      </c>
      <c r="L52" s="109">
        <f>[1]!avg(L34:L49, , FALSE, TRUE, )</f>
        <v>0.99121126953469829</v>
      </c>
      <c r="M52" s="109">
        <f>[1]!avg(M34:M49, , FALSE, TRUE, )</f>
        <v>1.0064734150641006</v>
      </c>
      <c r="N52" s="109">
        <f>[1]!avg(N34:N49, , FALSE, TRUE, )</f>
        <v>1.0029239681001507</v>
      </c>
      <c r="O52" s="109">
        <f>[1]!avg(O34:O49, , FALSE, TRUE, )</f>
        <v>0.99162328756210227</v>
      </c>
      <c r="P52" s="109">
        <f>[1]!avg(P34:P49, , FALSE, TRUE, )</f>
        <v>1.0093869739281514</v>
      </c>
      <c r="Q52" s="109">
        <f>[1]!avg(Q34:Q49, , FALSE, TRUE, )</f>
        <v>0.98192514123076702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 1, TRUE)</f>
        <v>1.7443204302729589</v>
      </c>
      <c r="D53" s="109">
        <f>[1]!DAvg(D$13:D$29, E$13:E$29, , FALSE, 1, TRUE)</f>
        <v>1.1679230184582912</v>
      </c>
      <c r="E53" s="109">
        <f>[1]!DAvg(E$13:E$29, F$13:F$29, , FALSE, 1, TRUE)</f>
        <v>1.0300374363049412</v>
      </c>
      <c r="F53" s="109">
        <f>[1]!DAvg(F$13:F$29, G$13:G$29, , FALSE, 1, TRUE)</f>
        <v>1.0693460228705081</v>
      </c>
      <c r="G53" s="109">
        <f>[1]!DAvg(G$13:G$29, H$13:H$29, , FALSE, 1, TRUE)</f>
        <v>1.0661524743097637</v>
      </c>
      <c r="H53" s="109">
        <f>[1]!DAvg(H$13:H$29, I$13:I$29, , FALSE, 1, TRUE)</f>
        <v>1.011618787869244</v>
      </c>
      <c r="I53" s="109">
        <f>[1]!DAvg(I$13:I$29, J$13:J$29, , FALSE, 1, TRUE)</f>
        <v>0.98641541982124858</v>
      </c>
      <c r="J53" s="109">
        <f>[1]!DAvg(J$13:J$29, K$13:K$29, , FALSE, 1, TRUE)</f>
        <v>0.98714218786604313</v>
      </c>
      <c r="K53" s="109">
        <f>[1]!DAvg(K$13:K$29, L$13:L$29, , FALSE, 1, TRUE)</f>
        <v>1.0141447159014336</v>
      </c>
      <c r="L53" s="109">
        <f>[1]!DAvg(L$13:L$29, M$13:M$29, , FALSE, 1, TRUE)</f>
        <v>0.98416736564242235</v>
      </c>
      <c r="M53" s="109">
        <f>[1]!DAvg(M$13:M$29, N$13:N$29, , FALSE, 1, TRUE)</f>
        <v>1.00740395906625</v>
      </c>
      <c r="N53" s="109">
        <f>[1]!DAvg(N$13:N$29, O$13:O$29, , FALSE, 1, TRUE)</f>
        <v>1.003666361263327</v>
      </c>
      <c r="O53" s="109">
        <f>[1]!DAvg(O$13:O$29, P$13:P$29, , FALSE, 1, TRUE)</f>
        <v>0.99198130887797942</v>
      </c>
      <c r="P53" s="109">
        <f>[1]!DAvg(P$13:P$29, Q$13:Q$29, , FALSE, 1, TRUE)</f>
        <v>1.015567353721853</v>
      </c>
      <c r="Q53" s="109">
        <f>[1]!DAvg(Q$13:Q$29, R$13:R$29, , FALSE, 1, TRUE)</f>
        <v>0.98192514123076702</v>
      </c>
      <c r="R53" s="109" t="str">
        <f>[1]!DAvg(R$13:R$29, S$13:S$29, , FALSE, 1, TRUE)</f>
        <v/>
      </c>
      <c r="S53" s="109" t="str">
        <f>[1]!DAvg(S$13:S$29, T$13:T$29, , FALSE, 1, TRUE)</f>
        <v/>
      </c>
    </row>
    <row r="54" spans="1:19" x14ac:dyDescent="0.2">
      <c r="A54" s="3" t="s">
        <v>102</v>
      </c>
      <c r="C54" s="109">
        <f>[1]!DAvg(C$13:C$29, D$13:D$29, 4, FALSE, 1, TRUE)</f>
        <v>1.7341656820394291</v>
      </c>
      <c r="D54" s="109">
        <f>[1]!DAvg(D$13:D$29, E$13:E$29, 4, FALSE, 1, TRUE)</f>
        <v>1.1802505754306081</v>
      </c>
      <c r="E54" s="109">
        <f>[1]!DAvg(E$13:E$29, F$13:F$29, 4, FALSE, 1, TRUE)</f>
        <v>1.0189887702064566</v>
      </c>
      <c r="F54" s="109">
        <f>[1]!DAvg(F$13:F$29, G$13:G$29, 4, FALSE, 1, TRUE)</f>
        <v>1.0223166078389885</v>
      </c>
      <c r="G54" s="109">
        <f>[1]!DAvg(G$13:G$29, H$13:H$29, 4, FALSE, 1, TRUE)</f>
        <v>1.0689233222215051</v>
      </c>
      <c r="H54" s="109">
        <f>[1]!DAvg(H$13:H$29, I$13:I$29, 4, FALSE, 1, TRUE)</f>
        <v>1.0092540205098368</v>
      </c>
      <c r="I54" s="109">
        <f>[1]!DAvg(I$13:I$29, J$13:J$29, 4, FALSE, 1, TRUE)</f>
        <v>1.0025899024293687</v>
      </c>
      <c r="J54" s="109">
        <f>[1]!DAvg(J$13:J$29, K$13:K$29, 4, FALSE, 1, TRUE)</f>
        <v>0.9757805480311682</v>
      </c>
      <c r="K54" s="109">
        <f>[1]!DAvg(K$13:K$29, L$13:L$29, 4, FALSE, 1, TRUE)</f>
        <v>1.0237522114882562</v>
      </c>
      <c r="L54" s="109">
        <f>[1]!DAvg(L$13:L$29, M$13:M$29, 4, FALSE, 1, TRUE)</f>
        <v>1.0000235629613941</v>
      </c>
      <c r="M54" s="109">
        <f>[1]!DAvg(M$13:M$29, N$13:N$29, 4, FALSE, 1, TRUE)</f>
        <v>1.0040701383421142</v>
      </c>
      <c r="N54" s="109">
        <f>[1]!DAvg(N$13:N$29, O$13:O$29, 4, FALSE, 1, TRUE)</f>
        <v>1.003666361263327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1.8383670497960465</v>
      </c>
      <c r="D55" s="109">
        <f>[1]!DAvg(D$13:D$29, E$13:E$29, 3, FALSE, 1, TRUE)</f>
        <v>1.1778242079904531</v>
      </c>
      <c r="E55" s="109">
        <f>[1]!DAvg(E$13:E$29, F$13:F$29, 3, FALSE, 1, TRUE)</f>
        <v>1.004631739201636</v>
      </c>
      <c r="F55" s="109">
        <f>[1]!DAvg(F$13:F$29, G$13:G$29, 3, FALSE, 1, TRUE)</f>
        <v>1.019430237666781</v>
      </c>
      <c r="G55" s="109">
        <f>[1]!DAvg(G$13:G$29, H$13:H$29, 3, FALSE, 1, TRUE)</f>
        <v>1.0545544928657535</v>
      </c>
      <c r="H55" s="109">
        <f>[1]!DAvg(H$13:H$29, I$13:I$29, 3, FALSE, 1, TRUE)</f>
        <v>1.0093320565279682</v>
      </c>
      <c r="I55" s="109">
        <f>[1]!DAvg(I$13:I$29, J$13:J$29, 3, FALSE, 1, TRUE)</f>
        <v>1.0030534612109536</v>
      </c>
      <c r="J55" s="109">
        <f>[1]!DAvg(J$13:J$29, K$13:K$29, 3, FALSE, 1, TRUE)</f>
        <v>0.96901262579933711</v>
      </c>
      <c r="K55" s="109">
        <f>[1]!DAvg(K$13:K$29, L$13:L$29, 3, FALSE, 1, TRUE)</f>
        <v>1.0387388874761183</v>
      </c>
      <c r="L55" s="109">
        <f>[1]!DAvg(L$13:L$29, M$13:M$29, 3, FALSE, 1, TRUE)</f>
        <v>0.99999999999999956</v>
      </c>
      <c r="M55" s="109">
        <f>[1]!DAvg(M$13:M$29, N$13:N$29, 3, FALSE, 1, TRUE)</f>
        <v>1</v>
      </c>
      <c r="N55" s="109">
        <f>[1]!DAvg(N$13:N$29, O$13:O$29, 3, FALSE, 1, TRUE)</f>
        <v>1.0035523802138098</v>
      </c>
      <c r="O55" s="109">
        <f>[1]!DAvg(O$13:O$29, P$13:P$29, 3, FALSE, 1, TRUE)</f>
        <v>0.99198130887797942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1.3813114314459398</v>
      </c>
      <c r="D57" s="109">
        <f t="shared" ref="D57:S57" si="34">IF(ISBLANK(E73), D73, D73/E73)</f>
        <v>1.1081129525937379</v>
      </c>
      <c r="E57" s="109">
        <f t="shared" si="34"/>
        <v>1.0511860705439429</v>
      </c>
      <c r="F57" s="109">
        <f t="shared" si="34"/>
        <v>1.0286633473144808</v>
      </c>
      <c r="G57" s="109">
        <f t="shared" si="34"/>
        <v>1.0180858484566997</v>
      </c>
      <c r="H57" s="109">
        <f t="shared" si="34"/>
        <v>1.0145914882365061</v>
      </c>
      <c r="I57" s="109">
        <f t="shared" si="34"/>
        <v>1.0112137715551093</v>
      </c>
      <c r="J57" s="109">
        <f t="shared" si="34"/>
        <v>1.0091179298864406</v>
      </c>
      <c r="K57" s="109">
        <f t="shared" si="34"/>
        <v>1.0075833584127505</v>
      </c>
      <c r="L57" s="109">
        <f t="shared" si="34"/>
        <v>1.0064508641897301</v>
      </c>
      <c r="M57" s="109">
        <f t="shared" si="34"/>
        <v>1.0054650063436961</v>
      </c>
      <c r="N57" s="109">
        <f t="shared" si="34"/>
        <v>1.0047589191702979</v>
      </c>
      <c r="O57" s="109">
        <f t="shared" si="34"/>
        <v>1.0040984150535046</v>
      </c>
      <c r="P57" s="109">
        <f t="shared" si="34"/>
        <v>1.0038364763929184</v>
      </c>
      <c r="Q57" s="109">
        <f t="shared" si="34"/>
        <v>1.0032709385587744</v>
      </c>
      <c r="R57" s="109">
        <f t="shared" si="34"/>
        <v>1.0028864508339561</v>
      </c>
      <c r="S57" s="109">
        <f t="shared" si="34"/>
        <v>1.0344831716225504</v>
      </c>
    </row>
    <row r="58" spans="1:19" x14ac:dyDescent="0.2">
      <c r="A58" s="3" t="s">
        <v>18</v>
      </c>
      <c r="C58" s="109">
        <f>IF(ISBLANK(D74), C74, C74/D74)</f>
        <v>1.7200000000000006</v>
      </c>
      <c r="D58" s="109">
        <f t="shared" ref="D58:S58" si="35">IF(ISBLANK(E74), D74, D74/E74)</f>
        <v>1.1499999999999997</v>
      </c>
      <c r="E58" s="109">
        <f t="shared" si="35"/>
        <v>1.0559999999999996</v>
      </c>
      <c r="F58" s="109">
        <f t="shared" si="35"/>
        <v>1.0359857340210368</v>
      </c>
      <c r="G58" s="109">
        <f t="shared" si="35"/>
        <v>1.0169472217307347</v>
      </c>
      <c r="H58" s="109">
        <f t="shared" si="35"/>
        <v>1.0134010752921587</v>
      </c>
      <c r="I58" s="109">
        <f t="shared" si="35"/>
        <v>1.0103015341755863</v>
      </c>
      <c r="J58" s="109">
        <f t="shared" si="35"/>
        <v>1.0088683840513335</v>
      </c>
      <c r="K58" s="109">
        <f t="shared" si="35"/>
        <v>1.0076724250985336</v>
      </c>
      <c r="L58" s="109">
        <f t="shared" si="35"/>
        <v>1.0066487731787117</v>
      </c>
      <c r="M58" s="109">
        <f t="shared" si="35"/>
        <v>1.0058028116716924</v>
      </c>
      <c r="N58" s="109">
        <f t="shared" si="35"/>
        <v>1.0050875537244011</v>
      </c>
      <c r="O58" s="109">
        <f t="shared" si="35"/>
        <v>1.0045206083077705</v>
      </c>
      <c r="P58" s="109">
        <f t="shared" si="35"/>
        <v>1.0040501960742363</v>
      </c>
      <c r="Q58" s="109">
        <f t="shared" si="35"/>
        <v>1.0036172585822389</v>
      </c>
      <c r="R58" s="109">
        <f t="shared" si="35"/>
        <v>1.003638615433651</v>
      </c>
      <c r="S58" s="109">
        <f t="shared" si="35"/>
        <v>1.0362486146364904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36">D32</f>
        <v>24 - 36</v>
      </c>
      <c r="E60" s="108" t="str">
        <f t="shared" si="36"/>
        <v>36 - 48</v>
      </c>
      <c r="F60" s="108" t="str">
        <f t="shared" si="36"/>
        <v>48 - 60</v>
      </c>
      <c r="G60" s="108" t="str">
        <f t="shared" si="36"/>
        <v>60 - 72</v>
      </c>
      <c r="H60" s="108" t="str">
        <f t="shared" si="36"/>
        <v>72 - 84</v>
      </c>
      <c r="I60" s="108" t="str">
        <f t="shared" si="36"/>
        <v>84 - 96</v>
      </c>
      <c r="J60" s="108" t="str">
        <f t="shared" si="36"/>
        <v>96 - 108</v>
      </c>
      <c r="K60" s="108" t="str">
        <f t="shared" si="36"/>
        <v>108 - 120</v>
      </c>
      <c r="L60" s="108" t="str">
        <f t="shared" si="36"/>
        <v>120 - 132</v>
      </c>
      <c r="M60" s="108" t="str">
        <f t="shared" si="36"/>
        <v>132 - 144</v>
      </c>
      <c r="N60" s="108" t="str">
        <f t="shared" si="36"/>
        <v>144 - 156</v>
      </c>
      <c r="O60" s="108" t="str">
        <f t="shared" si="36"/>
        <v>156 - 168</v>
      </c>
      <c r="P60" s="108" t="str">
        <f t="shared" si="36"/>
        <v>168 - 180</v>
      </c>
      <c r="Q60" s="108" t="str">
        <f t="shared" si="36"/>
        <v>180 - 192</v>
      </c>
      <c r="R60" s="108" t="str">
        <f t="shared" si="36"/>
        <v>192 - 204</v>
      </c>
      <c r="S60" s="108" t="str">
        <f t="shared" si="36"/>
        <v>204 - ULT</v>
      </c>
    </row>
    <row r="61" spans="1:19" x14ac:dyDescent="0.2">
      <c r="A61" s="3" t="s">
        <v>106</v>
      </c>
      <c r="C61" s="109">
        <f>C58</f>
        <v>1.7200000000000006</v>
      </c>
      <c r="D61" s="109">
        <v>1.17</v>
      </c>
      <c r="E61" s="109">
        <f t="shared" ref="E61:S61" si="37">E58</f>
        <v>1.0559999999999996</v>
      </c>
      <c r="F61" s="109">
        <v>1.032</v>
      </c>
      <c r="G61" s="109">
        <f t="shared" si="37"/>
        <v>1.0169472217307347</v>
      </c>
      <c r="H61" s="109">
        <f t="shared" si="37"/>
        <v>1.0134010752921587</v>
      </c>
      <c r="I61" s="109">
        <f t="shared" si="37"/>
        <v>1.0103015341755863</v>
      </c>
      <c r="J61" s="109">
        <f t="shared" si="37"/>
        <v>1.0088683840513335</v>
      </c>
      <c r="K61" s="109">
        <f t="shared" si="37"/>
        <v>1.0076724250985336</v>
      </c>
      <c r="L61" s="109">
        <f t="shared" si="37"/>
        <v>1.0066487731787117</v>
      </c>
      <c r="M61" s="109">
        <f t="shared" si="37"/>
        <v>1.0058028116716924</v>
      </c>
      <c r="N61" s="109">
        <f t="shared" si="37"/>
        <v>1.0050875537244011</v>
      </c>
      <c r="O61" s="109">
        <f t="shared" si="37"/>
        <v>1.0045206083077705</v>
      </c>
      <c r="P61" s="109">
        <f t="shared" si="37"/>
        <v>1.0040501960742363</v>
      </c>
      <c r="Q61" s="109">
        <f t="shared" si="37"/>
        <v>1.0036172585822389</v>
      </c>
      <c r="R61" s="109">
        <f t="shared" si="37"/>
        <v>1.003638615433651</v>
      </c>
      <c r="S61" s="109">
        <f t="shared" si="37"/>
        <v>1.0362486146364904</v>
      </c>
    </row>
    <row r="62" spans="1:19" x14ac:dyDescent="0.2">
      <c r="A62" s="3" t="s">
        <v>107</v>
      </c>
      <c r="C62" s="109">
        <f>PRODUCT(C61:$S$61)</f>
        <v>2.4869155047712126</v>
      </c>
      <c r="D62" s="109">
        <f>PRODUCT(D61:$S$61)</f>
        <v>1.4458811074251232</v>
      </c>
      <c r="E62" s="109">
        <f>PRODUCT(E61:$S$61)</f>
        <v>1.2357958183120712</v>
      </c>
      <c r="F62" s="109">
        <f>PRODUCT(F61:$S$61)</f>
        <v>1.1702611915834011</v>
      </c>
      <c r="G62" s="109">
        <f>PRODUCT(G61:$S$61)</f>
        <v>1.1339740228521331</v>
      </c>
      <c r="H62" s="109">
        <f>PRODUCT(H61:$S$61)</f>
        <v>1.1150765729240411</v>
      </c>
      <c r="I62" s="109">
        <f>PRODUCT(I61:$S$61)</f>
        <v>1.1003309549504574</v>
      </c>
      <c r="J62" s="109">
        <f>PRODUCT(J61:$S$61)</f>
        <v>1.0891114362687133</v>
      </c>
      <c r="K62" s="109">
        <f>PRODUCT(K61:$S$61)</f>
        <v>1.0795376815111859</v>
      </c>
      <c r="L62" s="109">
        <f>PRODUCT(L61:$S$61)</f>
        <v>1.0713180738329968</v>
      </c>
      <c r="M62" s="109">
        <f>PRODUCT(M61:$S$61)</f>
        <v>1.0642421690438046</v>
      </c>
      <c r="N62" s="109">
        <f>PRODUCT(N61:$S$61)</f>
        <v>1.0581022012406023</v>
      </c>
      <c r="O62" s="109">
        <f>PRODUCT(O61:$S$61)</f>
        <v>1.0527462978919129</v>
      </c>
      <c r="P62" s="109">
        <f>PRODUCT(P61:$S$61)</f>
        <v>1.0480086612313348</v>
      </c>
      <c r="Q62" s="109">
        <f>PRODUCT(Q61:$S$61)</f>
        <v>1.043781142943822</v>
      </c>
      <c r="R62" s="109">
        <f>PRODUCT(R61:$S$61)</f>
        <v>1.0400191248388062</v>
      </c>
      <c r="S62" s="109">
        <f>PRODUCT(S61:$S$61)</f>
        <v>1.0362486146364904</v>
      </c>
    </row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38">C11</f>
        <v>12</v>
      </c>
      <c r="D72" s="82">
        <f t="shared" si="38"/>
        <v>24</v>
      </c>
      <c r="E72" s="82">
        <f t="shared" si="38"/>
        <v>36</v>
      </c>
      <c r="F72" s="82">
        <f t="shared" si="38"/>
        <v>48</v>
      </c>
      <c r="G72" s="82">
        <f t="shared" si="38"/>
        <v>60</v>
      </c>
      <c r="H72" s="82">
        <f t="shared" si="38"/>
        <v>72</v>
      </c>
      <c r="I72" s="82">
        <f t="shared" si="38"/>
        <v>84</v>
      </c>
      <c r="J72" s="82">
        <f t="shared" si="38"/>
        <v>96</v>
      </c>
      <c r="K72" s="82">
        <f t="shared" si="38"/>
        <v>108</v>
      </c>
      <c r="L72" s="82">
        <f t="shared" si="38"/>
        <v>120</v>
      </c>
      <c r="M72" s="82">
        <f t="shared" si="38"/>
        <v>132</v>
      </c>
      <c r="N72" s="82">
        <f t="shared" si="38"/>
        <v>144</v>
      </c>
      <c r="O72" s="82">
        <f t="shared" si="38"/>
        <v>156</v>
      </c>
      <c r="P72" s="82">
        <f t="shared" si="38"/>
        <v>168</v>
      </c>
      <c r="Q72" s="82">
        <f t="shared" si="38"/>
        <v>180</v>
      </c>
      <c r="R72" s="82">
        <f t="shared" si="38"/>
        <v>192</v>
      </c>
      <c r="S72" s="82">
        <f t="shared" si="38"/>
        <v>204</v>
      </c>
    </row>
    <row r="73" spans="1:21" x14ac:dyDescent="0.2">
      <c r="A73" s="3" t="s">
        <v>104</v>
      </c>
      <c r="C73" s="118">
        <f t="shared" ref="C73:S73" si="39">VLOOKUP(C$72, indldfs, $U73, FALSE)</f>
        <v>1.8750985061332863</v>
      </c>
      <c r="D73" s="118">
        <f t="shared" si="39"/>
        <v>1.3574770058700349</v>
      </c>
      <c r="E73" s="118">
        <f t="shared" si="39"/>
        <v>1.2250348691373163</v>
      </c>
      <c r="F73" s="118">
        <f t="shared" si="39"/>
        <v>1.1653834686978055</v>
      </c>
      <c r="G73" s="118">
        <f t="shared" si="39"/>
        <v>1.1329104626311983</v>
      </c>
      <c r="H73" s="118">
        <f t="shared" si="39"/>
        <v>1.112784805278022</v>
      </c>
      <c r="I73" s="118">
        <f t="shared" si="39"/>
        <v>1.0967811362306901</v>
      </c>
      <c r="J73" s="118">
        <f t="shared" si="39"/>
        <v>1.0846184724561156</v>
      </c>
      <c r="K73" s="118">
        <f t="shared" si="39"/>
        <v>1.0748183540631089</v>
      </c>
      <c r="L73" s="118">
        <f t="shared" si="39"/>
        <v>1.0667289659847836</v>
      </c>
      <c r="M73" s="118">
        <f t="shared" si="39"/>
        <v>1.0598917482609367</v>
      </c>
      <c r="N73" s="118">
        <f t="shared" si="39"/>
        <v>1.0541309161172696</v>
      </c>
      <c r="O73" s="118">
        <f t="shared" si="39"/>
        <v>1.0491381524512784</v>
      </c>
      <c r="P73" s="118">
        <f t="shared" si="39"/>
        <v>1.0448558993048245</v>
      </c>
      <c r="Q73" s="118">
        <f t="shared" si="39"/>
        <v>1.0408626543033195</v>
      </c>
      <c r="R73" s="118">
        <f t="shared" si="39"/>
        <v>1.0374691564359939</v>
      </c>
      <c r="S73" s="118">
        <f t="shared" si="39"/>
        <v>1.0344831716225504</v>
      </c>
      <c r="U73" s="3">
        <f>MATCH($C$1, 'Industry LDF'!$A$5:$M$5, 0)</f>
        <v>2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2.453844772707138</v>
      </c>
      <c r="D74" s="111">
        <f>[1]!ldfsir(prldfs, prldf_ages, prldf_type, prldf_ret, D$72, $U$75, $U$74, prldf_cutoff, 3)</f>
        <v>1.4266539376204286</v>
      </c>
      <c r="E74" s="111">
        <f>[1]!ldfsir(prldfs, prldf_ages, prldf_type, prldf_ret, E$72, $U$75, $U$74, prldf_cutoff, 3)</f>
        <v>1.2405686414090686</v>
      </c>
      <c r="F74" s="111">
        <f>[1]!ldfsir(prldfs, prldf_ages, prldf_type, prldf_ret, F$72, $U$75, $U$74, prldf_cutoff, 3)</f>
        <v>1.1747809104252549</v>
      </c>
      <c r="G74" s="111">
        <f>[1]!ldfsir(prldfs, prldf_ages, prldf_type, prldf_ret, G$72, $U$75, $U$74, prldf_cutoff, 3)</f>
        <v>1.1339740228521329</v>
      </c>
      <c r="H74" s="111">
        <f>[1]!ldfsir(prldfs, prldf_ages, prldf_type, prldf_ret, H$72, $U$75, $U$74, prldf_cutoff, 3)</f>
        <v>1.1150765729240413</v>
      </c>
      <c r="I74" s="111">
        <f>[1]!ldfsir(prldfs, prldf_ages, prldf_type, prldf_ret, I$72, $U$75, $U$74, prldf_cutoff, 3)</f>
        <v>1.1003309549504572</v>
      </c>
      <c r="J74" s="111">
        <f>[1]!ldfsir(prldfs, prldf_ages, prldf_type, prldf_ret, J$72, $U$75, $U$74, prldf_cutoff, 3)</f>
        <v>1.0891114362687131</v>
      </c>
      <c r="K74" s="111">
        <f>[1]!ldfsir(prldfs, prldf_ages, prldf_type, prldf_ret, K$72, $U$75, $U$74, prldf_cutoff, 3)</f>
        <v>1.0795376815111857</v>
      </c>
      <c r="L74" s="111">
        <f>[1]!ldfsir(prldfs, prldf_ages, prldf_type, prldf_ret, L$72, $U$75, $U$74, prldf_cutoff, 3)</f>
        <v>1.0713180738329968</v>
      </c>
      <c r="M74" s="111">
        <f>[1]!ldfsir(prldfs, prldf_ages, prldf_type, prldf_ret, M$72, $U$75, $U$74, prldf_cutoff, 3)</f>
        <v>1.0642421690438044</v>
      </c>
      <c r="N74" s="111">
        <f>[1]!ldfsir(prldfs, prldf_ages, prldf_type, prldf_ret, N$72, $U$75, $U$74, prldf_cutoff, 3)</f>
        <v>1.0581022012406021</v>
      </c>
      <c r="O74" s="111">
        <f>[1]!ldfsir(prldfs, prldf_ages, prldf_type, prldf_ret, O$72, $U$75, $U$74, prldf_cutoff, 3)</f>
        <v>1.0527462978919127</v>
      </c>
      <c r="P74" s="111">
        <f>[1]!ldfsir(prldfs, prldf_ages, prldf_type, prldf_ret, P$72, $U$75, $U$74, prldf_cutoff, 3)</f>
        <v>1.0480086612313348</v>
      </c>
      <c r="Q74" s="111">
        <f>[1]!ldfsir(prldfs, prldf_ages, prldf_type, prldf_ret, Q$72, $U$75, $U$74, prldf_cutoff, 3)</f>
        <v>1.043781142943822</v>
      </c>
      <c r="R74" s="111">
        <f>[1]!ldfsir(prldfs, prldf_ages, prldf_type, prldf_ret, R$72, $U$75, $U$74, prldf_cutoff, 3)</f>
        <v>1.0400191248388062</v>
      </c>
      <c r="S74" s="111">
        <f>[1]!ldfsir(prldfs, prldf_ages, prldf_type, prldf_ret, S$72, $U$75, $U$74, prldf_cutoff, 3)</f>
        <v>1.0362486146364904</v>
      </c>
      <c r="U74" s="105">
        <v>10000000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93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40">D61&gt;=E61</f>
        <v>1</v>
      </c>
      <c r="E78" s="1" t="b">
        <f t="shared" si="40"/>
        <v>1</v>
      </c>
      <c r="F78" s="1" t="b">
        <f t="shared" si="40"/>
        <v>1</v>
      </c>
      <c r="G78" s="1" t="b">
        <f t="shared" si="40"/>
        <v>1</v>
      </c>
      <c r="H78" s="1" t="b">
        <f t="shared" si="40"/>
        <v>1</v>
      </c>
      <c r="I78" s="1" t="b">
        <f t="shared" si="40"/>
        <v>1</v>
      </c>
      <c r="J78" s="1" t="b">
        <f t="shared" si="40"/>
        <v>1</v>
      </c>
      <c r="K78" s="1" t="b">
        <f t="shared" si="40"/>
        <v>1</v>
      </c>
      <c r="L78" s="1" t="b">
        <f t="shared" si="40"/>
        <v>1</v>
      </c>
      <c r="M78" s="1" t="b">
        <f t="shared" si="40"/>
        <v>1</v>
      </c>
      <c r="N78" s="1" t="b">
        <f t="shared" si="40"/>
        <v>1</v>
      </c>
      <c r="O78" s="1" t="b">
        <f t="shared" si="40"/>
        <v>1</v>
      </c>
      <c r="P78" s="1" t="b">
        <f t="shared" si="40"/>
        <v>1</v>
      </c>
      <c r="Q78" s="1" t="b">
        <f t="shared" si="40"/>
        <v>0</v>
      </c>
    </row>
    <row r="79" spans="1:21" x14ac:dyDescent="0.2">
      <c r="A79" s="3" t="s">
        <v>174</v>
      </c>
      <c r="C79" s="1" t="b">
        <f>C61&lt;='e8.8'!C61</f>
        <v>1</v>
      </c>
      <c r="D79" s="1" t="b">
        <f>D61&lt;='e8.8'!D61</f>
        <v>1</v>
      </c>
      <c r="E79" s="1" t="b">
        <f>E61&lt;='e8.8'!E61</f>
        <v>1</v>
      </c>
      <c r="F79" s="1" t="b">
        <f>F61&lt;='e8.8'!F61</f>
        <v>1</v>
      </c>
      <c r="G79" s="1" t="b">
        <f>G61&lt;='e8.8'!G61</f>
        <v>1</v>
      </c>
      <c r="H79" s="1" t="b">
        <f>H61&lt;='e8.8'!H61</f>
        <v>1</v>
      </c>
      <c r="I79" s="1" t="b">
        <f>I61&lt;='e8.8'!I61</f>
        <v>1</v>
      </c>
      <c r="J79" s="1" t="b">
        <f>J61&lt;='e8.8'!J61</f>
        <v>1</v>
      </c>
      <c r="K79" s="1" t="b">
        <f>K61&lt;='e8.8'!K61</f>
        <v>1</v>
      </c>
      <c r="L79" s="1" t="b">
        <f>L61&lt;='e8.8'!L61</f>
        <v>1</v>
      </c>
      <c r="M79" s="1" t="b">
        <f>M61&lt;='e8.8'!M61</f>
        <v>1</v>
      </c>
      <c r="N79" s="1" t="b">
        <f>N61&lt;='e8.8'!N61</f>
        <v>1</v>
      </c>
      <c r="O79" s="1" t="b">
        <f>O61&lt;='e8.8'!O61</f>
        <v>1</v>
      </c>
      <c r="P79" s="1" t="b">
        <f>P61&lt;='e8.8'!P61</f>
        <v>1</v>
      </c>
      <c r="Q79" s="1" t="b">
        <f>Q61&lt;='e8.8'!Q61</f>
        <v>1</v>
      </c>
      <c r="R79" s="1" t="b">
        <f>R61&lt;='e8.8'!R61</f>
        <v>1</v>
      </c>
      <c r="S79" s="1" t="b">
        <f>S61&lt;='e8.8'!S61</f>
        <v>1</v>
      </c>
    </row>
    <row r="80" spans="1:21" x14ac:dyDescent="0.2">
      <c r="A80" s="3" t="s">
        <v>90</v>
      </c>
      <c r="C80" s="1" t="b">
        <f>C61&gt;='e8.5'!C61</f>
        <v>1</v>
      </c>
      <c r="D80" s="1" t="b">
        <f>D61&gt;='e8.5'!D61</f>
        <v>1</v>
      </c>
      <c r="E80" s="1" t="b">
        <f>E61&gt;='e8.5'!E61</f>
        <v>1</v>
      </c>
      <c r="F80" s="1" t="b">
        <f>F61&gt;='e8.5'!F61</f>
        <v>1</v>
      </c>
      <c r="G80" s="1" t="b">
        <f>G61&gt;='e8.5'!G61</f>
        <v>1</v>
      </c>
      <c r="H80" s="1" t="b">
        <f>H61&gt;='e8.5'!H61</f>
        <v>1</v>
      </c>
      <c r="I80" s="1" t="b">
        <f>I61&gt;='e8.5'!I61</f>
        <v>1</v>
      </c>
      <c r="J80" s="1" t="b">
        <f>J61&gt;='e8.5'!J61</f>
        <v>1</v>
      </c>
      <c r="K80" s="1" t="b">
        <f>K61&gt;='e8.5'!K61</f>
        <v>1</v>
      </c>
      <c r="L80" s="1" t="b">
        <f>L61&gt;='e8.5'!L61</f>
        <v>1</v>
      </c>
      <c r="M80" s="1" t="b">
        <f>M61&gt;='e8.5'!M61</f>
        <v>1</v>
      </c>
      <c r="N80" s="1" t="b">
        <f>N61&gt;='e8.5'!N61</f>
        <v>1</v>
      </c>
      <c r="O80" s="1" t="b">
        <f>O61&gt;='e8.5'!O61</f>
        <v>1</v>
      </c>
      <c r="P80" s="1" t="b">
        <f>P61&gt;='e8.5'!P61</f>
        <v>1</v>
      </c>
      <c r="Q80" s="1" t="b">
        <f>Q61&gt;='e8.5'!Q61</f>
        <v>1</v>
      </c>
      <c r="R80" s="1" t="b">
        <f>R61&gt;='e8.5'!R61</f>
        <v>1</v>
      </c>
      <c r="S80" s="1" t="b">
        <f>S61&gt;='e8.5'!S61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7
</oddHeader>
    <oddFooter xml:space="preserve">&amp;L&amp;"Arial"&amp;10 Oliver Wyman Actuarial Consulting, Inc.
&amp;C&amp;"Arial"&amp;10 &amp;R&amp;"Arial"&amp;10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266-C5E5-4FC6-A7DA-9EE7894945D7}">
  <sheetPr>
    <tabColor rgb="FFFFFF00"/>
    <pageSetUpPr fitToPage="1"/>
  </sheetPr>
  <dimension ref="A1:M45"/>
  <sheetViews>
    <sheetView zoomScale="85" zoomScaleNormal="85" workbookViewId="0"/>
  </sheetViews>
  <sheetFormatPr defaultColWidth="9" defaultRowHeight="12.75" x14ac:dyDescent="0.2"/>
  <cols>
    <col min="1" max="3" width="9" style="222"/>
    <col min="4" max="4" width="10.75" style="222" customWidth="1"/>
    <col min="5" max="5" width="5.625" style="222" customWidth="1"/>
    <col min="6" max="6" width="10.5" style="222" customWidth="1"/>
    <col min="7" max="7" width="5.625" style="222" customWidth="1"/>
    <col min="8" max="8" width="10.75" style="222" customWidth="1"/>
    <col min="9" max="9" width="2.625" style="222" customWidth="1"/>
    <col min="10" max="18" width="9" style="222"/>
    <col min="19" max="19" width="25.625" style="222" customWidth="1"/>
    <col min="20" max="21" width="15.625" style="222" customWidth="1"/>
    <col min="22" max="16384" width="9" style="222"/>
  </cols>
  <sheetData>
    <row r="1" spans="1:13" x14ac:dyDescent="0.2">
      <c r="A1" s="1" t="str">
        <f>[1]!getlabels()</f>
        <v>Exhibit 1, Sheet 1A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</row>
    <row r="6" spans="1:13" x14ac:dyDescent="0.2">
      <c r="G6" s="224"/>
      <c r="H6" s="224"/>
    </row>
    <row r="7" spans="1:13" x14ac:dyDescent="0.2">
      <c r="A7" s="224" t="str">
        <f>"Total Estimated Unpaid Loss and ALAE as of "&amp;rtxt_l</f>
        <v>Total Estimated Unpaid Loss and ALAE as of June 30, 2019</v>
      </c>
      <c r="B7" s="224"/>
      <c r="C7" s="224"/>
      <c r="D7" s="224"/>
      <c r="E7" s="224"/>
      <c r="F7" s="224"/>
      <c r="G7" s="224"/>
      <c r="H7" s="224"/>
    </row>
    <row r="10" spans="1:13" x14ac:dyDescent="0.2">
      <c r="D10" s="370"/>
      <c r="F10" s="342" t="s">
        <v>532</v>
      </c>
    </row>
    <row r="11" spans="1:13" x14ac:dyDescent="0.2">
      <c r="D11" s="370" t="s">
        <v>523</v>
      </c>
      <c r="F11" s="370" t="s">
        <v>533</v>
      </c>
      <c r="H11" s="370" t="s">
        <v>534</v>
      </c>
      <c r="K11" s="370" t="s">
        <v>538</v>
      </c>
      <c r="L11" s="267"/>
    </row>
    <row r="12" spans="1:13" x14ac:dyDescent="0.2">
      <c r="D12" s="343" t="s">
        <v>8</v>
      </c>
      <c r="F12" s="251" t="s">
        <v>530</v>
      </c>
      <c r="H12" s="343" t="s">
        <v>8</v>
      </c>
      <c r="K12" s="343" t="s">
        <v>338</v>
      </c>
      <c r="L12" s="343" t="s">
        <v>18</v>
      </c>
      <c r="M12" s="343" t="s">
        <v>56</v>
      </c>
    </row>
    <row r="13" spans="1:13" x14ac:dyDescent="0.2">
      <c r="D13" s="288">
        <v>1</v>
      </c>
      <c r="F13" s="288">
        <f>D13+1</f>
        <v>2</v>
      </c>
      <c r="H13" s="288">
        <f>F13+1</f>
        <v>3</v>
      </c>
    </row>
    <row r="15" spans="1:13" x14ac:dyDescent="0.2">
      <c r="A15" s="390" t="s">
        <v>560</v>
      </c>
    </row>
    <row r="17" spans="1:13" x14ac:dyDescent="0.2">
      <c r="A17" s="391" t="s">
        <v>524</v>
      </c>
      <c r="D17" s="389">
        <f ca="1">'e1.2A'!G42</f>
        <v>13089609.795456514</v>
      </c>
      <c r="F17" s="324">
        <f ca="1">H17/D17</f>
        <v>0.8915435261320257</v>
      </c>
      <c r="H17" s="389">
        <f ca="1">'e1.2A'!K42</f>
        <v>11669956.872733604</v>
      </c>
    </row>
    <row r="18" spans="1:13" hidden="1" x14ac:dyDescent="0.2">
      <c r="A18" s="391" t="s">
        <v>525</v>
      </c>
      <c r="D18" s="290">
        <f ca="1">$D$17 * K18</f>
        <v>12978961.619183673</v>
      </c>
      <c r="F18" s="236">
        <f ca="1">F17</f>
        <v>0.8915435261320257</v>
      </c>
      <c r="H18" s="290">
        <f ca="1">D18*F18</f>
        <v>11571309.207499238</v>
      </c>
      <c r="J18" s="393">
        <v>0.5</v>
      </c>
      <c r="K18" s="394">
        <f>L18</f>
        <v>0.99154686976908601</v>
      </c>
      <c r="L18" s="332">
        <v>0.99154686976908601</v>
      </c>
      <c r="M18" s="388">
        <f>K18/L18-1</f>
        <v>0</v>
      </c>
    </row>
    <row r="19" spans="1:13" hidden="1" x14ac:dyDescent="0.2">
      <c r="A19" s="391" t="s">
        <v>526</v>
      </c>
      <c r="D19" s="290">
        <f ca="1">$D$17 * K19</f>
        <v>13515829.03380806</v>
      </c>
      <c r="F19" s="236">
        <f ca="1">F18</f>
        <v>0.8915435261320257</v>
      </c>
      <c r="H19" s="290">
        <f ca="1">D19*F19</f>
        <v>12049949.875398848</v>
      </c>
      <c r="J19" s="393">
        <v>0.6</v>
      </c>
      <c r="K19" s="394">
        <f t="shared" ref="K19:K22" si="0">L19</f>
        <v>1.0325616458406186</v>
      </c>
      <c r="L19" s="332">
        <v>1.0325616458406186</v>
      </c>
      <c r="M19" s="388">
        <f>K19/L19-1</f>
        <v>0</v>
      </c>
    </row>
    <row r="20" spans="1:13" hidden="1" x14ac:dyDescent="0.2">
      <c r="A20" s="391" t="s">
        <v>527</v>
      </c>
      <c r="D20" s="290">
        <f ca="1">$D$17 * K20</f>
        <v>14100034.948791027</v>
      </c>
      <c r="F20" s="236">
        <f ca="1">F19</f>
        <v>0.8915435261320257</v>
      </c>
      <c r="H20" s="290">
        <f ca="1">D20*F20</f>
        <v>12570794.876829948</v>
      </c>
      <c r="J20" s="393">
        <v>0.7</v>
      </c>
      <c r="K20" s="394">
        <f t="shared" si="0"/>
        <v>1.0771929162995553</v>
      </c>
      <c r="L20" s="332">
        <v>1.0771929162995553</v>
      </c>
      <c r="M20" s="388">
        <f>K20/L20-1</f>
        <v>0</v>
      </c>
    </row>
    <row r="21" spans="1:13" hidden="1" x14ac:dyDescent="0.2">
      <c r="A21" s="391" t="s">
        <v>528</v>
      </c>
      <c r="D21" s="290">
        <f ca="1">$D$17 * K21</f>
        <v>14750087.017936055</v>
      </c>
      <c r="F21" s="236">
        <f ca="1">F20</f>
        <v>0.8915435261320257</v>
      </c>
      <c r="H21" s="290">
        <f ca="1">D21*F21</f>
        <v>13150344.590724926</v>
      </c>
      <c r="J21" s="393">
        <v>0.8</v>
      </c>
      <c r="K21" s="394">
        <f t="shared" si="0"/>
        <v>1.1268546005898437</v>
      </c>
      <c r="L21" s="332">
        <v>1.1268546005898437</v>
      </c>
      <c r="M21" s="388">
        <f>K21/L21-1</f>
        <v>0</v>
      </c>
    </row>
    <row r="22" spans="1:13" hidden="1" x14ac:dyDescent="0.2">
      <c r="A22" s="391" t="s">
        <v>529</v>
      </c>
      <c r="D22" s="290">
        <f ca="1">$D$17 * K22</f>
        <v>15762559.140275883</v>
      </c>
      <c r="F22" s="236">
        <f ca="1">F21</f>
        <v>0.8915435261320257</v>
      </c>
      <c r="H22" s="290">
        <f ca="1">D22*F22</f>
        <v>14053007.556786152</v>
      </c>
      <c r="J22" s="393">
        <v>0.9</v>
      </c>
      <c r="K22" s="394">
        <f t="shared" si="0"/>
        <v>1.2042038980984113</v>
      </c>
      <c r="L22" s="332">
        <v>1.2042038980984113</v>
      </c>
      <c r="M22" s="388">
        <f>K22/L22-1</f>
        <v>0</v>
      </c>
    </row>
    <row r="25" spans="1:13" x14ac:dyDescent="0.2">
      <c r="A25" s="392" t="s">
        <v>535</v>
      </c>
    </row>
    <row r="27" spans="1:13" x14ac:dyDescent="0.2">
      <c r="A27" s="391" t="s">
        <v>524</v>
      </c>
      <c r="D27" s="389">
        <f ca="1">'e1.2B'!G42</f>
        <v>3652958.2639500625</v>
      </c>
      <c r="F27" s="324">
        <f ca="1">H27/D27</f>
        <v>0.84668452907159908</v>
      </c>
      <c r="H27" s="389">
        <f ca="1">'e1.2B'!K42</f>
        <v>3092903.2474307646</v>
      </c>
    </row>
    <row r="30" spans="1:13" x14ac:dyDescent="0.2">
      <c r="A30" s="392" t="s">
        <v>536</v>
      </c>
    </row>
    <row r="32" spans="1:13" x14ac:dyDescent="0.2">
      <c r="A32" s="391" t="s">
        <v>524</v>
      </c>
      <c r="D32" s="289">
        <f ca="1">D17+D27</f>
        <v>16742568.059406577</v>
      </c>
      <c r="F32" s="324">
        <f ca="1">H32/D32</f>
        <v>0.88175601662673619</v>
      </c>
      <c r="H32" s="289">
        <f ca="1">H17+H27</f>
        <v>14762860.120164368</v>
      </c>
    </row>
    <row r="33" spans="1:13" hidden="1" x14ac:dyDescent="0.2">
      <c r="A33" s="391" t="s">
        <v>525</v>
      </c>
      <c r="D33" s="290">
        <f ca="1">$D$32 * K33</f>
        <v>16269966.785557361</v>
      </c>
      <c r="F33" s="236">
        <f ca="1">F32</f>
        <v>0.88175601662673619</v>
      </c>
      <c r="H33" s="290">
        <f ca="1">D33*F33</f>
        <v>14346141.103482362</v>
      </c>
      <c r="J33" s="393">
        <v>0.5</v>
      </c>
      <c r="K33" s="394">
        <f>L33</f>
        <v>0.97177247408089873</v>
      </c>
      <c r="L33" s="332">
        <v>0.97177247408089873</v>
      </c>
      <c r="M33" s="388">
        <f>K33/L33-1</f>
        <v>0</v>
      </c>
    </row>
    <row r="34" spans="1:13" hidden="1" x14ac:dyDescent="0.2">
      <c r="A34" s="391" t="s">
        <v>526</v>
      </c>
      <c r="D34" s="290">
        <f ca="1">$D$32 * K34</f>
        <v>17097642.341011163</v>
      </c>
      <c r="F34" s="236">
        <f ca="1">F33</f>
        <v>0.88175601662673619</v>
      </c>
      <c r="H34" s="290">
        <f ca="1">D34*F34</f>
        <v>15075949.004318628</v>
      </c>
      <c r="J34" s="393">
        <v>0.6</v>
      </c>
      <c r="K34" s="394">
        <f t="shared" ref="K34:K37" si="1">L34</f>
        <v>1.0212078744637441</v>
      </c>
      <c r="L34" s="332">
        <v>1.0212078744637441</v>
      </c>
      <c r="M34" s="388">
        <f>K34/L34-1</f>
        <v>0</v>
      </c>
    </row>
    <row r="35" spans="1:13" hidden="1" x14ac:dyDescent="0.2">
      <c r="A35" s="391" t="s">
        <v>527</v>
      </c>
      <c r="D35" s="290">
        <f ca="1">$D$32 * K35</f>
        <v>18084293.791572243</v>
      </c>
      <c r="F35" s="236">
        <f ca="1">F34</f>
        <v>0.88175601662673619</v>
      </c>
      <c r="H35" s="290">
        <f ca="1">D35*F35</f>
        <v>15945934.857164357</v>
      </c>
      <c r="J35" s="393">
        <v>0.7</v>
      </c>
      <c r="K35" s="394">
        <f t="shared" si="1"/>
        <v>1.0801385861120532</v>
      </c>
      <c r="L35" s="332">
        <v>1.0801385861120532</v>
      </c>
      <c r="M35" s="388">
        <f>K35/L35-1</f>
        <v>0</v>
      </c>
    </row>
    <row r="36" spans="1:13" hidden="1" x14ac:dyDescent="0.2">
      <c r="A36" s="391" t="s">
        <v>528</v>
      </c>
      <c r="D36" s="290">
        <f ca="1">$D$32 * K36</f>
        <v>19288883.6979887</v>
      </c>
      <c r="F36" s="236">
        <f ca="1">F35</f>
        <v>0.88175601662673619</v>
      </c>
      <c r="H36" s="290">
        <f ca="1">D36*F36</f>
        <v>17008089.254714906</v>
      </c>
      <c r="J36" s="393">
        <v>0.8</v>
      </c>
      <c r="K36" s="394">
        <f t="shared" si="1"/>
        <v>1.1520863244842245</v>
      </c>
      <c r="L36" s="332">
        <v>1.1520863244842245</v>
      </c>
      <c r="M36" s="388">
        <f>K36/L36-1</f>
        <v>0</v>
      </c>
    </row>
    <row r="37" spans="1:13" hidden="1" x14ac:dyDescent="0.2">
      <c r="A37" s="391" t="s">
        <v>529</v>
      </c>
      <c r="D37" s="290">
        <f ca="1">$D$32 * K37</f>
        <v>21207942.42777063</v>
      </c>
      <c r="F37" s="236">
        <f ca="1">F36</f>
        <v>0.88175601662673619</v>
      </c>
      <c r="H37" s="290">
        <f ca="1">D37*F37</f>
        <v>18700230.835960183</v>
      </c>
      <c r="J37" s="393">
        <v>0.9</v>
      </c>
      <c r="K37" s="394">
        <f t="shared" si="1"/>
        <v>1.2667078522553918</v>
      </c>
      <c r="L37" s="332">
        <v>1.2667078522553918</v>
      </c>
      <c r="M37" s="388">
        <f>K37/L37-1</f>
        <v>0</v>
      </c>
    </row>
    <row r="40" spans="1:13" x14ac:dyDescent="0.2">
      <c r="A40" s="327" t="s">
        <v>83</v>
      </c>
    </row>
    <row r="41" spans="1:13" x14ac:dyDescent="0.2">
      <c r="A41" s="327" t="s">
        <v>732</v>
      </c>
    </row>
    <row r="42" spans="1:13" x14ac:dyDescent="0.2">
      <c r="A42" s="327" t="s">
        <v>733</v>
      </c>
    </row>
    <row r="43" spans="1:13" x14ac:dyDescent="0.2">
      <c r="A43" s="327" t="s">
        <v>539</v>
      </c>
    </row>
    <row r="44" spans="1:13" x14ac:dyDescent="0.2">
      <c r="A44" s="327" t="s">
        <v>567</v>
      </c>
    </row>
    <row r="45" spans="1:13" hidden="1" x14ac:dyDescent="0.2">
      <c r="A45" s="327" t="s">
        <v>540</v>
      </c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1
Sheet 1A
</oddHeader>
    <oddFooter xml:space="preserve">&amp;L&amp;"Arial"&amp;10 Oliver Wyman Actuarial Consulting, Inc.
&amp;C&amp;"Arial"&amp;10 &amp;R&amp;"Arial"&amp;10 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2">
    <tabColor rgb="FF00B050"/>
    <pageSetUpPr fitToPage="1"/>
  </sheetPr>
  <dimension ref="A1:W80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9" width="10.25" style="1" customWidth="1"/>
    <col min="20" max="20" width="2.625" style="1" customWidth="1"/>
    <col min="21" max="21" width="10.25" style="1" customWidth="1"/>
    <col min="22" max="22" width="2.625" style="1" customWidth="1"/>
    <col min="23" max="16384" width="9" style="1"/>
  </cols>
  <sheetData>
    <row r="1" spans="1:23" x14ac:dyDescent="0.2">
      <c r="A1" s="1" t="str">
        <f>[1]!getlabels()</f>
        <v>Exhibit 8, Sheet 8</v>
      </c>
      <c r="C1" s="1" t="str">
        <f>VLOOKUP(A1, index_lkups, 2, FALSE)</f>
        <v>Paid Unl</v>
      </c>
    </row>
    <row r="2" spans="1:23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3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3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23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23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23" x14ac:dyDescent="0.2">
      <c r="A7" s="81" t="str">
        <f>VLOOKUP($A$1, index_lkups, 3, FALSE)</f>
        <v>Unlimited Paid Loss &amp; ALAE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10" spans="1:23" x14ac:dyDescent="0.2">
      <c r="A10" s="33" t="str">
        <f>Intro!$M$9</f>
        <v>Policy</v>
      </c>
      <c r="C10" s="1" t="s">
        <v>98</v>
      </c>
    </row>
    <row r="11" spans="1:23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O11" s="108">
        <f>N11+Intro!$U$2</f>
        <v>156</v>
      </c>
      <c r="P11" s="108">
        <f>O11+Intro!$U$2</f>
        <v>168</v>
      </c>
      <c r="Q11" s="108">
        <f>P11+Intro!$U$2</f>
        <v>180</v>
      </c>
      <c r="R11" s="108">
        <f>Q11+Intro!$U$2</f>
        <v>192</v>
      </c>
      <c r="S11" s="108">
        <f>R11+Intro!$U$2</f>
        <v>204</v>
      </c>
      <c r="U11" s="480" t="str">
        <f>tctxt</f>
        <v>4/30/19</v>
      </c>
      <c r="W11" s="82" t="s">
        <v>26</v>
      </c>
    </row>
    <row r="12" spans="1:23" ht="12.75" customHeight="1" x14ac:dyDescent="0.2"/>
    <row r="13" spans="1:23" ht="12.75" customHeight="1" x14ac:dyDescent="0.2">
      <c r="A13" s="3" t="str">
        <f>Intro!E25</f>
        <v>10/1/02-9/30/03</v>
      </c>
      <c r="C13" s="424" t="s">
        <v>73</v>
      </c>
      <c r="D13" s="424" t="s">
        <v>73</v>
      </c>
      <c r="E13" s="424">
        <v>889820</v>
      </c>
      <c r="F13" s="424">
        <v>986168</v>
      </c>
      <c r="G13" s="424">
        <v>1097393.1399999999</v>
      </c>
      <c r="H13" s="424">
        <v>1152952.29</v>
      </c>
      <c r="I13" s="424">
        <v>1458470.57</v>
      </c>
      <c r="J13" s="424">
        <v>1528554.2800000005</v>
      </c>
      <c r="K13" s="424">
        <v>1525481.6300000004</v>
      </c>
      <c r="L13" s="424">
        <v>1533168.1600000001</v>
      </c>
      <c r="M13" s="424">
        <v>1528643.62</v>
      </c>
      <c r="N13" s="424">
        <v>1529844.05</v>
      </c>
      <c r="O13" s="424">
        <v>1542984.3700000003</v>
      </c>
      <c r="P13" s="481">
        <v>1549114.1800000004</v>
      </c>
      <c r="Q13" s="481">
        <v>1527209.7200000004</v>
      </c>
      <c r="R13" s="424">
        <v>1499605.6200000003</v>
      </c>
      <c r="S13" s="482">
        <f>$U13</f>
        <v>1499605.6200000003</v>
      </c>
      <c r="U13" s="107">
        <f>'e7'!E23</f>
        <v>1499605.6200000003</v>
      </c>
      <c r="W13" s="3" t="str">
        <f>Intro!O25</f>
        <v>Broadspire</v>
      </c>
    </row>
    <row r="14" spans="1:23" ht="12.75" customHeight="1" x14ac:dyDescent="0.2">
      <c r="A14" s="3" t="str">
        <f>Intro!E26</f>
        <v>10/1/03-9/30/04</v>
      </c>
      <c r="C14" s="90" t="s">
        <v>73</v>
      </c>
      <c r="D14" s="424">
        <v>885706</v>
      </c>
      <c r="E14" s="90">
        <v>1174043</v>
      </c>
      <c r="F14" s="90">
        <v>1493567.14</v>
      </c>
      <c r="G14" s="90">
        <v>1914972.68</v>
      </c>
      <c r="H14" s="90">
        <v>2195707.2000000002</v>
      </c>
      <c r="I14" s="90">
        <v>2249527.9200000009</v>
      </c>
      <c r="J14" s="90">
        <v>2303249.8800000004</v>
      </c>
      <c r="K14" s="90">
        <v>2334159.1599999988</v>
      </c>
      <c r="L14" s="90">
        <v>2396697.4299999988</v>
      </c>
      <c r="M14" s="90">
        <v>2429567.0099999988</v>
      </c>
      <c r="N14" s="90">
        <v>2447437.2100000004</v>
      </c>
      <c r="O14" s="90">
        <v>2462487.6800000002</v>
      </c>
      <c r="P14" s="90">
        <v>2475166.6200000006</v>
      </c>
      <c r="Q14" s="90">
        <v>2591184.7000000002</v>
      </c>
      <c r="R14" s="107">
        <f>$U14</f>
        <v>2598610.1500000004</v>
      </c>
      <c r="S14" s="90"/>
      <c r="U14" s="107">
        <f>'e7'!E24</f>
        <v>2598610.1500000004</v>
      </c>
      <c r="W14" s="3" t="str">
        <f>Intro!O26</f>
        <v>Broadspire</v>
      </c>
    </row>
    <row r="15" spans="1:23" ht="12.75" customHeight="1" x14ac:dyDescent="0.2">
      <c r="A15" s="3" t="str">
        <f>Intro!E27</f>
        <v>10/1/04-9/30/05</v>
      </c>
      <c r="C15" s="424">
        <v>211399</v>
      </c>
      <c r="D15" s="90">
        <v>446575</v>
      </c>
      <c r="E15" s="90">
        <v>588433</v>
      </c>
      <c r="F15" s="90">
        <v>641498</v>
      </c>
      <c r="G15" s="90">
        <v>655143</v>
      </c>
      <c r="H15" s="90">
        <v>708243</v>
      </c>
      <c r="I15" s="90">
        <v>699724.86000000034</v>
      </c>
      <c r="J15" s="90">
        <v>699724.86000000034</v>
      </c>
      <c r="K15" s="90">
        <v>699724.86000000034</v>
      </c>
      <c r="L15" s="90">
        <v>699724.86000000034</v>
      </c>
      <c r="M15" s="90">
        <v>699839.89000000025</v>
      </c>
      <c r="N15" s="90">
        <v>699839.89000000025</v>
      </c>
      <c r="O15" s="90">
        <v>699839.89000000025</v>
      </c>
      <c r="P15" s="90">
        <v>699839.89000000025</v>
      </c>
      <c r="Q15" s="107">
        <f>$U15</f>
        <v>699839.89000000025</v>
      </c>
      <c r="R15" s="90"/>
      <c r="S15" s="90"/>
      <c r="U15" s="107">
        <f>'e7'!E25</f>
        <v>699839.89000000025</v>
      </c>
      <c r="W15" s="3" t="str">
        <f>Intro!O27</f>
        <v>Argonaut</v>
      </c>
    </row>
    <row r="16" spans="1:23" ht="12.75" customHeight="1" x14ac:dyDescent="0.2">
      <c r="A16" s="3" t="str">
        <f>Intro!E28</f>
        <v>10/1/05-9/30/06</v>
      </c>
      <c r="C16" s="90">
        <v>334255</v>
      </c>
      <c r="D16" s="90">
        <v>1429503.55</v>
      </c>
      <c r="E16" s="90">
        <v>1740609.78</v>
      </c>
      <c r="F16" s="90">
        <v>1912979.62</v>
      </c>
      <c r="G16" s="90">
        <v>1946596.6900000013</v>
      </c>
      <c r="H16" s="90">
        <v>2046979.7100000014</v>
      </c>
      <c r="I16" s="90">
        <v>2093703.1300000018</v>
      </c>
      <c r="J16" s="90">
        <v>2315588.5000000014</v>
      </c>
      <c r="K16" s="90">
        <v>2316148.9500000011</v>
      </c>
      <c r="L16" s="90">
        <v>2316148.9500000016</v>
      </c>
      <c r="M16" s="90">
        <v>2316148.9500000011</v>
      </c>
      <c r="N16" s="90">
        <v>2316148.9500000007</v>
      </c>
      <c r="O16" s="90">
        <v>2316148.9500000007</v>
      </c>
      <c r="P16" s="107">
        <f>$U16</f>
        <v>2316148.9500000007</v>
      </c>
      <c r="Q16" s="90"/>
      <c r="R16" s="90"/>
      <c r="S16" s="90"/>
      <c r="U16" s="107">
        <f>'e7'!E26</f>
        <v>2316148.9500000007</v>
      </c>
      <c r="W16" s="3" t="str">
        <f>Intro!O28</f>
        <v>Travelers</v>
      </c>
    </row>
    <row r="17" spans="1:23" ht="12.75" customHeight="1" x14ac:dyDescent="0.2">
      <c r="A17" s="3" t="str">
        <f>Intro!E29</f>
        <v>10/1/06-9/30/07</v>
      </c>
      <c r="C17" s="90">
        <v>347849.49</v>
      </c>
      <c r="D17" s="90">
        <v>758111.05</v>
      </c>
      <c r="E17" s="90">
        <v>1083953.47</v>
      </c>
      <c r="F17" s="90">
        <v>1099997.5399999998</v>
      </c>
      <c r="G17" s="90">
        <v>1100030.42</v>
      </c>
      <c r="H17" s="90">
        <v>1100030.4200000002</v>
      </c>
      <c r="I17" s="90">
        <v>1100030.42</v>
      </c>
      <c r="J17" s="90">
        <v>1100030.4200000002</v>
      </c>
      <c r="K17" s="90">
        <v>1099670.42</v>
      </c>
      <c r="L17" s="90">
        <v>1099670.4200000002</v>
      </c>
      <c r="M17" s="90">
        <v>1099670.4199999997</v>
      </c>
      <c r="N17" s="90">
        <v>1099670.4199999997</v>
      </c>
      <c r="O17" s="107">
        <f>$U17</f>
        <v>1099670.4199999997</v>
      </c>
      <c r="P17" s="90"/>
      <c r="Q17" s="90"/>
      <c r="R17" s="90"/>
      <c r="S17" s="90"/>
      <c r="U17" s="107">
        <f>'e7'!E27</f>
        <v>1099670.4199999997</v>
      </c>
      <c r="W17" s="3" t="str">
        <f>Intro!O29</f>
        <v>Travelers</v>
      </c>
    </row>
    <row r="18" spans="1:23" ht="12.75" customHeight="1" x14ac:dyDescent="0.2">
      <c r="A18" s="3" t="str">
        <f>Intro!E30</f>
        <v>10/1/07-9/30/08</v>
      </c>
      <c r="C18" s="90">
        <v>222764.54</v>
      </c>
      <c r="D18" s="90">
        <v>469378.97</v>
      </c>
      <c r="E18" s="90">
        <v>628368.21999999986</v>
      </c>
      <c r="F18" s="90">
        <v>652011.89999999979</v>
      </c>
      <c r="G18" s="90">
        <v>658612.91</v>
      </c>
      <c r="H18" s="90">
        <v>741337.19999999984</v>
      </c>
      <c r="I18" s="90">
        <v>766269.99000000011</v>
      </c>
      <c r="J18" s="90">
        <v>766269.98999999976</v>
      </c>
      <c r="K18" s="90">
        <v>766269.99000000011</v>
      </c>
      <c r="L18" s="90">
        <v>766269.99000000011</v>
      </c>
      <c r="M18" s="90">
        <v>766269.99000000011</v>
      </c>
      <c r="N18" s="107">
        <f>$U18</f>
        <v>766269.99000000011</v>
      </c>
      <c r="O18" s="90"/>
      <c r="P18" s="90"/>
      <c r="Q18" s="90"/>
      <c r="R18" s="90"/>
      <c r="S18" s="90"/>
      <c r="U18" s="107">
        <f>'e7'!E28</f>
        <v>766269.99000000011</v>
      </c>
      <c r="W18" s="3" t="str">
        <f>Intro!O30</f>
        <v>Travelers</v>
      </c>
    </row>
    <row r="19" spans="1:23" ht="12.75" customHeight="1" x14ac:dyDescent="0.2">
      <c r="A19" s="3" t="str">
        <f>Intro!E31</f>
        <v>10/1/08-9/30/09</v>
      </c>
      <c r="C19" s="90">
        <v>404401.32</v>
      </c>
      <c r="D19" s="90">
        <v>954257.30999999959</v>
      </c>
      <c r="E19" s="90">
        <v>1323186.3500000001</v>
      </c>
      <c r="F19" s="90">
        <v>1725604.9600000009</v>
      </c>
      <c r="G19" s="90">
        <v>1751432.7099999995</v>
      </c>
      <c r="H19" s="90">
        <v>1736857.300000001</v>
      </c>
      <c r="I19" s="90">
        <v>1743476.8399999994</v>
      </c>
      <c r="J19" s="90">
        <v>1756318.370000001</v>
      </c>
      <c r="K19" s="90">
        <v>1774539.2400000005</v>
      </c>
      <c r="L19" s="90">
        <v>1796878.2900000005</v>
      </c>
      <c r="M19" s="107">
        <f>$U19</f>
        <v>1848124.9500000004</v>
      </c>
      <c r="N19" s="90"/>
      <c r="O19" s="90"/>
      <c r="P19" s="90"/>
      <c r="Q19" s="90"/>
      <c r="R19" s="90"/>
      <c r="S19" s="90"/>
      <c r="U19" s="107">
        <f>'e7'!E29</f>
        <v>1848124.9500000004</v>
      </c>
      <c r="W19" s="3" t="str">
        <f>Intro!O31</f>
        <v>Travelers</v>
      </c>
    </row>
    <row r="20" spans="1:23" ht="12.75" customHeight="1" x14ac:dyDescent="0.2">
      <c r="A20" s="3" t="str">
        <f>Intro!E32</f>
        <v>10/1/09-9/30/10</v>
      </c>
      <c r="C20" s="90">
        <v>357259.98999999987</v>
      </c>
      <c r="D20" s="90">
        <v>945944.79000000015</v>
      </c>
      <c r="E20" s="90">
        <v>1041213.3600000002</v>
      </c>
      <c r="F20" s="90">
        <v>1052451.29</v>
      </c>
      <c r="G20" s="90">
        <v>1084549.8400000001</v>
      </c>
      <c r="H20" s="90">
        <v>1104286.57</v>
      </c>
      <c r="I20" s="90">
        <v>1118367.83</v>
      </c>
      <c r="J20" s="90">
        <v>1135122.3100000003</v>
      </c>
      <c r="K20" s="90">
        <v>1182322.2200000002</v>
      </c>
      <c r="L20" s="107">
        <f>$U20</f>
        <v>1183179.1900000002</v>
      </c>
      <c r="M20" s="90"/>
      <c r="N20" s="90"/>
      <c r="O20" s="90"/>
      <c r="P20" s="90"/>
      <c r="Q20" s="90"/>
      <c r="R20" s="90"/>
      <c r="S20" s="90"/>
      <c r="U20" s="107">
        <f>'e7'!E30</f>
        <v>1183179.1900000002</v>
      </c>
      <c r="W20" s="3" t="str">
        <f>Intro!O32</f>
        <v>Travelers</v>
      </c>
    </row>
    <row r="21" spans="1:23" ht="12.75" customHeight="1" x14ac:dyDescent="0.2">
      <c r="A21" s="3" t="str">
        <f>Intro!E33</f>
        <v>10/1/10-9/30/11</v>
      </c>
      <c r="C21" s="90">
        <v>272973.83</v>
      </c>
      <c r="D21" s="90">
        <v>806555.11999999988</v>
      </c>
      <c r="E21" s="90">
        <v>939406.48999999964</v>
      </c>
      <c r="F21" s="90">
        <v>1105440.2299999997</v>
      </c>
      <c r="G21" s="90">
        <v>1210972.6399999997</v>
      </c>
      <c r="H21" s="90">
        <v>1212167.7099999997</v>
      </c>
      <c r="I21" s="90">
        <v>1212815.8099999998</v>
      </c>
      <c r="J21" s="90">
        <v>1212815.81</v>
      </c>
      <c r="K21" s="107">
        <f>$U21</f>
        <v>1212882.8100000003</v>
      </c>
      <c r="L21" s="90"/>
      <c r="M21" s="90"/>
      <c r="N21" s="90"/>
      <c r="O21" s="90"/>
      <c r="P21" s="90"/>
      <c r="Q21" s="90"/>
      <c r="R21" s="90"/>
      <c r="S21" s="90"/>
      <c r="U21" s="107">
        <f>'e7'!E31</f>
        <v>1212882.8100000003</v>
      </c>
      <c r="W21" s="3" t="str">
        <f>Intro!O33</f>
        <v>Hartford</v>
      </c>
    </row>
    <row r="22" spans="1:23" ht="12.75" customHeight="1" x14ac:dyDescent="0.2">
      <c r="A22" s="3" t="str">
        <f>Intro!E34</f>
        <v>10/1/11-9/30/12</v>
      </c>
      <c r="C22" s="90">
        <v>391086.17999999993</v>
      </c>
      <c r="D22" s="90">
        <v>1207128.9899999998</v>
      </c>
      <c r="E22" s="90">
        <v>1540096.9600000002</v>
      </c>
      <c r="F22" s="90">
        <v>1775707.1599999997</v>
      </c>
      <c r="G22" s="90">
        <v>1811450.4699999997</v>
      </c>
      <c r="H22" s="90">
        <v>1856160.4899999986</v>
      </c>
      <c r="I22" s="90">
        <v>1900189.83</v>
      </c>
      <c r="J22" s="107">
        <f>$U22</f>
        <v>1925803.2599999993</v>
      </c>
      <c r="K22" s="90"/>
      <c r="L22" s="90"/>
      <c r="M22" s="90"/>
      <c r="N22" s="90"/>
      <c r="O22" s="90"/>
      <c r="P22" s="90"/>
      <c r="Q22" s="90"/>
      <c r="R22" s="90"/>
      <c r="S22" s="90"/>
      <c r="U22" s="107">
        <f>'e7'!E32</f>
        <v>1925803.2599999993</v>
      </c>
      <c r="W22" s="3" t="str">
        <f>Intro!O34</f>
        <v>Hartford</v>
      </c>
    </row>
    <row r="23" spans="1:23" ht="12.75" customHeight="1" x14ac:dyDescent="0.2">
      <c r="A23" s="3" t="str">
        <f>Intro!E35</f>
        <v>10/1/12-9/30/13</v>
      </c>
      <c r="C23" s="90">
        <v>464901.17000000022</v>
      </c>
      <c r="D23" s="90">
        <v>1135597.2400000005</v>
      </c>
      <c r="E23" s="90">
        <v>1504435.2699999996</v>
      </c>
      <c r="F23" s="90">
        <v>1644964.8999999997</v>
      </c>
      <c r="G23" s="90">
        <v>1842763.0499999996</v>
      </c>
      <c r="H23" s="90">
        <v>2122494.7299999995</v>
      </c>
      <c r="I23" s="107">
        <f>$U23</f>
        <v>2126161.8399999994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U23" s="107">
        <f>'e7'!E33</f>
        <v>2126161.8399999994</v>
      </c>
      <c r="W23" s="3" t="str">
        <f>Intro!O35</f>
        <v>Hartford</v>
      </c>
    </row>
    <row r="24" spans="1:23" ht="12.75" customHeight="1" x14ac:dyDescent="0.2">
      <c r="A24" s="3" t="str">
        <f>Intro!E36</f>
        <v>10/1/13-9/30/14</v>
      </c>
      <c r="C24" s="90">
        <v>592225.76000000059</v>
      </c>
      <c r="D24" s="90">
        <v>1525919.2300000014</v>
      </c>
      <c r="E24" s="90">
        <v>2102257.7600000007</v>
      </c>
      <c r="F24" s="90">
        <v>2267624.5499999998</v>
      </c>
      <c r="G24" s="90">
        <v>2342329.11</v>
      </c>
      <c r="H24" s="107">
        <f>$U24</f>
        <v>2342502.8100000005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U24" s="107">
        <f>'e7'!E34</f>
        <v>2342502.8100000005</v>
      </c>
      <c r="W24" s="3" t="str">
        <f>Intro!O36</f>
        <v>Corvel</v>
      </c>
    </row>
    <row r="25" spans="1:23" ht="12.75" customHeight="1" x14ac:dyDescent="0.2">
      <c r="A25" s="3" t="str">
        <f>Intro!E37</f>
        <v>10/1/14-9/30/15</v>
      </c>
      <c r="C25" s="90">
        <v>729211.94999999984</v>
      </c>
      <c r="D25" s="90">
        <v>1897574.3599999996</v>
      </c>
      <c r="E25" s="90">
        <v>2581784.8799999994</v>
      </c>
      <c r="F25" s="90">
        <v>2759688.9699999993</v>
      </c>
      <c r="G25" s="107">
        <f>$U25</f>
        <v>2810502.1600000011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U25" s="107">
        <f>'e7'!E35</f>
        <v>2810502.1600000011</v>
      </c>
      <c r="W25" s="3" t="str">
        <f>Intro!O37</f>
        <v>Corvel</v>
      </c>
    </row>
    <row r="26" spans="1:23" ht="12.75" customHeight="1" x14ac:dyDescent="0.2">
      <c r="A26" s="3" t="str">
        <f>Intro!E38</f>
        <v>10/1/15-9/30/16</v>
      </c>
      <c r="C26" s="90">
        <v>587820.25</v>
      </c>
      <c r="D26" s="90">
        <v>1903333.2600000009</v>
      </c>
      <c r="E26" s="90">
        <v>2246189.3800000018</v>
      </c>
      <c r="F26" s="107">
        <f>$U26</f>
        <v>2449912.0500000017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U26" s="107">
        <f>'e7'!E36</f>
        <v>2449912.0500000017</v>
      </c>
      <c r="W26" s="3" t="str">
        <f>Intro!O38</f>
        <v>Corvel</v>
      </c>
    </row>
    <row r="27" spans="1:23" ht="12.75" customHeight="1" x14ac:dyDescent="0.2">
      <c r="A27" s="3" t="str">
        <f>Intro!E39</f>
        <v>10/1/16-9/30/17</v>
      </c>
      <c r="C27" s="90">
        <v>613311.33000000007</v>
      </c>
      <c r="D27" s="90">
        <v>2024291.8599999996</v>
      </c>
      <c r="E27" s="107">
        <f>$U27</f>
        <v>2258070.4400000018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U27" s="107">
        <f>'e7'!E37</f>
        <v>2258070.4400000018</v>
      </c>
      <c r="W27" s="3" t="str">
        <f>Intro!O39</f>
        <v>Corvel</v>
      </c>
    </row>
    <row r="28" spans="1:23" ht="12.75" customHeight="1" x14ac:dyDescent="0.2">
      <c r="A28" s="3" t="str">
        <f>Intro!E40</f>
        <v>10/1/17-9/30/18</v>
      </c>
      <c r="B28" s="88"/>
      <c r="C28" s="90">
        <v>2510372.1899999976</v>
      </c>
      <c r="D28" s="107">
        <f>$U28</f>
        <v>4199295.1499999976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U28" s="107">
        <f>'e7'!E38</f>
        <v>4199295.1499999976</v>
      </c>
      <c r="W28" s="3" t="str">
        <f>Intro!O40</f>
        <v>Corvel</v>
      </c>
    </row>
    <row r="29" spans="1:23" ht="12.75" customHeight="1" x14ac:dyDescent="0.2">
      <c r="A29" s="3" t="str">
        <f>Intro!E41</f>
        <v>10/1/18-9/30/19</v>
      </c>
      <c r="B29" s="88"/>
      <c r="C29" s="107">
        <f>$U29</f>
        <v>619309.30000000005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U29" s="107">
        <f>'e7'!E39</f>
        <v>619309.30000000005</v>
      </c>
      <c r="W29" s="3" t="str">
        <f>Intro!O41</f>
        <v>Corvel</v>
      </c>
    </row>
    <row r="30" spans="1:23" x14ac:dyDescent="0.2">
      <c r="A30" s="3"/>
    </row>
    <row r="31" spans="1:23" x14ac:dyDescent="0.2">
      <c r="A31" s="33" t="str">
        <f>Intro!$M$9</f>
        <v>Policy</v>
      </c>
      <c r="C31" s="1" t="s">
        <v>99</v>
      </c>
    </row>
    <row r="32" spans="1:23" x14ac:dyDescent="0.2">
      <c r="A32" s="82" t="str">
        <f>Intro!$M$10</f>
        <v>Period</v>
      </c>
      <c r="C32" s="108" t="str">
        <f>C11&amp;" - "&amp;IF(ISBLANK(D11), "ULT", D11)</f>
        <v>12 - 24</v>
      </c>
      <c r="D32" s="108" t="str">
        <f t="shared" ref="D32:S32" si="0">D11&amp;" - "&amp;IF(ISBLANK(E11), "ULT", E11)</f>
        <v>24 - 36</v>
      </c>
      <c r="E32" s="108" t="str">
        <f t="shared" si="0"/>
        <v>36 - 48</v>
      </c>
      <c r="F32" s="108" t="str">
        <f t="shared" si="0"/>
        <v>48 - 60</v>
      </c>
      <c r="G32" s="108" t="str">
        <f t="shared" si="0"/>
        <v>60 - 72</v>
      </c>
      <c r="H32" s="108" t="str">
        <f t="shared" si="0"/>
        <v>72 - 84</v>
      </c>
      <c r="I32" s="108" t="str">
        <f t="shared" si="0"/>
        <v>84 - 96</v>
      </c>
      <c r="J32" s="108" t="str">
        <f t="shared" si="0"/>
        <v>96 - 108</v>
      </c>
      <c r="K32" s="108" t="str">
        <f t="shared" si="0"/>
        <v>108 - 120</v>
      </c>
      <c r="L32" s="108" t="str">
        <f t="shared" si="0"/>
        <v>120 - 132</v>
      </c>
      <c r="M32" s="108" t="str">
        <f t="shared" si="0"/>
        <v>132 - 144</v>
      </c>
      <c r="N32" s="108" t="str">
        <f t="shared" si="0"/>
        <v>144 - 156</v>
      </c>
      <c r="O32" s="108" t="str">
        <f t="shared" si="0"/>
        <v>156 - 168</v>
      </c>
      <c r="P32" s="108" t="str">
        <f t="shared" si="0"/>
        <v>168 - 180</v>
      </c>
      <c r="Q32" s="108" t="str">
        <f t="shared" si="0"/>
        <v>180 - 192</v>
      </c>
      <c r="R32" s="108" t="str">
        <f t="shared" si="0"/>
        <v>192 - 204</v>
      </c>
      <c r="S32" s="108" t="str">
        <f t="shared" si="0"/>
        <v>204 - ULT</v>
      </c>
    </row>
    <row r="33" spans="1:19" x14ac:dyDescent="0.2">
      <c r="A33" s="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" t="str">
        <f t="shared" ref="A34:A47" si="1">A13</f>
        <v>10/1/02-9/30/03</v>
      </c>
      <c r="C34" s="109" t="str">
        <f>IFERROR(IF(OR(D13="", ISBLANK(D13)), "", D13/C13), "")</f>
        <v/>
      </c>
      <c r="D34" s="109" t="str">
        <f t="shared" ref="D34:S34" si="2">IFERROR(IF(OR(E13="", ISBLANK(E13)), "", E13/D13), "")</f>
        <v/>
      </c>
      <c r="E34" s="109">
        <f t="shared" si="2"/>
        <v>1.1082780787125486</v>
      </c>
      <c r="F34" s="109">
        <f t="shared" si="2"/>
        <v>1.1127851846744163</v>
      </c>
      <c r="G34" s="109">
        <f t="shared" si="2"/>
        <v>1.0506283008111388</v>
      </c>
      <c r="H34" s="109">
        <f t="shared" si="2"/>
        <v>1.2649877906049347</v>
      </c>
      <c r="I34" s="109">
        <f t="shared" si="2"/>
        <v>1.0480528791198032</v>
      </c>
      <c r="J34" s="109">
        <f t="shared" si="2"/>
        <v>0.99798983258873863</v>
      </c>
      <c r="K34" s="109">
        <f t="shared" si="2"/>
        <v>1.0050387561861363</v>
      </c>
      <c r="L34" s="109">
        <f t="shared" si="2"/>
        <v>0.9970488951453309</v>
      </c>
      <c r="M34" s="109">
        <f t="shared" si="2"/>
        <v>1.0007852909496329</v>
      </c>
      <c r="N34" s="109">
        <f t="shared" si="2"/>
        <v>1.0085893199375455</v>
      </c>
      <c r="O34" s="109">
        <f t="shared" si="2"/>
        <v>1.0039726974032797</v>
      </c>
      <c r="P34" s="109">
        <f t="shared" si="2"/>
        <v>0.98586000936354479</v>
      </c>
      <c r="Q34" s="109">
        <f t="shared" si="2"/>
        <v>0.98192514123076691</v>
      </c>
      <c r="R34" s="109">
        <f t="shared" si="2"/>
        <v>1</v>
      </c>
      <c r="S34" s="109" t="str">
        <f t="shared" si="2"/>
        <v/>
      </c>
    </row>
    <row r="35" spans="1:19" x14ac:dyDescent="0.2">
      <c r="A35" s="3" t="str">
        <f t="shared" si="1"/>
        <v>10/1/03-9/30/04</v>
      </c>
      <c r="C35" s="109" t="str">
        <f t="shared" ref="C35:S49" si="3">IFERROR(IF(OR(D14="", ISBLANK(D14)), "", D14/C14), "")</f>
        <v/>
      </c>
      <c r="D35" s="109">
        <f t="shared" si="3"/>
        <v>1.3255448196128286</v>
      </c>
      <c r="E35" s="109">
        <f t="shared" si="3"/>
        <v>1.2721571015712372</v>
      </c>
      <c r="F35" s="109">
        <f t="shared" si="3"/>
        <v>1.2821470349166895</v>
      </c>
      <c r="G35" s="109">
        <f t="shared" si="3"/>
        <v>1.1465997520131725</v>
      </c>
      <c r="H35" s="109">
        <f t="shared" si="3"/>
        <v>1.0245117928292082</v>
      </c>
      <c r="I35" s="109">
        <f t="shared" si="3"/>
        <v>1.0238814373106333</v>
      </c>
      <c r="J35" s="109">
        <f t="shared" si="3"/>
        <v>1.0134198552525262</v>
      </c>
      <c r="K35" s="109">
        <f t="shared" si="3"/>
        <v>1.0267926331124737</v>
      </c>
      <c r="L35" s="109">
        <f t="shared" si="3"/>
        <v>1.0137145304987456</v>
      </c>
      <c r="M35" s="109">
        <f t="shared" si="3"/>
        <v>1.0073553023754638</v>
      </c>
      <c r="N35" s="109">
        <f t="shared" si="3"/>
        <v>1.0061494815632062</v>
      </c>
      <c r="O35" s="109">
        <f t="shared" si="3"/>
        <v>1.0051488338816787</v>
      </c>
      <c r="P35" s="109">
        <f t="shared" si="3"/>
        <v>1.0468728363830309</v>
      </c>
      <c r="Q35" s="109">
        <f t="shared" si="3"/>
        <v>1.002865658322234</v>
      </c>
      <c r="R35" s="109" t="str">
        <f t="shared" si="3"/>
        <v/>
      </c>
      <c r="S35" s="109" t="str">
        <f t="shared" si="3"/>
        <v/>
      </c>
    </row>
    <row r="36" spans="1:19" x14ac:dyDescent="0.2">
      <c r="A36" s="3" t="str">
        <f t="shared" si="1"/>
        <v>10/1/04-9/30/05</v>
      </c>
      <c r="C36" s="109">
        <f t="shared" si="3"/>
        <v>2.1124745150166273</v>
      </c>
      <c r="D36" s="109">
        <f t="shared" si="3"/>
        <v>1.3176577282651289</v>
      </c>
      <c r="E36" s="109">
        <f t="shared" si="3"/>
        <v>1.0901801904379937</v>
      </c>
      <c r="F36" s="109">
        <f t="shared" si="3"/>
        <v>1.0212705261746724</v>
      </c>
      <c r="G36" s="109">
        <f t="shared" si="3"/>
        <v>1.081051007184691</v>
      </c>
      <c r="H36" s="109">
        <f t="shared" si="3"/>
        <v>0.98797285677373492</v>
      </c>
      <c r="I36" s="109">
        <f t="shared" si="3"/>
        <v>1</v>
      </c>
      <c r="J36" s="109">
        <f t="shared" si="3"/>
        <v>1</v>
      </c>
      <c r="K36" s="109">
        <f t="shared" si="3"/>
        <v>1</v>
      </c>
      <c r="L36" s="109">
        <f t="shared" si="3"/>
        <v>1.000164393187345</v>
      </c>
      <c r="M36" s="109">
        <f t="shared" si="3"/>
        <v>1</v>
      </c>
      <c r="N36" s="109">
        <f t="shared" si="3"/>
        <v>1</v>
      </c>
      <c r="O36" s="109">
        <f t="shared" si="3"/>
        <v>1</v>
      </c>
      <c r="P36" s="109">
        <f t="shared" si="3"/>
        <v>1</v>
      </c>
      <c r="Q36" s="109" t="str">
        <f t="shared" si="3"/>
        <v/>
      </c>
      <c r="R36" s="109" t="str">
        <f t="shared" si="3"/>
        <v/>
      </c>
      <c r="S36" s="109" t="str">
        <f t="shared" si="3"/>
        <v/>
      </c>
    </row>
    <row r="37" spans="1:19" x14ac:dyDescent="0.2">
      <c r="A37" s="3" t="str">
        <f t="shared" si="1"/>
        <v>10/1/05-9/30/06</v>
      </c>
      <c r="C37" s="109">
        <f t="shared" si="3"/>
        <v>4.2766856142765253</v>
      </c>
      <c r="D37" s="109">
        <f t="shared" si="3"/>
        <v>1.2176323591501399</v>
      </c>
      <c r="E37" s="109">
        <f t="shared" si="3"/>
        <v>1.0990284220969964</v>
      </c>
      <c r="F37" s="109">
        <f t="shared" si="3"/>
        <v>1.017573145917781</v>
      </c>
      <c r="G37" s="109">
        <f t="shared" si="3"/>
        <v>1.0515684735906954</v>
      </c>
      <c r="H37" s="109">
        <f t="shared" si="3"/>
        <v>1.0228255413435439</v>
      </c>
      <c r="I37" s="109">
        <f t="shared" si="3"/>
        <v>1.1059774744664967</v>
      </c>
      <c r="J37" s="109">
        <f t="shared" si="3"/>
        <v>1.0002420335046576</v>
      </c>
      <c r="K37" s="109">
        <f t="shared" si="3"/>
        <v>1.0000000000000002</v>
      </c>
      <c r="L37" s="109">
        <f t="shared" si="3"/>
        <v>0.99999999999999978</v>
      </c>
      <c r="M37" s="109">
        <f t="shared" si="3"/>
        <v>0.99999999999999978</v>
      </c>
      <c r="N37" s="109">
        <f t="shared" si="3"/>
        <v>1</v>
      </c>
      <c r="O37" s="109">
        <f t="shared" si="3"/>
        <v>1</v>
      </c>
      <c r="P37" s="109" t="str">
        <f t="shared" si="3"/>
        <v/>
      </c>
      <c r="Q37" s="109" t="str">
        <f t="shared" si="3"/>
        <v/>
      </c>
      <c r="R37" s="109" t="str">
        <f t="shared" si="3"/>
        <v/>
      </c>
      <c r="S37" s="109" t="str">
        <f t="shared" si="3"/>
        <v/>
      </c>
    </row>
    <row r="38" spans="1:19" x14ac:dyDescent="0.2">
      <c r="A38" s="3" t="str">
        <f t="shared" si="1"/>
        <v>10/1/06-9/30/07</v>
      </c>
      <c r="C38" s="109">
        <f t="shared" si="3"/>
        <v>2.1794226290226848</v>
      </c>
      <c r="D38" s="109">
        <f t="shared" si="3"/>
        <v>1.4298082978740383</v>
      </c>
      <c r="E38" s="109">
        <f t="shared" si="3"/>
        <v>1.0148014379251904</v>
      </c>
      <c r="F38" s="109">
        <f t="shared" si="3"/>
        <v>1.0000298909759382</v>
      </c>
      <c r="G38" s="109">
        <f t="shared" si="3"/>
        <v>1.0000000000000002</v>
      </c>
      <c r="H38" s="109">
        <f t="shared" si="3"/>
        <v>0.99999999999999978</v>
      </c>
      <c r="I38" s="109">
        <f t="shared" si="3"/>
        <v>1.0000000000000002</v>
      </c>
      <c r="J38" s="109">
        <f t="shared" si="3"/>
        <v>0.99967273632305531</v>
      </c>
      <c r="K38" s="109">
        <f t="shared" si="3"/>
        <v>1.0000000000000002</v>
      </c>
      <c r="L38" s="109">
        <f t="shared" si="3"/>
        <v>0.99999999999999956</v>
      </c>
      <c r="M38" s="109">
        <f t="shared" si="3"/>
        <v>1</v>
      </c>
      <c r="N38" s="109">
        <f t="shared" si="3"/>
        <v>1</v>
      </c>
      <c r="O38" s="109" t="str">
        <f t="shared" si="3"/>
        <v/>
      </c>
      <c r="P38" s="109" t="str">
        <f t="shared" si="3"/>
        <v/>
      </c>
      <c r="Q38" s="109" t="str">
        <f t="shared" si="3"/>
        <v/>
      </c>
      <c r="R38" s="109" t="str">
        <f t="shared" si="3"/>
        <v/>
      </c>
      <c r="S38" s="109" t="str">
        <f t="shared" si="3"/>
        <v/>
      </c>
    </row>
    <row r="39" spans="1:19" x14ac:dyDescent="0.2">
      <c r="A39" s="3" t="str">
        <f t="shared" si="1"/>
        <v>10/1/07-9/30/08</v>
      </c>
      <c r="C39" s="109">
        <f t="shared" si="3"/>
        <v>2.1070632246945586</v>
      </c>
      <c r="D39" s="109">
        <f t="shared" si="3"/>
        <v>1.3387225678219028</v>
      </c>
      <c r="E39" s="109">
        <f t="shared" si="3"/>
        <v>1.0376271097860423</v>
      </c>
      <c r="F39" s="109">
        <f t="shared" si="3"/>
        <v>1.010124063686568</v>
      </c>
      <c r="G39" s="109">
        <f t="shared" si="3"/>
        <v>1.1256038087683398</v>
      </c>
      <c r="H39" s="109">
        <f t="shared" si="3"/>
        <v>1.0336321851918402</v>
      </c>
      <c r="I39" s="109">
        <f t="shared" si="3"/>
        <v>0.99999999999999956</v>
      </c>
      <c r="J39" s="109">
        <f t="shared" si="3"/>
        <v>1.0000000000000004</v>
      </c>
      <c r="K39" s="109">
        <f t="shared" si="3"/>
        <v>1</v>
      </c>
      <c r="L39" s="109">
        <f t="shared" si="3"/>
        <v>1</v>
      </c>
      <c r="M39" s="109">
        <f t="shared" si="3"/>
        <v>1</v>
      </c>
      <c r="N39" s="109" t="str">
        <f t="shared" si="3"/>
        <v/>
      </c>
      <c r="O39" s="109" t="str">
        <f t="shared" si="3"/>
        <v/>
      </c>
      <c r="P39" s="109" t="str">
        <f t="shared" si="3"/>
        <v/>
      </c>
      <c r="Q39" s="109" t="str">
        <f t="shared" si="3"/>
        <v/>
      </c>
      <c r="R39" s="109" t="str">
        <f t="shared" si="3"/>
        <v/>
      </c>
      <c r="S39" s="109" t="str">
        <f t="shared" si="3"/>
        <v/>
      </c>
    </row>
    <row r="40" spans="1:19" x14ac:dyDescent="0.2">
      <c r="A40" s="3" t="str">
        <f t="shared" si="1"/>
        <v>10/1/08-9/30/09</v>
      </c>
      <c r="C40" s="109">
        <f t="shared" si="3"/>
        <v>2.3596790188518662</v>
      </c>
      <c r="D40" s="109">
        <f t="shared" si="3"/>
        <v>1.3866137949731825</v>
      </c>
      <c r="E40" s="109">
        <f t="shared" si="3"/>
        <v>1.3041284472138039</v>
      </c>
      <c r="F40" s="109">
        <f t="shared" si="3"/>
        <v>1.0149673596209405</v>
      </c>
      <c r="G40" s="109">
        <f t="shared" si="3"/>
        <v>0.99167800742970103</v>
      </c>
      <c r="H40" s="109">
        <f t="shared" si="3"/>
        <v>1.0038112169606555</v>
      </c>
      <c r="I40" s="109">
        <f t="shared" si="3"/>
        <v>1.0073654720873733</v>
      </c>
      <c r="J40" s="109">
        <f t="shared" si="3"/>
        <v>1.0103744687245966</v>
      </c>
      <c r="K40" s="109">
        <f t="shared" si="3"/>
        <v>1.0125886480819664</v>
      </c>
      <c r="L40" s="109">
        <f t="shared" si="3"/>
        <v>1.0285198281292607</v>
      </c>
      <c r="M40" s="109" t="str">
        <f t="shared" si="3"/>
        <v/>
      </c>
      <c r="N40" s="109" t="str">
        <f t="shared" si="3"/>
        <v/>
      </c>
      <c r="O40" s="109" t="str">
        <f t="shared" si="3"/>
        <v/>
      </c>
      <c r="P40" s="109" t="str">
        <f t="shared" si="3"/>
        <v/>
      </c>
      <c r="Q40" s="109" t="str">
        <f t="shared" si="3"/>
        <v/>
      </c>
      <c r="R40" s="109" t="str">
        <f t="shared" si="3"/>
        <v/>
      </c>
      <c r="S40" s="109" t="str">
        <f t="shared" si="3"/>
        <v/>
      </c>
    </row>
    <row r="41" spans="1:19" x14ac:dyDescent="0.2">
      <c r="A41" s="3" t="str">
        <f t="shared" si="1"/>
        <v>10/1/09-9/30/10</v>
      </c>
      <c r="C41" s="109">
        <f t="shared" si="3"/>
        <v>2.647777015276747</v>
      </c>
      <c r="D41" s="109">
        <f t="shared" si="3"/>
        <v>1.1007126113565253</v>
      </c>
      <c r="E41" s="109">
        <f t="shared" si="3"/>
        <v>1.0107931096850311</v>
      </c>
      <c r="F41" s="109">
        <f t="shared" si="3"/>
        <v>1.0304988461746292</v>
      </c>
      <c r="G41" s="109">
        <f t="shared" si="3"/>
        <v>1.0181980848385908</v>
      </c>
      <c r="H41" s="109">
        <f t="shared" si="3"/>
        <v>1.0127514545431808</v>
      </c>
      <c r="I41" s="109">
        <f t="shared" si="3"/>
        <v>1.0149811891495486</v>
      </c>
      <c r="J41" s="109">
        <f t="shared" si="3"/>
        <v>1.0415813428951104</v>
      </c>
      <c r="K41" s="109">
        <f t="shared" si="3"/>
        <v>1.0007248193305545</v>
      </c>
      <c r="L41" s="109" t="str">
        <f t="shared" si="3"/>
        <v/>
      </c>
      <c r="M41" s="109" t="str">
        <f t="shared" si="3"/>
        <v/>
      </c>
      <c r="N41" s="109" t="str">
        <f t="shared" si="3"/>
        <v/>
      </c>
      <c r="O41" s="109" t="str">
        <f t="shared" si="3"/>
        <v/>
      </c>
      <c r="P41" s="109" t="str">
        <f t="shared" si="3"/>
        <v/>
      </c>
      <c r="Q41" s="109" t="str">
        <f t="shared" si="3"/>
        <v/>
      </c>
      <c r="R41" s="109" t="str">
        <f t="shared" si="3"/>
        <v/>
      </c>
      <c r="S41" s="109" t="str">
        <f t="shared" si="3"/>
        <v/>
      </c>
    </row>
    <row r="42" spans="1:19" x14ac:dyDescent="0.2">
      <c r="A42" s="3" t="str">
        <f t="shared" si="1"/>
        <v>10/1/10-9/30/11</v>
      </c>
      <c r="C42" s="109">
        <f t="shared" si="3"/>
        <v>2.9546975986672415</v>
      </c>
      <c r="D42" s="109">
        <f t="shared" si="3"/>
        <v>1.1647145578841527</v>
      </c>
      <c r="E42" s="109">
        <f t="shared" si="3"/>
        <v>1.1767432328469438</v>
      </c>
      <c r="F42" s="109">
        <f t="shared" si="3"/>
        <v>1.0954664097940419</v>
      </c>
      <c r="G42" s="109">
        <f t="shared" si="3"/>
        <v>1.0009868678783693</v>
      </c>
      <c r="H42" s="109">
        <f t="shared" si="3"/>
        <v>1.0005346619899651</v>
      </c>
      <c r="I42" s="109">
        <f t="shared" si="3"/>
        <v>1.0000000000000002</v>
      </c>
      <c r="J42" s="109">
        <f t="shared" si="3"/>
        <v>1.0000552433431753</v>
      </c>
      <c r="K42" s="109" t="str">
        <f t="shared" si="3"/>
        <v/>
      </c>
      <c r="L42" s="109" t="str">
        <f t="shared" si="3"/>
        <v/>
      </c>
      <c r="M42" s="109" t="str">
        <f t="shared" si="3"/>
        <v/>
      </c>
      <c r="N42" s="109" t="str">
        <f t="shared" si="3"/>
        <v/>
      </c>
      <c r="O42" s="109" t="str">
        <f t="shared" si="3"/>
        <v/>
      </c>
      <c r="P42" s="109" t="str">
        <f t="shared" si="3"/>
        <v/>
      </c>
      <c r="Q42" s="109" t="str">
        <f t="shared" si="3"/>
        <v/>
      </c>
      <c r="R42" s="109" t="str">
        <f t="shared" si="3"/>
        <v/>
      </c>
      <c r="S42" s="109" t="str">
        <f t="shared" si="3"/>
        <v/>
      </c>
    </row>
    <row r="43" spans="1:19" x14ac:dyDescent="0.2">
      <c r="A43" s="3" t="str">
        <f t="shared" si="1"/>
        <v>10/1/11-9/30/12</v>
      </c>
      <c r="C43" s="109">
        <f t="shared" si="3"/>
        <v>3.0866061030333518</v>
      </c>
      <c r="D43" s="109">
        <f t="shared" si="3"/>
        <v>1.2758346231085052</v>
      </c>
      <c r="E43" s="109">
        <f t="shared" si="3"/>
        <v>1.1529840043317789</v>
      </c>
      <c r="F43" s="109">
        <f t="shared" si="3"/>
        <v>1.0201290566401726</v>
      </c>
      <c r="G43" s="109">
        <f t="shared" si="3"/>
        <v>1.0246818893149194</v>
      </c>
      <c r="H43" s="109">
        <f t="shared" si="3"/>
        <v>1.0237206535949925</v>
      </c>
      <c r="I43" s="109">
        <f t="shared" si="3"/>
        <v>1.0134794058970409</v>
      </c>
      <c r="J43" s="109" t="str">
        <f t="shared" si="3"/>
        <v/>
      </c>
      <c r="K43" s="109" t="str">
        <f t="shared" si="3"/>
        <v/>
      </c>
      <c r="L43" s="109" t="str">
        <f t="shared" si="3"/>
        <v/>
      </c>
      <c r="M43" s="109" t="str">
        <f t="shared" si="3"/>
        <v/>
      </c>
      <c r="N43" s="109" t="str">
        <f t="shared" si="3"/>
        <v/>
      </c>
      <c r="O43" s="109" t="str">
        <f t="shared" si="3"/>
        <v/>
      </c>
      <c r="P43" s="109" t="str">
        <f t="shared" si="3"/>
        <v/>
      </c>
      <c r="Q43" s="109" t="str">
        <f t="shared" si="3"/>
        <v/>
      </c>
      <c r="R43" s="109" t="str">
        <f t="shared" si="3"/>
        <v/>
      </c>
      <c r="S43" s="109" t="str">
        <f t="shared" si="3"/>
        <v/>
      </c>
    </row>
    <row r="44" spans="1:19" x14ac:dyDescent="0.2">
      <c r="A44" s="3" t="str">
        <f t="shared" si="1"/>
        <v>10/1/12-9/30/13</v>
      </c>
      <c r="C44" s="109">
        <f t="shared" si="3"/>
        <v>2.4426637601277705</v>
      </c>
      <c r="D44" s="109">
        <f t="shared" si="3"/>
        <v>1.3247965185262329</v>
      </c>
      <c r="E44" s="109">
        <f t="shared" si="3"/>
        <v>1.0934102203014691</v>
      </c>
      <c r="F44" s="109">
        <f t="shared" si="3"/>
        <v>1.1202446021796575</v>
      </c>
      <c r="G44" s="109">
        <f t="shared" si="3"/>
        <v>1.1518001351286049</v>
      </c>
      <c r="H44" s="109">
        <f t="shared" si="3"/>
        <v>1.0017277357385947</v>
      </c>
      <c r="I44" s="109" t="str">
        <f t="shared" si="3"/>
        <v/>
      </c>
      <c r="J44" s="109" t="str">
        <f t="shared" si="3"/>
        <v/>
      </c>
      <c r="K44" s="109" t="str">
        <f t="shared" si="3"/>
        <v/>
      </c>
      <c r="L44" s="109" t="str">
        <f t="shared" si="3"/>
        <v/>
      </c>
      <c r="M44" s="109" t="str">
        <f t="shared" si="3"/>
        <v/>
      </c>
      <c r="N44" s="109" t="str">
        <f t="shared" si="3"/>
        <v/>
      </c>
      <c r="O44" s="109" t="str">
        <f t="shared" si="3"/>
        <v/>
      </c>
      <c r="P44" s="109" t="str">
        <f t="shared" si="3"/>
        <v/>
      </c>
      <c r="Q44" s="109" t="str">
        <f t="shared" si="3"/>
        <v/>
      </c>
      <c r="R44" s="109" t="str">
        <f t="shared" si="3"/>
        <v/>
      </c>
      <c r="S44" s="109" t="str">
        <f t="shared" si="3"/>
        <v/>
      </c>
    </row>
    <row r="45" spans="1:19" x14ac:dyDescent="0.2">
      <c r="A45" s="3" t="str">
        <f t="shared" si="1"/>
        <v>10/1/13-9/30/14</v>
      </c>
      <c r="C45" s="109">
        <f t="shared" si="3"/>
        <v>2.5765836832224251</v>
      </c>
      <c r="D45" s="109">
        <f t="shared" si="3"/>
        <v>1.3776992377243971</v>
      </c>
      <c r="E45" s="109">
        <f t="shared" si="3"/>
        <v>1.0786615196035709</v>
      </c>
      <c r="F45" s="109">
        <f t="shared" si="3"/>
        <v>1.0329439721403617</v>
      </c>
      <c r="G45" s="109">
        <f t="shared" si="3"/>
        <v>1.0000741569573888</v>
      </c>
      <c r="H45" s="109" t="str">
        <f t="shared" si="3"/>
        <v/>
      </c>
      <c r="I45" s="109" t="str">
        <f t="shared" si="3"/>
        <v/>
      </c>
      <c r="J45" s="109" t="str">
        <f t="shared" si="3"/>
        <v/>
      </c>
      <c r="K45" s="109" t="str">
        <f t="shared" si="3"/>
        <v/>
      </c>
      <c r="L45" s="109" t="str">
        <f t="shared" si="3"/>
        <v/>
      </c>
      <c r="M45" s="109" t="str">
        <f t="shared" si="3"/>
        <v/>
      </c>
      <c r="N45" s="109" t="str">
        <f t="shared" si="3"/>
        <v/>
      </c>
      <c r="O45" s="109" t="str">
        <f t="shared" si="3"/>
        <v/>
      </c>
      <c r="P45" s="109" t="str">
        <f t="shared" si="3"/>
        <v/>
      </c>
      <c r="Q45" s="109" t="str">
        <f t="shared" si="3"/>
        <v/>
      </c>
      <c r="R45" s="109" t="str">
        <f t="shared" si="3"/>
        <v/>
      </c>
      <c r="S45" s="109" t="str">
        <f t="shared" si="3"/>
        <v/>
      </c>
    </row>
    <row r="46" spans="1:19" x14ac:dyDescent="0.2">
      <c r="A46" s="3" t="str">
        <f t="shared" si="1"/>
        <v>10/1/14-9/30/15</v>
      </c>
      <c r="C46" s="109">
        <f t="shared" si="3"/>
        <v>2.6022260880392869</v>
      </c>
      <c r="D46" s="109">
        <f t="shared" si="3"/>
        <v>1.3605711240744209</v>
      </c>
      <c r="E46" s="109">
        <f t="shared" si="3"/>
        <v>1.0689074025408345</v>
      </c>
      <c r="F46" s="109">
        <f t="shared" si="3"/>
        <v>1.0184126510459626</v>
      </c>
      <c r="G46" s="109" t="str">
        <f t="shared" si="3"/>
        <v/>
      </c>
      <c r="H46" s="109" t="str">
        <f t="shared" si="3"/>
        <v/>
      </c>
      <c r="I46" s="109" t="str">
        <f t="shared" si="3"/>
        <v/>
      </c>
      <c r="J46" s="109" t="str">
        <f t="shared" si="3"/>
        <v/>
      </c>
      <c r="K46" s="109" t="str">
        <f t="shared" si="3"/>
        <v/>
      </c>
      <c r="L46" s="109" t="str">
        <f t="shared" si="3"/>
        <v/>
      </c>
      <c r="M46" s="109" t="str">
        <f t="shared" si="3"/>
        <v/>
      </c>
      <c r="N46" s="109" t="str">
        <f t="shared" si="3"/>
        <v/>
      </c>
      <c r="O46" s="109" t="str">
        <f t="shared" si="3"/>
        <v/>
      </c>
      <c r="P46" s="109" t="str">
        <f t="shared" si="3"/>
        <v/>
      </c>
      <c r="Q46" s="109" t="str">
        <f t="shared" si="3"/>
        <v/>
      </c>
      <c r="R46" s="109" t="str">
        <f t="shared" si="3"/>
        <v/>
      </c>
      <c r="S46" s="109" t="str">
        <f t="shared" si="3"/>
        <v/>
      </c>
    </row>
    <row r="47" spans="1:19" x14ac:dyDescent="0.2">
      <c r="A47" s="3" t="str">
        <f t="shared" si="1"/>
        <v>10/1/15-9/30/16</v>
      </c>
      <c r="C47" s="109">
        <f t="shared" si="3"/>
        <v>3.2379511593892878</v>
      </c>
      <c r="D47" s="109">
        <f t="shared" si="3"/>
        <v>1.1801345708633288</v>
      </c>
      <c r="E47" s="109">
        <f t="shared" si="3"/>
        <v>1.0906970141582628</v>
      </c>
      <c r="F47" s="109" t="str">
        <f t="shared" si="3"/>
        <v/>
      </c>
      <c r="G47" s="109" t="str">
        <f t="shared" si="3"/>
        <v/>
      </c>
      <c r="H47" s="109" t="str">
        <f t="shared" si="3"/>
        <v/>
      </c>
      <c r="I47" s="109" t="str">
        <f t="shared" si="3"/>
        <v/>
      </c>
      <c r="J47" s="109" t="str">
        <f t="shared" si="3"/>
        <v/>
      </c>
      <c r="K47" s="109" t="str">
        <f t="shared" si="3"/>
        <v/>
      </c>
      <c r="L47" s="109" t="str">
        <f t="shared" si="3"/>
        <v/>
      </c>
      <c r="M47" s="109" t="str">
        <f t="shared" si="3"/>
        <v/>
      </c>
      <c r="N47" s="109" t="str">
        <f t="shared" si="3"/>
        <v/>
      </c>
      <c r="O47" s="109" t="str">
        <f t="shared" si="3"/>
        <v/>
      </c>
      <c r="P47" s="109" t="str">
        <f t="shared" si="3"/>
        <v/>
      </c>
      <c r="Q47" s="109" t="str">
        <f t="shared" si="3"/>
        <v/>
      </c>
      <c r="R47" s="109" t="str">
        <f t="shared" si="3"/>
        <v/>
      </c>
      <c r="S47" s="109" t="str">
        <f t="shared" si="3"/>
        <v/>
      </c>
    </row>
    <row r="48" spans="1:19" x14ac:dyDescent="0.2">
      <c r="A48" s="3" t="str">
        <f t="shared" ref="A48:A49" si="4">A27</f>
        <v>10/1/16-9/30/17</v>
      </c>
      <c r="C48" s="109">
        <f t="shared" si="3"/>
        <v>3.3005942675149984</v>
      </c>
      <c r="D48" s="109">
        <f t="shared" si="3"/>
        <v>1.1154865978663779</v>
      </c>
      <c r="E48" s="109" t="str">
        <f t="shared" si="3"/>
        <v/>
      </c>
      <c r="F48" s="109" t="str">
        <f t="shared" si="3"/>
        <v/>
      </c>
      <c r="G48" s="109" t="str">
        <f t="shared" si="3"/>
        <v/>
      </c>
      <c r="H48" s="109" t="str">
        <f t="shared" si="3"/>
        <v/>
      </c>
      <c r="I48" s="109" t="str">
        <f t="shared" si="3"/>
        <v/>
      </c>
      <c r="J48" s="109" t="str">
        <f t="shared" si="3"/>
        <v/>
      </c>
      <c r="K48" s="109" t="str">
        <f t="shared" si="3"/>
        <v/>
      </c>
      <c r="L48" s="109" t="str">
        <f t="shared" si="3"/>
        <v/>
      </c>
      <c r="M48" s="109" t="str">
        <f t="shared" si="3"/>
        <v/>
      </c>
      <c r="N48" s="109" t="str">
        <f t="shared" si="3"/>
        <v/>
      </c>
      <c r="O48" s="109" t="str">
        <f t="shared" si="3"/>
        <v/>
      </c>
      <c r="P48" s="109" t="str">
        <f t="shared" si="3"/>
        <v/>
      </c>
      <c r="Q48" s="109" t="str">
        <f t="shared" si="3"/>
        <v/>
      </c>
      <c r="R48" s="109" t="str">
        <f t="shared" si="3"/>
        <v/>
      </c>
      <c r="S48" s="109" t="str">
        <f t="shared" si="3"/>
        <v/>
      </c>
    </row>
    <row r="49" spans="1:19" x14ac:dyDescent="0.2">
      <c r="A49" s="3" t="str">
        <f t="shared" si="4"/>
        <v>10/1/17-9/30/18</v>
      </c>
      <c r="C49" s="109">
        <f t="shared" si="3"/>
        <v>1.672777911868121</v>
      </c>
      <c r="D49" s="109" t="str">
        <f t="shared" si="3"/>
        <v/>
      </c>
      <c r="E49" s="109" t="str">
        <f t="shared" si="3"/>
        <v/>
      </c>
      <c r="F49" s="109" t="str">
        <f t="shared" si="3"/>
        <v/>
      </c>
      <c r="G49" s="109" t="str">
        <f t="shared" si="3"/>
        <v/>
      </c>
      <c r="H49" s="109" t="str">
        <f t="shared" si="3"/>
        <v/>
      </c>
      <c r="I49" s="109" t="str">
        <f t="shared" si="3"/>
        <v/>
      </c>
      <c r="J49" s="109" t="str">
        <f t="shared" si="3"/>
        <v/>
      </c>
      <c r="K49" s="109" t="str">
        <f t="shared" si="3"/>
        <v/>
      </c>
      <c r="L49" s="109" t="str">
        <f t="shared" si="3"/>
        <v/>
      </c>
      <c r="M49" s="109" t="str">
        <f t="shared" si="3"/>
        <v/>
      </c>
      <c r="N49" s="109" t="str">
        <f t="shared" si="3"/>
        <v/>
      </c>
      <c r="O49" s="109" t="str">
        <f t="shared" si="3"/>
        <v/>
      </c>
      <c r="P49" s="109" t="str">
        <f t="shared" si="3"/>
        <v/>
      </c>
      <c r="Q49" s="109" t="str">
        <f t="shared" si="3"/>
        <v/>
      </c>
      <c r="R49" s="109" t="str">
        <f t="shared" si="3"/>
        <v/>
      </c>
      <c r="S49" s="109" t="str">
        <f t="shared" si="3"/>
        <v/>
      </c>
    </row>
    <row r="52" spans="1:19" x14ac:dyDescent="0.2">
      <c r="A52" s="3" t="s">
        <v>100</v>
      </c>
      <c r="C52" s="109">
        <f>[1]!avg(C34:C49, , FALSE, TRUE, )</f>
        <v>2.7603403597794904</v>
      </c>
      <c r="D52" s="109">
        <f>[1]!avg(D34:D49, , FALSE, TRUE, )</f>
        <v>1.2923417547103679</v>
      </c>
      <c r="E52" s="109">
        <f>[1]!avg(E34:E49, , FALSE, TRUE, )</f>
        <v>1.1159769443887262</v>
      </c>
      <c r="F52" s="109">
        <f>[1]!avg(F34:F49, , FALSE, TRUE, )</f>
        <v>1.0631816744079892</v>
      </c>
      <c r="G52" s="109">
        <f>[1]!avg(G34:G49, , FALSE, TRUE, )</f>
        <v>1.0584360297234747</v>
      </c>
      <c r="H52" s="109">
        <f>[1]!avg(H34:H49, , FALSE, TRUE, )</f>
        <v>1.0374748153832056</v>
      </c>
      <c r="I52" s="109">
        <f>[1]!avg(I34:I49, , FALSE, TRUE, )</f>
        <v>1.022250939125984</v>
      </c>
      <c r="J52" s="109">
        <f>[1]!avg(J34:J49, , FALSE, TRUE, )</f>
        <v>1.0079100336610856</v>
      </c>
      <c r="K52" s="109">
        <f>[1]!avg(K34:K49, , FALSE, TRUE, )</f>
        <v>1.0063457196257966</v>
      </c>
      <c r="L52" s="109">
        <f>[1]!avg(L34:L49, , FALSE, TRUE, )</f>
        <v>1.0018213031385701</v>
      </c>
      <c r="M52" s="109">
        <f>[1]!avg(M34:M49, , FALSE, TRUE, )</f>
        <v>1.0016281186650193</v>
      </c>
      <c r="N52" s="109">
        <f>[1]!avg(N34:N49, , FALSE, TRUE, )</f>
        <v>1.0036847003751879</v>
      </c>
      <c r="O52" s="109">
        <f>[1]!avg(O34:O49, , FALSE, TRUE, )</f>
        <v>1.0030405104283193</v>
      </c>
      <c r="P52" s="109">
        <f>[1]!avg(P34:P49, , FALSE, TRUE, )</f>
        <v>1.0163664228732878</v>
      </c>
      <c r="Q52" s="109">
        <f>[1]!avg(Q34:Q49, , FALSE, TRUE, )</f>
        <v>0.98192514123076702</v>
      </c>
      <c r="R52" s="109" t="str">
        <f>[1]!avg(R34:R49, , FALSE, TRUE, )</f>
        <v/>
      </c>
      <c r="S52" s="109" t="str">
        <f>[1]!avg(S34:S49, , FALSE, TRUE, )</f>
        <v/>
      </c>
    </row>
    <row r="53" spans="1:19" x14ac:dyDescent="0.2">
      <c r="A53" s="3" t="s">
        <v>101</v>
      </c>
      <c r="C53" s="109">
        <f>[1]!DAvg(C$13:C$29, D$13:D$29, , FALSE,1, TRUE)</f>
        <v>2.8039214069267286</v>
      </c>
      <c r="D53" s="109">
        <f>[1]!DAvg(D$13:D$29, E$13:E$29, , FALSE,1, TRUE)</f>
        <v>1.2873807845179648</v>
      </c>
      <c r="E53" s="109">
        <f>[1]!DAvg(E$13:E$29, F$13:F$29, , FALSE,1, TRUE)</f>
        <v>1.1155409586686709</v>
      </c>
      <c r="F53" s="109">
        <f>[1]!DAvg(F$13:F$29, G$13:G$29, , FALSE,1, TRUE)</f>
        <v>1.0646919171573901</v>
      </c>
      <c r="G53" s="109">
        <f>[1]!DAvg(G$13:G$29, H$13:H$29, , FALSE,1, TRUE)</f>
        <v>1.0599246391658814</v>
      </c>
      <c r="H53" s="109">
        <f>[1]!DAvg(H$13:H$29, I$13:I$29, , FALSE,1, TRUE)</f>
        <v>1.035212205187036</v>
      </c>
      <c r="I53" s="109">
        <f>[1]!DAvg(I$13:I$29, J$13:J$29, , FALSE,1, TRUE)</f>
        <v>1.0301619808835771</v>
      </c>
      <c r="J53" s="109">
        <f>[1]!DAvg(J$13:J$29, K$13:K$29, , FALSE,1, TRUE)</f>
        <v>1.0080533389626538</v>
      </c>
      <c r="K53" s="109">
        <f>[1]!DAvg(K$13:K$29, L$13:L$29, , FALSE,1, TRUE)</f>
        <v>1.0088021967109766</v>
      </c>
      <c r="L53" s="109">
        <f>[1]!DAvg(L$13:L$29, M$13:M$29, , FALSE,1, TRUE)</f>
        <v>1.0032298120918672</v>
      </c>
      <c r="M53" s="109">
        <f>[1]!DAvg(M$13:M$29, N$13:N$29, , FALSE,1, TRUE)</f>
        <v>1.0023620184942068</v>
      </c>
      <c r="N53" s="109">
        <f>[1]!DAvg(N$13:N$29, O$13:O$29, , FALSE,1, TRUE)</f>
        <v>1.0040311313015067</v>
      </c>
      <c r="O53" s="109">
        <f>[1]!DAvg(O$13:O$29, P$13:P$29, , FALSE,1, TRUE)</f>
        <v>1.0039973439040473</v>
      </c>
      <c r="P53" s="109">
        <f>[1]!DAvg(P$13:P$29, Q$13:Q$29, , FALSE,1, TRUE)</f>
        <v>1.0233864446039651</v>
      </c>
      <c r="Q53" s="109">
        <f>[1]!DAvg(Q$13:Q$29, R$13:R$29, , FALSE,1, TRUE)</f>
        <v>0.98192514123076702</v>
      </c>
      <c r="R53" s="109" t="str">
        <f>[1]!DAvg(R$13:R$29, S$13:S$29, , FALSE,1, TRUE)</f>
        <v/>
      </c>
      <c r="S53" s="109" t="str">
        <f>[1]!DAvg(S$13:S$29, T$13:T$29, , FALSE,1, TRUE)</f>
        <v/>
      </c>
    </row>
    <row r="54" spans="1:19" x14ac:dyDescent="0.2">
      <c r="A54" s="3" t="s">
        <v>102</v>
      </c>
      <c r="C54" s="109">
        <f>[1]!DAvg(C$13:C$29, D$13:D$29, 4, FALSE, 1, TRUE)</f>
        <v>2.9141394605656199</v>
      </c>
      <c r="D54" s="109">
        <f>[1]!DAvg(D$13:D$29, E$13:E$29, 4, FALSE, 1, TRUE)</f>
        <v>1.3051862849811824</v>
      </c>
      <c r="E54" s="109">
        <f>[1]!DAvg(E$13:E$29, F$13:F$29, 4, FALSE, 1, TRUE)</f>
        <v>1.0930845236154121</v>
      </c>
      <c r="F54" s="109">
        <f>[1]!DAvg(F$13:F$29, G$13:G$29, 4, FALSE, 1, TRUE)</f>
        <v>1.0609058666452553</v>
      </c>
      <c r="G54" s="109">
        <f>[1]!DAvg(G$13:G$29, H$13:H$29, 4, FALSE, 1, TRUE)</f>
        <v>1.0580485419857284</v>
      </c>
      <c r="H54" s="109">
        <f>[1]!DAvg(H$13:H$29, I$13:I$29, 4, FALSE, 1, TRUE)</f>
        <v>1.0110632962175925</v>
      </c>
      <c r="I54" s="109">
        <f>[1]!DAvg(I$13:I$29, J$13:J$29, 4, FALSE, 1, TRUE)</f>
        <v>1.0061137027650806</v>
      </c>
      <c r="J54" s="109">
        <f>[1]!DAvg(J$13:J$29, K$13:K$29, 4, FALSE, 1, TRUE)</f>
        <v>1.0136747205804761</v>
      </c>
      <c r="K54" s="109">
        <f>[1]!DAvg(K$13:K$29, L$13:L$29, 4, FALSE, 1, TRUE)</f>
        <v>1.0037502841792083</v>
      </c>
      <c r="L54" s="109">
        <f>[1]!DAvg(L$13:L$29, M$13:M$29, 4, FALSE, 1, TRUE)</f>
        <v>1.0000235629613941</v>
      </c>
      <c r="M54" s="109">
        <f>[1]!DAvg(M$13:M$29, N$13:N$29, 4, FALSE, 1, TRUE)</f>
        <v>1.0027302646635623</v>
      </c>
      <c r="N54" s="109">
        <f>[1]!DAvg(N$13:N$29, O$13:O$29, 4, FALSE, 1, TRUE)</f>
        <v>1.0040311313015067</v>
      </c>
      <c r="O54" s="109" t="str">
        <f>[1]!DAvg(O$13:O$29, P$13:P$29, 4, FALSE, 1, TRUE)</f>
        <v/>
      </c>
      <c r="P54" s="109" t="str">
        <f>[1]!DAvg(P$13:P$29, Q$13:Q$29, 4, FALSE, 1, TRUE)</f>
        <v/>
      </c>
      <c r="Q54" s="109" t="str">
        <f>[1]!DAvg(Q$13:Q$29, R$13:R$29, 4, FALSE, 1, TRUE)</f>
        <v/>
      </c>
      <c r="R54" s="109" t="str">
        <f>[1]!DAvg(R$13:R$29, S$13:S$29, 4, FALSE, 1, TRUE)</f>
        <v/>
      </c>
      <c r="S54" s="109" t="str">
        <f>[1]!DAvg(S$13:S$29, T$13:T$29, 4, FALSE, 1, TRUE)</f>
        <v/>
      </c>
    </row>
    <row r="55" spans="1:19" x14ac:dyDescent="0.2">
      <c r="A55" s="3" t="s">
        <v>103</v>
      </c>
      <c r="C55" s="109">
        <f>[1]!DAvg(C$13:C$29, D$13:D$29, 3, FALSE, 1, TRUE)</f>
        <v>3.0177009374077568</v>
      </c>
      <c r="D55" s="109">
        <f>[1]!DAvg(D$13:D$29, E$13:E$29, 3, FALSE, 1, TRUE)</f>
        <v>1.3010056859648067</v>
      </c>
      <c r="E55" s="109">
        <f>[1]!DAvg(E$13:E$29, F$13:F$29, 3, FALSE, 1, TRUE)</f>
        <v>1.078177625748364</v>
      </c>
      <c r="F55" s="109">
        <f>[1]!DAvg(F$13:F$29, G$13:G$29, 3, FALSE, 1, TRUE)</f>
        <v>1.0541895124558212</v>
      </c>
      <c r="G55" s="109">
        <f>[1]!DAvg(G$13:G$29, H$13:H$29, 3, FALSE, 1, TRUE)</f>
        <v>1.0669320267078948</v>
      </c>
      <c r="H55" s="109">
        <f>[1]!DAvg(H$13:H$29, I$13:I$29, 3, FALSE, 1, TRUE)</f>
        <v>1.0140819853350618</v>
      </c>
      <c r="I55" s="109">
        <f>[1]!DAvg(I$13:I$29, J$13:J$29, 3, FALSE, 1, TRUE)</f>
        <v>1.0072634297127998</v>
      </c>
      <c r="J55" s="109">
        <f>[1]!DAvg(J$13:J$29, K$13:K$29, 3, FALSE, 1, TRUE)</f>
        <v>1.0178857175709854</v>
      </c>
      <c r="K55" s="109">
        <f>[1]!DAvg(K$13:K$29, L$13:L$29, 3, FALSE, 1, TRUE)</f>
        <v>1.0061362930568776</v>
      </c>
      <c r="L55" s="109">
        <f>[1]!DAvg(L$13:L$29, M$13:M$29, 3, FALSE, 1, TRUE)</f>
        <v>0.99999999999999989</v>
      </c>
      <c r="M55" s="109">
        <f>[1]!DAvg(M$13:M$29, N$13:N$29, 3, FALSE, 1, TRUE)</f>
        <v>1</v>
      </c>
      <c r="N55" s="109">
        <f>[1]!DAvg(N$13:N$29, O$13:O$29, 3, FALSE, 1, TRUE)</f>
        <v>1.0027547677706738</v>
      </c>
      <c r="O55" s="109">
        <f>[1]!DAvg(O$13:O$29, P$13:P$29, 3, FALSE, 1, TRUE)</f>
        <v>1.0039973439040473</v>
      </c>
      <c r="P55" s="109" t="str">
        <f>[1]!DAvg(P$13:P$29, Q$13:Q$29, 3, FALSE, 1, TRUE)</f>
        <v/>
      </c>
      <c r="Q55" s="109" t="str">
        <f>[1]!DAvg(Q$13:Q$29, R$13:R$29, 3, FALSE, 1, TRUE)</f>
        <v/>
      </c>
      <c r="R55" s="109" t="str">
        <f>[1]!DAvg(R$13:R$29, S$13:S$29, 3, FALSE, 1, TRUE)</f>
        <v/>
      </c>
      <c r="S55" s="109" t="str">
        <f>[1]!DAvg(S$13:S$29, T$13:T$29, 3, FALSE, 1, TRUE)</f>
        <v/>
      </c>
    </row>
    <row r="57" spans="1:19" x14ac:dyDescent="0.2">
      <c r="A57" s="3" t="s">
        <v>104</v>
      </c>
      <c r="C57" s="109">
        <f>IF(ISBLANK(D73), C73, C73/D73)</f>
        <v>2.1716919636620045</v>
      </c>
      <c r="D57" s="109">
        <f t="shared" ref="D57:S57" si="5">IF(ISBLANK(E73), D73, D73/E73)</f>
        <v>1.2753946844609807</v>
      </c>
      <c r="E57" s="109">
        <f t="shared" si="5"/>
        <v>1.1268614395577576</v>
      </c>
      <c r="F57" s="109">
        <f t="shared" si="5"/>
        <v>1.0716861225427938</v>
      </c>
      <c r="G57" s="109">
        <f t="shared" si="5"/>
        <v>1.0449907584116411</v>
      </c>
      <c r="H57" s="109">
        <f t="shared" si="5"/>
        <v>1.0309856249371796</v>
      </c>
      <c r="I57" s="109">
        <f t="shared" si="5"/>
        <v>1.0233043360649925</v>
      </c>
      <c r="J57" s="109">
        <f t="shared" si="5"/>
        <v>1.0190011053585635</v>
      </c>
      <c r="K57" s="109">
        <f t="shared" si="5"/>
        <v>1.0150139367353985</v>
      </c>
      <c r="L57" s="109">
        <f t="shared" si="5"/>
        <v>1.0126226711050397</v>
      </c>
      <c r="M57" s="109">
        <f t="shared" si="5"/>
        <v>1.0104311264322212</v>
      </c>
      <c r="N57" s="109">
        <f t="shared" si="5"/>
        <v>1.0094888880426907</v>
      </c>
      <c r="O57" s="109">
        <f t="shared" si="5"/>
        <v>1.0084799458061415</v>
      </c>
      <c r="P57" s="109">
        <f t="shared" si="5"/>
        <v>1.0077168055183268</v>
      </c>
      <c r="Q57" s="109">
        <f t="shared" si="5"/>
        <v>1.0068638298868917</v>
      </c>
      <c r="R57" s="109">
        <f t="shared" si="5"/>
        <v>1.0060980285586207</v>
      </c>
      <c r="S57" s="109">
        <f t="shared" si="5"/>
        <v>1.0813836469405362</v>
      </c>
    </row>
    <row r="58" spans="1:19" x14ac:dyDescent="0.2">
      <c r="A58" s="3" t="s">
        <v>18</v>
      </c>
      <c r="C58" s="109">
        <f>IF(ISBLANK(D74), C74, C74/D74)</f>
        <v>2.7399999999999998</v>
      </c>
      <c r="D58" s="109">
        <f t="shared" ref="D58:S58" si="6">IF(ISBLANK(E74), D74, D74/E74)</f>
        <v>1.3573929848640458</v>
      </c>
      <c r="E58" s="109">
        <f t="shared" si="6"/>
        <v>1.1150000000000007</v>
      </c>
      <c r="F58" s="109">
        <f t="shared" si="6"/>
        <v>1.0665354825981923</v>
      </c>
      <c r="G58" s="109">
        <f t="shared" si="6"/>
        <v>1.0389999999999993</v>
      </c>
      <c r="H58" s="109">
        <f t="shared" si="6"/>
        <v>1.0300823518211299</v>
      </c>
      <c r="I58" s="109">
        <f t="shared" si="6"/>
        <v>1.0232501205073192</v>
      </c>
      <c r="J58" s="109">
        <f t="shared" si="6"/>
        <v>1.0188058804508067</v>
      </c>
      <c r="K58" s="109">
        <f t="shared" si="6"/>
        <v>1.0154278501503267</v>
      </c>
      <c r="L58" s="109">
        <f t="shared" si="6"/>
        <v>1.0134486804078489</v>
      </c>
      <c r="M58" s="109">
        <f t="shared" si="6"/>
        <v>1.0111732803304958</v>
      </c>
      <c r="N58" s="109">
        <f t="shared" si="6"/>
        <v>1.0101116175292848</v>
      </c>
      <c r="O58" s="109">
        <f t="shared" si="6"/>
        <v>1.0093380419067266</v>
      </c>
      <c r="P58" s="109">
        <f t="shared" si="6"/>
        <v>1.0083685896153916</v>
      </c>
      <c r="Q58" s="109">
        <f t="shared" si="6"/>
        <v>1.0075333675124332</v>
      </c>
      <c r="R58" s="109">
        <f t="shared" si="6"/>
        <v>1.006700929011211</v>
      </c>
      <c r="S58" s="109">
        <f t="shared" si="6"/>
        <v>1.0554455069753375</v>
      </c>
    </row>
    <row r="60" spans="1:19" x14ac:dyDescent="0.2">
      <c r="A60" s="3" t="s">
        <v>105</v>
      </c>
      <c r="C60" s="108" t="str">
        <f>C32</f>
        <v>12 - 24</v>
      </c>
      <c r="D60" s="108" t="str">
        <f t="shared" ref="D60:S60" si="7">D32</f>
        <v>24 - 36</v>
      </c>
      <c r="E60" s="108" t="str">
        <f t="shared" si="7"/>
        <v>36 - 48</v>
      </c>
      <c r="F60" s="108" t="str">
        <f t="shared" si="7"/>
        <v>48 - 60</v>
      </c>
      <c r="G60" s="108" t="str">
        <f t="shared" si="7"/>
        <v>60 - 72</v>
      </c>
      <c r="H60" s="108" t="str">
        <f t="shared" si="7"/>
        <v>72 - 84</v>
      </c>
      <c r="I60" s="108" t="str">
        <f t="shared" si="7"/>
        <v>84 - 96</v>
      </c>
      <c r="J60" s="108" t="str">
        <f t="shared" si="7"/>
        <v>96 - 108</v>
      </c>
      <c r="K60" s="108" t="str">
        <f t="shared" si="7"/>
        <v>108 - 120</v>
      </c>
      <c r="L60" s="108" t="str">
        <f t="shared" si="7"/>
        <v>120 - 132</v>
      </c>
      <c r="M60" s="108" t="str">
        <f t="shared" si="7"/>
        <v>132 - 144</v>
      </c>
      <c r="N60" s="108" t="str">
        <f t="shared" si="7"/>
        <v>144 - 156</v>
      </c>
      <c r="O60" s="108" t="str">
        <f t="shared" si="7"/>
        <v>156 - 168</v>
      </c>
      <c r="P60" s="108" t="str">
        <f t="shared" si="7"/>
        <v>168 - 180</v>
      </c>
      <c r="Q60" s="108" t="str">
        <f t="shared" si="7"/>
        <v>180 - 192</v>
      </c>
      <c r="R60" s="108" t="str">
        <f t="shared" si="7"/>
        <v>192 - 204</v>
      </c>
      <c r="S60" s="108" t="str">
        <f t="shared" si="7"/>
        <v>204 - ULT</v>
      </c>
    </row>
    <row r="61" spans="1:19" x14ac:dyDescent="0.2">
      <c r="A61" s="3" t="s">
        <v>106</v>
      </c>
      <c r="C61" s="109">
        <f>C58</f>
        <v>2.7399999999999998</v>
      </c>
      <c r="D61" s="109">
        <f t="shared" ref="D61:S61" si="8">D58</f>
        <v>1.3573929848640458</v>
      </c>
      <c r="E61" s="109">
        <f t="shared" si="8"/>
        <v>1.1150000000000007</v>
      </c>
      <c r="F61" s="109">
        <f t="shared" si="8"/>
        <v>1.0665354825981923</v>
      </c>
      <c r="G61" s="109">
        <f t="shared" si="8"/>
        <v>1.0389999999999993</v>
      </c>
      <c r="H61" s="109">
        <f t="shared" si="8"/>
        <v>1.0300823518211299</v>
      </c>
      <c r="I61" s="109">
        <f t="shared" si="8"/>
        <v>1.0232501205073192</v>
      </c>
      <c r="J61" s="109">
        <f t="shared" si="8"/>
        <v>1.0188058804508067</v>
      </c>
      <c r="K61" s="109">
        <f t="shared" si="8"/>
        <v>1.0154278501503267</v>
      </c>
      <c r="L61" s="109">
        <f t="shared" si="8"/>
        <v>1.0134486804078489</v>
      </c>
      <c r="M61" s="109">
        <f t="shared" si="8"/>
        <v>1.0111732803304958</v>
      </c>
      <c r="N61" s="109">
        <f t="shared" si="8"/>
        <v>1.0101116175292848</v>
      </c>
      <c r="O61" s="109">
        <f t="shared" si="8"/>
        <v>1.0093380419067266</v>
      </c>
      <c r="P61" s="109">
        <f t="shared" si="8"/>
        <v>1.0083685896153916</v>
      </c>
      <c r="Q61" s="109">
        <f t="shared" si="8"/>
        <v>1.0075333675124332</v>
      </c>
      <c r="R61" s="109">
        <f t="shared" si="8"/>
        <v>1.006700929011211</v>
      </c>
      <c r="S61" s="109">
        <f t="shared" si="8"/>
        <v>1.0554455069753375</v>
      </c>
    </row>
    <row r="62" spans="1:19" x14ac:dyDescent="0.2">
      <c r="A62" s="3" t="s">
        <v>107</v>
      </c>
      <c r="C62" s="109">
        <f>PRODUCT(C61:$S$61)</f>
        <v>5.651510490983398</v>
      </c>
      <c r="D62" s="109">
        <f>PRODUCT(D61:$S$61)</f>
        <v>2.0625950697019704</v>
      </c>
      <c r="E62" s="109">
        <f>PRODUCT(E61:$S$61)</f>
        <v>1.5195268376228988</v>
      </c>
      <c r="F62" s="109">
        <f>PRODUCT(F61:$S$61)</f>
        <v>1.3628043386752444</v>
      </c>
      <c r="G62" s="109">
        <f>PRODUCT(G61:$S$61)</f>
        <v>1.2777862161278597</v>
      </c>
      <c r="H62" s="109">
        <f>PRODUCT(H61:$S$61)</f>
        <v>1.2298231146562659</v>
      </c>
      <c r="I62" s="109">
        <f>PRODUCT(I61:$S$61)</f>
        <v>1.1939075671784933</v>
      </c>
      <c r="J62" s="109">
        <f>PRODUCT(J61:$S$61)</f>
        <v>1.1667797963088078</v>
      </c>
      <c r="K62" s="109">
        <f>PRODUCT(K61:$S$61)</f>
        <v>1.1452425027155566</v>
      </c>
      <c r="L62" s="109">
        <f>PRODUCT(L61:$S$61)</f>
        <v>1.1278423204031798</v>
      </c>
      <c r="M62" s="109">
        <f>PRODUCT(M61:$S$61)</f>
        <v>1.1128756119641841</v>
      </c>
      <c r="N62" s="109">
        <f>PRODUCT(N61:$S$61)</f>
        <v>1.1005785394175442</v>
      </c>
      <c r="O62" s="109">
        <f>PRODUCT(O61:$S$61)</f>
        <v>1.0895613121543342</v>
      </c>
      <c r="P62" s="109">
        <f>PRODUCT(P61:$S$61)</f>
        <v>1.0794810726603137</v>
      </c>
      <c r="Q62" s="109">
        <f>PRODUCT(Q61:$S$61)</f>
        <v>1.0705223107673811</v>
      </c>
      <c r="R62" s="109">
        <f>PRODUCT(R61:$S$61)</f>
        <v>1.0625179723927809</v>
      </c>
      <c r="S62" s="109">
        <f>PRODUCT(S61:$S$61)</f>
        <v>1.0554455069753375</v>
      </c>
    </row>
    <row r="63" spans="1:19" ht="12" customHeight="1" x14ac:dyDescent="0.2"/>
    <row r="64" spans="1:19" ht="12" customHeight="1" x14ac:dyDescent="0.2"/>
    <row r="65" spans="1:21" ht="12" customHeight="1" x14ac:dyDescent="0.2">
      <c r="A65" s="103" t="s">
        <v>83</v>
      </c>
    </row>
    <row r="66" spans="1:21" ht="12" customHeight="1" x14ac:dyDescent="0.2">
      <c r="A66" s="138" t="s">
        <v>123</v>
      </c>
    </row>
    <row r="67" spans="1:21" ht="12" customHeight="1" x14ac:dyDescent="0.2">
      <c r="A67" s="102" t="s">
        <v>171</v>
      </c>
    </row>
    <row r="68" spans="1:21" ht="12" customHeight="1" x14ac:dyDescent="0.2">
      <c r="A68" s="106" t="str">
        <f>"The "&amp;A28&amp;" diagonal is valued as of "&amp;ptxt_l&amp;"."</f>
        <v>The 10/1/17-9/30/18 diagonal is valued as of October 31, 2018.</v>
      </c>
    </row>
    <row r="69" spans="1:21" ht="12" customHeight="1" x14ac:dyDescent="0.2">
      <c r="A69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72" spans="1:21" x14ac:dyDescent="0.2">
      <c r="A72" s="3" t="s">
        <v>25</v>
      </c>
      <c r="C72" s="82">
        <f t="shared" ref="C72:S72" si="9">C11</f>
        <v>12</v>
      </c>
      <c r="D72" s="82">
        <f t="shared" si="9"/>
        <v>24</v>
      </c>
      <c r="E72" s="82">
        <f t="shared" si="9"/>
        <v>36</v>
      </c>
      <c r="F72" s="82">
        <f t="shared" si="9"/>
        <v>48</v>
      </c>
      <c r="G72" s="82">
        <f t="shared" si="9"/>
        <v>60</v>
      </c>
      <c r="H72" s="82">
        <f t="shared" si="9"/>
        <v>72</v>
      </c>
      <c r="I72" s="82">
        <f t="shared" si="9"/>
        <v>84</v>
      </c>
      <c r="J72" s="82">
        <f t="shared" si="9"/>
        <v>96</v>
      </c>
      <c r="K72" s="82">
        <f t="shared" si="9"/>
        <v>108</v>
      </c>
      <c r="L72" s="82">
        <f t="shared" si="9"/>
        <v>120</v>
      </c>
      <c r="M72" s="82">
        <f t="shared" si="9"/>
        <v>132</v>
      </c>
      <c r="N72" s="82">
        <f t="shared" si="9"/>
        <v>144</v>
      </c>
      <c r="O72" s="82">
        <f t="shared" si="9"/>
        <v>156</v>
      </c>
      <c r="P72" s="82">
        <f t="shared" si="9"/>
        <v>168</v>
      </c>
      <c r="Q72" s="82">
        <f t="shared" si="9"/>
        <v>180</v>
      </c>
      <c r="R72" s="82">
        <f t="shared" si="9"/>
        <v>192</v>
      </c>
      <c r="S72" s="82">
        <f t="shared" si="9"/>
        <v>204</v>
      </c>
    </row>
    <row r="73" spans="1:21" x14ac:dyDescent="0.2">
      <c r="A73" s="3" t="s">
        <v>104</v>
      </c>
      <c r="C73" s="118">
        <f t="shared" ref="C73:S73" si="10">VLOOKUP(C$72, indldfs, $U73, FALSE)</f>
        <v>4.3858118321329265</v>
      </c>
      <c r="D73" s="118">
        <f t="shared" si="10"/>
        <v>2.0195367968933189</v>
      </c>
      <c r="E73" s="118">
        <f t="shared" si="10"/>
        <v>1.5834602586154218</v>
      </c>
      <c r="F73" s="118">
        <f t="shared" si="10"/>
        <v>1.4051951757590166</v>
      </c>
      <c r="G73" s="118">
        <f t="shared" si="10"/>
        <v>1.3112003096810703</v>
      </c>
      <c r="H73" s="118">
        <f t="shared" si="10"/>
        <v>1.2547482349739254</v>
      </c>
      <c r="I73" s="118">
        <f t="shared" si="10"/>
        <v>1.2170375654368413</v>
      </c>
      <c r="J73" s="118">
        <f t="shared" si="10"/>
        <v>1.1893212239448034</v>
      </c>
      <c r="K73" s="118">
        <f t="shared" si="10"/>
        <v>1.1671441941432519</v>
      </c>
      <c r="L73" s="118">
        <f t="shared" si="10"/>
        <v>1.1498799690348604</v>
      </c>
      <c r="M73" s="118">
        <f t="shared" si="10"/>
        <v>1.1355463410472892</v>
      </c>
      <c r="N73" s="118">
        <f t="shared" si="10"/>
        <v>1.1238235950399145</v>
      </c>
      <c r="O73" s="118">
        <f t="shared" si="10"/>
        <v>1.1132599955794547</v>
      </c>
      <c r="P73" s="118">
        <f t="shared" si="10"/>
        <v>1.1038989919522453</v>
      </c>
      <c r="Q73" s="118">
        <f t="shared" si="10"/>
        <v>1.095445650908289</v>
      </c>
      <c r="R73" s="118">
        <f t="shared" si="10"/>
        <v>1.0879779553024052</v>
      </c>
      <c r="S73" s="118">
        <f t="shared" si="10"/>
        <v>1.0813836469405362</v>
      </c>
      <c r="U73" s="3">
        <f>MATCH($C$1, 'Industry LDF'!$A$5:$M$5, 0)</f>
        <v>8</v>
      </c>
    </row>
    <row r="74" spans="1:21" x14ac:dyDescent="0.2">
      <c r="A74" s="3" t="s">
        <v>18</v>
      </c>
      <c r="C74" s="111">
        <f>[1]!ldfsir(prldfs, prldf_ages, prldf_type, prldf_ret, C$72, $U$75, $U$74, prldf_cutoff, 3)</f>
        <v>5.6515104909834006</v>
      </c>
      <c r="D74" s="111">
        <f>[1]!ldfsir(prldfs, prldf_ages, prldf_type, prldf_ret, D$72, $U$75, $U$74, prldf_cutoff, 3)</f>
        <v>2.0625950697019713</v>
      </c>
      <c r="E74" s="111">
        <f>[1]!ldfsir(prldfs, prldf_ages, prldf_type, prldf_ret, E$72, $U$75, $U$74, prldf_cutoff, 3)</f>
        <v>1.5195268376228992</v>
      </c>
      <c r="F74" s="111">
        <f>[1]!ldfsir(prldfs, prldf_ages, prldf_type, prldf_ret, F$72, $U$75, $U$74, prldf_cutoff, 3)</f>
        <v>1.3628043386752451</v>
      </c>
      <c r="G74" s="111">
        <f>[1]!ldfsir(prldfs, prldf_ages, prldf_type, prldf_ret, G$72, $U$75, $U$74, prldf_cutoff, 3)</f>
        <v>1.2777862161278599</v>
      </c>
      <c r="H74" s="111">
        <f>[1]!ldfsir(prldfs, prldf_ages, prldf_type, prldf_ret, H$72, $U$75, $U$74, prldf_cutoff, 3)</f>
        <v>1.2298231146562664</v>
      </c>
      <c r="I74" s="111">
        <f>[1]!ldfsir(prldfs, prldf_ages, prldf_type, prldf_ret, I$72, $U$75, $U$74, prldf_cutoff, 3)</f>
        <v>1.1939075671784936</v>
      </c>
      <c r="J74" s="111">
        <f>[1]!ldfsir(prldfs, prldf_ages, prldf_type, prldf_ret, J$72, $U$75, $U$74, prldf_cutoff, 3)</f>
        <v>1.1667797963088085</v>
      </c>
      <c r="K74" s="111">
        <f>[1]!ldfsir(prldfs, prldf_ages, prldf_type, prldf_ret, K$72, $U$75, $U$74, prldf_cutoff, 3)</f>
        <v>1.1452425027155571</v>
      </c>
      <c r="L74" s="111">
        <f>[1]!ldfsir(prldfs, prldf_ages, prldf_type, prldf_ret, L$72, $U$75, $U$74, prldf_cutoff, 3)</f>
        <v>1.12784232040318</v>
      </c>
      <c r="M74" s="111">
        <f>[1]!ldfsir(prldfs, prldf_ages, prldf_type, prldf_ret, M$72, $U$75, $U$74, prldf_cutoff, 3)</f>
        <v>1.1128756119641845</v>
      </c>
      <c r="N74" s="111">
        <f>[1]!ldfsir(prldfs, prldf_ages, prldf_type, prldf_ret, N$72, $U$75, $U$74, prldf_cutoff, 3)</f>
        <v>1.1005785394175447</v>
      </c>
      <c r="O74" s="111">
        <f>[1]!ldfsir(prldfs, prldf_ages, prldf_type, prldf_ret, O$72, $U$75, $U$74, prldf_cutoff, 3)</f>
        <v>1.0895613121543344</v>
      </c>
      <c r="P74" s="111">
        <f>[1]!ldfsir(prldfs, prldf_ages, prldf_type, prldf_ret, P$72, $U$75, $U$74, prldf_cutoff, 3)</f>
        <v>1.0794810726603141</v>
      </c>
      <c r="Q74" s="111">
        <f>[1]!ldfsir(prldfs, prldf_ages, prldf_type, prldf_ret, Q$72, $U$75, $U$74, prldf_cutoff, 3)</f>
        <v>1.0705223107673811</v>
      </c>
      <c r="R74" s="111">
        <f>[1]!ldfsir(prldfs, prldf_ages, prldf_type, prldf_ret, R$72, $U$75, $U$74, prldf_cutoff, 3)</f>
        <v>1.0625179723927809</v>
      </c>
      <c r="S74" s="111">
        <f>[1]!ldfsir(prldfs, prldf_ages, prldf_type, prldf_ret, S$72, $U$75, $U$74, prldf_cutoff, 3)</f>
        <v>1.0554455069753375</v>
      </c>
      <c r="U74" s="105">
        <v>10000000</v>
      </c>
    </row>
    <row r="75" spans="1:21" x14ac:dyDescent="0.2"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1</v>
      </c>
      <c r="N75" s="1" t="b">
        <v>1</v>
      </c>
      <c r="O75" s="1" t="b">
        <v>1</v>
      </c>
      <c r="P75" s="1" t="b">
        <v>1</v>
      </c>
      <c r="Q75" s="1" t="b">
        <v>1</v>
      </c>
      <c r="R75" s="1" t="b">
        <v>1</v>
      </c>
      <c r="U75" s="3" t="s">
        <v>75</v>
      </c>
    </row>
    <row r="77" spans="1:21" x14ac:dyDescent="0.2">
      <c r="A77" s="82" t="s">
        <v>172</v>
      </c>
    </row>
    <row r="78" spans="1:21" x14ac:dyDescent="0.2">
      <c r="A78" s="3" t="s">
        <v>173</v>
      </c>
      <c r="C78" s="1" t="b">
        <f>C61&gt;=D61</f>
        <v>1</v>
      </c>
      <c r="D78" s="1" t="b">
        <f t="shared" ref="D78:Q78" si="11">D61&gt;=E61</f>
        <v>1</v>
      </c>
      <c r="E78" s="1" t="b">
        <f t="shared" si="11"/>
        <v>1</v>
      </c>
      <c r="F78" s="1" t="b">
        <f t="shared" si="11"/>
        <v>1</v>
      </c>
      <c r="G78" s="1" t="b">
        <f t="shared" si="11"/>
        <v>1</v>
      </c>
      <c r="H78" s="1" t="b">
        <f t="shared" si="11"/>
        <v>1</v>
      </c>
      <c r="I78" s="1" t="b">
        <f t="shared" si="11"/>
        <v>1</v>
      </c>
      <c r="J78" s="1" t="b">
        <f t="shared" si="11"/>
        <v>1</v>
      </c>
      <c r="K78" s="1" t="b">
        <f t="shared" si="11"/>
        <v>1</v>
      </c>
      <c r="L78" s="1" t="b">
        <f t="shared" si="11"/>
        <v>1</v>
      </c>
      <c r="M78" s="1" t="b">
        <f t="shared" si="11"/>
        <v>1</v>
      </c>
      <c r="N78" s="1" t="b">
        <f t="shared" si="11"/>
        <v>1</v>
      </c>
      <c r="O78" s="1" t="b">
        <f t="shared" si="11"/>
        <v>1</v>
      </c>
      <c r="P78" s="1" t="b">
        <f t="shared" si="11"/>
        <v>1</v>
      </c>
      <c r="Q78" s="1" t="b">
        <f t="shared" si="11"/>
        <v>1</v>
      </c>
    </row>
    <row r="79" spans="1:21" x14ac:dyDescent="0.2">
      <c r="A79" s="3" t="s">
        <v>174</v>
      </c>
      <c r="C79" s="1" t="b">
        <f>'e8.7'!C79</f>
        <v>1</v>
      </c>
      <c r="D79" s="1" t="b">
        <f>'e8.7'!D79</f>
        <v>1</v>
      </c>
      <c r="E79" s="1" t="b">
        <f>'e8.7'!E79</f>
        <v>1</v>
      </c>
      <c r="F79" s="1" t="b">
        <f>'e8.7'!F79</f>
        <v>1</v>
      </c>
      <c r="G79" s="1" t="b">
        <f>'e8.7'!G79</f>
        <v>1</v>
      </c>
      <c r="H79" s="1" t="b">
        <f>'e8.7'!H79</f>
        <v>1</v>
      </c>
      <c r="I79" s="1" t="b">
        <f>'e8.7'!I79</f>
        <v>1</v>
      </c>
      <c r="J79" s="1" t="b">
        <f>'e8.7'!J79</f>
        <v>1</v>
      </c>
      <c r="K79" s="1" t="b">
        <f>'e8.7'!K79</f>
        <v>1</v>
      </c>
      <c r="L79" s="1" t="b">
        <f>'e8.7'!L79</f>
        <v>1</v>
      </c>
      <c r="M79" s="1" t="b">
        <f>'e8.7'!M79</f>
        <v>1</v>
      </c>
      <c r="N79" s="1" t="b">
        <f>'e8.7'!N79</f>
        <v>1</v>
      </c>
      <c r="O79" s="1" t="b">
        <f>'e8.7'!O79</f>
        <v>1</v>
      </c>
      <c r="P79" s="1" t="b">
        <f>'e8.7'!P79</f>
        <v>1</v>
      </c>
      <c r="Q79" s="1" t="b">
        <f>'e8.7'!Q79</f>
        <v>1</v>
      </c>
      <c r="R79" s="1" t="b">
        <f>'e8.7'!R79</f>
        <v>1</v>
      </c>
      <c r="S79" s="1" t="b">
        <f>'e8.7'!S79</f>
        <v>1</v>
      </c>
    </row>
    <row r="80" spans="1:21" x14ac:dyDescent="0.2">
      <c r="A80" s="3" t="s">
        <v>90</v>
      </c>
      <c r="C80" s="1" t="b">
        <f>C61&gt;='e8.6'!C61</f>
        <v>1</v>
      </c>
      <c r="D80" s="1" t="b">
        <f>D61&gt;='e8.6'!D61</f>
        <v>1</v>
      </c>
      <c r="E80" s="1" t="b">
        <f>E61&gt;='e8.6'!E61</f>
        <v>1</v>
      </c>
      <c r="F80" s="1" t="b">
        <f>F61&gt;='e8.6'!F61</f>
        <v>1</v>
      </c>
      <c r="G80" s="1" t="b">
        <f>G61&gt;='e8.6'!G61</f>
        <v>1</v>
      </c>
      <c r="H80" s="1" t="b">
        <f>H61&gt;='e8.6'!H61</f>
        <v>1</v>
      </c>
      <c r="I80" s="1" t="b">
        <f>I61&gt;='e8.6'!I61</f>
        <v>1</v>
      </c>
      <c r="J80" s="1" t="b">
        <f>J61&gt;='e8.6'!J61</f>
        <v>1</v>
      </c>
      <c r="K80" s="1" t="b">
        <f>K61&gt;='e8.6'!K61</f>
        <v>1</v>
      </c>
      <c r="L80" s="1" t="b">
        <f>L61&gt;='e8.6'!L61</f>
        <v>1</v>
      </c>
      <c r="M80" s="1" t="b">
        <f>M61&gt;='e8.6'!M61</f>
        <v>1</v>
      </c>
      <c r="N80" s="1" t="b">
        <f>N61&gt;='e8.6'!N61</f>
        <v>1</v>
      </c>
      <c r="O80" s="1" t="b">
        <f>O61&gt;='e8.6'!O61</f>
        <v>1</v>
      </c>
      <c r="P80" s="1" t="b">
        <f>P61&gt;='e8.6'!P61</f>
        <v>1</v>
      </c>
      <c r="Q80" s="1" t="b">
        <f>Q61&gt;='e8.6'!Q61</f>
        <v>1</v>
      </c>
      <c r="R80" s="1" t="b">
        <f>R61&gt;='e8.6'!R61</f>
        <v>1</v>
      </c>
      <c r="S80" s="1" t="b">
        <f>S61&gt;='e8.6'!S61</f>
        <v>1</v>
      </c>
    </row>
  </sheetData>
  <printOptions horizontalCentered="1"/>
  <pageMargins left="0.7" right="0.7" top="0.75" bottom="0.75" header="0.3" footer="0.3"/>
  <pageSetup scale="58" orientation="landscape" blackAndWhite="1" r:id="rId1"/>
  <headerFooter>
    <oddHeader xml:space="preserve">&amp;L&amp;"Arial"&amp;10  
  &amp;R&amp;"Arial"&amp;10  Exhibit 8
Sheet 8
</oddHeader>
    <oddFooter xml:space="preserve">&amp;L&amp;"Arial"&amp;10 Oliver Wyman Actuarial Consulting, Inc.
&amp;C&amp;"Arial"&amp;10 &amp;R&amp;"Arial"&amp;10 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3">
    <tabColor rgb="FF00B050"/>
    <pageSetUpPr fitToPage="1"/>
  </sheetPr>
  <dimension ref="A1:T67"/>
  <sheetViews>
    <sheetView zoomScale="85" zoomScaleNormal="85" zoomScaleSheetLayoutView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4" width="7.625" style="1" customWidth="1"/>
    <col min="15" max="15" width="2.625" style="1" customWidth="1"/>
    <col min="16" max="16" width="9" style="1"/>
    <col min="17" max="17" width="2.625" style="1" customWidth="1"/>
    <col min="18" max="18" width="9" style="1"/>
    <col min="19" max="19" width="2.625" style="1" customWidth="1"/>
    <col min="20" max="20" width="4.25" style="1" bestFit="1" customWidth="1"/>
    <col min="21" max="16384" width="9" style="1"/>
  </cols>
  <sheetData>
    <row r="1" spans="1:20" x14ac:dyDescent="0.2">
      <c r="A1" s="1" t="str">
        <f>[1]!getlabels()</f>
        <v>Exhibit 8, Sheet 9</v>
      </c>
    </row>
    <row r="2" spans="1:20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20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20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20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20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20" x14ac:dyDescent="0.2">
      <c r="A7" s="81" t="str">
        <f>VLOOKUP($A$1, index_lkups, 3, FALSE)</f>
        <v>Reported Lost-Time Claim Counts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10" spans="1:20" x14ac:dyDescent="0.2">
      <c r="A10" s="33" t="str">
        <f>Intro!$M$9</f>
        <v>Policy</v>
      </c>
      <c r="C10" s="1" t="s">
        <v>98</v>
      </c>
    </row>
    <row r="11" spans="1:20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P11" s="480" t="str">
        <f>tctxt</f>
        <v>4/30/19</v>
      </c>
      <c r="R11" s="82" t="s">
        <v>26</v>
      </c>
      <c r="T11" s="82" t="s">
        <v>505</v>
      </c>
    </row>
    <row r="12" spans="1:20" ht="12.75" customHeight="1" x14ac:dyDescent="0.2"/>
    <row r="13" spans="1:20" ht="12.75" customHeight="1" x14ac:dyDescent="0.2">
      <c r="A13" s="3" t="str">
        <f>Intro!E30</f>
        <v>10/1/07-9/30/08</v>
      </c>
      <c r="C13" s="90" t="s">
        <v>73</v>
      </c>
      <c r="D13" s="90" t="s">
        <v>73</v>
      </c>
      <c r="E13" s="90" t="s">
        <v>73</v>
      </c>
      <c r="F13" s="90">
        <v>24</v>
      </c>
      <c r="G13" s="90">
        <v>24</v>
      </c>
      <c r="H13" s="90">
        <v>24</v>
      </c>
      <c r="I13" s="90">
        <v>24</v>
      </c>
      <c r="J13" s="90">
        <v>24</v>
      </c>
      <c r="K13" s="90">
        <v>24</v>
      </c>
      <c r="L13" s="90">
        <v>24</v>
      </c>
      <c r="M13" s="90">
        <v>24</v>
      </c>
      <c r="N13" s="107">
        <f>$P13</f>
        <v>24</v>
      </c>
      <c r="P13" s="139">
        <f>'e7'!S28</f>
        <v>24</v>
      </c>
      <c r="R13" s="3" t="str">
        <f>Intro!O30</f>
        <v>Travelers</v>
      </c>
      <c r="T13" s="85">
        <f>P13 - [1]!GetNthToLast(C13:N13, 2)</f>
        <v>0</v>
      </c>
    </row>
    <row r="14" spans="1:20" ht="12.75" customHeight="1" x14ac:dyDescent="0.2">
      <c r="A14" s="3" t="str">
        <f>Intro!E31</f>
        <v>10/1/08-9/30/09</v>
      </c>
      <c r="C14" s="90" t="s">
        <v>73</v>
      </c>
      <c r="D14" s="90" t="s">
        <v>73</v>
      </c>
      <c r="E14" s="90">
        <v>31</v>
      </c>
      <c r="F14" s="90">
        <v>31</v>
      </c>
      <c r="G14" s="90">
        <v>31</v>
      </c>
      <c r="H14" s="90">
        <v>31</v>
      </c>
      <c r="I14" s="90">
        <v>31</v>
      </c>
      <c r="J14" s="90">
        <v>31</v>
      </c>
      <c r="K14" s="90">
        <v>31</v>
      </c>
      <c r="L14" s="90">
        <v>31</v>
      </c>
      <c r="M14" s="107">
        <f>$P14</f>
        <v>31</v>
      </c>
      <c r="N14" s="90"/>
      <c r="P14" s="139">
        <f>'e7'!S29</f>
        <v>31</v>
      </c>
      <c r="R14" s="3" t="str">
        <f>Intro!O31</f>
        <v>Travelers</v>
      </c>
      <c r="T14" s="85">
        <f>P14 - [1]!GetNthToLast(C14:N14, 2)</f>
        <v>0</v>
      </c>
    </row>
    <row r="15" spans="1:20" ht="12.75" customHeight="1" x14ac:dyDescent="0.2">
      <c r="A15" s="3" t="str">
        <f>Intro!E32</f>
        <v>10/1/09-9/30/10</v>
      </c>
      <c r="C15" s="90" t="s">
        <v>73</v>
      </c>
      <c r="D15" s="90">
        <v>34</v>
      </c>
      <c r="E15" s="90">
        <v>34</v>
      </c>
      <c r="F15" s="90">
        <v>34</v>
      </c>
      <c r="G15" s="90">
        <v>34</v>
      </c>
      <c r="H15" s="90">
        <v>34</v>
      </c>
      <c r="I15" s="90">
        <v>34</v>
      </c>
      <c r="J15" s="90">
        <v>34</v>
      </c>
      <c r="K15" s="90">
        <v>34</v>
      </c>
      <c r="L15" s="107">
        <f>$P15</f>
        <v>34</v>
      </c>
      <c r="M15" s="90"/>
      <c r="N15" s="90"/>
      <c r="P15" s="139">
        <f>'e7'!S30</f>
        <v>34</v>
      </c>
      <c r="R15" s="3" t="str">
        <f>Intro!O32</f>
        <v>Travelers</v>
      </c>
      <c r="T15" s="85">
        <f>P15 - [1]!GetNthToLast(C15:N15, 2)</f>
        <v>0</v>
      </c>
    </row>
    <row r="16" spans="1:20" ht="12.75" customHeight="1" x14ac:dyDescent="0.2">
      <c r="A16" s="3" t="str">
        <f>Intro!E33</f>
        <v>10/1/10-9/30/11</v>
      </c>
      <c r="C16" s="90">
        <v>28</v>
      </c>
      <c r="D16" s="90">
        <v>31</v>
      </c>
      <c r="E16" s="90">
        <v>30</v>
      </c>
      <c r="F16" s="90">
        <v>30</v>
      </c>
      <c r="G16" s="90">
        <v>30</v>
      </c>
      <c r="H16" s="90">
        <v>30</v>
      </c>
      <c r="I16" s="90">
        <v>30</v>
      </c>
      <c r="J16" s="90">
        <v>30</v>
      </c>
      <c r="K16" s="107">
        <f>$P16</f>
        <v>30</v>
      </c>
      <c r="L16" s="90"/>
      <c r="M16" s="90"/>
      <c r="N16" s="90"/>
      <c r="P16" s="139">
        <f>'e7'!S31</f>
        <v>30</v>
      </c>
      <c r="R16" s="3" t="str">
        <f>Intro!O33</f>
        <v>Hartford</v>
      </c>
      <c r="T16" s="85">
        <f>P16 - [1]!GetNthToLast(C16:N16, 2)</f>
        <v>0</v>
      </c>
    </row>
    <row r="17" spans="1:20" ht="12.75" customHeight="1" x14ac:dyDescent="0.2">
      <c r="A17" s="3" t="str">
        <f>Intro!E34</f>
        <v>10/1/11-9/30/12</v>
      </c>
      <c r="C17" s="90">
        <v>31</v>
      </c>
      <c r="D17" s="90">
        <v>34</v>
      </c>
      <c r="E17" s="90">
        <v>34</v>
      </c>
      <c r="F17" s="90">
        <v>34</v>
      </c>
      <c r="G17" s="90">
        <v>34</v>
      </c>
      <c r="H17" s="90">
        <v>34</v>
      </c>
      <c r="I17" s="90">
        <v>34</v>
      </c>
      <c r="J17" s="107">
        <f>$P17</f>
        <v>34</v>
      </c>
      <c r="K17" s="90"/>
      <c r="L17" s="90"/>
      <c r="M17" s="90"/>
      <c r="N17" s="90"/>
      <c r="P17" s="139">
        <f>'e7'!S32</f>
        <v>34</v>
      </c>
      <c r="R17" s="3" t="str">
        <f>Intro!O34</f>
        <v>Hartford</v>
      </c>
      <c r="T17" s="85">
        <f>P17 - [1]!GetNthToLast(C17:N17, 2)</f>
        <v>0</v>
      </c>
    </row>
    <row r="18" spans="1:20" ht="12.75" customHeight="1" x14ac:dyDescent="0.2">
      <c r="A18" s="3" t="str">
        <f>Intro!E35</f>
        <v>10/1/12-9/30/13</v>
      </c>
      <c r="C18" s="90">
        <v>44</v>
      </c>
      <c r="D18" s="90">
        <v>46</v>
      </c>
      <c r="E18" s="90">
        <v>46</v>
      </c>
      <c r="F18" s="90">
        <v>46</v>
      </c>
      <c r="G18" s="90">
        <v>46</v>
      </c>
      <c r="H18" s="90">
        <v>46</v>
      </c>
      <c r="I18" s="107">
        <f>$P18</f>
        <v>47</v>
      </c>
      <c r="J18" s="90"/>
      <c r="K18" s="90"/>
      <c r="L18" s="90"/>
      <c r="M18" s="90"/>
      <c r="N18" s="90"/>
      <c r="P18" s="139">
        <f>'e7'!S33</f>
        <v>47</v>
      </c>
      <c r="R18" s="3" t="str">
        <f>Intro!O35</f>
        <v>Hartford</v>
      </c>
      <c r="T18" s="85">
        <f>P18 - [1]!GetNthToLast(C18:N18, 2)</f>
        <v>1</v>
      </c>
    </row>
    <row r="19" spans="1:20" ht="12.75" customHeight="1" x14ac:dyDescent="0.2">
      <c r="A19" s="3" t="str">
        <f>Intro!E36</f>
        <v>10/1/13-9/30/14</v>
      </c>
      <c r="C19" s="90">
        <v>42</v>
      </c>
      <c r="D19" s="90">
        <v>42</v>
      </c>
      <c r="E19" s="90">
        <v>43</v>
      </c>
      <c r="F19" s="90">
        <v>43</v>
      </c>
      <c r="G19" s="90">
        <v>43</v>
      </c>
      <c r="H19" s="107">
        <f>$P19</f>
        <v>43</v>
      </c>
      <c r="I19" s="90"/>
      <c r="J19" s="90"/>
      <c r="K19" s="90"/>
      <c r="L19" s="90"/>
      <c r="M19" s="90"/>
      <c r="N19" s="90"/>
      <c r="P19" s="139">
        <f>'e7'!S34</f>
        <v>43</v>
      </c>
      <c r="R19" s="3" t="str">
        <f>Intro!O36</f>
        <v>Corvel</v>
      </c>
      <c r="T19" s="85">
        <f>P19 - [1]!GetNthToLast(C19:N19, 2)</f>
        <v>0</v>
      </c>
    </row>
    <row r="20" spans="1:20" ht="12.75" customHeight="1" x14ac:dyDescent="0.2">
      <c r="A20" s="3" t="str">
        <f>Intro!E37</f>
        <v>10/1/14-9/30/15</v>
      </c>
      <c r="C20" s="90">
        <v>37</v>
      </c>
      <c r="D20" s="90">
        <v>39</v>
      </c>
      <c r="E20" s="90">
        <v>39</v>
      </c>
      <c r="F20" s="90">
        <v>38</v>
      </c>
      <c r="G20" s="107">
        <f>$P20</f>
        <v>38</v>
      </c>
      <c r="H20" s="90"/>
      <c r="I20" s="90"/>
      <c r="J20" s="90"/>
      <c r="K20" s="90"/>
      <c r="L20" s="90"/>
      <c r="M20" s="90"/>
      <c r="N20" s="90"/>
      <c r="P20" s="139">
        <f>'e7'!S35</f>
        <v>38</v>
      </c>
      <c r="R20" s="3" t="str">
        <f>Intro!O37</f>
        <v>Corvel</v>
      </c>
      <c r="T20" s="85">
        <f>P20 - [1]!GetNthToLast(C20:N20, 2)</f>
        <v>0</v>
      </c>
    </row>
    <row r="21" spans="1:20" ht="12.75" customHeight="1" x14ac:dyDescent="0.2">
      <c r="A21" s="3" t="str">
        <f>Intro!E38</f>
        <v>10/1/15-9/30/16</v>
      </c>
      <c r="C21" s="90">
        <v>39</v>
      </c>
      <c r="D21" s="90">
        <v>34</v>
      </c>
      <c r="E21" s="90">
        <v>35</v>
      </c>
      <c r="F21" s="107">
        <f>$P21</f>
        <v>35</v>
      </c>
      <c r="G21" s="90"/>
      <c r="H21" s="90"/>
      <c r="I21" s="90"/>
      <c r="J21" s="90"/>
      <c r="K21" s="90"/>
      <c r="L21" s="90"/>
      <c r="M21" s="90"/>
      <c r="N21" s="90"/>
      <c r="P21" s="139">
        <f>'e7'!S36</f>
        <v>35</v>
      </c>
      <c r="R21" s="3" t="str">
        <f>Intro!O38</f>
        <v>Corvel</v>
      </c>
      <c r="T21" s="85">
        <f>P21 - [1]!GetNthToLast(C21:N21, 2)</f>
        <v>0</v>
      </c>
    </row>
    <row r="22" spans="1:20" ht="12.75" customHeight="1" x14ac:dyDescent="0.2">
      <c r="A22" s="3" t="str">
        <f>Intro!E39</f>
        <v>10/1/16-9/30/17</v>
      </c>
      <c r="C22" s="90">
        <v>46</v>
      </c>
      <c r="D22" s="90">
        <v>46</v>
      </c>
      <c r="E22" s="107">
        <f>$P22</f>
        <v>46</v>
      </c>
      <c r="F22" s="90"/>
      <c r="G22" s="90"/>
      <c r="H22" s="90"/>
      <c r="I22" s="90"/>
      <c r="J22" s="90"/>
      <c r="K22" s="90"/>
      <c r="L22" s="90"/>
      <c r="M22" s="90"/>
      <c r="N22" s="90"/>
      <c r="P22" s="139">
        <f>'e7'!S37</f>
        <v>46</v>
      </c>
      <c r="R22" s="3" t="str">
        <f>Intro!O39</f>
        <v>Corvel</v>
      </c>
      <c r="T22" s="85">
        <f>P22 - [1]!GetNthToLast(C22:N22, 2)</f>
        <v>0</v>
      </c>
    </row>
    <row r="23" spans="1:20" ht="12.75" customHeight="1" x14ac:dyDescent="0.2">
      <c r="A23" s="3" t="str">
        <f>Intro!E40</f>
        <v>10/1/17-9/30/18</v>
      </c>
      <c r="C23" s="90">
        <v>119</v>
      </c>
      <c r="D23" s="107">
        <f>$P23</f>
        <v>125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P23" s="139">
        <f>'e7'!S38</f>
        <v>125</v>
      </c>
      <c r="R23" s="3" t="str">
        <f>Intro!O40</f>
        <v>Corvel</v>
      </c>
      <c r="T23" s="85">
        <f>P23 - [1]!GetNthToLast(C23:N23, 2)</f>
        <v>6</v>
      </c>
    </row>
    <row r="24" spans="1:20" ht="12.75" customHeight="1" x14ac:dyDescent="0.2">
      <c r="A24" s="3" t="str">
        <f>Intro!E41</f>
        <v>10/1/18-9/30/19</v>
      </c>
      <c r="C24" s="107">
        <f>$P24</f>
        <v>46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P24" s="139">
        <f>'e7'!S39</f>
        <v>46</v>
      </c>
      <c r="R24" s="3" t="str">
        <f>Intro!O41</f>
        <v>Corvel</v>
      </c>
      <c r="T24" s="85"/>
    </row>
    <row r="25" spans="1:20" x14ac:dyDescent="0.2">
      <c r="A25" s="3"/>
    </row>
    <row r="26" spans="1:20" x14ac:dyDescent="0.2">
      <c r="A26" s="33" t="str">
        <f>Intro!$M$9</f>
        <v>Policy</v>
      </c>
      <c r="C26" s="1" t="s">
        <v>99</v>
      </c>
    </row>
    <row r="27" spans="1:20" x14ac:dyDescent="0.2">
      <c r="A27" s="82" t="str">
        <f>Intro!$M$10</f>
        <v>Period</v>
      </c>
      <c r="C27" s="108" t="str">
        <f t="shared" ref="C27:D27" si="0">C11&amp;" - "&amp;IF(ISBLANK(D11), "ULT", D11)</f>
        <v>12 - 24</v>
      </c>
      <c r="D27" s="108" t="str">
        <f t="shared" si="0"/>
        <v>24 - 36</v>
      </c>
      <c r="E27" s="108" t="str">
        <f t="shared" ref="E27" si="1">E11&amp;" - "&amp;IF(ISBLANK(F11), "ULT", F11)</f>
        <v>36 - 48</v>
      </c>
      <c r="F27" s="108" t="str">
        <f t="shared" ref="F27" si="2">F11&amp;" - "&amp;IF(ISBLANK(G11), "ULT", G11)</f>
        <v>48 - 60</v>
      </c>
      <c r="G27" s="108" t="str">
        <f t="shared" ref="G27" si="3">G11&amp;" - "&amp;IF(ISBLANK(H11), "ULT", H11)</f>
        <v>60 - 72</v>
      </c>
      <c r="H27" s="108" t="str">
        <f t="shared" ref="H27" si="4">H11&amp;" - "&amp;IF(ISBLANK(I11), "ULT", I11)</f>
        <v>72 - 84</v>
      </c>
      <c r="I27" s="108" t="str">
        <f t="shared" ref="I27" si="5">I11&amp;" - "&amp;IF(ISBLANK(J11), "ULT", J11)</f>
        <v>84 - 96</v>
      </c>
      <c r="J27" s="108" t="str">
        <f t="shared" ref="J27" si="6">J11&amp;" - "&amp;IF(ISBLANK(K11), "ULT", K11)</f>
        <v>96 - 108</v>
      </c>
      <c r="K27" s="108" t="str">
        <f t="shared" ref="K27" si="7">K11&amp;" - "&amp;IF(ISBLANK(L11), "ULT", L11)</f>
        <v>108 - 120</v>
      </c>
      <c r="L27" s="108" t="str">
        <f t="shared" ref="L27" si="8">L11&amp;" - "&amp;IF(ISBLANK(M11), "ULT", M11)</f>
        <v>120 - 132</v>
      </c>
      <c r="M27" s="108" t="str">
        <f t="shared" ref="M27" si="9">M11&amp;" - "&amp;IF(ISBLANK(N11), "ULT", N11)</f>
        <v>132 - 144</v>
      </c>
      <c r="N27" s="108" t="str">
        <f t="shared" ref="N27" si="10">N11&amp;" - "&amp;IF(ISBLANK(O11), "ULT", O11)</f>
        <v>144 - ULT</v>
      </c>
    </row>
    <row r="28" spans="1:20" x14ac:dyDescent="0.2">
      <c r="A28" s="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1:20" x14ac:dyDescent="0.2">
      <c r="A29" s="3" t="str">
        <f t="shared" ref="A29:A37" si="11">A13</f>
        <v>10/1/07-9/30/08</v>
      </c>
      <c r="C29" s="109" t="str">
        <f>IFERROR(IF(OR(D13="", ISBLANK(D13)), "", D13/C13), "")</f>
        <v/>
      </c>
      <c r="D29" s="109" t="str">
        <f t="shared" ref="D29:N29" si="12">IFERROR(IF(OR(E13="", ISBLANK(E13)), "", E13/D13), "")</f>
        <v/>
      </c>
      <c r="E29" s="109" t="str">
        <f t="shared" si="12"/>
        <v/>
      </c>
      <c r="F29" s="109">
        <f t="shared" si="12"/>
        <v>1</v>
      </c>
      <c r="G29" s="109">
        <f t="shared" si="12"/>
        <v>1</v>
      </c>
      <c r="H29" s="109">
        <f t="shared" si="12"/>
        <v>1</v>
      </c>
      <c r="I29" s="109">
        <f t="shared" si="12"/>
        <v>1</v>
      </c>
      <c r="J29" s="109">
        <f t="shared" si="12"/>
        <v>1</v>
      </c>
      <c r="K29" s="109">
        <f t="shared" si="12"/>
        <v>1</v>
      </c>
      <c r="L29" s="109">
        <f t="shared" si="12"/>
        <v>1</v>
      </c>
      <c r="M29" s="109">
        <f t="shared" si="12"/>
        <v>1</v>
      </c>
      <c r="N29" s="109" t="str">
        <f t="shared" si="12"/>
        <v/>
      </c>
    </row>
    <row r="30" spans="1:20" x14ac:dyDescent="0.2">
      <c r="A30" s="3" t="str">
        <f t="shared" si="11"/>
        <v>10/1/08-9/30/09</v>
      </c>
      <c r="C30" s="109" t="str">
        <f t="shared" ref="C30:N30" si="13">IFERROR(IF(OR(D14="", ISBLANK(D14)), "", D14/C14), "")</f>
        <v/>
      </c>
      <c r="D30" s="109" t="str">
        <f t="shared" si="13"/>
        <v/>
      </c>
      <c r="E30" s="109">
        <f t="shared" si="13"/>
        <v>1</v>
      </c>
      <c r="F30" s="109">
        <f t="shared" si="13"/>
        <v>1</v>
      </c>
      <c r="G30" s="109">
        <f t="shared" si="13"/>
        <v>1</v>
      </c>
      <c r="H30" s="109">
        <f t="shared" si="13"/>
        <v>1</v>
      </c>
      <c r="I30" s="109">
        <f t="shared" si="13"/>
        <v>1</v>
      </c>
      <c r="J30" s="109">
        <f t="shared" si="13"/>
        <v>1</v>
      </c>
      <c r="K30" s="109">
        <f t="shared" si="13"/>
        <v>1</v>
      </c>
      <c r="L30" s="109">
        <f t="shared" si="13"/>
        <v>1</v>
      </c>
      <c r="M30" s="109" t="str">
        <f t="shared" si="13"/>
        <v/>
      </c>
      <c r="N30" s="109" t="str">
        <f t="shared" si="13"/>
        <v/>
      </c>
    </row>
    <row r="31" spans="1:20" x14ac:dyDescent="0.2">
      <c r="A31" s="3" t="str">
        <f t="shared" si="11"/>
        <v>10/1/09-9/30/10</v>
      </c>
      <c r="C31" s="109" t="str">
        <f t="shared" ref="C31:N31" si="14">IFERROR(IF(OR(D15="", ISBLANK(D15)), "", D15/C15), "")</f>
        <v/>
      </c>
      <c r="D31" s="109">
        <f t="shared" si="14"/>
        <v>1</v>
      </c>
      <c r="E31" s="109">
        <f t="shared" si="14"/>
        <v>1</v>
      </c>
      <c r="F31" s="109">
        <f t="shared" si="14"/>
        <v>1</v>
      </c>
      <c r="G31" s="109">
        <f t="shared" si="14"/>
        <v>1</v>
      </c>
      <c r="H31" s="109">
        <f t="shared" si="14"/>
        <v>1</v>
      </c>
      <c r="I31" s="109">
        <f t="shared" si="14"/>
        <v>1</v>
      </c>
      <c r="J31" s="109">
        <f t="shared" si="14"/>
        <v>1</v>
      </c>
      <c r="K31" s="109">
        <f t="shared" si="14"/>
        <v>1</v>
      </c>
      <c r="L31" s="109" t="str">
        <f t="shared" si="14"/>
        <v/>
      </c>
      <c r="M31" s="109" t="str">
        <f t="shared" si="14"/>
        <v/>
      </c>
      <c r="N31" s="109" t="str">
        <f t="shared" si="14"/>
        <v/>
      </c>
    </row>
    <row r="32" spans="1:20" x14ac:dyDescent="0.2">
      <c r="A32" s="3" t="str">
        <f t="shared" si="11"/>
        <v>10/1/10-9/30/11</v>
      </c>
      <c r="C32" s="109">
        <f t="shared" ref="C32:N32" si="15">IFERROR(IF(OR(D16="", ISBLANK(D16)), "", D16/C16), "")</f>
        <v>1.1071428571428572</v>
      </c>
      <c r="D32" s="109">
        <f t="shared" si="15"/>
        <v>0.967741935483871</v>
      </c>
      <c r="E32" s="109">
        <f t="shared" si="15"/>
        <v>1</v>
      </c>
      <c r="F32" s="109">
        <f t="shared" si="15"/>
        <v>1</v>
      </c>
      <c r="G32" s="109">
        <f t="shared" si="15"/>
        <v>1</v>
      </c>
      <c r="H32" s="109">
        <f t="shared" si="15"/>
        <v>1</v>
      </c>
      <c r="I32" s="109">
        <f t="shared" si="15"/>
        <v>1</v>
      </c>
      <c r="J32" s="109">
        <f t="shared" si="15"/>
        <v>1</v>
      </c>
      <c r="K32" s="109" t="str">
        <f t="shared" si="15"/>
        <v/>
      </c>
      <c r="L32" s="109" t="str">
        <f t="shared" si="15"/>
        <v/>
      </c>
      <c r="M32" s="109" t="str">
        <f t="shared" si="15"/>
        <v/>
      </c>
      <c r="N32" s="109" t="str">
        <f t="shared" si="15"/>
        <v/>
      </c>
    </row>
    <row r="33" spans="1:14" x14ac:dyDescent="0.2">
      <c r="A33" s="3" t="str">
        <f t="shared" si="11"/>
        <v>10/1/11-9/30/12</v>
      </c>
      <c r="C33" s="109">
        <f t="shared" ref="C33:N33" si="16">IFERROR(IF(OR(D17="", ISBLANK(D17)), "", D17/C17), "")</f>
        <v>1.096774193548387</v>
      </c>
      <c r="D33" s="109">
        <f t="shared" si="16"/>
        <v>1</v>
      </c>
      <c r="E33" s="109">
        <f t="shared" si="16"/>
        <v>1</v>
      </c>
      <c r="F33" s="109">
        <f t="shared" si="16"/>
        <v>1</v>
      </c>
      <c r="G33" s="109">
        <f t="shared" si="16"/>
        <v>1</v>
      </c>
      <c r="H33" s="109">
        <f t="shared" si="16"/>
        <v>1</v>
      </c>
      <c r="I33" s="109">
        <f t="shared" si="16"/>
        <v>1</v>
      </c>
      <c r="J33" s="109" t="str">
        <f t="shared" si="16"/>
        <v/>
      </c>
      <c r="K33" s="109" t="str">
        <f t="shared" si="16"/>
        <v/>
      </c>
      <c r="L33" s="109" t="str">
        <f t="shared" si="16"/>
        <v/>
      </c>
      <c r="M33" s="109" t="str">
        <f t="shared" si="16"/>
        <v/>
      </c>
      <c r="N33" s="109" t="str">
        <f t="shared" si="16"/>
        <v/>
      </c>
    </row>
    <row r="34" spans="1:14" x14ac:dyDescent="0.2">
      <c r="A34" s="3" t="str">
        <f t="shared" si="11"/>
        <v>10/1/12-9/30/13</v>
      </c>
      <c r="C34" s="109">
        <f t="shared" ref="C34:N34" si="17">IFERROR(IF(OR(D18="", ISBLANK(D18)), "", D18/C18), "")</f>
        <v>1.0454545454545454</v>
      </c>
      <c r="D34" s="109">
        <f t="shared" si="17"/>
        <v>1</v>
      </c>
      <c r="E34" s="109">
        <f t="shared" si="17"/>
        <v>1</v>
      </c>
      <c r="F34" s="109">
        <f t="shared" si="17"/>
        <v>1</v>
      </c>
      <c r="G34" s="109">
        <f t="shared" si="17"/>
        <v>1</v>
      </c>
      <c r="H34" s="109">
        <f t="shared" si="17"/>
        <v>1.0217391304347827</v>
      </c>
      <c r="I34" s="109" t="str">
        <f t="shared" si="17"/>
        <v/>
      </c>
      <c r="J34" s="109" t="str">
        <f t="shared" si="17"/>
        <v/>
      </c>
      <c r="K34" s="109" t="str">
        <f t="shared" si="17"/>
        <v/>
      </c>
      <c r="L34" s="109" t="str">
        <f t="shared" si="17"/>
        <v/>
      </c>
      <c r="M34" s="109" t="str">
        <f t="shared" si="17"/>
        <v/>
      </c>
      <c r="N34" s="109" t="str">
        <f t="shared" si="17"/>
        <v/>
      </c>
    </row>
    <row r="35" spans="1:14" x14ac:dyDescent="0.2">
      <c r="A35" s="3" t="str">
        <f t="shared" si="11"/>
        <v>10/1/13-9/30/14</v>
      </c>
      <c r="C35" s="109">
        <f t="shared" ref="C35:N35" si="18">IFERROR(IF(OR(D19="", ISBLANK(D19)), "", D19/C19), "")</f>
        <v>1</v>
      </c>
      <c r="D35" s="109">
        <f t="shared" si="18"/>
        <v>1.0238095238095237</v>
      </c>
      <c r="E35" s="109">
        <f t="shared" si="18"/>
        <v>1</v>
      </c>
      <c r="F35" s="109">
        <f t="shared" si="18"/>
        <v>1</v>
      </c>
      <c r="G35" s="109">
        <f t="shared" si="18"/>
        <v>1</v>
      </c>
      <c r="H35" s="109" t="str">
        <f t="shared" si="18"/>
        <v/>
      </c>
      <c r="I35" s="109" t="str">
        <f t="shared" si="18"/>
        <v/>
      </c>
      <c r="J35" s="109" t="str">
        <f t="shared" si="18"/>
        <v/>
      </c>
      <c r="K35" s="109" t="str">
        <f t="shared" si="18"/>
        <v/>
      </c>
      <c r="L35" s="109" t="str">
        <f t="shared" si="18"/>
        <v/>
      </c>
      <c r="M35" s="109" t="str">
        <f t="shared" si="18"/>
        <v/>
      </c>
      <c r="N35" s="109" t="str">
        <f t="shared" si="18"/>
        <v/>
      </c>
    </row>
    <row r="36" spans="1:14" x14ac:dyDescent="0.2">
      <c r="A36" s="3" t="str">
        <f t="shared" si="11"/>
        <v>10/1/14-9/30/15</v>
      </c>
      <c r="C36" s="109">
        <f t="shared" ref="C36:N36" si="19">IFERROR(IF(OR(D20="", ISBLANK(D20)), "", D20/C20), "")</f>
        <v>1.0540540540540539</v>
      </c>
      <c r="D36" s="109">
        <f t="shared" si="19"/>
        <v>1</v>
      </c>
      <c r="E36" s="109">
        <f t="shared" si="19"/>
        <v>0.97435897435897434</v>
      </c>
      <c r="F36" s="109">
        <f t="shared" si="19"/>
        <v>1</v>
      </c>
      <c r="G36" s="109" t="str">
        <f t="shared" si="19"/>
        <v/>
      </c>
      <c r="H36" s="109" t="str">
        <f t="shared" si="19"/>
        <v/>
      </c>
      <c r="I36" s="109" t="str">
        <f t="shared" si="19"/>
        <v/>
      </c>
      <c r="J36" s="109" t="str">
        <f t="shared" si="19"/>
        <v/>
      </c>
      <c r="K36" s="109" t="str">
        <f t="shared" si="19"/>
        <v/>
      </c>
      <c r="L36" s="109" t="str">
        <f t="shared" si="19"/>
        <v/>
      </c>
      <c r="M36" s="109" t="str">
        <f t="shared" si="19"/>
        <v/>
      </c>
      <c r="N36" s="109" t="str">
        <f t="shared" si="19"/>
        <v/>
      </c>
    </row>
    <row r="37" spans="1:14" x14ac:dyDescent="0.2">
      <c r="A37" s="3" t="str">
        <f t="shared" si="11"/>
        <v>10/1/15-9/30/16</v>
      </c>
      <c r="C37" s="109">
        <f t="shared" ref="C37:N37" si="20">IFERROR(IF(OR(D21="", ISBLANK(D21)), "", D21/C21), "")</f>
        <v>0.87179487179487181</v>
      </c>
      <c r="D37" s="109">
        <f t="shared" si="20"/>
        <v>1.0294117647058822</v>
      </c>
      <c r="E37" s="109">
        <f t="shared" si="20"/>
        <v>1</v>
      </c>
      <c r="F37" s="109" t="str">
        <f t="shared" si="20"/>
        <v/>
      </c>
      <c r="G37" s="109" t="str">
        <f t="shared" si="20"/>
        <v/>
      </c>
      <c r="H37" s="109" t="str">
        <f t="shared" si="20"/>
        <v/>
      </c>
      <c r="I37" s="109" t="str">
        <f t="shared" si="20"/>
        <v/>
      </c>
      <c r="J37" s="109" t="str">
        <f t="shared" si="20"/>
        <v/>
      </c>
      <c r="K37" s="109" t="str">
        <f t="shared" si="20"/>
        <v/>
      </c>
      <c r="L37" s="109" t="str">
        <f t="shared" si="20"/>
        <v/>
      </c>
      <c r="M37" s="109" t="str">
        <f t="shared" si="20"/>
        <v/>
      </c>
      <c r="N37" s="109" t="str">
        <f t="shared" si="20"/>
        <v/>
      </c>
    </row>
    <row r="38" spans="1:14" x14ac:dyDescent="0.2">
      <c r="A38" s="3" t="str">
        <f t="shared" ref="A38:A39" si="21">A22</f>
        <v>10/1/16-9/30/17</v>
      </c>
      <c r="C38" s="109">
        <f t="shared" ref="C38:N38" si="22">IFERROR(IF(OR(D22="", ISBLANK(D22)), "", D22/C22), "")</f>
        <v>1</v>
      </c>
      <c r="D38" s="109">
        <f t="shared" si="22"/>
        <v>1</v>
      </c>
      <c r="E38" s="109" t="str">
        <f t="shared" si="22"/>
        <v/>
      </c>
      <c r="F38" s="109" t="str">
        <f t="shared" si="22"/>
        <v/>
      </c>
      <c r="G38" s="109" t="str">
        <f t="shared" si="22"/>
        <v/>
      </c>
      <c r="H38" s="109" t="str">
        <f t="shared" si="22"/>
        <v/>
      </c>
      <c r="I38" s="109" t="str">
        <f t="shared" si="22"/>
        <v/>
      </c>
      <c r="J38" s="109" t="str">
        <f t="shared" si="22"/>
        <v/>
      </c>
      <c r="K38" s="109" t="str">
        <f t="shared" si="22"/>
        <v/>
      </c>
      <c r="L38" s="109" t="str">
        <f t="shared" si="22"/>
        <v/>
      </c>
      <c r="M38" s="109" t="str">
        <f t="shared" si="22"/>
        <v/>
      </c>
      <c r="N38" s="109" t="str">
        <f t="shared" si="22"/>
        <v/>
      </c>
    </row>
    <row r="39" spans="1:14" x14ac:dyDescent="0.2">
      <c r="A39" s="3" t="str">
        <f t="shared" si="21"/>
        <v>10/1/17-9/30/18</v>
      </c>
      <c r="C39" s="109">
        <f t="shared" ref="C39:N39" si="23">IFERROR(IF(OR(D23="", ISBLANK(D23)), "", D23/C23), "")</f>
        <v>1.0504201680672269</v>
      </c>
      <c r="D39" s="109" t="str">
        <f t="shared" si="23"/>
        <v/>
      </c>
      <c r="E39" s="109" t="str">
        <f t="shared" si="23"/>
        <v/>
      </c>
      <c r="F39" s="109" t="str">
        <f t="shared" si="23"/>
        <v/>
      </c>
      <c r="G39" s="109" t="str">
        <f t="shared" si="23"/>
        <v/>
      </c>
      <c r="H39" s="109" t="str">
        <f t="shared" si="23"/>
        <v/>
      </c>
      <c r="I39" s="109" t="str">
        <f t="shared" si="23"/>
        <v/>
      </c>
      <c r="J39" s="109" t="str">
        <f t="shared" si="23"/>
        <v/>
      </c>
      <c r="K39" s="109" t="str">
        <f t="shared" si="23"/>
        <v/>
      </c>
      <c r="L39" s="109" t="str">
        <f t="shared" si="23"/>
        <v/>
      </c>
      <c r="M39" s="109" t="str">
        <f t="shared" si="23"/>
        <v/>
      </c>
      <c r="N39" s="109" t="str">
        <f t="shared" si="23"/>
        <v/>
      </c>
    </row>
    <row r="42" spans="1:14" x14ac:dyDescent="0.2">
      <c r="A42" s="3" t="s">
        <v>100</v>
      </c>
      <c r="C42" s="109">
        <f>[1]!avg(C29:C39, , FALSE, TRUE, )</f>
        <v>1.0250315031421022</v>
      </c>
      <c r="D42" s="109">
        <f>[1]!avg(D29:D39, , FALSE, TRUE, )</f>
        <v>1.002994746285611</v>
      </c>
      <c r="E42" s="109">
        <f>[1]!avg(E29:E39, , FALSE, TRUE, )</f>
        <v>0.99633699633699635</v>
      </c>
      <c r="F42" s="109">
        <f>[1]!avg(F29:F39, , FALSE, TRUE, )</f>
        <v>1</v>
      </c>
      <c r="G42" s="109">
        <f>[1]!avg(G29:G39, , FALSE, TRUE, )</f>
        <v>1</v>
      </c>
      <c r="H42" s="109">
        <f>[1]!avg(H29:H39, , FALSE, TRUE, )</f>
        <v>1</v>
      </c>
      <c r="I42" s="109">
        <f>[1]!avg(I29:I39, , FALSE, TRUE, )</f>
        <v>1</v>
      </c>
      <c r="J42" s="109">
        <f>[1]!avg(J29:J39, , FALSE, TRUE, )</f>
        <v>1</v>
      </c>
      <c r="K42" s="109">
        <f>[1]!avg(K29:K39, , FALSE, TRUE, )</f>
        <v>1</v>
      </c>
      <c r="L42" s="109">
        <f>[1]!avg(L29:L39, , FALSE, TRUE, )</f>
        <v>1</v>
      </c>
      <c r="M42" s="109" t="str">
        <f>[1]!avg(M29:M39, , FALSE, TRUE, )</f>
        <v/>
      </c>
      <c r="N42" s="109" t="str">
        <f>[1]!avg(N29:N39, , FALSE, TRUE, )</f>
        <v/>
      </c>
    </row>
    <row r="43" spans="1:14" x14ac:dyDescent="0.2">
      <c r="A43" s="3" t="s">
        <v>101</v>
      </c>
      <c r="C43" s="109">
        <f>[1]!DAvg(C$13:C$24, D$13:D$24, , FALSE,1, TRUE)</f>
        <v>1.0187265917602997</v>
      </c>
      <c r="D43" s="109">
        <f>[1]!DAvg(D$13:D$24, E$13:E$24, , FALSE,1, TRUE)</f>
        <v>1.0038461538461538</v>
      </c>
      <c r="E43" s="109">
        <f>[1]!DAvg(E$13:E$24, F$13:F$24, , FALSE,1, TRUE)</f>
        <v>0.99610894941634243</v>
      </c>
      <c r="F43" s="109">
        <f>[1]!DAvg(F$13:F$24, G$13:G$24, , FALSE,1, TRUE)</f>
        <v>1</v>
      </c>
      <c r="G43" s="109">
        <f>[1]!DAvg(G$13:G$24, H$13:H$24, , FALSE,1, TRUE)</f>
        <v>1</v>
      </c>
      <c r="H43" s="109">
        <f>[1]!DAvg(H$13:H$24, I$13:I$24, , FALSE,1, TRUE)</f>
        <v>1</v>
      </c>
      <c r="I43" s="109">
        <f>[1]!DAvg(I$13:I$24, J$13:J$24, , FALSE,1, TRUE)</f>
        <v>1</v>
      </c>
      <c r="J43" s="109">
        <f>[1]!DAvg(J$13:J$24, K$13:K$24, , FALSE,1, TRUE)</f>
        <v>1</v>
      </c>
      <c r="K43" s="109">
        <f>[1]!DAvg(K$13:K$24, L$13:L$24, , FALSE,1, TRUE)</f>
        <v>1</v>
      </c>
      <c r="L43" s="109">
        <f>[1]!DAvg(L$13:L$24, M$13:M$24, , FALSE,1, TRUE)</f>
        <v>1</v>
      </c>
      <c r="M43" s="109" t="str">
        <f>[1]!DAvg(M$13:M$24, N$13:N$24, , FALSE,1, TRUE)</f>
        <v/>
      </c>
      <c r="N43" s="109" t="str">
        <f>[1]!DAvg(N$13:N$24, O$13:O$24, , FALSE,1, TRUE)</f>
        <v/>
      </c>
    </row>
    <row r="44" spans="1:14" x14ac:dyDescent="0.2">
      <c r="A44" s="3" t="s">
        <v>102</v>
      </c>
      <c r="C44" s="109">
        <f>[1]!DAvg(C$13:C$24, D$13:D$24, 4, FALSE, 1, TRUE)</f>
        <v>0.98170731707317072</v>
      </c>
      <c r="D44" s="109">
        <f>[1]!DAvg(D$13:D$24, E$13:E$24, 4, FALSE, 1, TRUE)</f>
        <v>1.0124223602484472</v>
      </c>
      <c r="E44" s="109">
        <f>[1]!DAvg(E$13:E$24, F$13:F$24, 4, FALSE, 1, TRUE)</f>
        <v>0.99382716049382713</v>
      </c>
      <c r="F44" s="109">
        <f>[1]!DAvg(F$13:F$24, G$13:G$24, 4, FALSE, 1, TRUE)</f>
        <v>1</v>
      </c>
      <c r="G44" s="109">
        <f>[1]!DAvg(G$13:G$24, H$13:H$24, 4, FALSE, 1, TRUE)</f>
        <v>1</v>
      </c>
      <c r="H44" s="109">
        <f>[1]!DAvg(H$13:H$24, I$13:I$24, 4, FALSE, 1, TRUE)</f>
        <v>1</v>
      </c>
      <c r="I44" s="109">
        <f>[1]!DAvg(I$13:I$24, J$13:J$24, 4, FALSE, 1, TRUE)</f>
        <v>1</v>
      </c>
      <c r="J44" s="109" t="str">
        <f>[1]!DAvg(J$13:J$24, K$13:K$24, 4, FALSE, 1, TRUE)</f>
        <v/>
      </c>
      <c r="K44" s="109" t="str">
        <f>[1]!DAvg(K$13:K$24, L$13:L$24, 4, FALSE, 1, TRUE)</f>
        <v/>
      </c>
      <c r="L44" s="109" t="str">
        <f>[1]!DAvg(L$13:L$24, M$13:M$24, 4, FALSE, 1, TRUE)</f>
        <v/>
      </c>
      <c r="M44" s="109" t="str">
        <f>[1]!DAvg(M$13:M$24, N$13:N$24, 4, FALSE, 1, TRUE)</f>
        <v/>
      </c>
      <c r="N44" s="109" t="str">
        <f>[1]!DAvg(N$13:N$24, O$13:O$24, 4, FALSE, 1, TRUE)</f>
        <v/>
      </c>
    </row>
    <row r="45" spans="1:14" x14ac:dyDescent="0.2">
      <c r="A45" s="3" t="s">
        <v>103</v>
      </c>
      <c r="C45" s="109">
        <f>[1]!DAvg(C$13:C$24, D$13:D$24, 3, FALSE, 1, TRUE)</f>
        <v>0.97540983606557374</v>
      </c>
      <c r="D45" s="109">
        <f>[1]!DAvg(D$13:D$24, E$13:E$24, 3, FALSE, 1, TRUE)</f>
        <v>1.017391304347826</v>
      </c>
      <c r="E45" s="109">
        <f>[1]!DAvg(E$13:E$24, F$13:F$24, 3, FALSE, 1, TRUE)</f>
        <v>0.9921875</v>
      </c>
      <c r="F45" s="109">
        <f>[1]!DAvg(F$13:F$24, G$13:G$24, 3, FALSE, 1, TRUE)</f>
        <v>1</v>
      </c>
      <c r="G45" s="109">
        <f>[1]!DAvg(G$13:G$24, H$13:H$24, 3, FALSE, 1, TRUE)</f>
        <v>1</v>
      </c>
      <c r="H45" s="109">
        <f>[1]!DAvg(H$13:H$24, I$13:I$24, 3, FALSE, 1, TRUE)</f>
        <v>1</v>
      </c>
      <c r="I45" s="109">
        <f>[1]!DAvg(I$13:I$24, J$13:J$24, 3, FALSE, 1, TRUE)</f>
        <v>1</v>
      </c>
      <c r="J45" s="109">
        <f>[1]!DAvg(J$13:J$24, K$13:K$24, 3, FALSE, 1, TRUE)</f>
        <v>1</v>
      </c>
      <c r="K45" s="109" t="str">
        <f>[1]!DAvg(K$13:K$24, L$13:L$24, 3, FALSE, 1, TRUE)</f>
        <v/>
      </c>
      <c r="L45" s="109" t="str">
        <f>[1]!DAvg(L$13:L$24, M$13:M$24, 3, FALSE, 1, TRUE)</f>
        <v/>
      </c>
      <c r="M45" s="109" t="str">
        <f>[1]!DAvg(M$13:M$24, N$13:N$24, 3, FALSE, 1, TRUE)</f>
        <v/>
      </c>
      <c r="N45" s="109" t="str">
        <f>[1]!DAvg(N$13:N$24, O$13:O$24, 3, FALSE, 1, TRUE)</f>
        <v/>
      </c>
    </row>
    <row r="47" spans="1:14" x14ac:dyDescent="0.2">
      <c r="A47" s="3" t="s">
        <v>18</v>
      </c>
      <c r="C47" s="109">
        <f>IF(ISBLANK(D61), C61, C61/D61)</f>
        <v>1.0199999999999998</v>
      </c>
      <c r="D47" s="109">
        <f t="shared" ref="D47:N47" si="24">IF(ISBLANK(E61), D61, D61/E61)</f>
        <v>1.01</v>
      </c>
      <c r="E47" s="109">
        <f t="shared" si="24"/>
        <v>1.0049999999999999</v>
      </c>
      <c r="F47" s="109">
        <f t="shared" si="24"/>
        <v>1</v>
      </c>
      <c r="G47" s="109">
        <f t="shared" si="24"/>
        <v>1</v>
      </c>
      <c r="H47" s="109">
        <f t="shared" si="24"/>
        <v>1</v>
      </c>
      <c r="I47" s="109">
        <f t="shared" si="24"/>
        <v>1</v>
      </c>
      <c r="J47" s="109">
        <f t="shared" si="24"/>
        <v>1</v>
      </c>
      <c r="K47" s="109">
        <f t="shared" si="24"/>
        <v>1</v>
      </c>
      <c r="L47" s="109">
        <f t="shared" si="24"/>
        <v>1</v>
      </c>
      <c r="M47" s="109">
        <f t="shared" si="24"/>
        <v>1</v>
      </c>
      <c r="N47" s="109">
        <f t="shared" si="24"/>
        <v>1</v>
      </c>
    </row>
    <row r="49" spans="1:16" x14ac:dyDescent="0.2">
      <c r="A49" s="3" t="s">
        <v>105</v>
      </c>
      <c r="C49" s="108" t="str">
        <f>C27</f>
        <v>12 - 24</v>
      </c>
      <c r="D49" s="108" t="str">
        <f t="shared" ref="D49:L49" si="25">D27</f>
        <v>24 - 36</v>
      </c>
      <c r="E49" s="108" t="str">
        <f t="shared" si="25"/>
        <v>36 - 48</v>
      </c>
      <c r="F49" s="108" t="str">
        <f t="shared" si="25"/>
        <v>48 - 60</v>
      </c>
      <c r="G49" s="108" t="str">
        <f t="shared" si="25"/>
        <v>60 - 72</v>
      </c>
      <c r="H49" s="108" t="str">
        <f t="shared" si="25"/>
        <v>72 - 84</v>
      </c>
      <c r="I49" s="108" t="str">
        <f t="shared" si="25"/>
        <v>84 - 96</v>
      </c>
      <c r="J49" s="108" t="str">
        <f t="shared" si="25"/>
        <v>96 - 108</v>
      </c>
      <c r="K49" s="108" t="str">
        <f t="shared" si="25"/>
        <v>108 - 120</v>
      </c>
      <c r="L49" s="108" t="str">
        <f t="shared" si="25"/>
        <v>120 - 132</v>
      </c>
      <c r="M49" s="108" t="str">
        <f t="shared" ref="M49:N49" si="26">M27</f>
        <v>132 - 144</v>
      </c>
      <c r="N49" s="108" t="str">
        <f t="shared" si="26"/>
        <v>144 - ULT</v>
      </c>
    </row>
    <row r="50" spans="1:16" x14ac:dyDescent="0.2">
      <c r="A50" s="3" t="s">
        <v>106</v>
      </c>
      <c r="C50" s="109">
        <v>1.05</v>
      </c>
      <c r="D50" s="109">
        <v>1.01</v>
      </c>
      <c r="E50" s="109">
        <v>1.0049999999999999</v>
      </c>
      <c r="F50" s="109">
        <f t="shared" ref="F50:L50" si="27">F47</f>
        <v>1</v>
      </c>
      <c r="G50" s="109">
        <f t="shared" si="27"/>
        <v>1</v>
      </c>
      <c r="H50" s="109">
        <f t="shared" si="27"/>
        <v>1</v>
      </c>
      <c r="I50" s="109">
        <f t="shared" si="27"/>
        <v>1</v>
      </c>
      <c r="J50" s="109">
        <f t="shared" si="27"/>
        <v>1</v>
      </c>
      <c r="K50" s="109">
        <f t="shared" si="27"/>
        <v>1</v>
      </c>
      <c r="L50" s="109">
        <f t="shared" si="27"/>
        <v>1</v>
      </c>
      <c r="M50" s="109">
        <f t="shared" ref="M50:N50" si="28">M47</f>
        <v>1</v>
      </c>
      <c r="N50" s="109">
        <f t="shared" si="28"/>
        <v>1</v>
      </c>
    </row>
    <row r="51" spans="1:16" x14ac:dyDescent="0.2">
      <c r="A51" s="3" t="s">
        <v>107</v>
      </c>
      <c r="C51" s="109">
        <f>PRODUCT(C50:$N$50)</f>
        <v>1.0658025</v>
      </c>
      <c r="D51" s="109">
        <f>PRODUCT(D50:$N$50)</f>
        <v>1.01505</v>
      </c>
      <c r="E51" s="109">
        <f>PRODUCT(E50:$N$50)</f>
        <v>1.0049999999999999</v>
      </c>
      <c r="F51" s="109">
        <f>PRODUCT(F50:$N$50)</f>
        <v>1</v>
      </c>
      <c r="G51" s="109">
        <f>PRODUCT(G50:$N$50)</f>
        <v>1</v>
      </c>
      <c r="H51" s="109">
        <f>PRODUCT(H50:$N$50)</f>
        <v>1</v>
      </c>
      <c r="I51" s="109">
        <f>PRODUCT(I50:$N$50)</f>
        <v>1</v>
      </c>
      <c r="J51" s="109">
        <f>PRODUCT(J50:$N$50)</f>
        <v>1</v>
      </c>
      <c r="K51" s="109">
        <f>PRODUCT(K50:$N$50)</f>
        <v>1</v>
      </c>
      <c r="L51" s="109">
        <f>PRODUCT(L50:$N$50)</f>
        <v>1</v>
      </c>
      <c r="M51" s="109">
        <f>PRODUCT(M50:$N$50)</f>
        <v>1</v>
      </c>
      <c r="N51" s="109">
        <f>PRODUCT(N50:$N$50)</f>
        <v>1</v>
      </c>
    </row>
    <row r="54" spans="1:16" ht="12" customHeight="1" x14ac:dyDescent="0.2">
      <c r="A54" s="103" t="s">
        <v>83</v>
      </c>
    </row>
    <row r="55" spans="1:16" ht="12" customHeight="1" x14ac:dyDescent="0.2">
      <c r="A55" s="138" t="s">
        <v>123</v>
      </c>
    </row>
    <row r="56" spans="1:16" ht="12" customHeight="1" x14ac:dyDescent="0.2">
      <c r="A56" s="106" t="str">
        <f>"The "&amp;A23&amp;" diagonal is valued as of "&amp;ptxt_l&amp;"."</f>
        <v>The 10/1/17-9/30/18 diagonal is valued as of October 31, 2018.</v>
      </c>
    </row>
    <row r="57" spans="1:16" x14ac:dyDescent="0.2">
      <c r="A57" s="106" t="str">
        <f>"The last diagonal is valued as of "&amp;ctxt_l&amp;" (i.e. ages 7, 19, etc.) and is therefore excluded from all averages."</f>
        <v>The last diagonal is valued as of April 30, 2019 (i.e. ages 7, 19, etc.) and is therefore excluded from all averages.</v>
      </c>
    </row>
    <row r="58" spans="1:16" x14ac:dyDescent="0.2">
      <c r="A58" s="106"/>
    </row>
    <row r="60" spans="1:16" x14ac:dyDescent="0.2">
      <c r="A60" s="3" t="s">
        <v>25</v>
      </c>
      <c r="C60" s="82">
        <f t="shared" ref="C60:N60" si="29">C11</f>
        <v>12</v>
      </c>
      <c r="D60" s="82">
        <f t="shared" si="29"/>
        <v>24</v>
      </c>
      <c r="E60" s="82">
        <f t="shared" si="29"/>
        <v>36</v>
      </c>
      <c r="F60" s="82">
        <f t="shared" si="29"/>
        <v>48</v>
      </c>
      <c r="G60" s="82">
        <f t="shared" si="29"/>
        <v>60</v>
      </c>
      <c r="H60" s="82">
        <f t="shared" si="29"/>
        <v>72</v>
      </c>
      <c r="I60" s="82">
        <f t="shared" si="29"/>
        <v>84</v>
      </c>
      <c r="J60" s="82">
        <f t="shared" si="29"/>
        <v>96</v>
      </c>
      <c r="K60" s="82">
        <f t="shared" si="29"/>
        <v>108</v>
      </c>
      <c r="L60" s="82">
        <f t="shared" si="29"/>
        <v>120</v>
      </c>
      <c r="M60" s="82">
        <f t="shared" si="29"/>
        <v>132</v>
      </c>
      <c r="N60" s="82">
        <f t="shared" si="29"/>
        <v>144</v>
      </c>
    </row>
    <row r="61" spans="1:16" x14ac:dyDescent="0.2">
      <c r="A61" s="3" t="s">
        <v>18</v>
      </c>
      <c r="C61" s="111">
        <f>[1]!ldfsir(prldfs, prldf_ages, prldf_type, prldf_ret, C$60, "Rept LT", 1, prldf_cutoff, 3)</f>
        <v>1.0353509999999999</v>
      </c>
      <c r="D61" s="111">
        <f>[1]!ldfsir(prldfs, prldf_ages, prldf_type, prldf_ret, D$60, "Rept LT", 1, prldf_cutoff, 3)</f>
        <v>1.01505</v>
      </c>
      <c r="E61" s="111">
        <f>[1]!ldfsir(prldfs, prldf_ages, prldf_type, prldf_ret, E$60, "Rept LT", 1, prldf_cutoff, 3)</f>
        <v>1.0049999999999999</v>
      </c>
      <c r="F61" s="111">
        <f>[1]!ldfsir(prldfs, prldf_ages, prldf_type, prldf_ret, F$60, "Rept LT", 1, prldf_cutoff, 3)</f>
        <v>1</v>
      </c>
      <c r="G61" s="111">
        <f>[1]!ldfsir(prldfs, prldf_ages, prldf_type, prldf_ret, G$60, "Rept LT", 1, prldf_cutoff, 3)</f>
        <v>1</v>
      </c>
      <c r="H61" s="111">
        <f>[1]!ldfsir(prldfs, prldf_ages, prldf_type, prldf_ret, H$60, "Rept LT", 1, prldf_cutoff, 3)</f>
        <v>1</v>
      </c>
      <c r="I61" s="111">
        <f>[1]!ldfsir(prldfs, prldf_ages, prldf_type, prldf_ret, I$60, "Rept LT", 1, prldf_cutoff, 3)</f>
        <v>1</v>
      </c>
      <c r="J61" s="111">
        <f>[1]!ldfsir(prldfs, prldf_ages, prldf_type, prldf_ret, J$60, "Rept LT", 1, prldf_cutoff, 3)</f>
        <v>1</v>
      </c>
      <c r="K61" s="111">
        <f>[1]!ldfsir(prldfs, prldf_ages, prldf_type, prldf_ret, K$60, "Rept LT", 1, prldf_cutoff, 3)</f>
        <v>1</v>
      </c>
      <c r="L61" s="111">
        <f>[1]!ldfsir(prldfs, prldf_ages, prldf_type, prldf_ret, L$60, "Rept LT", 1, prldf_cutoff, 3)</f>
        <v>1</v>
      </c>
      <c r="M61" s="111">
        <f>[1]!ldfsir(prldfs, prldf_ages, prldf_type, prldf_ret, M$60, "Rept LT", 1, prldf_cutoff, 3)</f>
        <v>1</v>
      </c>
      <c r="N61" s="111">
        <f>[1]!ldfsir(prldfs, prldf_ages, prldf_type, prldf_ret, N$60, "Rept LT", 1, prldf_cutoff, 3)</f>
        <v>1</v>
      </c>
      <c r="P61" s="3"/>
    </row>
    <row r="62" spans="1:16" x14ac:dyDescent="0.2"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1</v>
      </c>
    </row>
    <row r="64" spans="1:16" x14ac:dyDescent="0.2">
      <c r="A64" s="82" t="s">
        <v>172</v>
      </c>
    </row>
    <row r="65" spans="1:13" x14ac:dyDescent="0.2">
      <c r="A65" s="3" t="s">
        <v>173</v>
      </c>
      <c r="C65" s="1" t="b">
        <f t="shared" ref="C65" si="30">C50&gt;=D50</f>
        <v>1</v>
      </c>
      <c r="D65" s="1" t="b">
        <f t="shared" ref="D65" si="31">D50&gt;=E50</f>
        <v>1</v>
      </c>
      <c r="E65" s="1" t="b">
        <f t="shared" ref="E65" si="32">E50&gt;=F50</f>
        <v>1</v>
      </c>
      <c r="F65" s="1" t="b">
        <f t="shared" ref="F65" si="33">F50&gt;=G50</f>
        <v>1</v>
      </c>
      <c r="G65" s="1" t="b">
        <f t="shared" ref="G65" si="34">G50&gt;=H50</f>
        <v>1</v>
      </c>
      <c r="H65" s="1" t="b">
        <f t="shared" ref="H65" si="35">H50&gt;=I50</f>
        <v>1</v>
      </c>
      <c r="I65" s="1" t="b">
        <f t="shared" ref="I65" si="36">I50&gt;=J50</f>
        <v>1</v>
      </c>
      <c r="J65" s="1" t="b">
        <f t="shared" ref="J65" si="37">J50&gt;=K50</f>
        <v>1</v>
      </c>
      <c r="K65" s="1" t="b">
        <f t="shared" ref="K65" si="38">K50&gt;=L50</f>
        <v>1</v>
      </c>
      <c r="L65" s="1" t="b">
        <f t="shared" ref="L65" si="39">L50&gt;=M50</f>
        <v>1</v>
      </c>
      <c r="M65" s="1" t="b">
        <f t="shared" ref="M65" si="40">M50&gt;=N50</f>
        <v>1</v>
      </c>
    </row>
    <row r="66" spans="1:13" x14ac:dyDescent="0.2">
      <c r="A66" s="3"/>
    </row>
    <row r="67" spans="1:13" x14ac:dyDescent="0.2">
      <c r="A67" s="3"/>
    </row>
  </sheetData>
  <printOptions horizontalCentered="1"/>
  <pageMargins left="0.7" right="0.7" top="0.75" bottom="0.75" header="0.3" footer="0.3"/>
  <pageSetup scale="76" orientation="portrait" blackAndWhite="1" r:id="rId1"/>
  <headerFooter>
    <oddHeader xml:space="preserve">&amp;L&amp;"Arial"&amp;10  
  &amp;R&amp;"Arial"&amp;10  Exhibit 8
Sheet 9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4">
    <tabColor rgb="FF92D050"/>
    <pageSetUpPr fitToPage="1"/>
  </sheetPr>
  <dimension ref="A1:T46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4" width="7.625" style="1" customWidth="1"/>
    <col min="15" max="15" width="2.625" style="1" customWidth="1"/>
    <col min="16" max="16" width="9" style="1"/>
    <col min="17" max="17" width="2.625" style="1" customWidth="1"/>
    <col min="18" max="18" width="9" style="1"/>
    <col min="19" max="19" width="2.625" style="1" customWidth="1"/>
    <col min="20" max="20" width="7.625" style="1" bestFit="1" customWidth="1"/>
    <col min="21" max="16384" width="9" style="1"/>
  </cols>
  <sheetData>
    <row r="1" spans="1:20" x14ac:dyDescent="0.2">
      <c r="A1" s="1" t="str">
        <f>[1]!getlabels()</f>
        <v>Exhibit 8, Sheet 10</v>
      </c>
    </row>
    <row r="2" spans="1:20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20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20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20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20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20" x14ac:dyDescent="0.2">
      <c r="A7" s="81" t="str">
        <f>VLOOKUP($A$1, index_lkups, 3, FALSE)</f>
        <v>Open Lost-Time Claim Counts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10" spans="1:20" x14ac:dyDescent="0.2">
      <c r="A10" s="33" t="str">
        <f>Intro!$M$9</f>
        <v>Policy</v>
      </c>
      <c r="C10" s="1" t="s">
        <v>98</v>
      </c>
    </row>
    <row r="11" spans="1:20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  <c r="P11" s="480" t="str">
        <f>tctxt</f>
        <v>4/30/19</v>
      </c>
      <c r="R11" s="82" t="s">
        <v>26</v>
      </c>
      <c r="T11" s="82" t="s">
        <v>505</v>
      </c>
    </row>
    <row r="12" spans="1:20" ht="12.75" customHeight="1" x14ac:dyDescent="0.2"/>
    <row r="13" spans="1:20" ht="12.75" customHeight="1" x14ac:dyDescent="0.2">
      <c r="A13" s="3" t="str">
        <f>Intro!E30</f>
        <v>10/1/07-9/30/08</v>
      </c>
      <c r="C13" s="90" t="s">
        <v>73</v>
      </c>
      <c r="D13" s="90" t="s">
        <v>73</v>
      </c>
      <c r="E13" s="90" t="s">
        <v>73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107">
        <f>$P13</f>
        <v>0</v>
      </c>
      <c r="P13" s="139">
        <f>'e7'!W28</f>
        <v>0</v>
      </c>
      <c r="R13" s="3" t="str">
        <f>Intro!O30</f>
        <v>Travelers</v>
      </c>
      <c r="T13" s="85">
        <f>P13-[1]!GetNthToLast(C13:N13,2)</f>
        <v>0</v>
      </c>
    </row>
    <row r="14" spans="1:20" ht="12.75" customHeight="1" x14ac:dyDescent="0.2">
      <c r="A14" s="3" t="str">
        <f>Intro!E31</f>
        <v>10/1/08-9/30/09</v>
      </c>
      <c r="C14" s="90" t="s">
        <v>73</v>
      </c>
      <c r="D14" s="90" t="s">
        <v>73</v>
      </c>
      <c r="E14" s="90">
        <v>4</v>
      </c>
      <c r="F14" s="90">
        <v>2</v>
      </c>
      <c r="G14" s="90">
        <v>2</v>
      </c>
      <c r="H14" s="90">
        <v>1</v>
      </c>
      <c r="I14" s="90">
        <v>1</v>
      </c>
      <c r="J14" s="90">
        <v>1</v>
      </c>
      <c r="K14" s="90">
        <v>1</v>
      </c>
      <c r="L14" s="90">
        <v>1</v>
      </c>
      <c r="M14" s="107">
        <f>$P14</f>
        <v>1</v>
      </c>
      <c r="N14" s="90"/>
      <c r="P14" s="139">
        <f>'e7'!W29</f>
        <v>1</v>
      </c>
      <c r="R14" s="3" t="str">
        <f>Intro!O31</f>
        <v>Travelers</v>
      </c>
      <c r="T14" s="85">
        <f>P14-[1]!GetNthToLast(C14:N14,2)</f>
        <v>0</v>
      </c>
    </row>
    <row r="15" spans="1:20" ht="12.75" customHeight="1" x14ac:dyDescent="0.2">
      <c r="A15" s="3" t="str">
        <f>Intro!E32</f>
        <v>10/1/09-9/30/10</v>
      </c>
      <c r="C15" s="90" t="s">
        <v>73</v>
      </c>
      <c r="D15" s="90">
        <v>9</v>
      </c>
      <c r="E15" s="90">
        <v>4</v>
      </c>
      <c r="F15" s="90">
        <v>3</v>
      </c>
      <c r="G15" s="90">
        <v>3</v>
      </c>
      <c r="H15" s="90">
        <v>1</v>
      </c>
      <c r="I15" s="90">
        <v>1</v>
      </c>
      <c r="J15" s="90">
        <v>1</v>
      </c>
      <c r="K15" s="90">
        <v>1</v>
      </c>
      <c r="L15" s="107">
        <f>$P15</f>
        <v>1</v>
      </c>
      <c r="M15" s="90"/>
      <c r="N15" s="90"/>
      <c r="P15" s="139">
        <f>'e7'!W30</f>
        <v>1</v>
      </c>
      <c r="R15" s="3" t="str">
        <f>Intro!O32</f>
        <v>Travelers</v>
      </c>
      <c r="T15" s="85">
        <f>P15-[1]!GetNthToLast(C15:N15,2)</f>
        <v>0</v>
      </c>
    </row>
    <row r="16" spans="1:20" ht="12.75" customHeight="1" x14ac:dyDescent="0.2">
      <c r="A16" s="3" t="str">
        <f>Intro!E33</f>
        <v>10/1/10-9/30/11</v>
      </c>
      <c r="C16" s="90">
        <v>15</v>
      </c>
      <c r="D16" s="90">
        <v>7</v>
      </c>
      <c r="E16" s="90">
        <v>3</v>
      </c>
      <c r="F16" s="90">
        <v>1</v>
      </c>
      <c r="G16" s="90">
        <v>0</v>
      </c>
      <c r="H16" s="90">
        <v>0</v>
      </c>
      <c r="I16" s="90">
        <v>0</v>
      </c>
      <c r="J16" s="90">
        <v>0</v>
      </c>
      <c r="K16" s="107">
        <f>$P16</f>
        <v>0</v>
      </c>
      <c r="L16" s="90"/>
      <c r="M16" s="90"/>
      <c r="N16" s="90"/>
      <c r="P16" s="139">
        <f>'e7'!W31</f>
        <v>0</v>
      </c>
      <c r="R16" s="3" t="str">
        <f>Intro!O33</f>
        <v>Hartford</v>
      </c>
      <c r="T16" s="85">
        <f>P16-[1]!GetNthToLast(C16:N16,2)</f>
        <v>0</v>
      </c>
    </row>
    <row r="17" spans="1:20" ht="12.75" customHeight="1" x14ac:dyDescent="0.2">
      <c r="A17" s="3" t="str">
        <f>Intro!E34</f>
        <v>10/1/11-9/30/12</v>
      </c>
      <c r="C17" s="90">
        <v>15</v>
      </c>
      <c r="D17" s="90">
        <v>8</v>
      </c>
      <c r="E17" s="90">
        <v>4</v>
      </c>
      <c r="F17" s="90">
        <v>2</v>
      </c>
      <c r="G17" s="90">
        <v>3</v>
      </c>
      <c r="H17" s="90">
        <v>1</v>
      </c>
      <c r="I17" s="90">
        <v>1</v>
      </c>
      <c r="J17" s="107">
        <f>$P17</f>
        <v>1</v>
      </c>
      <c r="K17" s="90"/>
      <c r="L17" s="90"/>
      <c r="M17" s="90"/>
      <c r="N17" s="90"/>
      <c r="P17" s="139">
        <f>'e7'!W32</f>
        <v>1</v>
      </c>
      <c r="R17" s="3" t="str">
        <f>Intro!O34</f>
        <v>Hartford</v>
      </c>
      <c r="T17" s="85">
        <f>P17-[1]!GetNthToLast(C17:N17,2)</f>
        <v>0</v>
      </c>
    </row>
    <row r="18" spans="1:20" ht="12.75" customHeight="1" x14ac:dyDescent="0.2">
      <c r="A18" s="3" t="str">
        <f>Intro!E35</f>
        <v>10/1/12-9/30/13</v>
      </c>
      <c r="C18" s="90">
        <v>20</v>
      </c>
      <c r="D18" s="90">
        <v>14</v>
      </c>
      <c r="E18" s="90">
        <v>8</v>
      </c>
      <c r="F18" s="90">
        <v>6</v>
      </c>
      <c r="G18" s="90">
        <v>4</v>
      </c>
      <c r="H18" s="90">
        <v>2</v>
      </c>
      <c r="I18" s="107">
        <f>$P18</f>
        <v>2</v>
      </c>
      <c r="J18" s="90"/>
      <c r="K18" s="90"/>
      <c r="L18" s="90"/>
      <c r="M18" s="90"/>
      <c r="N18" s="90"/>
      <c r="P18" s="139">
        <f>'e7'!W33</f>
        <v>2</v>
      </c>
      <c r="R18" s="3" t="str">
        <f>Intro!O35</f>
        <v>Hartford</v>
      </c>
      <c r="T18" s="85">
        <f>P18-[1]!GetNthToLast(C18:N18,2)</f>
        <v>0</v>
      </c>
    </row>
    <row r="19" spans="1:20" ht="12.75" customHeight="1" x14ac:dyDescent="0.2">
      <c r="A19" s="3" t="str">
        <f>Intro!E36</f>
        <v>10/1/13-9/30/14</v>
      </c>
      <c r="C19" s="90">
        <v>30</v>
      </c>
      <c r="D19" s="90">
        <v>9</v>
      </c>
      <c r="E19" s="90">
        <v>6</v>
      </c>
      <c r="F19" s="90">
        <v>2</v>
      </c>
      <c r="G19" s="90">
        <v>0</v>
      </c>
      <c r="H19" s="107">
        <f>$P19</f>
        <v>0</v>
      </c>
      <c r="I19" s="90"/>
      <c r="J19" s="90"/>
      <c r="K19" s="90"/>
      <c r="L19" s="90"/>
      <c r="M19" s="90"/>
      <c r="N19" s="90"/>
      <c r="P19" s="139">
        <f>'e7'!W34</f>
        <v>0</v>
      </c>
      <c r="R19" s="3" t="str">
        <f>Intro!O36</f>
        <v>Corvel</v>
      </c>
      <c r="T19" s="85">
        <f>P19-[1]!GetNthToLast(C19:N19,2)</f>
        <v>0</v>
      </c>
    </row>
    <row r="20" spans="1:20" ht="12.75" customHeight="1" x14ac:dyDescent="0.2">
      <c r="A20" s="3" t="str">
        <f>Intro!E37</f>
        <v>10/1/14-9/30/15</v>
      </c>
      <c r="C20" s="90">
        <v>25</v>
      </c>
      <c r="D20" s="90">
        <v>16</v>
      </c>
      <c r="E20" s="90">
        <v>9</v>
      </c>
      <c r="F20" s="90">
        <v>5</v>
      </c>
      <c r="G20" s="107">
        <f>$P20</f>
        <v>4</v>
      </c>
      <c r="H20" s="90"/>
      <c r="I20" s="90"/>
      <c r="J20" s="90"/>
      <c r="K20" s="90"/>
      <c r="L20" s="90"/>
      <c r="M20" s="90"/>
      <c r="N20" s="90"/>
      <c r="P20" s="139">
        <f>'e7'!W35</f>
        <v>4</v>
      </c>
      <c r="R20" s="3" t="str">
        <f>Intro!O37</f>
        <v>Corvel</v>
      </c>
      <c r="T20" s="85">
        <f>P20-[1]!GetNthToLast(C20:N20,2)</f>
        <v>-1</v>
      </c>
    </row>
    <row r="21" spans="1:20" ht="12.75" customHeight="1" x14ac:dyDescent="0.2">
      <c r="A21" s="3" t="str">
        <f>Intro!E38</f>
        <v>10/1/15-9/30/16</v>
      </c>
      <c r="C21" s="90">
        <v>30</v>
      </c>
      <c r="D21" s="90">
        <v>11</v>
      </c>
      <c r="E21" s="90">
        <v>8</v>
      </c>
      <c r="F21" s="107">
        <f>$P21</f>
        <v>7</v>
      </c>
      <c r="G21" s="90"/>
      <c r="H21" s="90"/>
      <c r="I21" s="90"/>
      <c r="J21" s="90"/>
      <c r="K21" s="90"/>
      <c r="L21" s="90"/>
      <c r="M21" s="90"/>
      <c r="N21" s="90"/>
      <c r="P21" s="139">
        <f>'e7'!W36</f>
        <v>7</v>
      </c>
      <c r="R21" s="3" t="str">
        <f>Intro!O38</f>
        <v>Corvel</v>
      </c>
      <c r="T21" s="85">
        <f>P21-[1]!GetNthToLast(C21:N21,2)</f>
        <v>-1</v>
      </c>
    </row>
    <row r="22" spans="1:20" ht="12.75" customHeight="1" x14ac:dyDescent="0.2">
      <c r="A22" s="3" t="str">
        <f>Intro!E39</f>
        <v>10/1/16-9/30/17</v>
      </c>
      <c r="C22" s="90">
        <v>35</v>
      </c>
      <c r="D22" s="90">
        <v>10</v>
      </c>
      <c r="E22" s="107">
        <f>$P22</f>
        <v>6</v>
      </c>
      <c r="F22" s="90"/>
      <c r="G22" s="90"/>
      <c r="H22" s="90"/>
      <c r="I22" s="90"/>
      <c r="J22" s="90"/>
      <c r="K22" s="90"/>
      <c r="L22" s="90"/>
      <c r="M22" s="90"/>
      <c r="N22" s="90"/>
      <c r="P22" s="139">
        <f>'e7'!W37</f>
        <v>6</v>
      </c>
      <c r="R22" s="3" t="str">
        <f>Intro!O39</f>
        <v>Corvel</v>
      </c>
      <c r="T22" s="85">
        <f>P22-[1]!GetNthToLast(C22:N22,2)</f>
        <v>-4</v>
      </c>
    </row>
    <row r="23" spans="1:20" ht="12.75" customHeight="1" x14ac:dyDescent="0.2">
      <c r="A23" s="3" t="str">
        <f>Intro!E40</f>
        <v>10/1/17-9/30/18</v>
      </c>
      <c r="C23" s="90">
        <v>68</v>
      </c>
      <c r="D23" s="107">
        <f>$P23</f>
        <v>38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P23" s="139">
        <f>'e7'!W38</f>
        <v>38</v>
      </c>
      <c r="R23" s="3" t="str">
        <f>Intro!O40</f>
        <v>Corvel</v>
      </c>
      <c r="T23" s="85">
        <f>P23-[1]!GetNthToLast(C23:N23,2)</f>
        <v>-30</v>
      </c>
    </row>
    <row r="24" spans="1:20" ht="12.75" customHeight="1" x14ac:dyDescent="0.2">
      <c r="A24" s="3" t="str">
        <f>Intro!E41</f>
        <v>10/1/18-9/30/19</v>
      </c>
      <c r="C24" s="107">
        <f>$P24</f>
        <v>30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P24" s="139">
        <f>'e7'!W39</f>
        <v>30</v>
      </c>
      <c r="R24" s="3" t="str">
        <f>Intro!O41</f>
        <v>Corvel</v>
      </c>
      <c r="T24" s="85"/>
    </row>
    <row r="25" spans="1:20" ht="12.75" customHeight="1" x14ac:dyDescent="0.2">
      <c r="A25" s="3"/>
      <c r="C25" s="107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P25" s="107"/>
      <c r="R25" s="3"/>
    </row>
    <row r="26" spans="1:20" x14ac:dyDescent="0.2">
      <c r="A26" s="81" t="s">
        <v>187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8" spans="1:20" x14ac:dyDescent="0.2">
      <c r="A28" s="33" t="str">
        <f>Intro!$M$9</f>
        <v>Policy</v>
      </c>
      <c r="C28" s="1" t="s">
        <v>98</v>
      </c>
      <c r="P28" s="3" t="s">
        <v>5</v>
      </c>
    </row>
    <row r="29" spans="1:20" x14ac:dyDescent="0.2">
      <c r="A29" s="82" t="str">
        <f>Intro!$M$10</f>
        <v>Period</v>
      </c>
      <c r="C29" s="108">
        <f t="shared" ref="C29:N29" si="0">C11</f>
        <v>12</v>
      </c>
      <c r="D29" s="108">
        <f t="shared" si="0"/>
        <v>24</v>
      </c>
      <c r="E29" s="108">
        <f t="shared" si="0"/>
        <v>36</v>
      </c>
      <c r="F29" s="108">
        <f t="shared" si="0"/>
        <v>48</v>
      </c>
      <c r="G29" s="108">
        <f t="shared" si="0"/>
        <v>60</v>
      </c>
      <c r="H29" s="108">
        <f t="shared" si="0"/>
        <v>72</v>
      </c>
      <c r="I29" s="108">
        <f t="shared" si="0"/>
        <v>84</v>
      </c>
      <c r="J29" s="108">
        <f t="shared" si="0"/>
        <v>96</v>
      </c>
      <c r="K29" s="108">
        <f t="shared" si="0"/>
        <v>108</v>
      </c>
      <c r="L29" s="108">
        <f t="shared" si="0"/>
        <v>120</v>
      </c>
      <c r="M29" s="108">
        <f t="shared" si="0"/>
        <v>132</v>
      </c>
      <c r="N29" s="108">
        <f t="shared" si="0"/>
        <v>144</v>
      </c>
      <c r="P29" s="140" t="s">
        <v>188</v>
      </c>
    </row>
    <row r="30" spans="1:20" x14ac:dyDescent="0.2">
      <c r="A30" s="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20" x14ac:dyDescent="0.2">
      <c r="A31" s="3" t="str">
        <f t="shared" ref="A31:A39" si="1">A13</f>
        <v>10/1/07-9/30/08</v>
      </c>
      <c r="C31" s="109" t="str">
        <f>IF(OR(ISBLANK('e8.9'!C13), 'e8.9'!C13 = ""), "", 'e8.9'!C13 / $P31)</f>
        <v/>
      </c>
      <c r="D31" s="109" t="str">
        <f>IF(OR(ISBLANK('e8.9'!D13), 'e8.9'!D13 = ""), "", 'e8.9'!D13 / $P31)</f>
        <v/>
      </c>
      <c r="E31" s="109" t="str">
        <f>IF(OR(ISBLANK('e8.9'!E13), 'e8.9'!E13 = ""), "", 'e8.9'!E13 / $P31)</f>
        <v/>
      </c>
      <c r="F31" s="109">
        <f>IF(OR(ISBLANK('e8.9'!F13), 'e8.9'!F13 = ""), "", 'e8.9'!F13 / $P31)</f>
        <v>0.22630771133059627</v>
      </c>
      <c r="G31" s="109">
        <f>IF(OR(ISBLANK('e8.9'!G13), 'e8.9'!G13 = ""), "", 'e8.9'!G13 / $P31)</f>
        <v>0.22630771133059627</v>
      </c>
      <c r="H31" s="109">
        <f>IF(OR(ISBLANK('e8.9'!H13), 'e8.9'!H13 = ""), "", 'e8.9'!H13 / $P31)</f>
        <v>0.22630771133059627</v>
      </c>
      <c r="I31" s="109">
        <f>IF(OR(ISBLANK('e8.9'!I13), 'e8.9'!I13 = ""), "", 'e8.9'!I13 / $P31)</f>
        <v>0.22630771133059627</v>
      </c>
      <c r="J31" s="109">
        <f>IF(OR(ISBLANK('e8.9'!J13), 'e8.9'!J13 = ""), "", 'e8.9'!J13 / $P31)</f>
        <v>0.22630771133059627</v>
      </c>
      <c r="K31" s="109">
        <f>IF(OR(ISBLANK('e8.9'!K13), 'e8.9'!K13 = ""), "", 'e8.9'!K13 / $P31)</f>
        <v>0.22630771133059627</v>
      </c>
      <c r="L31" s="109">
        <f>IF(OR(ISBLANK('e8.9'!L13), 'e8.9'!L13 = ""), "", 'e8.9'!L13 / $P31)</f>
        <v>0.22630771133059627</v>
      </c>
      <c r="M31" s="109">
        <f>IF(OR(ISBLANK('e8.9'!M13), 'e8.9'!M13 = ""), "", 'e8.9'!M13 / $P31)</f>
        <v>0.22630771133059627</v>
      </c>
      <c r="N31" s="109">
        <f>IF(OR(ISBLANK('e8.9'!N13), 'e8.9'!N13 = ""), "", 'e8.9'!N13 / $P31)</f>
        <v>0.22630771133059627</v>
      </c>
      <c r="P31" s="139">
        <f>Intro!K30/1000</f>
        <v>106.050297</v>
      </c>
    </row>
    <row r="32" spans="1:20" x14ac:dyDescent="0.2">
      <c r="A32" s="3" t="str">
        <f t="shared" si="1"/>
        <v>10/1/08-9/30/09</v>
      </c>
      <c r="C32" s="109" t="str">
        <f>IF(OR(ISBLANK('e8.9'!C14), 'e8.9'!C14 = ""), "", 'e8.9'!C14 / $P32)</f>
        <v/>
      </c>
      <c r="D32" s="109" t="str">
        <f>IF(OR(ISBLANK('e8.9'!D14), 'e8.9'!D14 = ""), "", 'e8.9'!D14 / $P32)</f>
        <v/>
      </c>
      <c r="E32" s="109">
        <f>IF(OR(ISBLANK('e8.9'!E14), 'e8.9'!E14 = ""), "", 'e8.9'!E14 / $P32)</f>
        <v>0.27997870897391819</v>
      </c>
      <c r="F32" s="109">
        <f>IF(OR(ISBLANK('e8.9'!F14), 'e8.9'!F14 = ""), "", 'e8.9'!F14 / $P32)</f>
        <v>0.27997870897391819</v>
      </c>
      <c r="G32" s="109">
        <f>IF(OR(ISBLANK('e8.9'!G14), 'e8.9'!G14 = ""), "", 'e8.9'!G14 / $P32)</f>
        <v>0.27997870897391819</v>
      </c>
      <c r="H32" s="109">
        <f>IF(OR(ISBLANK('e8.9'!H14), 'e8.9'!H14 = ""), "", 'e8.9'!H14 / $P32)</f>
        <v>0.27997870897391819</v>
      </c>
      <c r="I32" s="109">
        <f>IF(OR(ISBLANK('e8.9'!I14), 'e8.9'!I14 = ""), "", 'e8.9'!I14 / $P32)</f>
        <v>0.27997870897391819</v>
      </c>
      <c r="J32" s="109">
        <f>IF(OR(ISBLANK('e8.9'!J14), 'e8.9'!J14 = ""), "", 'e8.9'!J14 / $P32)</f>
        <v>0.27997870897391819</v>
      </c>
      <c r="K32" s="109">
        <f>IF(OR(ISBLANK('e8.9'!K14), 'e8.9'!K14 = ""), "", 'e8.9'!K14 / $P32)</f>
        <v>0.27997870897391819</v>
      </c>
      <c r="L32" s="109">
        <f>IF(OR(ISBLANK('e8.9'!L14), 'e8.9'!L14 = ""), "", 'e8.9'!L14 / $P32)</f>
        <v>0.27997870897391819</v>
      </c>
      <c r="M32" s="109">
        <f>IF(OR(ISBLANK('e8.9'!M14), 'e8.9'!M14 = ""), "", 'e8.9'!M14 / $P32)</f>
        <v>0.27997870897391819</v>
      </c>
      <c r="N32" s="109" t="str">
        <f>IF(OR(ISBLANK('e8.9'!N14), 'e8.9'!N14 = ""), "", 'e8.9'!N14 / $P32)</f>
        <v/>
      </c>
      <c r="P32" s="139">
        <f>Intro!K31/1000</f>
        <v>110.722705</v>
      </c>
    </row>
    <row r="33" spans="1:16" x14ac:dyDescent="0.2">
      <c r="A33" s="3" t="str">
        <f t="shared" si="1"/>
        <v>10/1/09-9/30/10</v>
      </c>
      <c r="C33" s="109" t="str">
        <f>IF(OR(ISBLANK('e8.9'!C15), 'e8.9'!C15 = ""), "", 'e8.9'!C15 / $P33)</f>
        <v/>
      </c>
      <c r="D33" s="109">
        <f>IF(OR(ISBLANK('e8.9'!D15), 'e8.9'!D15 = ""), "", 'e8.9'!D15 / $P33)</f>
        <v>0.26516488919882331</v>
      </c>
      <c r="E33" s="109">
        <f>IF(OR(ISBLANK('e8.9'!E15), 'e8.9'!E15 = ""), "", 'e8.9'!E15 / $P33)</f>
        <v>0.26516488919882331</v>
      </c>
      <c r="F33" s="109">
        <f>IF(OR(ISBLANK('e8.9'!F15), 'e8.9'!F15 = ""), "", 'e8.9'!F15 / $P33)</f>
        <v>0.26516488919882331</v>
      </c>
      <c r="G33" s="109">
        <f>IF(OR(ISBLANK('e8.9'!G15), 'e8.9'!G15 = ""), "", 'e8.9'!G15 / $P33)</f>
        <v>0.26516488919882331</v>
      </c>
      <c r="H33" s="109">
        <f>IF(OR(ISBLANK('e8.9'!H15), 'e8.9'!H15 = ""), "", 'e8.9'!H15 / $P33)</f>
        <v>0.26516488919882331</v>
      </c>
      <c r="I33" s="109">
        <f>IF(OR(ISBLANK('e8.9'!I15), 'e8.9'!I15 = ""), "", 'e8.9'!I15 / $P33)</f>
        <v>0.26516488919882331</v>
      </c>
      <c r="J33" s="109">
        <f>IF(OR(ISBLANK('e8.9'!J15), 'e8.9'!J15 = ""), "", 'e8.9'!J15 / $P33)</f>
        <v>0.26516488919882331</v>
      </c>
      <c r="K33" s="109">
        <f>IF(OR(ISBLANK('e8.9'!K15), 'e8.9'!K15 = ""), "", 'e8.9'!K15 / $P33)</f>
        <v>0.26516488919882331</v>
      </c>
      <c r="L33" s="109">
        <f>IF(OR(ISBLANK('e8.9'!L15), 'e8.9'!L15 = ""), "", 'e8.9'!L15 / $P33)</f>
        <v>0.26516488919882331</v>
      </c>
      <c r="M33" s="109" t="str">
        <f>IF(OR(ISBLANK('e8.9'!M15), 'e8.9'!M15 = ""), "", 'e8.9'!M15 / $P33)</f>
        <v/>
      </c>
      <c r="N33" s="109" t="str">
        <f>IF(OR(ISBLANK('e8.9'!N15), 'e8.9'!N15 = ""), "", 'e8.9'!N15 / $P33)</f>
        <v/>
      </c>
      <c r="P33" s="139">
        <f>Intro!K32/1000</f>
        <v>128.222104</v>
      </c>
    </row>
    <row r="34" spans="1:16" x14ac:dyDescent="0.2">
      <c r="A34" s="3" t="str">
        <f t="shared" si="1"/>
        <v>10/1/10-9/30/11</v>
      </c>
      <c r="C34" s="109">
        <f>IF(OR(ISBLANK('e8.9'!C16), 'e8.9'!C16 = ""), "", 'e8.9'!C16 / $P34)</f>
        <v>0.19551110142058784</v>
      </c>
      <c r="D34" s="109">
        <f>IF(OR(ISBLANK('e8.9'!D16), 'e8.9'!D16 = ""), "", 'e8.9'!D16 / $P34)</f>
        <v>0.21645871942993652</v>
      </c>
      <c r="E34" s="109">
        <f>IF(OR(ISBLANK('e8.9'!E16), 'e8.9'!E16 = ""), "", 'e8.9'!E16 / $P34)</f>
        <v>0.20947618009348695</v>
      </c>
      <c r="F34" s="109">
        <f>IF(OR(ISBLANK('e8.9'!F16), 'e8.9'!F16 = ""), "", 'e8.9'!F16 / $P34)</f>
        <v>0.20947618009348695</v>
      </c>
      <c r="G34" s="109">
        <f>IF(OR(ISBLANK('e8.9'!G16), 'e8.9'!G16 = ""), "", 'e8.9'!G16 / $P34)</f>
        <v>0.20947618009348695</v>
      </c>
      <c r="H34" s="109">
        <f>IF(OR(ISBLANK('e8.9'!H16), 'e8.9'!H16 = ""), "", 'e8.9'!H16 / $P34)</f>
        <v>0.20947618009348695</v>
      </c>
      <c r="I34" s="109">
        <f>IF(OR(ISBLANK('e8.9'!I16), 'e8.9'!I16 = ""), "", 'e8.9'!I16 / $P34)</f>
        <v>0.20947618009348695</v>
      </c>
      <c r="J34" s="109">
        <f>IF(OR(ISBLANK('e8.9'!J16), 'e8.9'!J16 = ""), "", 'e8.9'!J16 / $P34)</f>
        <v>0.20947618009348695</v>
      </c>
      <c r="K34" s="109">
        <f>IF(OR(ISBLANK('e8.9'!K16), 'e8.9'!K16 = ""), "", 'e8.9'!K16 / $P34)</f>
        <v>0.20947618009348695</v>
      </c>
      <c r="L34" s="109" t="str">
        <f>IF(OR(ISBLANK('e8.9'!L16), 'e8.9'!L16 = ""), "", 'e8.9'!L16 / $P34)</f>
        <v/>
      </c>
      <c r="M34" s="109" t="str">
        <f>IF(OR(ISBLANK('e8.9'!M16), 'e8.9'!M16 = ""), "", 'e8.9'!M16 / $P34)</f>
        <v/>
      </c>
      <c r="N34" s="109" t="str">
        <f>IF(OR(ISBLANK('e8.9'!N16), 'e8.9'!N16 = ""), "", 'e8.9'!N16 / $P34)</f>
        <v/>
      </c>
      <c r="P34" s="139">
        <f>Intro!K33/1000</f>
        <v>143.21437400000002</v>
      </c>
    </row>
    <row r="35" spans="1:16" x14ac:dyDescent="0.2">
      <c r="A35" s="3" t="str">
        <f t="shared" si="1"/>
        <v>10/1/11-9/30/12</v>
      </c>
      <c r="C35" s="109">
        <f>IF(OR(ISBLANK('e8.9'!C17), 'e8.9'!C17 = ""), "", 'e8.9'!C17 / $P35)</f>
        <v>0.21295617539831754</v>
      </c>
      <c r="D35" s="109">
        <f>IF(OR(ISBLANK('e8.9'!D17), 'e8.9'!D17 = ""), "", 'e8.9'!D17 / $P35)</f>
        <v>0.2335648375336386</v>
      </c>
      <c r="E35" s="109">
        <f>IF(OR(ISBLANK('e8.9'!E17), 'e8.9'!E17 = ""), "", 'e8.9'!E17 / $P35)</f>
        <v>0.2335648375336386</v>
      </c>
      <c r="F35" s="109">
        <f>IF(OR(ISBLANK('e8.9'!F17), 'e8.9'!F17 = ""), "", 'e8.9'!F17 / $P35)</f>
        <v>0.2335648375336386</v>
      </c>
      <c r="G35" s="109">
        <f>IF(OR(ISBLANK('e8.9'!G17), 'e8.9'!G17 = ""), "", 'e8.9'!G17 / $P35)</f>
        <v>0.2335648375336386</v>
      </c>
      <c r="H35" s="109">
        <f>IF(OR(ISBLANK('e8.9'!H17), 'e8.9'!H17 = ""), "", 'e8.9'!H17 / $P35)</f>
        <v>0.2335648375336386</v>
      </c>
      <c r="I35" s="109">
        <f>IF(OR(ISBLANK('e8.9'!I17), 'e8.9'!I17 = ""), "", 'e8.9'!I17 / $P35)</f>
        <v>0.2335648375336386</v>
      </c>
      <c r="J35" s="109">
        <f>IF(OR(ISBLANK('e8.9'!J17), 'e8.9'!J17 = ""), "", 'e8.9'!J17 / $P35)</f>
        <v>0.2335648375336386</v>
      </c>
      <c r="K35" s="109" t="str">
        <f>IF(OR(ISBLANK('e8.9'!K17), 'e8.9'!K17 = ""), "", 'e8.9'!K17 / $P35)</f>
        <v/>
      </c>
      <c r="L35" s="109" t="str">
        <f>IF(OR(ISBLANK('e8.9'!L17), 'e8.9'!L17 = ""), "", 'e8.9'!L17 / $P35)</f>
        <v/>
      </c>
      <c r="M35" s="109" t="str">
        <f>IF(OR(ISBLANK('e8.9'!M17), 'e8.9'!M17 = ""), "", 'e8.9'!M17 / $P35)</f>
        <v/>
      </c>
      <c r="N35" s="109" t="str">
        <f>IF(OR(ISBLANK('e8.9'!N17), 'e8.9'!N17 = ""), "", 'e8.9'!N17 / $P35)</f>
        <v/>
      </c>
      <c r="P35" s="139">
        <f>Intro!K34/1000</f>
        <v>145.56985699999998</v>
      </c>
    </row>
    <row r="36" spans="1:16" x14ac:dyDescent="0.2">
      <c r="A36" s="3" t="str">
        <f t="shared" si="1"/>
        <v>10/1/12-9/30/13</v>
      </c>
      <c r="C36" s="109">
        <f>IF(OR(ISBLANK('e8.9'!C18), 'e8.9'!C18 = ""), "", 'e8.9'!C18 / $P36)</f>
        <v>0.27853653865277483</v>
      </c>
      <c r="D36" s="109">
        <f>IF(OR(ISBLANK('e8.9'!D18), 'e8.9'!D18 = ""), "", 'e8.9'!D18 / $P36)</f>
        <v>0.29119729040971915</v>
      </c>
      <c r="E36" s="109">
        <f>IF(OR(ISBLANK('e8.9'!E18), 'e8.9'!E18 = ""), "", 'e8.9'!E18 / $P36)</f>
        <v>0.29119729040971915</v>
      </c>
      <c r="F36" s="109">
        <f>IF(OR(ISBLANK('e8.9'!F18), 'e8.9'!F18 = ""), "", 'e8.9'!F18 / $P36)</f>
        <v>0.29119729040971915</v>
      </c>
      <c r="G36" s="109">
        <f>IF(OR(ISBLANK('e8.9'!G18), 'e8.9'!G18 = ""), "", 'e8.9'!G18 / $P36)</f>
        <v>0.29119729040971915</v>
      </c>
      <c r="H36" s="109">
        <f>IF(OR(ISBLANK('e8.9'!H18), 'e8.9'!H18 = ""), "", 'e8.9'!H18 / $P36)</f>
        <v>0.29119729040971915</v>
      </c>
      <c r="I36" s="109">
        <f>IF(OR(ISBLANK('e8.9'!I18), 'e8.9'!I18 = ""), "", 'e8.9'!I18 / $P36)</f>
        <v>0.29752766628819127</v>
      </c>
      <c r="J36" s="109" t="str">
        <f>IF(OR(ISBLANK('e8.9'!J18), 'e8.9'!J18 = ""), "", 'e8.9'!J18 / $P36)</f>
        <v/>
      </c>
      <c r="K36" s="109" t="str">
        <f>IF(OR(ISBLANK('e8.9'!K18), 'e8.9'!K18 = ""), "", 'e8.9'!K18 / $P36)</f>
        <v/>
      </c>
      <c r="L36" s="109" t="str">
        <f>IF(OR(ISBLANK('e8.9'!L18), 'e8.9'!L18 = ""), "", 'e8.9'!L18 / $P36)</f>
        <v/>
      </c>
      <c r="M36" s="109" t="str">
        <f>IF(OR(ISBLANK('e8.9'!M18), 'e8.9'!M18 = ""), "", 'e8.9'!M18 / $P36)</f>
        <v/>
      </c>
      <c r="N36" s="109" t="str">
        <f>IF(OR(ISBLANK('e8.9'!N18), 'e8.9'!N18 = ""), "", 'e8.9'!N18 / $P36)</f>
        <v/>
      </c>
      <c r="P36" s="139">
        <f>Intro!K35/1000</f>
        <v>157.96850285000002</v>
      </c>
    </row>
    <row r="37" spans="1:16" x14ac:dyDescent="0.2">
      <c r="A37" s="3" t="str">
        <f t="shared" si="1"/>
        <v>10/1/13-9/30/14</v>
      </c>
      <c r="C37" s="109">
        <f>IF(OR(ISBLANK('e8.9'!C19), 'e8.9'!C19 = ""), "", 'e8.9'!C19 / $P37)</f>
        <v>0.23007868568815595</v>
      </c>
      <c r="D37" s="109">
        <f>IF(OR(ISBLANK('e8.9'!D19), 'e8.9'!D19 = ""), "", 'e8.9'!D19 / $P37)</f>
        <v>0.23007868568815595</v>
      </c>
      <c r="E37" s="109">
        <f>IF(OR(ISBLANK('e8.9'!E19), 'e8.9'!E19 = ""), "", 'e8.9'!E19 / $P37)</f>
        <v>0.23555674963311204</v>
      </c>
      <c r="F37" s="109">
        <f>IF(OR(ISBLANK('e8.9'!F19), 'e8.9'!F19 = ""), "", 'e8.9'!F19 / $P37)</f>
        <v>0.23555674963311204</v>
      </c>
      <c r="G37" s="109">
        <f>IF(OR(ISBLANK('e8.9'!G19), 'e8.9'!G19 = ""), "", 'e8.9'!G19 / $P37)</f>
        <v>0.23555674963311204</v>
      </c>
      <c r="H37" s="109">
        <f>IF(OR(ISBLANK('e8.9'!H19), 'e8.9'!H19 = ""), "", 'e8.9'!H19 / $P37)</f>
        <v>0.23555674963311204</v>
      </c>
      <c r="I37" s="109" t="str">
        <f>IF(OR(ISBLANK('e8.9'!I19), 'e8.9'!I19 = ""), "", 'e8.9'!I19 / $P37)</f>
        <v/>
      </c>
      <c r="J37" s="109" t="str">
        <f>IF(OR(ISBLANK('e8.9'!J19), 'e8.9'!J19 = ""), "", 'e8.9'!J19 / $P37)</f>
        <v/>
      </c>
      <c r="K37" s="109" t="str">
        <f>IF(OR(ISBLANK('e8.9'!K19), 'e8.9'!K19 = ""), "", 'e8.9'!K19 / $P37)</f>
        <v/>
      </c>
      <c r="L37" s="109" t="str">
        <f>IF(OR(ISBLANK('e8.9'!L19), 'e8.9'!L19 = ""), "", 'e8.9'!L19 / $P37)</f>
        <v/>
      </c>
      <c r="M37" s="109" t="str">
        <f>IF(OR(ISBLANK('e8.9'!M19), 'e8.9'!M19 = ""), "", 'e8.9'!M19 / $P37)</f>
        <v/>
      </c>
      <c r="N37" s="109" t="str">
        <f>IF(OR(ISBLANK('e8.9'!N19), 'e8.9'!N19 = ""), "", 'e8.9'!N19 / $P37)</f>
        <v/>
      </c>
      <c r="P37" s="139">
        <f>Intro!K36/1000</f>
        <v>182.54624444841431</v>
      </c>
    </row>
    <row r="38" spans="1:16" x14ac:dyDescent="0.2">
      <c r="A38" s="3" t="str">
        <f t="shared" si="1"/>
        <v>10/1/14-9/30/15</v>
      </c>
      <c r="C38" s="109">
        <f>IF(OR(ISBLANK('e8.9'!C20), 'e8.9'!C20 = ""), "", 'e8.9'!C20 / $P38)</f>
        <v>0.18790109447611794</v>
      </c>
      <c r="D38" s="109">
        <f>IF(OR(ISBLANK('e8.9'!D20), 'e8.9'!D20 = ""), "", 'e8.9'!D20 / $P38)</f>
        <v>0.19805791039374593</v>
      </c>
      <c r="E38" s="109">
        <f>IF(OR(ISBLANK('e8.9'!E20), 'e8.9'!E20 = ""), "", 'e8.9'!E20 / $P38)</f>
        <v>0.19805791039374593</v>
      </c>
      <c r="F38" s="109">
        <f>IF(OR(ISBLANK('e8.9'!F20), 'e8.9'!F20 = ""), "", 'e8.9'!F20 / $P38)</f>
        <v>0.19297950243493195</v>
      </c>
      <c r="G38" s="109">
        <f>IF(OR(ISBLANK('e8.9'!G20), 'e8.9'!G20 = ""), "", 'e8.9'!G20 / $P38)</f>
        <v>0.19297950243493195</v>
      </c>
      <c r="H38" s="109" t="str">
        <f>IF(OR(ISBLANK('e8.9'!H20), 'e8.9'!H20 = ""), "", 'e8.9'!H20 / $P38)</f>
        <v/>
      </c>
      <c r="I38" s="109" t="str">
        <f>IF(OR(ISBLANK('e8.9'!I20), 'e8.9'!I20 = ""), "", 'e8.9'!I20 / $P38)</f>
        <v/>
      </c>
      <c r="J38" s="109" t="str">
        <f>IF(OR(ISBLANK('e8.9'!J20), 'e8.9'!J20 = ""), "", 'e8.9'!J20 / $P38)</f>
        <v/>
      </c>
      <c r="K38" s="109" t="str">
        <f>IF(OR(ISBLANK('e8.9'!K20), 'e8.9'!K20 = ""), "", 'e8.9'!K20 / $P38)</f>
        <v/>
      </c>
      <c r="L38" s="109" t="str">
        <f>IF(OR(ISBLANK('e8.9'!L20), 'e8.9'!L20 = ""), "", 'e8.9'!L20 / $P38)</f>
        <v/>
      </c>
      <c r="M38" s="109" t="str">
        <f>IF(OR(ISBLANK('e8.9'!M20), 'e8.9'!M20 = ""), "", 'e8.9'!M20 / $P38)</f>
        <v/>
      </c>
      <c r="N38" s="109" t="str">
        <f>IF(OR(ISBLANK('e8.9'!N20), 'e8.9'!N20 = ""), "", 'e8.9'!N20 / $P38)</f>
        <v/>
      </c>
      <c r="P38" s="139">
        <f>Intro!K37/1000</f>
        <v>196.91210476000003</v>
      </c>
    </row>
    <row r="39" spans="1:16" x14ac:dyDescent="0.2">
      <c r="A39" s="3" t="str">
        <f t="shared" si="1"/>
        <v>10/1/15-9/30/16</v>
      </c>
      <c r="C39" s="109">
        <f>IF(OR(ISBLANK('e8.9'!C21), 'e8.9'!C21 = ""), "", 'e8.9'!C21 / $P39)</f>
        <v>0.17575913533716875</v>
      </c>
      <c r="D39" s="109">
        <f>IF(OR(ISBLANK('e8.9'!D21), 'e8.9'!D21 = ""), "", 'e8.9'!D21 / $P39)</f>
        <v>0.15322591285804454</v>
      </c>
      <c r="E39" s="109">
        <f>IF(OR(ISBLANK('e8.9'!E21), 'e8.9'!E21 = ""), "", 'e8.9'!E21 / $P39)</f>
        <v>0.1577325573538694</v>
      </c>
      <c r="F39" s="109">
        <f>IF(OR(ISBLANK('e8.9'!F21), 'e8.9'!F21 = ""), "", 'e8.9'!F21 / $P39)</f>
        <v>0.1577325573538694</v>
      </c>
      <c r="G39" s="109" t="str">
        <f>IF(OR(ISBLANK('e8.9'!G21), 'e8.9'!G21 = ""), "", 'e8.9'!G21 / $P39)</f>
        <v/>
      </c>
      <c r="H39" s="109" t="str">
        <f>IF(OR(ISBLANK('e8.9'!H21), 'e8.9'!H21 = ""), "", 'e8.9'!H21 / $P39)</f>
        <v/>
      </c>
      <c r="I39" s="109" t="str">
        <f>IF(OR(ISBLANK('e8.9'!I21), 'e8.9'!I21 = ""), "", 'e8.9'!I21 / $P39)</f>
        <v/>
      </c>
      <c r="J39" s="109" t="str">
        <f>IF(OR(ISBLANK('e8.9'!J21), 'e8.9'!J21 = ""), "", 'e8.9'!J21 / $P39)</f>
        <v/>
      </c>
      <c r="K39" s="109" t="str">
        <f>IF(OR(ISBLANK('e8.9'!K21), 'e8.9'!K21 = ""), "", 'e8.9'!K21 / $P39)</f>
        <v/>
      </c>
      <c r="L39" s="109" t="str">
        <f>IF(OR(ISBLANK('e8.9'!L21), 'e8.9'!L21 = ""), "", 'e8.9'!L21 / $P39)</f>
        <v/>
      </c>
      <c r="M39" s="109" t="str">
        <f>IF(OR(ISBLANK('e8.9'!M21), 'e8.9'!M21 = ""), "", 'e8.9'!M21 / $P39)</f>
        <v/>
      </c>
      <c r="N39" s="109" t="str">
        <f>IF(OR(ISBLANK('e8.9'!N21), 'e8.9'!N21 = ""), "", 'e8.9'!N21 / $P39)</f>
        <v/>
      </c>
      <c r="P39" s="139">
        <f>Intro!K38/1000</f>
        <v>221.89458274919298</v>
      </c>
    </row>
    <row r="40" spans="1:16" x14ac:dyDescent="0.2">
      <c r="A40" s="3" t="str">
        <f>A22</f>
        <v>10/1/16-9/30/17</v>
      </c>
      <c r="C40" s="109">
        <f>IF(OR(ISBLANK('e8.9'!C22), 'e8.9'!C22 = ""), "", 'e8.9'!C22 / $P40)</f>
        <v>0.14958879188359669</v>
      </c>
      <c r="D40" s="109">
        <f>IF(OR(ISBLANK('e8.9'!D22), 'e8.9'!D22 = ""), "", 'e8.9'!D22 / $P40)</f>
        <v>0.14958879188359669</v>
      </c>
      <c r="E40" s="109">
        <f>IF(OR(ISBLANK('e8.9'!E22), 'e8.9'!E22 = ""), "", 'e8.9'!E22 / $P40)</f>
        <v>0.14958879188359669</v>
      </c>
      <c r="F40" s="109" t="str">
        <f>IF(OR(ISBLANK('e8.9'!F22), 'e8.9'!F22 = ""), "", 'e8.9'!F22 / $P40)</f>
        <v/>
      </c>
      <c r="G40" s="109" t="str">
        <f>IF(OR(ISBLANK('e8.9'!G22), 'e8.9'!G22 = ""), "", 'e8.9'!G22 / $P40)</f>
        <v/>
      </c>
      <c r="H40" s="109" t="str">
        <f>IF(OR(ISBLANK('e8.9'!H22), 'e8.9'!H22 = ""), "", 'e8.9'!H22 / $P40)</f>
        <v/>
      </c>
      <c r="I40" s="109" t="str">
        <f>IF(OR(ISBLANK('e8.9'!I22), 'e8.9'!I22 = ""), "", 'e8.9'!I22 / $P40)</f>
        <v/>
      </c>
      <c r="J40" s="109" t="str">
        <f>IF(OR(ISBLANK('e8.9'!J22), 'e8.9'!J22 = ""), "", 'e8.9'!J22 / $P40)</f>
        <v/>
      </c>
      <c r="K40" s="109" t="str">
        <f>IF(OR(ISBLANK('e8.9'!K22), 'e8.9'!K22 = ""), "", 'e8.9'!K22 / $P40)</f>
        <v/>
      </c>
      <c r="L40" s="109" t="str">
        <f>IF(OR(ISBLANK('e8.9'!L22), 'e8.9'!L22 = ""), "", 'e8.9'!L22 / $P40)</f>
        <v/>
      </c>
      <c r="M40" s="109" t="str">
        <f>IF(OR(ISBLANK('e8.9'!M22), 'e8.9'!M22 = ""), "", 'e8.9'!M22 / $P40)</f>
        <v/>
      </c>
      <c r="N40" s="109" t="str">
        <f>IF(OR(ISBLANK('e8.9'!N22), 'e8.9'!N22 = ""), "", 'e8.9'!N22 / $P40)</f>
        <v/>
      </c>
      <c r="P40" s="139">
        <f>Intro!K39/1000</f>
        <v>307.50966981400012</v>
      </c>
    </row>
    <row r="41" spans="1:16" x14ac:dyDescent="0.2">
      <c r="A41" s="3" t="str">
        <f t="shared" ref="A41:A42" si="2">A23</f>
        <v>10/1/17-9/30/18</v>
      </c>
      <c r="C41" s="109">
        <f>IF(OR(ISBLANK('e8.9'!C23), 'e8.9'!C23 = ""), "", 'e8.9'!C23 / $P41)</f>
        <v>0.22164430246819275</v>
      </c>
      <c r="D41" s="109">
        <f>IF(OR(ISBLANK('e8.9'!D23), 'e8.9'!D23 = ""), "", 'e8.9'!D23 / $P41)</f>
        <v>0.23281964544978229</v>
      </c>
      <c r="E41" s="109" t="str">
        <f>IF(OR(ISBLANK('e8.9'!E23), 'e8.9'!E23 = ""), "", 'e8.9'!E23 / $P41)</f>
        <v/>
      </c>
      <c r="F41" s="109" t="str">
        <f>IF(OR(ISBLANK('e8.9'!F23), 'e8.9'!F23 = ""), "", 'e8.9'!F23 / $P41)</f>
        <v/>
      </c>
      <c r="G41" s="109" t="str">
        <f>IF(OR(ISBLANK('e8.9'!G23), 'e8.9'!G23 = ""), "", 'e8.9'!G23 / $P41)</f>
        <v/>
      </c>
      <c r="H41" s="109" t="str">
        <f>IF(OR(ISBLANK('e8.9'!H23), 'e8.9'!H23 = ""), "", 'e8.9'!H23 / $P41)</f>
        <v/>
      </c>
      <c r="I41" s="109" t="str">
        <f>IF(OR(ISBLANK('e8.9'!I23), 'e8.9'!I23 = ""), "", 'e8.9'!I23 / $P41)</f>
        <v/>
      </c>
      <c r="J41" s="109" t="str">
        <f>IF(OR(ISBLANK('e8.9'!J23), 'e8.9'!J23 = ""), "", 'e8.9'!J23 / $P41)</f>
        <v/>
      </c>
      <c r="K41" s="109" t="str">
        <f>IF(OR(ISBLANK('e8.9'!K23), 'e8.9'!K23 = ""), "", 'e8.9'!K23 / $P41)</f>
        <v/>
      </c>
      <c r="L41" s="109" t="str">
        <f>IF(OR(ISBLANK('e8.9'!L23), 'e8.9'!L23 = ""), "", 'e8.9'!L23 / $P41)</f>
        <v/>
      </c>
      <c r="M41" s="109" t="str">
        <f>IF(OR(ISBLANK('e8.9'!M23), 'e8.9'!M23 = ""), "", 'e8.9'!M23 / $P41)</f>
        <v/>
      </c>
      <c r="N41" s="109" t="str">
        <f>IF(OR(ISBLANK('e8.9'!N23), 'e8.9'!N23 = ""), "", 'e8.9'!N23 / $P41)</f>
        <v/>
      </c>
      <c r="P41" s="139">
        <f>Intro!K40/1000</f>
        <v>536.89627332999999</v>
      </c>
    </row>
    <row r="42" spans="1:16" x14ac:dyDescent="0.2">
      <c r="A42" s="3" t="str">
        <f t="shared" si="2"/>
        <v>10/1/18-9/30/19</v>
      </c>
      <c r="C42" s="109">
        <f>IF(OR(ISBLANK('e8.9'!C24), 'e8.9'!C24 = ""), "", 'e8.9'!C24 / $P42)</f>
        <v>8.4693768935619723E-2</v>
      </c>
      <c r="D42" s="109" t="str">
        <f>IF(OR(ISBLANK('e8.9'!D24), 'e8.9'!D24 = ""), "", 'e8.9'!D24 / $P42)</f>
        <v/>
      </c>
      <c r="E42" s="109" t="str">
        <f>IF(OR(ISBLANK('e8.9'!E24), 'e8.9'!E24 = ""), "", 'e8.9'!E24 / $P42)</f>
        <v/>
      </c>
      <c r="F42" s="109" t="str">
        <f>IF(OR(ISBLANK('e8.9'!F24), 'e8.9'!F24 = ""), "", 'e8.9'!F24 / $P42)</f>
        <v/>
      </c>
      <c r="G42" s="109" t="str">
        <f>IF(OR(ISBLANK('e8.9'!G24), 'e8.9'!G24 = ""), "", 'e8.9'!G24 / $P42)</f>
        <v/>
      </c>
      <c r="H42" s="109" t="str">
        <f>IF(OR(ISBLANK('e8.9'!H24), 'e8.9'!H24 = ""), "", 'e8.9'!H24 / $P42)</f>
        <v/>
      </c>
      <c r="I42" s="109" t="str">
        <f>IF(OR(ISBLANK('e8.9'!I24), 'e8.9'!I24 = ""), "", 'e8.9'!I24 / $P42)</f>
        <v/>
      </c>
      <c r="J42" s="109" t="str">
        <f>IF(OR(ISBLANK('e8.9'!J24), 'e8.9'!J24 = ""), "", 'e8.9'!J24 / $P42)</f>
        <v/>
      </c>
      <c r="K42" s="109" t="str">
        <f>IF(OR(ISBLANK('e8.9'!K24), 'e8.9'!K24 = ""), "", 'e8.9'!K24 / $P42)</f>
        <v/>
      </c>
      <c r="L42" s="109" t="str">
        <f>IF(OR(ISBLANK('e8.9'!L24), 'e8.9'!L24 = ""), "", 'e8.9'!L24 / $P42)</f>
        <v/>
      </c>
      <c r="M42" s="109" t="str">
        <f>IF(OR(ISBLANK('e8.9'!M24), 'e8.9'!M24 = ""), "", 'e8.9'!M24 / $P42)</f>
        <v/>
      </c>
      <c r="N42" s="109" t="str">
        <f>IF(OR(ISBLANK('e8.9'!N24), 'e8.9'!N24 = ""), "", 'e8.9'!N24 / $P42)</f>
        <v/>
      </c>
      <c r="P42" s="139">
        <f>Intro!K41/1000</f>
        <v>543.13322666000454</v>
      </c>
    </row>
    <row r="45" spans="1:16" x14ac:dyDescent="0.2">
      <c r="A45" s="106" t="str">
        <f>"The "&amp;A23&amp;" diagonal is valued as of "&amp;ptxt_l&amp;"."</f>
        <v>The 10/1/17-9/30/18 diagonal is valued as of October 31, 2018.</v>
      </c>
    </row>
    <row r="46" spans="1:16" x14ac:dyDescent="0.2">
      <c r="A46" s="106" t="str">
        <f>"The last diagonal is valued as of "&amp;ctxt_l&amp;" (i.e. ages 7, 19, etc.)."</f>
        <v>The last diagonal is valued as of April 30, 2019 (i.e. ages 7, 19, etc.).</v>
      </c>
    </row>
  </sheetData>
  <printOptions horizontalCentered="1"/>
  <pageMargins left="0.7" right="0.7" top="0.75" bottom="0.75" header="0.3" footer="0.3"/>
  <pageSetup scale="87" orientation="landscape" blackAndWhite="1" r:id="rId1"/>
  <headerFooter>
    <oddHeader xml:space="preserve">&amp;L&amp;"Arial"&amp;10  
  &amp;R&amp;"Arial"&amp;10  Exhibit 8
Sheet 10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15">
    <tabColor rgb="FF92D050"/>
    <pageSetUpPr fitToPage="1"/>
  </sheetPr>
  <dimension ref="A1:N28"/>
  <sheetViews>
    <sheetView zoomScale="85" zoomScaleNormal="85" workbookViewId="0"/>
  </sheetViews>
  <sheetFormatPr defaultColWidth="9" defaultRowHeight="12.75" x14ac:dyDescent="0.2"/>
  <cols>
    <col min="1" max="1" width="15" style="1" customWidth="1"/>
    <col min="2" max="2" width="2.625" style="1" customWidth="1"/>
    <col min="3" max="14" width="8.625" style="1" customWidth="1"/>
    <col min="15" max="16384" width="9" style="1"/>
  </cols>
  <sheetData>
    <row r="1" spans="1:14" x14ac:dyDescent="0.2">
      <c r="A1" s="1" t="str">
        <f>[1]!getlabels()</f>
        <v>Exhibit 8, Sheet 11</v>
      </c>
    </row>
    <row r="2" spans="1:14" customFormat="1" ht="22.5" x14ac:dyDescent="0.45">
      <c r="A2" s="78" t="str">
        <f>client</f>
        <v>CLIENT XYZ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customFormat="1" ht="15" x14ac:dyDescent="0.2">
      <c r="A3" s="80" t="str">
        <f>tit</f>
        <v>Analysis of Unpaid Loss &amp; ALAE as of June 30, 2019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4" customFormat="1" ht="15" x14ac:dyDescent="0.2">
      <c r="A4" s="80" t="str">
        <f>cov</f>
        <v>Workers Compensation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customFormat="1" ht="15" x14ac:dyDescent="0.2">
      <c r="A5" s="80" t="str">
        <f>"Data Evaluated as of "&amp;ctxt_l</f>
        <v>Data Evaluated as of April 30, 2019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 x14ac:dyDescent="0.2">
      <c r="A7" s="81" t="str">
        <f>VLOOKUP($A$1, index_lkups, 3, FALSE)</f>
        <v xml:space="preserve">Average Case Reserve per Open Lost-Time Claim - Loss &amp; ALAE Limited to $250,000 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10" spans="1:14" x14ac:dyDescent="0.2">
      <c r="A10" s="33" t="str">
        <f>Intro!$M$9</f>
        <v>Policy</v>
      </c>
      <c r="C10" s="1" t="s">
        <v>98</v>
      </c>
    </row>
    <row r="11" spans="1:14" x14ac:dyDescent="0.2">
      <c r="A11" s="82" t="str">
        <f>Intro!$M$10</f>
        <v>Period</v>
      </c>
      <c r="C11" s="108">
        <f>Intro!$U$1</f>
        <v>12</v>
      </c>
      <c r="D11" s="108">
        <f>C11+Intro!$U$2</f>
        <v>24</v>
      </c>
      <c r="E11" s="108">
        <f>D11+Intro!$U$2</f>
        <v>36</v>
      </c>
      <c r="F11" s="108">
        <f>E11+Intro!$U$2</f>
        <v>48</v>
      </c>
      <c r="G11" s="108">
        <f>F11+Intro!$U$2</f>
        <v>60</v>
      </c>
      <c r="H11" s="108">
        <f>G11+Intro!$U$2</f>
        <v>72</v>
      </c>
      <c r="I11" s="108">
        <f>H11+Intro!$U$2</f>
        <v>84</v>
      </c>
      <c r="J11" s="108">
        <f>I11+Intro!$U$2</f>
        <v>96</v>
      </c>
      <c r="K11" s="108">
        <f>J11+Intro!$U$2</f>
        <v>108</v>
      </c>
      <c r="L11" s="108">
        <f>K11+Intro!$U$2</f>
        <v>120</v>
      </c>
      <c r="M11" s="108">
        <f>L11+Intro!$U$2</f>
        <v>132</v>
      </c>
      <c r="N11" s="108">
        <f>M11+Intro!$U$2</f>
        <v>144</v>
      </c>
    </row>
    <row r="12" spans="1:14" ht="12.75" customHeight="1" x14ac:dyDescent="0.2"/>
    <row r="13" spans="1:14" ht="12.75" customHeight="1" x14ac:dyDescent="0.2">
      <c r="A13" s="3" t="str">
        <f>Intro!E30</f>
        <v>10/1/07-9/30/08</v>
      </c>
      <c r="C13" s="92" t="str">
        <f>IF(OR('e8.1'!C18="", ISBLANK('e8.1'!C18), 'e8.2'!C18="", ISBLANK('e8.2'!C18), 'e8.10'!C13="", ISBLANK('e8.10'!C13), 'e8.10'!C13 = 0), "", ('e8.1'!C18 - 'e8.2'!C18) / 'e8.10'!C13)</f>
        <v/>
      </c>
      <c r="D13" s="92" t="str">
        <f>IF(OR('e8.1'!D18="", ISBLANK('e8.1'!D18), 'e8.2'!D18="", ISBLANK('e8.2'!D18), 'e8.10'!D13="", ISBLANK('e8.10'!D13), 'e8.10'!D13 = 0), "", ('e8.1'!D18 - 'e8.2'!D18) / 'e8.10'!D13)</f>
        <v/>
      </c>
      <c r="E13" s="92" t="str">
        <f>IF(OR('e8.1'!E18="", ISBLANK('e8.1'!E18), 'e8.2'!E18="", ISBLANK('e8.2'!E18), 'e8.10'!E13="", ISBLANK('e8.10'!E13), 'e8.10'!E13 = 0), "", ('e8.1'!E18 - 'e8.2'!E18) / 'e8.10'!E13)</f>
        <v/>
      </c>
      <c r="F13" s="92">
        <f>IF(OR('e8.1'!F18="", ISBLANK('e8.1'!F18), 'e8.2'!F18="", ISBLANK('e8.2'!F18), 'e8.10'!F13="", ISBLANK('e8.10'!F13), 'e8.10'!F13 = 0), "", ('e8.1'!F18 - 'e8.2'!F18) / 'e8.10'!F13)</f>
        <v>24910.10000000021</v>
      </c>
      <c r="G13" s="92">
        <f>IF(OR('e8.1'!G18="", ISBLANK('e8.1'!G18), 'e8.2'!G18="", ISBLANK('e8.2'!G18), 'e8.10'!G13="", ISBLANK('e8.10'!G13), 'e8.10'!G13 = 0), "", ('e8.1'!G18 - 'e8.2'!G18) / 'e8.10'!G13)</f>
        <v>38193.270000000019</v>
      </c>
      <c r="H13" s="92" t="str">
        <f>IF(OR('e8.1'!H18="", ISBLANK('e8.1'!H18), 'e8.2'!H18="", ISBLANK('e8.2'!H18), 'e8.10'!H13="", ISBLANK('e8.10'!H13), 'e8.10'!H13 = 0), "", ('e8.1'!H18 - 'e8.2'!H18) / 'e8.10'!H13)</f>
        <v/>
      </c>
      <c r="I13" s="92" t="str">
        <f>IF(OR('e8.1'!I18="", ISBLANK('e8.1'!I18), 'e8.2'!I18="", ISBLANK('e8.2'!I18), 'e8.10'!I13="", ISBLANK('e8.10'!I13), 'e8.10'!I13 = 0), "", ('e8.1'!I18 - 'e8.2'!I18) / 'e8.10'!I13)</f>
        <v/>
      </c>
      <c r="J13" s="92" t="str">
        <f>IF(OR('e8.1'!J18="", ISBLANK('e8.1'!J18), 'e8.2'!J18="", ISBLANK('e8.2'!J18), 'e8.10'!J13="", ISBLANK('e8.10'!J13), 'e8.10'!J13 = 0), "", ('e8.1'!J18 - 'e8.2'!J18) / 'e8.10'!J13)</f>
        <v/>
      </c>
      <c r="K13" s="92" t="str">
        <f>IF(OR('e8.1'!K18="", ISBLANK('e8.1'!K18), 'e8.2'!K18="", ISBLANK('e8.2'!K18), 'e8.10'!K13="", ISBLANK('e8.10'!K13), 'e8.10'!K13 = 0), "", ('e8.1'!K18 - 'e8.2'!K18) / 'e8.10'!K13)</f>
        <v/>
      </c>
      <c r="L13" s="92" t="str">
        <f>IF(OR('e8.1'!L18="", ISBLANK('e8.1'!L18), 'e8.2'!L18="", ISBLANK('e8.2'!L18), 'e8.10'!L13="", ISBLANK('e8.10'!L13), 'e8.10'!L13 = 0), "", ('e8.1'!L18 - 'e8.2'!L18) / 'e8.10'!L13)</f>
        <v/>
      </c>
      <c r="M13" s="92" t="str">
        <f>IF(OR('e8.1'!M18="", ISBLANK('e8.1'!M18), 'e8.2'!M18="", ISBLANK('e8.2'!M18), 'e8.10'!M13="", ISBLANK('e8.10'!M13), 'e8.10'!M13 = 0), "", ('e8.1'!M18 - 'e8.2'!M18) / 'e8.10'!M13)</f>
        <v/>
      </c>
      <c r="N13" s="92" t="str">
        <f>IF(OR('e8.1'!N18="", ISBLANK('e8.1'!N18), 'e8.2'!N18="", ISBLANK('e8.2'!N18), 'e8.10'!N13="", ISBLANK('e8.10'!N13), 'e8.10'!N13 = 0), "", ('e8.1'!N18 - 'e8.2'!N18) / 'e8.10'!N13)</f>
        <v/>
      </c>
    </row>
    <row r="14" spans="1:14" ht="12.75" customHeight="1" x14ac:dyDescent="0.2">
      <c r="A14" s="3" t="str">
        <f>Intro!E31</f>
        <v>10/1/08-9/30/09</v>
      </c>
      <c r="C14" s="92" t="str">
        <f>IF(OR('e8.1'!C19="", ISBLANK('e8.1'!C19), 'e8.2'!C19="", ISBLANK('e8.2'!C19), 'e8.10'!C14="", ISBLANK('e8.10'!C14), 'e8.10'!C14 = 0), "", ('e8.1'!C19 - 'e8.2'!C19) / 'e8.10'!C14)</f>
        <v/>
      </c>
      <c r="D14" s="92" t="str">
        <f>IF(OR('e8.1'!D19="", ISBLANK('e8.1'!D19), 'e8.2'!D19="", ISBLANK('e8.2'!D19), 'e8.10'!D14="", ISBLANK('e8.10'!D14), 'e8.10'!D14 = 0), "", ('e8.1'!D19 - 'e8.2'!D19) / 'e8.10'!D14)</f>
        <v/>
      </c>
      <c r="E14" s="92">
        <f>IF(OR('e8.1'!E19="", ISBLANK('e8.1'!E19), 'e8.2'!E19="", ISBLANK('e8.2'!E19), 'e8.10'!E14="", ISBLANK('e8.10'!E14), 'e8.10'!E14 = 0), "", ('e8.1'!E19 - 'e8.2'!E19) / 'e8.10'!E14)</f>
        <v>31948.162499999977</v>
      </c>
      <c r="F14" s="92">
        <f>IF(OR('e8.1'!F19="", ISBLANK('e8.1'!F19), 'e8.2'!F19="", ISBLANK('e8.2'!F19), 'e8.10'!F14="", ISBLANK('e8.10'!F14), 'e8.10'!F14 = 0), "", ('e8.1'!F19 - 'e8.2'!F19) / 'e8.10'!F14)</f>
        <v>13935.984999999753</v>
      </c>
      <c r="G14" s="92">
        <f>IF(OR('e8.1'!G19="", ISBLANK('e8.1'!G19), 'e8.2'!G19="", ISBLANK('e8.2'!G19), 'e8.10'!G14="", ISBLANK('e8.10'!G14), 'e8.10'!G14 = 0), "", ('e8.1'!G19 - 'e8.2'!G19) / 'e8.10'!G14)</f>
        <v>10808.375</v>
      </c>
      <c r="H14" s="92">
        <f>IF(OR('e8.1'!H19="", ISBLANK('e8.1'!H19), 'e8.2'!H19="", ISBLANK('e8.2'!H19), 'e8.10'!H14="", ISBLANK('e8.10'!H14), 'e8.10'!H14 = 0), "", ('e8.1'!H19 - 'e8.2'!H19) / 'e8.10'!H14)</f>
        <v>22413.359999999404</v>
      </c>
      <c r="I14" s="92">
        <f>IF(OR('e8.1'!I19="", ISBLANK('e8.1'!I19), 'e8.2'!I19="", ISBLANK('e8.2'!I19), 'e8.10'!I14="", ISBLANK('e8.10'!I14), 'e8.10'!I14 = 0), "", ('e8.1'!I19 - 'e8.2'!I19) / 'e8.10'!I14)</f>
        <v>31729.040000000037</v>
      </c>
      <c r="J14" s="92">
        <f>IF(OR('e8.1'!J19="", ISBLANK('e8.1'!J19), 'e8.2'!J19="", ISBLANK('e8.2'!J19), 'e8.10'!J14="", ISBLANK('e8.10'!J14), 'e8.10'!J14 = 0), "", ('e8.1'!J19 - 'e8.2'!J19) / 'e8.10'!J14)</f>
        <v>32060.149999999674</v>
      </c>
      <c r="K14" s="92">
        <f>IF(OR('e8.1'!K19="", ISBLANK('e8.1'!K19), 'e8.2'!K19="", ISBLANK('e8.2'!K19), 'e8.10'!K14="", ISBLANK('e8.10'!K14), 'e8.10'!K14 = 0), "", ('e8.1'!K19 - 'e8.2'!K19) / 'e8.10'!K14)</f>
        <v>31934.280000000028</v>
      </c>
      <c r="L14" s="92">
        <f>IF(OR('e8.1'!L19="", ISBLANK('e8.1'!L19), 'e8.2'!L19="", ISBLANK('e8.2'!L19), 'e8.10'!L14="", ISBLANK('e8.10'!L14), 'e8.10'!L14 = 0), "", ('e8.1'!L19 - 'e8.2'!L19) / 'e8.10'!L14)</f>
        <v>127086.45999999996</v>
      </c>
      <c r="M14" s="92">
        <f>IF(OR('e8.1'!M19="", ISBLANK('e8.1'!M19), 'e8.2'!M19="", ISBLANK('e8.2'!M19), 'e8.10'!M14="", ISBLANK('e8.10'!M14), 'e8.10'!M14 = 0), "", ('e8.1'!M19 - 'e8.2'!M19) / 'e8.10'!M14)</f>
        <v>75839.800000000047</v>
      </c>
      <c r="N14" s="92" t="str">
        <f>IF(OR('e8.1'!N19="", ISBLANK('e8.1'!N19), 'e8.2'!N19="", ISBLANK('e8.2'!N19), 'e8.10'!N14="", ISBLANK('e8.10'!N14), 'e8.10'!N14 = 0), "", ('e8.1'!N19 - 'e8.2'!N19) / 'e8.10'!N14)</f>
        <v/>
      </c>
    </row>
    <row r="15" spans="1:14" ht="12.75" customHeight="1" x14ac:dyDescent="0.2">
      <c r="A15" s="3" t="str">
        <f>Intro!E32</f>
        <v>10/1/09-9/30/10</v>
      </c>
      <c r="C15" s="92" t="str">
        <f>IF(OR('e8.1'!C20="", ISBLANK('e8.1'!C20), 'e8.2'!C20="", ISBLANK('e8.2'!C20), 'e8.10'!C15="", ISBLANK('e8.10'!C15), 'e8.10'!C15 = 0), "", ('e8.1'!C20 - 'e8.2'!C20) / 'e8.10'!C15)</f>
        <v/>
      </c>
      <c r="D15" s="92">
        <f>IF(OR('e8.1'!D20="", ISBLANK('e8.1'!D20), 'e8.2'!D20="", ISBLANK('e8.2'!D20), 'e8.10'!D15="", ISBLANK('e8.10'!D15), 'e8.10'!D15 = 0), "", ('e8.1'!D20 - 'e8.2'!D20) / 'e8.10'!D15)</f>
        <v>15179.578888888871</v>
      </c>
      <c r="E15" s="92">
        <f>IF(OR('e8.1'!E20="", ISBLANK('e8.1'!E20), 'e8.2'!E20="", ISBLANK('e8.2'!E20), 'e8.10'!E15="", ISBLANK('e8.10'!E15), 'e8.10'!E15 = 0), "", ('e8.1'!E20 - 'e8.2'!E20) / 'e8.10'!E15)</f>
        <v>28629.502499999973</v>
      </c>
      <c r="F15" s="92">
        <f>IF(OR('e8.1'!F20="", ISBLANK('e8.1'!F20), 'e8.2'!F20="", ISBLANK('e8.2'!F20), 'e8.10'!F15="", ISBLANK('e8.10'!F15), 'e8.10'!F15 = 0), "", ('e8.1'!F20 - 'e8.2'!F20) / 'e8.10'!F15)</f>
        <v>26994.400000000063</v>
      </c>
      <c r="G15" s="92">
        <f>IF(OR('e8.1'!G20="", ISBLANK('e8.1'!G20), 'e8.2'!G20="", ISBLANK('e8.2'!G20), 'e8.10'!G15="", ISBLANK('e8.10'!G15), 'e8.10'!G15 = 0), "", ('e8.1'!G20 - 'e8.2'!G20) / 'e8.10'!G15)</f>
        <v>27234.403333333397</v>
      </c>
      <c r="H15" s="92">
        <f>IF(OR('e8.1'!H20="", ISBLANK('e8.1'!H20), 'e8.2'!H20="", ISBLANK('e8.2'!H20), 'e8.10'!H15="", ISBLANK('e8.10'!H15), 'e8.10'!H15 = 0), "", ('e8.1'!H20 - 'e8.2'!H20) / 'e8.10'!H15)</f>
        <v>144543.75999999978</v>
      </c>
      <c r="I15" s="92">
        <f>IF(OR('e8.1'!I20="", ISBLANK('e8.1'!I20), 'e8.2'!I20="", ISBLANK('e8.2'!I20), 'e8.10'!I15="", ISBLANK('e8.10'!I15), 'e8.10'!I15 = 0), "", ('e8.1'!I20 - 'e8.2'!I20) / 'e8.10'!I15)</f>
        <v>138047.2099999995</v>
      </c>
      <c r="J15" s="92">
        <f>IF(OR('e8.1'!J20="", ISBLANK('e8.1'!J20), 'e8.2'!J20="", ISBLANK('e8.2'!J20), 'e8.10'!J15="", ISBLANK('e8.10'!J15), 'e8.10'!J15 = 0), "", ('e8.1'!J20 - 'e8.2'!J20) / 'e8.10'!J15)</f>
        <v>121292.72999999998</v>
      </c>
      <c r="K15" s="92">
        <f>IF(OR('e8.1'!K20="", ISBLANK('e8.1'!K20), 'e8.2'!K20="", ISBLANK('e8.2'!K20), 'e8.10'!K15="", ISBLANK('e8.10'!K15), 'e8.10'!K15 = 0), "", ('e8.1'!K20 - 'e8.2'!K20) / 'e8.10'!K15)</f>
        <v>5313.3000000000466</v>
      </c>
      <c r="L15" s="92">
        <f>IF(OR('e8.1'!L20="", ISBLANK('e8.1'!L20), 'e8.2'!L20="", ISBLANK('e8.2'!L20), 'e8.10'!L15="", ISBLANK('e8.10'!L15), 'e8.10'!L15 = 0), "", ('e8.1'!L20 - 'e8.2'!L20) / 'e8.10'!L15)</f>
        <v>17136.330000000075</v>
      </c>
      <c r="M15" s="92" t="str">
        <f>IF(OR('e8.1'!M20="", ISBLANK('e8.1'!M20), 'e8.2'!M20="", ISBLANK('e8.2'!M20), 'e8.10'!M15="", ISBLANK('e8.10'!M15), 'e8.10'!M15 = 0), "", ('e8.1'!M20 - 'e8.2'!M20) / 'e8.10'!M15)</f>
        <v/>
      </c>
      <c r="N15" s="92" t="str">
        <f>IF(OR('e8.1'!N20="", ISBLANK('e8.1'!N20), 'e8.2'!N20="", ISBLANK('e8.2'!N20), 'e8.10'!N15="", ISBLANK('e8.10'!N15), 'e8.10'!N15 = 0), "", ('e8.1'!N20 - 'e8.2'!N20) / 'e8.10'!N15)</f>
        <v/>
      </c>
    </row>
    <row r="16" spans="1:14" ht="12.75" customHeight="1" x14ac:dyDescent="0.2">
      <c r="A16" s="3" t="str">
        <f>Intro!E33</f>
        <v>10/1/10-9/30/11</v>
      </c>
      <c r="C16" s="92">
        <f>IF(OR('e8.1'!C21="", ISBLANK('e8.1'!C21), 'e8.2'!C21="", ISBLANK('e8.2'!C21), 'e8.10'!C16="", ISBLANK('e8.10'!C16), 'e8.10'!C16 = 0), "", ('e8.1'!C21 - 'e8.2'!C21) / 'e8.10'!C16)</f>
        <v>12369.812</v>
      </c>
      <c r="D16" s="92">
        <f>IF(OR('e8.1'!D21="", ISBLANK('e8.1'!D21), 'e8.2'!D21="", ISBLANK('e8.2'!D21), 'e8.10'!D16="", ISBLANK('e8.10'!D16), 'e8.10'!D16 = 0), "", ('e8.1'!D21 - 'e8.2'!D21) / 'e8.10'!D16)</f>
        <v>10497.555714285716</v>
      </c>
      <c r="E16" s="92">
        <f>IF(OR('e8.1'!E21="", ISBLANK('e8.1'!E21), 'e8.2'!E21="", ISBLANK('e8.2'!E21), 'e8.10'!E16="", ISBLANK('e8.10'!E16), 'e8.10'!E16 = 0), "", ('e8.1'!E21 - 'e8.2'!E21) / 'e8.10'!E16)</f>
        <v>62468.023333333316</v>
      </c>
      <c r="F16" s="92">
        <f>IF(OR('e8.1'!F21="", ISBLANK('e8.1'!F21), 'e8.2'!F21="", ISBLANK('e8.2'!F21), 'e8.10'!F16="", ISBLANK('e8.10'!F16), 'e8.10'!F16 = 0), "", ('e8.1'!F21 - 'e8.2'!F21) / 'e8.10'!F16)</f>
        <v>62132.430000000168</v>
      </c>
      <c r="G16" s="92" t="str">
        <f>IF(OR('e8.1'!G21="", ISBLANK('e8.1'!G21), 'e8.2'!G21="", ISBLANK('e8.2'!G21), 'e8.10'!G16="", ISBLANK('e8.10'!G16), 'e8.10'!G16 = 0), "", ('e8.1'!G21 - 'e8.2'!G21) / 'e8.10'!G16)</f>
        <v/>
      </c>
      <c r="H16" s="92" t="str">
        <f>IF(OR('e8.1'!H21="", ISBLANK('e8.1'!H21), 'e8.2'!H21="", ISBLANK('e8.2'!H21), 'e8.10'!H16="", ISBLANK('e8.10'!H16), 'e8.10'!H16 = 0), "", ('e8.1'!H21 - 'e8.2'!H21) / 'e8.10'!H16)</f>
        <v/>
      </c>
      <c r="I16" s="92" t="str">
        <f>IF(OR('e8.1'!I21="", ISBLANK('e8.1'!I21), 'e8.2'!I21="", ISBLANK('e8.2'!I21), 'e8.10'!I16="", ISBLANK('e8.10'!I16), 'e8.10'!I16 = 0), "", ('e8.1'!I21 - 'e8.2'!I21) / 'e8.10'!I16)</f>
        <v/>
      </c>
      <c r="J16" s="92" t="str">
        <f>IF(OR('e8.1'!J21="", ISBLANK('e8.1'!J21), 'e8.2'!J21="", ISBLANK('e8.2'!J21), 'e8.10'!J16="", ISBLANK('e8.10'!J16), 'e8.10'!J16 = 0), "", ('e8.1'!J21 - 'e8.2'!J21) / 'e8.10'!J16)</f>
        <v/>
      </c>
      <c r="K16" s="92" t="str">
        <f>IF(OR('e8.1'!K21="", ISBLANK('e8.1'!K21), 'e8.2'!K21="", ISBLANK('e8.2'!K21), 'e8.10'!K16="", ISBLANK('e8.10'!K16), 'e8.10'!K16 = 0), "", ('e8.1'!K21 - 'e8.2'!K21) / 'e8.10'!K16)</f>
        <v/>
      </c>
      <c r="L16" s="92" t="str">
        <f>IF(OR('e8.1'!L21="", ISBLANK('e8.1'!L21), 'e8.2'!L21="", ISBLANK('e8.2'!L21), 'e8.10'!L16="", ISBLANK('e8.10'!L16), 'e8.10'!L16 = 0), "", ('e8.1'!L21 - 'e8.2'!L21) / 'e8.10'!L16)</f>
        <v/>
      </c>
      <c r="M16" s="92" t="str">
        <f>IF(OR('e8.1'!M21="", ISBLANK('e8.1'!M21), 'e8.2'!M21="", ISBLANK('e8.2'!M21), 'e8.10'!M16="", ISBLANK('e8.10'!M16), 'e8.10'!M16 = 0), "", ('e8.1'!M21 - 'e8.2'!M21) / 'e8.10'!M16)</f>
        <v/>
      </c>
      <c r="N16" s="92" t="str">
        <f>IF(OR('e8.1'!N21="", ISBLANK('e8.1'!N21), 'e8.2'!N21="", ISBLANK('e8.2'!N21), 'e8.10'!N16="", ISBLANK('e8.10'!N16), 'e8.10'!N16 = 0), "", ('e8.1'!N21 - 'e8.2'!N21) / 'e8.10'!N16)</f>
        <v/>
      </c>
    </row>
    <row r="17" spans="1:14" ht="12.75" customHeight="1" x14ac:dyDescent="0.2">
      <c r="A17" s="3" t="str">
        <f>Intro!E34</f>
        <v>10/1/11-9/30/12</v>
      </c>
      <c r="C17" s="92">
        <f>IF(OR('e8.1'!C22="", ISBLANK('e8.1'!C22), 'e8.2'!C22="", ISBLANK('e8.2'!C22), 'e8.10'!C17="", ISBLANK('e8.10'!C17), 'e8.10'!C17 = 0), "", ('e8.1'!C22 - 'e8.2'!C22) / 'e8.10'!C17)</f>
        <v>19646.600666666676</v>
      </c>
      <c r="D17" s="92">
        <f>IF(OR('e8.1'!D22="", ISBLANK('e8.1'!D22), 'e8.2'!D22="", ISBLANK('e8.2'!D22), 'e8.10'!D17="", ISBLANK('e8.10'!D17), 'e8.10'!D17 = 0), "", ('e8.1'!D22 - 'e8.2'!D22) / 'e8.10'!D17)</f>
        <v>21133.640000000014</v>
      </c>
      <c r="E17" s="92">
        <f>IF(OR('e8.1'!E22="", ISBLANK('e8.1'!E22), 'e8.2'!E22="", ISBLANK('e8.2'!E22), 'e8.10'!E17="", ISBLANK('e8.10'!E17), 'e8.10'!E17 = 0), "", ('e8.1'!E22 - 'e8.2'!E22) / 'e8.10'!E17)</f>
        <v>33374.895000000019</v>
      </c>
      <c r="F17" s="92">
        <f>IF(OR('e8.1'!F22="", ISBLANK('e8.1'!F22), 'e8.2'!F22="", ISBLANK('e8.2'!F22), 'e8.10'!F17="", ISBLANK('e8.10'!F17), 'e8.10'!F17 = 0), "", ('e8.1'!F22 - 'e8.2'!F22) / 'e8.10'!F17)</f>
        <v>18236.52500000014</v>
      </c>
      <c r="G17" s="92">
        <f>IF(OR('e8.1'!G22="", ISBLANK('e8.1'!G22), 'e8.2'!G22="", ISBLANK('e8.2'!G22), 'e8.10'!G17="", ISBLANK('e8.10'!G17), 'e8.10'!G17 = 0), "", ('e8.1'!G22 - 'e8.2'!G22) / 'e8.10'!G17)</f>
        <v>12410.25</v>
      </c>
      <c r="H17" s="92">
        <f>IF(OR('e8.1'!H22="", ISBLANK('e8.1'!H22), 'e8.2'!H22="", ISBLANK('e8.2'!H22), 'e8.10'!H17="", ISBLANK('e8.10'!H17), 'e8.10'!H17 = 0), "", ('e8.1'!H22 - 'e8.2'!H22) / 'e8.10'!H17)</f>
        <v>0</v>
      </c>
      <c r="I17" s="92">
        <f>IF(OR('e8.1'!I22="", ISBLANK('e8.1'!I22), 'e8.2'!I22="", ISBLANK('e8.2'!I22), 'e8.10'!I17="", ISBLANK('e8.10'!I17), 'e8.10'!I17 = 0), "", ('e8.1'!I22 - 'e8.2'!I22) / 'e8.10'!I17)</f>
        <v>0</v>
      </c>
      <c r="J17" s="92">
        <f>IF(OR('e8.1'!J22="", ISBLANK('e8.1'!J22), 'e8.2'!J22="", ISBLANK('e8.2'!J22), 'e8.10'!J17="", ISBLANK('e8.10'!J17), 'e8.10'!J17 = 0), "", ('e8.1'!J22 - 'e8.2'!J22) / 'e8.10'!J17)</f>
        <v>0</v>
      </c>
      <c r="K17" s="92" t="str">
        <f>IF(OR('e8.1'!K22="", ISBLANK('e8.1'!K22), 'e8.2'!K22="", ISBLANK('e8.2'!K22), 'e8.10'!K17="", ISBLANK('e8.10'!K17), 'e8.10'!K17 = 0), "", ('e8.1'!K22 - 'e8.2'!K22) / 'e8.10'!K17)</f>
        <v/>
      </c>
      <c r="L17" s="92" t="str">
        <f>IF(OR('e8.1'!L22="", ISBLANK('e8.1'!L22), 'e8.2'!L22="", ISBLANK('e8.2'!L22), 'e8.10'!L17="", ISBLANK('e8.10'!L17), 'e8.10'!L17 = 0), "", ('e8.1'!L22 - 'e8.2'!L22) / 'e8.10'!L17)</f>
        <v/>
      </c>
      <c r="M17" s="92" t="str">
        <f>IF(OR('e8.1'!M22="", ISBLANK('e8.1'!M22), 'e8.2'!M22="", ISBLANK('e8.2'!M22), 'e8.10'!M17="", ISBLANK('e8.10'!M17), 'e8.10'!M17 = 0), "", ('e8.1'!M22 - 'e8.2'!M22) / 'e8.10'!M17)</f>
        <v/>
      </c>
      <c r="N17" s="92" t="str">
        <f>IF(OR('e8.1'!N22="", ISBLANK('e8.1'!N22), 'e8.2'!N22="", ISBLANK('e8.2'!N22), 'e8.10'!N17="", ISBLANK('e8.10'!N17), 'e8.10'!N17 = 0), "", ('e8.1'!N22 - 'e8.2'!N22) / 'e8.10'!N17)</f>
        <v/>
      </c>
    </row>
    <row r="18" spans="1:14" ht="12.75" customHeight="1" x14ac:dyDescent="0.2">
      <c r="A18" s="3" t="str">
        <f>Intro!E35</f>
        <v>10/1/12-9/30/13</v>
      </c>
      <c r="C18" s="92">
        <f>IF(OR('e8.1'!C23="", ISBLANK('e8.1'!C23), 'e8.2'!C23="", ISBLANK('e8.2'!C23), 'e8.10'!C18="", ISBLANK('e8.10'!C18), 'e8.10'!C18 = 0), "", ('e8.1'!C23 - 'e8.2'!C23) / 'e8.10'!C18)</f>
        <v>15093.093500000008</v>
      </c>
      <c r="D18" s="92">
        <f>IF(OR('e8.1'!D23="", ISBLANK('e8.1'!D23), 'e8.2'!D23="", ISBLANK('e8.2'!D23), 'e8.10'!D18="", ISBLANK('e8.10'!D18), 'e8.10'!D18 = 0), "", ('e8.1'!D23 - 'e8.2'!D23) / 'e8.10'!D18)</f>
        <v>20353.142142857127</v>
      </c>
      <c r="E18" s="92">
        <f>IF(OR('e8.1'!E23="", ISBLANK('e8.1'!E23), 'e8.2'!E23="", ISBLANK('e8.2'!E23), 'e8.10'!E18="", ISBLANK('e8.10'!E18), 'e8.10'!E18 = 0), "", ('e8.1'!E23 - 'e8.2'!E23) / 'e8.10'!E18)</f>
        <v>23628.832500000048</v>
      </c>
      <c r="F18" s="92">
        <f>IF(OR('e8.1'!F23="", ISBLANK('e8.1'!F23), 'e8.2'!F23="", ISBLANK('e8.2'!F23), 'e8.10'!F18="", ISBLANK('e8.10'!F18), 'e8.10'!F18 = 0), "", ('e8.1'!F23 - 'e8.2'!F23) / 'e8.10'!F18)</f>
        <v>26257.198333333363</v>
      </c>
      <c r="G18" s="92">
        <f>IF(OR('e8.1'!G23="", ISBLANK('e8.1'!G23), 'e8.2'!G23="", ISBLANK('e8.2'!G23), 'e8.10'!G18="", ISBLANK('e8.10'!G18), 'e8.10'!G18 = 0), "", ('e8.1'!G23 - 'e8.2'!G23) / 'e8.10'!G18)</f>
        <v>17855.195000000007</v>
      </c>
      <c r="H18" s="92">
        <f>IF(OR('e8.1'!H23="", ISBLANK('e8.1'!H23), 'e8.2'!H23="", ISBLANK('e8.2'!H23), 'e8.10'!H18="", ISBLANK('e8.10'!H18), 'e8.10'!H18 = 0), "", ('e8.1'!H23 - 'e8.2'!H23) / 'e8.10'!H18)</f>
        <v>19446.409999999916</v>
      </c>
      <c r="I18" s="92">
        <f>IF(OR('e8.1'!I23="", ISBLANK('e8.1'!I23), 'e8.2'!I23="", ISBLANK('e8.2'!I23), 'e8.10'!I18="", ISBLANK('e8.10'!I18), 'e8.10'!I18 = 0), "", ('e8.1'!I23 - 'e8.2'!I23) / 'e8.10'!I18)</f>
        <v>22340.320000000065</v>
      </c>
      <c r="J18" s="92" t="str">
        <f>IF(OR('e8.1'!J23="", ISBLANK('e8.1'!J23), 'e8.2'!J23="", ISBLANK('e8.2'!J23), 'e8.10'!J18="", ISBLANK('e8.10'!J18), 'e8.10'!J18 = 0), "", ('e8.1'!J23 - 'e8.2'!J23) / 'e8.10'!J18)</f>
        <v/>
      </c>
      <c r="K18" s="92" t="str">
        <f>IF(OR('e8.1'!K23="", ISBLANK('e8.1'!K23), 'e8.2'!K23="", ISBLANK('e8.2'!K23), 'e8.10'!K18="", ISBLANK('e8.10'!K18), 'e8.10'!K18 = 0), "", ('e8.1'!K23 - 'e8.2'!K23) / 'e8.10'!K18)</f>
        <v/>
      </c>
      <c r="L18" s="92" t="str">
        <f>IF(OR('e8.1'!L23="", ISBLANK('e8.1'!L23), 'e8.2'!L23="", ISBLANK('e8.2'!L23), 'e8.10'!L18="", ISBLANK('e8.10'!L18), 'e8.10'!L18 = 0), "", ('e8.1'!L23 - 'e8.2'!L23) / 'e8.10'!L18)</f>
        <v/>
      </c>
      <c r="M18" s="92" t="str">
        <f>IF(OR('e8.1'!M23="", ISBLANK('e8.1'!M23), 'e8.2'!M23="", ISBLANK('e8.2'!M23), 'e8.10'!M18="", ISBLANK('e8.10'!M18), 'e8.10'!M18 = 0), "", ('e8.1'!M23 - 'e8.2'!M23) / 'e8.10'!M18)</f>
        <v/>
      </c>
      <c r="N18" s="92" t="str">
        <f>IF(OR('e8.1'!N23="", ISBLANK('e8.1'!N23), 'e8.2'!N23="", ISBLANK('e8.2'!N23), 'e8.10'!N18="", ISBLANK('e8.10'!N18), 'e8.10'!N18 = 0), "", ('e8.1'!N23 - 'e8.2'!N23) / 'e8.10'!N18)</f>
        <v/>
      </c>
    </row>
    <row r="19" spans="1:14" ht="12.75" customHeight="1" x14ac:dyDescent="0.2">
      <c r="A19" s="3" t="str">
        <f>Intro!E36</f>
        <v>10/1/13-9/30/14</v>
      </c>
      <c r="C19" s="92">
        <f>IF(OR('e8.1'!C24="", ISBLANK('e8.1'!C24), 'e8.2'!C24="", ISBLANK('e8.2'!C24), 'e8.10'!C19="", ISBLANK('e8.10'!C19), 'e8.10'!C19 = 0), "", ('e8.1'!C24 - 'e8.2'!C24) / 'e8.10'!C19)</f>
        <v>23591.79033333332</v>
      </c>
      <c r="D19" s="92">
        <f>IF(OR('e8.1'!D24="", ISBLANK('e8.1'!D24), 'e8.2'!D24="", ISBLANK('e8.2'!D24), 'e8.10'!D19="", ISBLANK('e8.10'!D19), 'e8.10'!D19 = 0), "", ('e8.1'!D24 - 'e8.2'!D24) / 'e8.10'!D19)</f>
        <v>34452.108888888833</v>
      </c>
      <c r="E19" s="92">
        <f>IF(OR('e8.1'!E24="", ISBLANK('e8.1'!E24), 'e8.2'!E24="", ISBLANK('e8.2'!E24), 'e8.10'!E19="", ISBLANK('e8.10'!E19), 'e8.10'!E19 = 0), "", ('e8.1'!E24 - 'e8.2'!E24) / 'e8.10'!E19)</f>
        <v>11187.13333333334</v>
      </c>
      <c r="F19" s="92">
        <f>IF(OR('e8.1'!F24="", ISBLANK('e8.1'!F24), 'e8.2'!F24="", ISBLANK('e8.2'!F24), 'e8.10'!F19="", ISBLANK('e8.10'!F19), 'e8.10'!F19 = 0), "", ('e8.1'!F24 - 'e8.2'!F24) / 'e8.10'!F19)</f>
        <v>60427.055000000168</v>
      </c>
      <c r="G19" s="92" t="str">
        <f>IF(OR('e8.1'!G24="", ISBLANK('e8.1'!G24), 'e8.2'!G24="", ISBLANK('e8.2'!G24), 'e8.10'!G19="", ISBLANK('e8.10'!G19), 'e8.10'!G19 = 0), "", ('e8.1'!G24 - 'e8.2'!G24) / 'e8.10'!G19)</f>
        <v/>
      </c>
      <c r="H19" s="92" t="str">
        <f>IF(OR('e8.1'!H24="", ISBLANK('e8.1'!H24), 'e8.2'!H24="", ISBLANK('e8.2'!H24), 'e8.10'!H19="", ISBLANK('e8.10'!H19), 'e8.10'!H19 = 0), "", ('e8.1'!H24 - 'e8.2'!H24) / 'e8.10'!H19)</f>
        <v/>
      </c>
      <c r="I19" s="92" t="str">
        <f>IF(OR('e8.1'!I24="", ISBLANK('e8.1'!I24), 'e8.2'!I24="", ISBLANK('e8.2'!I24), 'e8.10'!I19="", ISBLANK('e8.10'!I19), 'e8.10'!I19 = 0), "", ('e8.1'!I24 - 'e8.2'!I24) / 'e8.10'!I19)</f>
        <v/>
      </c>
      <c r="J19" s="92" t="str">
        <f>IF(OR('e8.1'!J24="", ISBLANK('e8.1'!J24), 'e8.2'!J24="", ISBLANK('e8.2'!J24), 'e8.10'!J19="", ISBLANK('e8.10'!J19), 'e8.10'!J19 = 0), "", ('e8.1'!J24 - 'e8.2'!J24) / 'e8.10'!J19)</f>
        <v/>
      </c>
      <c r="K19" s="92" t="str">
        <f>IF(OR('e8.1'!K24="", ISBLANK('e8.1'!K24), 'e8.2'!K24="", ISBLANK('e8.2'!K24), 'e8.10'!K19="", ISBLANK('e8.10'!K19), 'e8.10'!K19 = 0), "", ('e8.1'!K24 - 'e8.2'!K24) / 'e8.10'!K19)</f>
        <v/>
      </c>
      <c r="L19" s="92" t="str">
        <f>IF(OR('e8.1'!L24="", ISBLANK('e8.1'!L24), 'e8.2'!L24="", ISBLANK('e8.2'!L24), 'e8.10'!L19="", ISBLANK('e8.10'!L19), 'e8.10'!L19 = 0), "", ('e8.1'!L24 - 'e8.2'!L24) / 'e8.10'!L19)</f>
        <v/>
      </c>
      <c r="M19" s="92" t="str">
        <f>IF(OR('e8.1'!M24="", ISBLANK('e8.1'!M24), 'e8.2'!M24="", ISBLANK('e8.2'!M24), 'e8.10'!M19="", ISBLANK('e8.10'!M19), 'e8.10'!M19 = 0), "", ('e8.1'!M24 - 'e8.2'!M24) / 'e8.10'!M19)</f>
        <v/>
      </c>
      <c r="N19" s="92" t="str">
        <f>IF(OR('e8.1'!N24="", ISBLANK('e8.1'!N24), 'e8.2'!N24="", ISBLANK('e8.2'!N24), 'e8.10'!N19="", ISBLANK('e8.10'!N19), 'e8.10'!N19 = 0), "", ('e8.1'!N24 - 'e8.2'!N24) / 'e8.10'!N19)</f>
        <v/>
      </c>
    </row>
    <row r="20" spans="1:14" ht="12.75" customHeight="1" x14ac:dyDescent="0.2">
      <c r="A20" s="3" t="str">
        <f>Intro!E37</f>
        <v>10/1/14-9/30/15</v>
      </c>
      <c r="C20" s="92">
        <f>IF(OR('e8.1'!C25="", ISBLANK('e8.1'!C25), 'e8.2'!C25="", ISBLANK('e8.2'!C25), 'e8.10'!C20="", ISBLANK('e8.10'!C20), 'e8.10'!C20 = 0), "", ('e8.1'!C25 - 'e8.2'!C25) / 'e8.10'!C20)</f>
        <v>23889.132400000053</v>
      </c>
      <c r="D20" s="92">
        <f>IF(OR('e8.1'!D25="", ISBLANK('e8.1'!D25), 'e8.2'!D25="", ISBLANK('e8.2'!D25), 'e8.10'!D20="", ISBLANK('e8.10'!D20), 'e8.10'!D20 = 0), "", ('e8.1'!D25 - 'e8.2'!D25) / 'e8.10'!D20)</f>
        <v>56426.63562500001</v>
      </c>
      <c r="E20" s="92">
        <f>IF(OR('e8.1'!E25="", ISBLANK('e8.1'!E25), 'e8.2'!E25="", ISBLANK('e8.2'!E25), 'e8.10'!E20="", ISBLANK('e8.10'!E20), 'e8.10'!E20 = 0), "", ('e8.1'!E25 - 'e8.2'!E25) / 'e8.10'!E20)</f>
        <v>55604.335555555612</v>
      </c>
      <c r="F20" s="92">
        <f>IF(OR('e8.1'!F25="", ISBLANK('e8.1'!F25), 'e8.2'!F25="", ISBLANK('e8.2'!F25), 'e8.10'!F20="", ISBLANK('e8.10'!F20), 'e8.10'!F20 = 0), "", ('e8.1'!F25 - 'e8.2'!F25) / 'e8.10'!F20)</f>
        <v>66050.818000000058</v>
      </c>
      <c r="G20" s="92">
        <f>IF(OR('e8.1'!G25="", ISBLANK('e8.1'!G25), 'e8.2'!G25="", ISBLANK('e8.2'!G25), 'e8.10'!G20="", ISBLANK('e8.10'!G20), 'e8.10'!G20 = 0), "", ('e8.1'!G25 - 'e8.2'!G25) / 'e8.10'!G20)</f>
        <v>69723.185000000172</v>
      </c>
      <c r="H20" s="92" t="str">
        <f>IF(OR('e8.1'!H25="", ISBLANK('e8.1'!H25), 'e8.2'!H25="", ISBLANK('e8.2'!H25), 'e8.10'!H20="", ISBLANK('e8.10'!H20), 'e8.10'!H20 = 0), "", ('e8.1'!H25 - 'e8.2'!H25) / 'e8.10'!H20)</f>
        <v/>
      </c>
      <c r="I20" s="92" t="str">
        <f>IF(OR('e8.1'!I25="", ISBLANK('e8.1'!I25), 'e8.2'!I25="", ISBLANK('e8.2'!I25), 'e8.10'!I20="", ISBLANK('e8.10'!I20), 'e8.10'!I20 = 0), "", ('e8.1'!I25 - 'e8.2'!I25) / 'e8.10'!I20)</f>
        <v/>
      </c>
      <c r="J20" s="92" t="str">
        <f>IF(OR('e8.1'!J25="", ISBLANK('e8.1'!J25), 'e8.2'!J25="", ISBLANK('e8.2'!J25), 'e8.10'!J20="", ISBLANK('e8.10'!J20), 'e8.10'!J20 = 0), "", ('e8.1'!J25 - 'e8.2'!J25) / 'e8.10'!J20)</f>
        <v/>
      </c>
      <c r="K20" s="92" t="str">
        <f>IF(OR('e8.1'!K25="", ISBLANK('e8.1'!K25), 'e8.2'!K25="", ISBLANK('e8.2'!K25), 'e8.10'!K20="", ISBLANK('e8.10'!K20), 'e8.10'!K20 = 0), "", ('e8.1'!K25 - 'e8.2'!K25) / 'e8.10'!K20)</f>
        <v/>
      </c>
      <c r="L20" s="92" t="str">
        <f>IF(OR('e8.1'!L25="", ISBLANK('e8.1'!L25), 'e8.2'!L25="", ISBLANK('e8.2'!L25), 'e8.10'!L20="", ISBLANK('e8.10'!L20), 'e8.10'!L20 = 0), "", ('e8.1'!L25 - 'e8.2'!L25) / 'e8.10'!L20)</f>
        <v/>
      </c>
      <c r="M20" s="92" t="str">
        <f>IF(OR('e8.1'!M25="", ISBLANK('e8.1'!M25), 'e8.2'!M25="", ISBLANK('e8.2'!M25), 'e8.10'!M20="", ISBLANK('e8.10'!M20), 'e8.10'!M20 = 0), "", ('e8.1'!M25 - 'e8.2'!M25) / 'e8.10'!M20)</f>
        <v/>
      </c>
      <c r="N20" s="92" t="str">
        <f>IF(OR('e8.1'!N25="", ISBLANK('e8.1'!N25), 'e8.2'!N25="", ISBLANK('e8.2'!N25), 'e8.10'!N20="", ISBLANK('e8.10'!N20), 'e8.10'!N20 = 0), "", ('e8.1'!N25 - 'e8.2'!N25) / 'e8.10'!N20)</f>
        <v/>
      </c>
    </row>
    <row r="21" spans="1:14" ht="12.75" customHeight="1" x14ac:dyDescent="0.2">
      <c r="A21" s="3" t="str">
        <f>Intro!E38</f>
        <v>10/1/15-9/30/16</v>
      </c>
      <c r="C21" s="92">
        <f>IF(OR('e8.1'!C26="", ISBLANK('e8.1'!C26), 'e8.2'!C26="", ISBLANK('e8.2'!C26), 'e8.10'!C21="", ISBLANK('e8.10'!C21), 'e8.10'!C21 = 0), "", ('e8.1'!C26 - 'e8.2'!C26) / 'e8.10'!C21)</f>
        <v>22852.889000000021</v>
      </c>
      <c r="D21" s="92">
        <f>IF(OR('e8.1'!D26="", ISBLANK('e8.1'!D26), 'e8.2'!D26="", ISBLANK('e8.2'!D26), 'e8.10'!D21="", ISBLANK('e8.10'!D21), 'e8.10'!D21 = 0), "", ('e8.1'!D26 - 'e8.2'!D26) / 'e8.10'!D21)</f>
        <v>20202.709090909095</v>
      </c>
      <c r="E21" s="92">
        <f>IF(OR('e8.1'!E26="", ISBLANK('e8.1'!E26), 'e8.2'!E26="", ISBLANK('e8.2'!E26), 'e8.10'!E21="", ISBLANK('e8.10'!E21), 'e8.10'!E21 = 0), "", ('e8.1'!E26 - 'e8.2'!E26) / 'e8.10'!E21)</f>
        <v>17999.157500000088</v>
      </c>
      <c r="F21" s="92">
        <f>IF(OR('e8.1'!F26="", ISBLANK('e8.1'!F26), 'e8.2'!F26="", ISBLANK('e8.2'!F26), 'e8.10'!F21="", ISBLANK('e8.10'!F21), 'e8.10'!F21 = 0), "", ('e8.1'!F26 - 'e8.2'!F26) / 'e8.10'!F21)</f>
        <v>19162.377142857229</v>
      </c>
      <c r="G21" s="92" t="str">
        <f>IF(OR('e8.1'!G26="", ISBLANK('e8.1'!G26), 'e8.2'!G26="", ISBLANK('e8.2'!G26), 'e8.10'!G21="", ISBLANK('e8.10'!G21), 'e8.10'!G21 = 0), "", ('e8.1'!G26 - 'e8.2'!G26) / 'e8.10'!G21)</f>
        <v/>
      </c>
      <c r="H21" s="92" t="str">
        <f>IF(OR('e8.1'!H26="", ISBLANK('e8.1'!H26), 'e8.2'!H26="", ISBLANK('e8.2'!H26), 'e8.10'!H21="", ISBLANK('e8.10'!H21), 'e8.10'!H21 = 0), "", ('e8.1'!H26 - 'e8.2'!H26) / 'e8.10'!H21)</f>
        <v/>
      </c>
      <c r="I21" s="92" t="str">
        <f>IF(OR('e8.1'!I26="", ISBLANK('e8.1'!I26), 'e8.2'!I26="", ISBLANK('e8.2'!I26), 'e8.10'!I21="", ISBLANK('e8.10'!I21), 'e8.10'!I21 = 0), "", ('e8.1'!I26 - 'e8.2'!I26) / 'e8.10'!I21)</f>
        <v/>
      </c>
      <c r="J21" s="92" t="str">
        <f>IF(OR('e8.1'!J26="", ISBLANK('e8.1'!J26), 'e8.2'!J26="", ISBLANK('e8.2'!J26), 'e8.10'!J21="", ISBLANK('e8.10'!J21), 'e8.10'!J21 = 0), "", ('e8.1'!J26 - 'e8.2'!J26) / 'e8.10'!J21)</f>
        <v/>
      </c>
      <c r="K21" s="92" t="str">
        <f>IF(OR('e8.1'!K26="", ISBLANK('e8.1'!K26), 'e8.2'!K26="", ISBLANK('e8.2'!K26), 'e8.10'!K21="", ISBLANK('e8.10'!K21), 'e8.10'!K21 = 0), "", ('e8.1'!K26 - 'e8.2'!K26) / 'e8.10'!K21)</f>
        <v/>
      </c>
      <c r="L21" s="92" t="str">
        <f>IF(OR('e8.1'!L26="", ISBLANK('e8.1'!L26), 'e8.2'!L26="", ISBLANK('e8.2'!L26), 'e8.10'!L21="", ISBLANK('e8.10'!L21), 'e8.10'!L21 = 0), "", ('e8.1'!L26 - 'e8.2'!L26) / 'e8.10'!L21)</f>
        <v/>
      </c>
      <c r="M21" s="92" t="str">
        <f>IF(OR('e8.1'!M26="", ISBLANK('e8.1'!M26), 'e8.2'!M26="", ISBLANK('e8.2'!M26), 'e8.10'!M21="", ISBLANK('e8.10'!M21), 'e8.10'!M21 = 0), "", ('e8.1'!M26 - 'e8.2'!M26) / 'e8.10'!M21)</f>
        <v/>
      </c>
      <c r="N21" s="92" t="str">
        <f>IF(OR('e8.1'!N26="", ISBLANK('e8.1'!N26), 'e8.2'!N26="", ISBLANK('e8.2'!N26), 'e8.10'!N21="", ISBLANK('e8.10'!N21), 'e8.10'!N21 = 0), "", ('e8.1'!N26 - 'e8.2'!N26) / 'e8.10'!N21)</f>
        <v/>
      </c>
    </row>
    <row r="22" spans="1:14" ht="12.75" customHeight="1" x14ac:dyDescent="0.2">
      <c r="A22" s="3" t="str">
        <f>Intro!E39</f>
        <v>10/1/16-9/30/17</v>
      </c>
      <c r="C22" s="92">
        <f>IF(OR('e8.1'!C27="", ISBLANK('e8.1'!C27), 'e8.2'!C27="", ISBLANK('e8.2'!C27), 'e8.10'!C22="", ISBLANK('e8.10'!C22), 'e8.10'!C22 = 0), "", ('e8.1'!C27 - 'e8.2'!C27) / 'e8.10'!C22)</f>
        <v>22916.085999999967</v>
      </c>
      <c r="D22" s="92">
        <f>IF(OR('e8.1'!D27="", ISBLANK('e8.1'!D27), 'e8.2'!D27="", ISBLANK('e8.2'!D27), 'e8.10'!D22="", ISBLANK('e8.10'!D22), 'e8.10'!D22 = 0), "", ('e8.1'!D27 - 'e8.2'!D27) / 'e8.10'!D22)</f>
        <v>23982.044000000064</v>
      </c>
      <c r="E22" s="92">
        <f>IF(OR('e8.1'!E27="", ISBLANK('e8.1'!E27), 'e8.2'!E27="", ISBLANK('e8.2'!E27), 'e8.10'!E22="", ISBLANK('e8.10'!E22), 'e8.10'!E22 = 0), "", ('e8.1'!E27 - 'e8.2'!E27) / 'e8.10'!E22)</f>
        <v>54561.834999999963</v>
      </c>
      <c r="F22" s="92" t="str">
        <f>IF(OR('e8.1'!F27="", ISBLANK('e8.1'!F27), 'e8.2'!F27="", ISBLANK('e8.2'!F27), 'e8.10'!F22="", ISBLANK('e8.10'!F22), 'e8.10'!F22 = 0), "", ('e8.1'!F27 - 'e8.2'!F27) / 'e8.10'!F22)</f>
        <v/>
      </c>
      <c r="G22" s="92" t="str">
        <f>IF(OR('e8.1'!G27="", ISBLANK('e8.1'!G27), 'e8.2'!G27="", ISBLANK('e8.2'!G27), 'e8.10'!G22="", ISBLANK('e8.10'!G22), 'e8.10'!G22 = 0), "", ('e8.1'!G27 - 'e8.2'!G27) / 'e8.10'!G22)</f>
        <v/>
      </c>
      <c r="H22" s="92" t="str">
        <f>IF(OR('e8.1'!H27="", ISBLANK('e8.1'!H27), 'e8.2'!H27="", ISBLANK('e8.2'!H27), 'e8.10'!H22="", ISBLANK('e8.10'!H22), 'e8.10'!H22 = 0), "", ('e8.1'!H27 - 'e8.2'!H27) / 'e8.10'!H22)</f>
        <v/>
      </c>
      <c r="I22" s="92" t="str">
        <f>IF(OR('e8.1'!I27="", ISBLANK('e8.1'!I27), 'e8.2'!I27="", ISBLANK('e8.2'!I27), 'e8.10'!I22="", ISBLANK('e8.10'!I22), 'e8.10'!I22 = 0), "", ('e8.1'!I27 - 'e8.2'!I27) / 'e8.10'!I22)</f>
        <v/>
      </c>
      <c r="J22" s="92" t="str">
        <f>IF(OR('e8.1'!J27="", ISBLANK('e8.1'!J27), 'e8.2'!J27="", ISBLANK('e8.2'!J27), 'e8.10'!J22="", ISBLANK('e8.10'!J22), 'e8.10'!J22 = 0), "", ('e8.1'!J27 - 'e8.2'!J27) / 'e8.10'!J22)</f>
        <v/>
      </c>
      <c r="K22" s="92" t="str">
        <f>IF(OR('e8.1'!K27="", ISBLANK('e8.1'!K27), 'e8.2'!K27="", ISBLANK('e8.2'!K27), 'e8.10'!K22="", ISBLANK('e8.10'!K22), 'e8.10'!K22 = 0), "", ('e8.1'!K27 - 'e8.2'!K27) / 'e8.10'!K22)</f>
        <v/>
      </c>
      <c r="L22" s="92" t="str">
        <f>IF(OR('e8.1'!L27="", ISBLANK('e8.1'!L27), 'e8.2'!L27="", ISBLANK('e8.2'!L27), 'e8.10'!L22="", ISBLANK('e8.10'!L22), 'e8.10'!L22 = 0), "", ('e8.1'!L27 - 'e8.2'!L27) / 'e8.10'!L22)</f>
        <v/>
      </c>
      <c r="M22" s="92" t="str">
        <f>IF(OR('e8.1'!M27="", ISBLANK('e8.1'!M27), 'e8.2'!M27="", ISBLANK('e8.2'!M27), 'e8.10'!M22="", ISBLANK('e8.10'!M22), 'e8.10'!M22 = 0), "", ('e8.1'!M27 - 'e8.2'!M27) / 'e8.10'!M22)</f>
        <v/>
      </c>
      <c r="N22" s="92" t="str">
        <f>IF(OR('e8.1'!N27="", ISBLANK('e8.1'!N27), 'e8.2'!N27="", ISBLANK('e8.2'!N27), 'e8.10'!N22="", ISBLANK('e8.10'!N22), 'e8.10'!N22 = 0), "", ('e8.1'!N27 - 'e8.2'!N27) / 'e8.10'!N22)</f>
        <v/>
      </c>
    </row>
    <row r="23" spans="1:14" ht="12.75" customHeight="1" x14ac:dyDescent="0.2">
      <c r="A23" s="3" t="str">
        <f>Intro!E40</f>
        <v>10/1/17-9/30/18</v>
      </c>
      <c r="C23" s="92">
        <f>IF(OR('e8.1'!C28="", ISBLANK('e8.1'!C28), 'e8.2'!C28="", ISBLANK('e8.2'!C28), 'e8.10'!C23="", ISBLANK('e8.10'!C23), 'e8.10'!C23 = 0), "", ('e8.1'!C28 - 'e8.2'!C28) / 'e8.10'!C23)</f>
        <v>32299.639411764823</v>
      </c>
      <c r="D23" s="92">
        <f>IF(OR('e8.1'!D28="", ISBLANK('e8.1'!D28), 'e8.2'!D28="", ISBLANK('e8.2'!D28), 'e8.10'!D23="", ISBLANK('e8.10'!D23), 'e8.10'!D23 = 0), "", ('e8.1'!D28 - 'e8.2'!D28) / 'e8.10'!D23)</f>
        <v>41955.963684210648</v>
      </c>
      <c r="E23" s="92" t="str">
        <f>IF(OR('e8.1'!E28="", ISBLANK('e8.1'!E28), 'e8.2'!E28="", ISBLANK('e8.2'!E28), 'e8.10'!E23="", ISBLANK('e8.10'!E23), 'e8.10'!E23 = 0), "", ('e8.1'!E28 - 'e8.2'!E28) / 'e8.10'!E23)</f>
        <v/>
      </c>
      <c r="F23" s="92" t="str">
        <f>IF(OR('e8.1'!F28="", ISBLANK('e8.1'!F28), 'e8.2'!F28="", ISBLANK('e8.2'!F28), 'e8.10'!F23="", ISBLANK('e8.10'!F23), 'e8.10'!F23 = 0), "", ('e8.1'!F28 - 'e8.2'!F28) / 'e8.10'!F23)</f>
        <v/>
      </c>
      <c r="G23" s="92" t="str">
        <f>IF(OR('e8.1'!G28="", ISBLANK('e8.1'!G28), 'e8.2'!G28="", ISBLANK('e8.2'!G28), 'e8.10'!G23="", ISBLANK('e8.10'!G23), 'e8.10'!G23 = 0), "", ('e8.1'!G28 - 'e8.2'!G28) / 'e8.10'!G23)</f>
        <v/>
      </c>
      <c r="H23" s="92" t="str">
        <f>IF(OR('e8.1'!H28="", ISBLANK('e8.1'!H28), 'e8.2'!H28="", ISBLANK('e8.2'!H28), 'e8.10'!H23="", ISBLANK('e8.10'!H23), 'e8.10'!H23 = 0), "", ('e8.1'!H28 - 'e8.2'!H28) / 'e8.10'!H23)</f>
        <v/>
      </c>
      <c r="I23" s="92" t="str">
        <f>IF(OR('e8.1'!I28="", ISBLANK('e8.1'!I28), 'e8.2'!I28="", ISBLANK('e8.2'!I28), 'e8.10'!I23="", ISBLANK('e8.10'!I23), 'e8.10'!I23 = 0), "", ('e8.1'!I28 - 'e8.2'!I28) / 'e8.10'!I23)</f>
        <v/>
      </c>
      <c r="J23" s="92" t="str">
        <f>IF(OR('e8.1'!J28="", ISBLANK('e8.1'!J28), 'e8.2'!J28="", ISBLANK('e8.2'!J28), 'e8.10'!J23="", ISBLANK('e8.10'!J23), 'e8.10'!J23 = 0), "", ('e8.1'!J28 - 'e8.2'!J28) / 'e8.10'!J23)</f>
        <v/>
      </c>
      <c r="K23" s="92" t="str">
        <f>IF(OR('e8.1'!K28="", ISBLANK('e8.1'!K28), 'e8.2'!K28="", ISBLANK('e8.2'!K28), 'e8.10'!K23="", ISBLANK('e8.10'!K23), 'e8.10'!K23 = 0), "", ('e8.1'!K28 - 'e8.2'!K28) / 'e8.10'!K23)</f>
        <v/>
      </c>
      <c r="L23" s="92" t="str">
        <f>IF(OR('e8.1'!L28="", ISBLANK('e8.1'!L28), 'e8.2'!L28="", ISBLANK('e8.2'!L28), 'e8.10'!L23="", ISBLANK('e8.10'!L23), 'e8.10'!L23 = 0), "", ('e8.1'!L28 - 'e8.2'!L28) / 'e8.10'!L23)</f>
        <v/>
      </c>
      <c r="M23" s="92" t="str">
        <f>IF(OR('e8.1'!M28="", ISBLANK('e8.1'!M28), 'e8.2'!M28="", ISBLANK('e8.2'!M28), 'e8.10'!M23="", ISBLANK('e8.10'!M23), 'e8.10'!M23 = 0), "", ('e8.1'!M28 - 'e8.2'!M28) / 'e8.10'!M23)</f>
        <v/>
      </c>
      <c r="N23" s="92" t="str">
        <f>IF(OR('e8.1'!N28="", ISBLANK('e8.1'!N28), 'e8.2'!N28="", ISBLANK('e8.2'!N28), 'e8.10'!N23="", ISBLANK('e8.10'!N23), 'e8.10'!N23 = 0), "", ('e8.1'!N28 - 'e8.2'!N28) / 'e8.10'!N23)</f>
        <v/>
      </c>
    </row>
    <row r="24" spans="1:14" ht="12.75" customHeight="1" x14ac:dyDescent="0.2">
      <c r="A24" s="3" t="str">
        <f>Intro!E41</f>
        <v>10/1/18-9/30/19</v>
      </c>
      <c r="C24" s="92">
        <f>IF(OR('e8.1'!C29="", ISBLANK('e8.1'!C29), 'e8.2'!C29="", ISBLANK('e8.2'!C29), 'e8.10'!C24="", ISBLANK('e8.10'!C24), 'e8.10'!C24 = 0), "", ('e8.1'!C29 - 'e8.2'!C29) / 'e8.10'!C24)</f>
        <v>21416.730666666688</v>
      </c>
      <c r="D24" s="92" t="str">
        <f>IF(OR('e8.1'!D29="", ISBLANK('e8.1'!D29), 'e8.2'!D29="", ISBLANK('e8.2'!D29), 'e8.10'!D24="", ISBLANK('e8.10'!D24), 'e8.10'!D24 = 0), "", ('e8.1'!D29 - 'e8.2'!D29) / 'e8.10'!D24)</f>
        <v/>
      </c>
      <c r="E24" s="92" t="str">
        <f>IF(OR('e8.1'!E29="", ISBLANK('e8.1'!E29), 'e8.2'!E29="", ISBLANK('e8.2'!E29), 'e8.10'!E24="", ISBLANK('e8.10'!E24), 'e8.10'!E24 = 0), "", ('e8.1'!E29 - 'e8.2'!E29) / 'e8.10'!E24)</f>
        <v/>
      </c>
      <c r="F24" s="92" t="str">
        <f>IF(OR('e8.1'!F29="", ISBLANK('e8.1'!F29), 'e8.2'!F29="", ISBLANK('e8.2'!F29), 'e8.10'!F24="", ISBLANK('e8.10'!F24), 'e8.10'!F24 = 0), "", ('e8.1'!F29 - 'e8.2'!F29) / 'e8.10'!F24)</f>
        <v/>
      </c>
      <c r="G24" s="92" t="str">
        <f>IF(OR('e8.1'!G29="", ISBLANK('e8.1'!G29), 'e8.2'!G29="", ISBLANK('e8.2'!G29), 'e8.10'!G24="", ISBLANK('e8.10'!G24), 'e8.10'!G24 = 0), "", ('e8.1'!G29 - 'e8.2'!G29) / 'e8.10'!G24)</f>
        <v/>
      </c>
      <c r="H24" s="92" t="str">
        <f>IF(OR('e8.1'!H29="", ISBLANK('e8.1'!H29), 'e8.2'!H29="", ISBLANK('e8.2'!H29), 'e8.10'!H24="", ISBLANK('e8.10'!H24), 'e8.10'!H24 = 0), "", ('e8.1'!H29 - 'e8.2'!H29) / 'e8.10'!H24)</f>
        <v/>
      </c>
      <c r="I24" s="92" t="str">
        <f>IF(OR('e8.1'!I29="", ISBLANK('e8.1'!I29), 'e8.2'!I29="", ISBLANK('e8.2'!I29), 'e8.10'!I24="", ISBLANK('e8.10'!I24), 'e8.10'!I24 = 0), "", ('e8.1'!I29 - 'e8.2'!I29) / 'e8.10'!I24)</f>
        <v/>
      </c>
      <c r="J24" s="92" t="str">
        <f>IF(OR('e8.1'!J29="", ISBLANK('e8.1'!J29), 'e8.2'!J29="", ISBLANK('e8.2'!J29), 'e8.10'!J24="", ISBLANK('e8.10'!J24), 'e8.10'!J24 = 0), "", ('e8.1'!J29 - 'e8.2'!J29) / 'e8.10'!J24)</f>
        <v/>
      </c>
      <c r="K24" s="92" t="str">
        <f>IF(OR('e8.1'!K29="", ISBLANK('e8.1'!K29), 'e8.2'!K29="", ISBLANK('e8.2'!K29), 'e8.10'!K24="", ISBLANK('e8.10'!K24), 'e8.10'!K24 = 0), "", ('e8.1'!K29 - 'e8.2'!K29) / 'e8.10'!K24)</f>
        <v/>
      </c>
      <c r="L24" s="92" t="str">
        <f>IF(OR('e8.1'!L29="", ISBLANK('e8.1'!L29), 'e8.2'!L29="", ISBLANK('e8.2'!L29), 'e8.10'!L24="", ISBLANK('e8.10'!L24), 'e8.10'!L24 = 0), "", ('e8.1'!L29 - 'e8.2'!L29) / 'e8.10'!L24)</f>
        <v/>
      </c>
      <c r="M24" s="92" t="str">
        <f>IF(OR('e8.1'!M29="", ISBLANK('e8.1'!M29), 'e8.2'!M29="", ISBLANK('e8.2'!M29), 'e8.10'!M24="", ISBLANK('e8.10'!M24), 'e8.10'!M24 = 0), "", ('e8.1'!M29 - 'e8.2'!M29) / 'e8.10'!M24)</f>
        <v/>
      </c>
      <c r="N24" s="92" t="str">
        <f>IF(OR('e8.1'!N29="", ISBLANK('e8.1'!N29), 'e8.2'!N29="", ISBLANK('e8.2'!N29), 'e8.10'!N24="", ISBLANK('e8.10'!N24), 'e8.10'!N24 = 0), "", ('e8.1'!N29 - 'e8.2'!N29) / 'e8.10'!N24)</f>
        <v/>
      </c>
    </row>
    <row r="25" spans="1:14" x14ac:dyDescent="0.2">
      <c r="A25" s="3"/>
    </row>
    <row r="27" spans="1:14" x14ac:dyDescent="0.2">
      <c r="A27" s="106" t="str">
        <f>"The "&amp;A23&amp;" diagonal is valued as of "&amp;ptxt_l&amp;"."</f>
        <v>The 10/1/17-9/30/18 diagonal is valued as of October 31, 2018.</v>
      </c>
    </row>
    <row r="28" spans="1:14" x14ac:dyDescent="0.2">
      <c r="A28" s="106" t="str">
        <f>"The last diagonal is valued as of "&amp;ctxt_l&amp;" (i.e. ages 7, 19, etc.)."</f>
        <v>The last diagonal is valued as of April 30, 2019 (i.e. ages 7, 19, etc.).</v>
      </c>
    </row>
  </sheetData>
  <printOptions horizontalCentered="1"/>
  <pageMargins left="0.7" right="0.7" top="0.75" bottom="0.75" header="0.3" footer="0.3"/>
  <pageSetup scale="93" orientation="landscape" blackAndWhite="1" r:id="rId1"/>
  <headerFooter>
    <oddHeader xml:space="preserve">&amp;L&amp;"Arial"&amp;10  
  &amp;R&amp;"Arial"&amp;10  Exhibit 8
Sheet 11
</oddHeader>
    <oddFooter xml:space="preserve">&amp;L&amp;"Arial"&amp;10 Oliver Wyman Actuarial Consulting, Inc.
&amp;C&amp;"Arial"&amp;10 &amp;R&amp;"Arial"&amp;10 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3">
    <tabColor theme="7" tint="0.79998168889431442"/>
    <pageSetUpPr fitToPage="1"/>
  </sheetPr>
  <dimension ref="A1:N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4" x14ac:dyDescent="0.2">
      <c r="A1" s="1" t="str">
        <f>[1]!getlabels()</f>
        <v>Exhibit 9, Sheet 1</v>
      </c>
      <c r="E1" s="114"/>
    </row>
    <row r="2" spans="1:14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4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4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4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4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4" x14ac:dyDescent="0.2">
      <c r="A8" s="81" t="str">
        <f>VLOOKUP($A$1, index_lkups, 3, FALSE)</f>
        <v>Loss &amp; ALAE Limited to $250,000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4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  <c r="N11" s="3" t="str">
        <f>TEXT(disc_rate, "0.0%")</f>
        <v>3.0%</v>
      </c>
    </row>
    <row r="12" spans="1:14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4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4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4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4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[1]!ldfsir(ldfs, ldf_ages, ldf_type, ldf_ret, $A19, "Paid", 250000, cutoff, 3)</f>
        <v>0.20203441931160226</v>
      </c>
      <c r="D19" s="156"/>
      <c r="E19" s="156">
        <f ca="1">C19</f>
        <v>0.20203441931160226</v>
      </c>
      <c r="F19" s="156"/>
      <c r="G19" s="156">
        <f ca="1">SUM(E19:E$43)</f>
        <v>1</v>
      </c>
      <c r="H19" s="156"/>
      <c r="I19" s="157">
        <f ca="1">E19/((1+$E$11)^((A19-(A19/2))/12))</f>
        <v>0.19907042854464319</v>
      </c>
      <c r="J19" s="158"/>
      <c r="K19" s="158">
        <f ca="1">SUM(I19:I$42)</f>
        <v>0.91786430809385333</v>
      </c>
      <c r="L19" s="158"/>
      <c r="M19" s="159">
        <f ca="1">((1+$E$11)^((A18)/12))*K19/G19</f>
        <v>0.91786430809385333</v>
      </c>
    </row>
    <row r="20" spans="1:13" x14ac:dyDescent="0.2">
      <c r="A20" s="155">
        <f t="shared" ref="A20:A42" si="0">A19+12</f>
        <v>24</v>
      </c>
      <c r="B20" s="150"/>
      <c r="C20" s="156">
        <f ca="1">1 / [1]!ldfsir(ldfs, ldf_ages, ldf_type, ldf_ret, $A20, "Paid", 250000, cutoff, 3)</f>
        <v>0.54549293214132655</v>
      </c>
      <c r="D20" s="156"/>
      <c r="E20" s="156">
        <f t="shared" ref="E20:E41" ca="1" si="1">C20-C19</f>
        <v>0.34345851282972428</v>
      </c>
      <c r="F20" s="156"/>
      <c r="G20" s="156">
        <f ca="1">SUM(E20:E$43)</f>
        <v>0.79796558068839774</v>
      </c>
      <c r="H20" s="156"/>
      <c r="I20" s="158">
        <f ca="1">E20/((1+$E$11)^((A20-6)/12))</f>
        <v>0.32856284322902313</v>
      </c>
      <c r="J20" s="158"/>
      <c r="K20" s="158">
        <f ca="1">SUM(I20:I$42)</f>
        <v>0.71879387954921026</v>
      </c>
      <c r="L20" s="158"/>
      <c r="M20" s="159">
        <f ca="1">((1+$E$11)^((A19)/12))*K20/G20</f>
        <v>0.92780655438419612</v>
      </c>
    </row>
    <row r="21" spans="1:13" x14ac:dyDescent="0.2">
      <c r="A21" s="155">
        <f t="shared" si="0"/>
        <v>36</v>
      </c>
      <c r="B21" s="150"/>
      <c r="C21" s="156">
        <f ca="1">1 / [1]!ldfsir(ldfs, ldf_ages, ldf_type, ldf_ret, $A21, "Paid", 250000, cutoff, 3)</f>
        <v>0.72526543664163778</v>
      </c>
      <c r="D21" s="156"/>
      <c r="E21" s="156">
        <f t="shared" ca="1" si="1"/>
        <v>0.17977250450031124</v>
      </c>
      <c r="F21" s="156"/>
      <c r="G21" s="156">
        <f ca="1">SUM(E21:E$43)</f>
        <v>0.45450706785867345</v>
      </c>
      <c r="H21" s="156"/>
      <c r="I21" s="158">
        <f t="shared" ref="I21:I42" ca="1" si="2">E21/((1+$E$11)^((A21-6)/12))</f>
        <v>0.16696683202288509</v>
      </c>
      <c r="J21" s="158"/>
      <c r="K21" s="158">
        <f ca="1">SUM(I21:I$42)</f>
        <v>0.39023103632018702</v>
      </c>
      <c r="L21" s="158"/>
      <c r="M21" s="159">
        <f t="shared" ref="M21:M42" ca="1" si="3">((1+$E$11)^((A20)/12))*K21/G21</f>
        <v>0.91086835763094509</v>
      </c>
    </row>
    <row r="22" spans="1:13" x14ac:dyDescent="0.2">
      <c r="A22" s="155">
        <f t="shared" si="0"/>
        <v>48</v>
      </c>
      <c r="B22" s="150"/>
      <c r="C22" s="156">
        <f ca="1">1 / [1]!ldfsir(ldfs, ldf_ages, ldf_type, ldf_ret, $A22, "Paid", 250000, cutoff, 3)</f>
        <v>0.79954495395834935</v>
      </c>
      <c r="D22" s="156"/>
      <c r="E22" s="156">
        <f t="shared" ca="1" si="1"/>
        <v>7.4279517316711563E-2</v>
      </c>
      <c r="F22" s="156"/>
      <c r="G22" s="156">
        <f ca="1">SUM(E22:E$43)</f>
        <v>0.27473456335836222</v>
      </c>
      <c r="H22" s="156"/>
      <c r="I22" s="158">
        <f t="shared" ca="1" si="2"/>
        <v>6.6979019627104952E-2</v>
      </c>
      <c r="J22" s="158"/>
      <c r="K22" s="158">
        <f ca="1">SUM(I22:I$42)</f>
        <v>0.22326420429730207</v>
      </c>
      <c r="L22" s="158"/>
      <c r="M22" s="159">
        <f t="shared" ca="1" si="3"/>
        <v>0.88800921582971359</v>
      </c>
    </row>
    <row r="23" spans="1:13" x14ac:dyDescent="0.2">
      <c r="A23" s="155">
        <f t="shared" si="0"/>
        <v>60</v>
      </c>
      <c r="B23" s="150"/>
      <c r="C23" s="156">
        <f ca="1">1 / [1]!ldfsir(ldfs, ldf_ages, ldf_type, ldf_ret, $A23, "Paid", 250000, cutoff, 3)</f>
        <v>0.84994121087661434</v>
      </c>
      <c r="D23" s="156"/>
      <c r="E23" s="156">
        <f t="shared" ca="1" si="1"/>
        <v>5.0396256918264992E-2</v>
      </c>
      <c r="F23" s="156"/>
      <c r="G23" s="156">
        <f ca="1">SUM(E23:E$43)</f>
        <v>0.20045504604165065</v>
      </c>
      <c r="H23" s="156"/>
      <c r="I23" s="158">
        <f t="shared" ca="1" si="2"/>
        <v>4.4119519110166983E-2</v>
      </c>
      <c r="J23" s="158"/>
      <c r="K23" s="158">
        <f ca="1">SUM(I23:I$42)</f>
        <v>0.15628518467019711</v>
      </c>
      <c r="L23" s="158"/>
      <c r="M23" s="159">
        <f t="shared" ca="1" si="3"/>
        <v>0.87750523467608355</v>
      </c>
    </row>
    <row r="24" spans="1:13" x14ac:dyDescent="0.2">
      <c r="A24" s="155">
        <f t="shared" si="0"/>
        <v>72</v>
      </c>
      <c r="B24" s="150"/>
      <c r="C24" s="156">
        <f ca="1">1 / [1]!ldfsir(ldfs, ldf_ages, ldf_type, ldf_ret, $A24, "Paid", 250000, cutoff, 3)</f>
        <v>0.87968915325729546</v>
      </c>
      <c r="D24" s="156"/>
      <c r="E24" s="156">
        <f t="shared" ca="1" si="1"/>
        <v>2.9747942380681125E-2</v>
      </c>
      <c r="F24" s="156"/>
      <c r="G24" s="156">
        <f ca="1">SUM(E24:E$43)</f>
        <v>0.15005878912338566</v>
      </c>
      <c r="H24" s="156"/>
      <c r="I24" s="158">
        <f t="shared" ca="1" si="2"/>
        <v>2.5284373421814485E-2</v>
      </c>
      <c r="J24" s="158"/>
      <c r="K24" s="158">
        <f ca="1">SUM(I24:I$42)</f>
        <v>0.11216566556003013</v>
      </c>
      <c r="L24" s="158"/>
      <c r="M24" s="159">
        <f t="shared" ca="1" si="3"/>
        <v>0.86653203634363385</v>
      </c>
    </row>
    <row r="25" spans="1:13" x14ac:dyDescent="0.2">
      <c r="A25" s="155">
        <f t="shared" si="0"/>
        <v>84</v>
      </c>
      <c r="B25" s="150"/>
      <c r="C25" s="156">
        <f ca="1">1 / [1]!ldfsir(ldfs, ldf_ages, ldf_type, ldf_ret, $A25, "Paid", 250000, cutoff, 3)</f>
        <v>0.90370376897344751</v>
      </c>
      <c r="D25" s="156"/>
      <c r="E25" s="156">
        <f t="shared" ca="1" si="1"/>
        <v>2.4014615716152043E-2</v>
      </c>
      <c r="F25" s="156"/>
      <c r="G25" s="156">
        <f ca="1">SUM(E25:E$43)</f>
        <v>0.12031084674270454</v>
      </c>
      <c r="H25" s="156"/>
      <c r="I25" s="158">
        <f t="shared" ca="1" si="2"/>
        <v>1.9816807050891418E-2</v>
      </c>
      <c r="J25" s="158"/>
      <c r="K25" s="158">
        <f ca="1">SUM(I25:I$42)</f>
        <v>8.6881292138215632E-2</v>
      </c>
      <c r="L25" s="158"/>
      <c r="M25" s="159">
        <f t="shared" ca="1" si="3"/>
        <v>0.86227309682976705</v>
      </c>
    </row>
    <row r="26" spans="1:13" x14ac:dyDescent="0.2">
      <c r="A26" s="155">
        <f t="shared" si="0"/>
        <v>96</v>
      </c>
      <c r="B26" s="150"/>
      <c r="C26" s="156">
        <f ca="1">1 / [1]!ldfsir(ldfs, ldf_ages, ldf_type, ldf_ret, $A26, "Paid", 250000, cutoff, 3)</f>
        <v>0.919331265182597</v>
      </c>
      <c r="D26" s="156"/>
      <c r="E26" s="156">
        <f t="shared" ca="1" si="1"/>
        <v>1.5627496209149494E-2</v>
      </c>
      <c r="F26" s="156"/>
      <c r="G26" s="156">
        <f ca="1">SUM(E26:E$43)</f>
        <v>9.6296231026552492E-2</v>
      </c>
      <c r="H26" s="156"/>
      <c r="I26" s="158">
        <f t="shared" ca="1" si="2"/>
        <v>1.252016974436403E-2</v>
      </c>
      <c r="J26" s="158"/>
      <c r="K26" s="158">
        <f ca="1">SUM(I26:I$42)</f>
        <v>6.706448508732421E-2</v>
      </c>
      <c r="L26" s="158"/>
      <c r="M26" s="159">
        <f t="shared" ca="1" si="3"/>
        <v>0.85653256236303676</v>
      </c>
    </row>
    <row r="27" spans="1:13" x14ac:dyDescent="0.2">
      <c r="A27" s="155">
        <f t="shared" si="0"/>
        <v>108</v>
      </c>
      <c r="B27" s="150"/>
      <c r="C27" s="156">
        <f ca="1">1 / [1]!ldfsir(ldfs, ldf_ages, ldf_type, ldf_ret, $A27, "Paid", 250000, cutoff, 3)</f>
        <v>0.93180245740675194</v>
      </c>
      <c r="D27" s="156"/>
      <c r="E27" s="156">
        <f t="shared" ca="1" si="1"/>
        <v>1.2471192224154937E-2</v>
      </c>
      <c r="F27" s="156"/>
      <c r="G27" s="156">
        <f ca="1">SUM(E27:E$43)</f>
        <v>8.0668734817402998E-2</v>
      </c>
      <c r="H27" s="156"/>
      <c r="I27" s="158">
        <f t="shared" ca="1" si="2"/>
        <v>9.7004428922210055E-3</v>
      </c>
      <c r="J27" s="158"/>
      <c r="K27" s="158">
        <f ca="1">SUM(I27:I$42)</f>
        <v>5.4544315342960198E-2</v>
      </c>
      <c r="L27" s="158"/>
      <c r="M27" s="159">
        <f t="shared" ca="1" si="3"/>
        <v>0.85652895068495993</v>
      </c>
    </row>
    <row r="28" spans="1:13" x14ac:dyDescent="0.2">
      <c r="A28" s="155">
        <f t="shared" si="0"/>
        <v>120</v>
      </c>
      <c r="B28" s="150"/>
      <c r="C28" s="156">
        <f ca="1">1 / [1]!ldfsir(ldfs, ldf_ages, ldf_type, ldf_ret, $A28, "Paid", 250000, cutoff, 3)</f>
        <v>0.94183937585263144</v>
      </c>
      <c r="D28" s="156"/>
      <c r="E28" s="156">
        <f t="shared" ca="1" si="1"/>
        <v>1.0036918445879506E-2</v>
      </c>
      <c r="F28" s="156"/>
      <c r="G28" s="156">
        <f ca="1">SUM(E28:E$43)</f>
        <v>6.8197542593248062E-2</v>
      </c>
      <c r="H28" s="156"/>
      <c r="I28" s="158">
        <f t="shared" ca="1" si="2"/>
        <v>7.5796082643637382E-3</v>
      </c>
      <c r="J28" s="158"/>
      <c r="K28" s="158">
        <f ca="1">SUM(I28:I$42)</f>
        <v>4.4843872450739189E-2</v>
      </c>
      <c r="L28" s="158"/>
      <c r="M28" s="159">
        <f t="shared" ca="1" si="3"/>
        <v>0.85796467156833356</v>
      </c>
    </row>
    <row r="29" spans="1:13" x14ac:dyDescent="0.2">
      <c r="A29" s="155">
        <f t="shared" si="0"/>
        <v>132</v>
      </c>
      <c r="B29" s="150"/>
      <c r="C29" s="156">
        <f ca="1">1 / [1]!ldfsir(ldfs, ldf_ages, ldf_type, ldf_ret, $A29, "Paid", 250000, cutoff, 3)</f>
        <v>0.95053466760318739</v>
      </c>
      <c r="D29" s="156"/>
      <c r="E29" s="156">
        <f t="shared" ca="1" si="1"/>
        <v>8.6952917505559446E-3</v>
      </c>
      <c r="F29" s="156"/>
      <c r="G29" s="156">
        <f ca="1">SUM(E29:E$43)</f>
        <v>5.8160624147368556E-2</v>
      </c>
      <c r="H29" s="156"/>
      <c r="I29" s="158">
        <f t="shared" ca="1" si="2"/>
        <v>6.3751924417980296E-3</v>
      </c>
      <c r="J29" s="158"/>
      <c r="K29" s="158">
        <f ca="1">SUM(I29:I$42)</f>
        <v>3.7264264186375455E-2</v>
      </c>
      <c r="L29" s="158"/>
      <c r="M29" s="159">
        <f t="shared" ca="1" si="3"/>
        <v>0.86106460751491731</v>
      </c>
    </row>
    <row r="30" spans="1:13" x14ac:dyDescent="0.2">
      <c r="A30" s="155">
        <f t="shared" si="0"/>
        <v>144</v>
      </c>
      <c r="B30" s="150"/>
      <c r="C30" s="156">
        <f ca="1">1 / [1]!ldfsir(ldfs, ldf_ages, ldf_type, ldf_ret, $A30, "Paid", 250000, cutoff, 3)</f>
        <v>0.95786231892142804</v>
      </c>
      <c r="D30" s="156"/>
      <c r="E30" s="156">
        <f t="shared" ca="1" si="1"/>
        <v>7.3276513182406466E-3</v>
      </c>
      <c r="F30" s="156"/>
      <c r="G30" s="156">
        <f ca="1">SUM(E30:E$43)</f>
        <v>4.9465332396812611E-2</v>
      </c>
      <c r="H30" s="156"/>
      <c r="I30" s="158">
        <f t="shared" ca="1" si="2"/>
        <v>5.2159895352531611E-3</v>
      </c>
      <c r="J30" s="158"/>
      <c r="K30" s="158">
        <f ca="1">SUM(I30:I$42)</f>
        <v>3.0889071744577418E-2</v>
      </c>
      <c r="L30" s="158"/>
      <c r="M30" s="159">
        <f t="shared" ca="1" si="3"/>
        <v>0.86439729144196886</v>
      </c>
    </row>
    <row r="31" spans="1:13" x14ac:dyDescent="0.2">
      <c r="A31" s="155">
        <f t="shared" si="0"/>
        <v>156</v>
      </c>
      <c r="B31" s="150"/>
      <c r="C31" s="156">
        <f ca="1">1 / [1]!ldfsir(ldfs, ldf_ages, ldf_type, ldf_ret, $A31, "Paid", 250000, cutoff, 3)</f>
        <v>0.96436530979436663</v>
      </c>
      <c r="D31" s="156"/>
      <c r="E31" s="156">
        <f t="shared" ca="1" si="1"/>
        <v>6.5029908729385966E-3</v>
      </c>
      <c r="F31" s="156"/>
      <c r="G31" s="156">
        <f ca="1">SUM(E31:E$43)</f>
        <v>4.2137681078571965E-2</v>
      </c>
      <c r="H31" s="156"/>
      <c r="I31" s="158">
        <f t="shared" ca="1" si="2"/>
        <v>4.4941528147228989E-3</v>
      </c>
      <c r="J31" s="158"/>
      <c r="K31" s="158">
        <f ca="1">SUM(I31:I$42)</f>
        <v>2.5673082209324256E-2</v>
      </c>
      <c r="L31" s="158"/>
      <c r="M31" s="159">
        <f t="shared" ca="1" si="3"/>
        <v>0.86866850576300125</v>
      </c>
    </row>
    <row r="32" spans="1:13" x14ac:dyDescent="0.2">
      <c r="A32" s="155">
        <f t="shared" si="0"/>
        <v>168</v>
      </c>
      <c r="B32" s="150"/>
      <c r="C32" s="156">
        <f ca="1">1 / [1]!ldfsir(ldfs, ldf_ages, ldf_type, ldf_ret, $A32, "Paid", 250000, cutoff, 3)</f>
        <v>0.97019206302058303</v>
      </c>
      <c r="D32" s="156"/>
      <c r="E32" s="156">
        <f t="shared" ca="1" si="1"/>
        <v>5.8267532262163968E-3</v>
      </c>
      <c r="F32" s="156"/>
      <c r="G32" s="156">
        <f ca="1">SUM(E32:E$43)</f>
        <v>3.5634690205633368E-2</v>
      </c>
      <c r="H32" s="156"/>
      <c r="I32" s="158">
        <f t="shared" ca="1" si="2"/>
        <v>3.9095258745781777E-3</v>
      </c>
      <c r="J32" s="158"/>
      <c r="K32" s="158">
        <f ca="1">SUM(I32:I$42)</f>
        <v>2.1178929394601358E-2</v>
      </c>
      <c r="L32" s="158"/>
      <c r="M32" s="159">
        <f t="shared" ca="1" si="3"/>
        <v>0.87280039902986473</v>
      </c>
    </row>
    <row r="33" spans="1:13" x14ac:dyDescent="0.2">
      <c r="A33" s="155">
        <f t="shared" si="0"/>
        <v>180</v>
      </c>
      <c r="B33" s="150"/>
      <c r="C33" s="156">
        <f ca="1">1 / [1]!ldfsir(ldfs, ldf_ages, ldf_type, ldf_ret, $A33, "Paid", 250000, cutoff, 3)</f>
        <v>0.97531959136818969</v>
      </c>
      <c r="D33" s="156"/>
      <c r="E33" s="156">
        <f t="shared" ca="1" si="1"/>
        <v>5.127528347606658E-3</v>
      </c>
      <c r="F33" s="156"/>
      <c r="G33" s="156">
        <f ca="1">SUM(E33:E$43)</f>
        <v>2.9807936979416971E-2</v>
      </c>
      <c r="H33" s="156"/>
      <c r="I33" s="158">
        <f t="shared" ca="1" si="2"/>
        <v>3.340168006230619E-3</v>
      </c>
      <c r="J33" s="158"/>
      <c r="K33" s="158">
        <f ca="1">SUM(I33:I$42)</f>
        <v>1.726940352002318E-2</v>
      </c>
      <c r="L33" s="158"/>
      <c r="M33" s="159">
        <f t="shared" ca="1" si="3"/>
        <v>0.87632774910928002</v>
      </c>
    </row>
    <row r="34" spans="1:13" x14ac:dyDescent="0.2">
      <c r="A34" s="155">
        <f t="shared" si="0"/>
        <v>192</v>
      </c>
      <c r="B34" s="150"/>
      <c r="C34" s="156">
        <f ca="1">1 / [1]!ldfsir(ldfs, ldf_ages, ldf_type, ldf_ret, $A34, "Paid", 250000, cutoff, 3)</f>
        <v>0.97920613314809213</v>
      </c>
      <c r="D34" s="156"/>
      <c r="E34" s="156">
        <f t="shared" ca="1" si="1"/>
        <v>3.8865417799024415E-3</v>
      </c>
      <c r="F34" s="156"/>
      <c r="G34" s="156">
        <f ca="1">SUM(E34:E$43)</f>
        <v>2.4680408631810313E-2</v>
      </c>
      <c r="H34" s="156"/>
      <c r="I34" s="158">
        <f t="shared" ca="1" si="2"/>
        <v>2.458025351327337E-3</v>
      </c>
      <c r="J34" s="158"/>
      <c r="K34" s="158">
        <f ca="1">SUM(I34:I$42)</f>
        <v>1.392923551379256E-2</v>
      </c>
      <c r="L34" s="158"/>
      <c r="M34" s="159">
        <f t="shared" ca="1" si="3"/>
        <v>0.87929237284493145</v>
      </c>
    </row>
    <row r="35" spans="1:13" x14ac:dyDescent="0.2">
      <c r="A35" s="155">
        <f t="shared" si="0"/>
        <v>204</v>
      </c>
      <c r="B35" s="150"/>
      <c r="C35" s="156">
        <f ca="1">1 / [1]!ldfsir(ldfs, ldf_ages, ldf_type, ldf_ret, $A35, "Paid", 250000, cutoff, 3)</f>
        <v>0.98248614668009904</v>
      </c>
      <c r="D35" s="156"/>
      <c r="E35" s="156">
        <f t="shared" ca="1" si="1"/>
        <v>3.280013532006909E-3</v>
      </c>
      <c r="F35" s="156"/>
      <c r="G35" s="156">
        <f ca="1">SUM(E35:E$43)</f>
        <v>2.0793866851907872E-2</v>
      </c>
      <c r="H35" s="156"/>
      <c r="I35" s="158">
        <f t="shared" ca="1" si="2"/>
        <v>2.0140090966896912E-3</v>
      </c>
      <c r="J35" s="158"/>
      <c r="K35" s="158">
        <f ca="1">SUM(I35:I$42)</f>
        <v>1.1471210162465226E-2</v>
      </c>
      <c r="L35" s="158"/>
      <c r="M35" s="159">
        <f t="shared" ca="1" si="3"/>
        <v>0.88525741474940889</v>
      </c>
    </row>
    <row r="36" spans="1:13" x14ac:dyDescent="0.2">
      <c r="A36" s="155">
        <f t="shared" si="0"/>
        <v>216</v>
      </c>
      <c r="B36" s="150"/>
      <c r="C36" s="156">
        <f ca="1">1 / [1]!ldfsir(ldfs, ldf_ages, ldf_type, ldf_ret, $A36, "Paid", 250000, cutoff, 3)</f>
        <v>0.98525267397698091</v>
      </c>
      <c r="D36" s="156"/>
      <c r="E36" s="156">
        <f t="shared" ca="1" si="1"/>
        <v>2.766527296881871E-3</v>
      </c>
      <c r="F36" s="156"/>
      <c r="G36" s="156">
        <f ca="1">SUM(E36:E$43)</f>
        <v>1.7513853319900963E-2</v>
      </c>
      <c r="H36" s="156"/>
      <c r="I36" s="158">
        <f t="shared" ca="1" si="2"/>
        <v>1.6492387387891077E-3</v>
      </c>
      <c r="J36" s="158"/>
      <c r="K36" s="158">
        <f ca="1">SUM(I36:I$42)</f>
        <v>9.4572010657755345E-3</v>
      </c>
      <c r="L36" s="158"/>
      <c r="M36" s="159">
        <f t="shared" ca="1" si="3"/>
        <v>0.89251132254962617</v>
      </c>
    </row>
    <row r="37" spans="1:13" x14ac:dyDescent="0.2">
      <c r="A37" s="155">
        <f t="shared" si="0"/>
        <v>228</v>
      </c>
      <c r="B37" s="150"/>
      <c r="C37" s="156">
        <f ca="1">1 / [1]!ldfsir(ldfs, ldf_ages, ldf_type, ldf_ret, $A37, "Paid", 250000, cutoff, 3)</f>
        <v>0.98758495870439511</v>
      </c>
      <c r="D37" s="156"/>
      <c r="E37" s="156">
        <f t="shared" ca="1" si="1"/>
        <v>2.3322847274142022E-3</v>
      </c>
      <c r="F37" s="156"/>
      <c r="G37" s="156">
        <f ca="1">SUM(E37:E$43)</f>
        <v>1.4747326023019092E-2</v>
      </c>
      <c r="H37" s="156"/>
      <c r="I37" s="158">
        <f t="shared" ca="1" si="2"/>
        <v>1.3498730019158153E-3</v>
      </c>
      <c r="J37" s="158"/>
      <c r="K37" s="158">
        <f ca="1">SUM(I37:I$42)</f>
        <v>7.8079623269864257E-3</v>
      </c>
      <c r="L37" s="158"/>
      <c r="M37" s="159">
        <f t="shared" ca="1" si="3"/>
        <v>0.90135209499193503</v>
      </c>
    </row>
    <row r="38" spans="1:13" x14ac:dyDescent="0.2">
      <c r="A38" s="155">
        <f t="shared" si="0"/>
        <v>240</v>
      </c>
      <c r="B38" s="150"/>
      <c r="C38" s="156">
        <f ca="1">1 / [1]!ldfsir(ldfs, ldf_ages, ldf_type, ldf_ret, $A38, "Paid", 250000, cutoff, 3)</f>
        <v>0.98955035128024504</v>
      </c>
      <c r="D38" s="156"/>
      <c r="E38" s="156">
        <f t="shared" ca="1" si="1"/>
        <v>1.9653925758499335E-3</v>
      </c>
      <c r="F38" s="156"/>
      <c r="G38" s="156">
        <f ca="1">SUM(E38:E$43)</f>
        <v>1.2415041295604889E-2</v>
      </c>
      <c r="H38" s="156"/>
      <c r="I38" s="158">
        <f t="shared" ca="1" si="2"/>
        <v>1.1043924511542735E-3</v>
      </c>
      <c r="J38" s="158"/>
      <c r="K38" s="158">
        <f ca="1">SUM(I38:I$42)</f>
        <v>6.4580893250706112E-3</v>
      </c>
      <c r="L38" s="158"/>
      <c r="M38" s="159">
        <f t="shared" ca="1" si="3"/>
        <v>0.91214345995231561</v>
      </c>
    </row>
    <row r="39" spans="1:13" x14ac:dyDescent="0.2">
      <c r="A39" s="155">
        <f t="shared" si="0"/>
        <v>252</v>
      </c>
      <c r="B39" s="150"/>
      <c r="C39" s="156">
        <f ca="1">1 / [1]!ldfsir(ldfs, ldf_ages, ldf_type, ldf_ret, $A39, "Paid", 250000, cutoff, 3)</f>
        <v>0.99120599410599297</v>
      </c>
      <c r="D39" s="156"/>
      <c r="E39" s="156">
        <f t="shared" ca="1" si="1"/>
        <v>1.6556428257479272E-3</v>
      </c>
      <c r="F39" s="156"/>
      <c r="G39" s="156">
        <f ca="1">SUM(E39:E$43)</f>
        <v>1.0449648719754956E-2</v>
      </c>
      <c r="H39" s="156"/>
      <c r="I39" s="158">
        <f t="shared" ca="1" si="2"/>
        <v>9.0324079662274718E-4</v>
      </c>
      <c r="J39" s="158"/>
      <c r="K39" s="158">
        <f ca="1">SUM(I39:I$42)</f>
        <v>5.3536968739163367E-3</v>
      </c>
      <c r="L39" s="158"/>
      <c r="M39" s="159">
        <f t="shared" ca="1" si="3"/>
        <v>0.92532986804761796</v>
      </c>
    </row>
    <row r="40" spans="1:13" x14ac:dyDescent="0.2">
      <c r="A40" s="155">
        <f t="shared" si="0"/>
        <v>264</v>
      </c>
      <c r="B40" s="150"/>
      <c r="C40" s="156">
        <f ca="1">1 / [1]!ldfsir(ldfs, ldf_ages, ldf_type, ldf_ret, $A40, "Paid", 250000, cutoff, 3)</f>
        <v>0.99260029826782215</v>
      </c>
      <c r="D40" s="156"/>
      <c r="E40" s="156">
        <f t="shared" ca="1" si="1"/>
        <v>1.394304161829174E-3</v>
      </c>
      <c r="F40" s="156"/>
      <c r="G40" s="156">
        <f ca="1">SUM(E40:E$43)</f>
        <v>8.7940058940070287E-3</v>
      </c>
      <c r="H40" s="156"/>
      <c r="I40" s="158">
        <f t="shared" ca="1" si="2"/>
        <v>7.3851138105194094E-4</v>
      </c>
      <c r="J40" s="158"/>
      <c r="K40" s="158">
        <f ca="1">SUM(I40:I$42)</f>
        <v>4.4504560772935901E-3</v>
      </c>
      <c r="L40" s="158"/>
      <c r="M40" s="159">
        <f t="shared" ca="1" si="3"/>
        <v>0.94145482525351865</v>
      </c>
    </row>
    <row r="41" spans="1:13" x14ac:dyDescent="0.2">
      <c r="A41" s="155">
        <f t="shared" si="0"/>
        <v>276</v>
      </c>
      <c r="B41" s="150"/>
      <c r="C41" s="156">
        <f ca="1">1 / [1]!ldfsir(ldfs, ldf_ages, ldf_type, ldf_ret, $A41, "Paid", 250000, cutoff, 3)</f>
        <v>0.99377422786752034</v>
      </c>
      <c r="D41" s="156"/>
      <c r="E41" s="156">
        <f t="shared" ca="1" si="1"/>
        <v>1.173929599698198E-3</v>
      </c>
      <c r="F41" s="156"/>
      <c r="G41" s="156">
        <f ca="1">SUM(E41:E$43)</f>
        <v>7.3997017321778547E-3</v>
      </c>
      <c r="H41" s="156"/>
      <c r="I41" s="158">
        <f t="shared" ca="1" si="2"/>
        <v>6.0367681605140628E-4</v>
      </c>
      <c r="J41" s="158"/>
      <c r="K41" s="158">
        <f ca="1">SUM(I41:I$42)</f>
        <v>3.711944696241649E-3</v>
      </c>
      <c r="L41" s="158"/>
      <c r="M41" s="159">
        <f t="shared" ca="1" si="3"/>
        <v>0.96118332108475402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6.2257721324796567E-3</v>
      </c>
      <c r="F42" s="156"/>
      <c r="G42" s="156">
        <f ca="1">SUM(E42:E$43)</f>
        <v>6.2257721324796567E-3</v>
      </c>
      <c r="H42" s="156"/>
      <c r="I42" s="158">
        <f t="shared" ca="1" si="2"/>
        <v>3.1082678801902428E-3</v>
      </c>
      <c r="J42" s="158"/>
      <c r="K42" s="158">
        <f ca="1">SUM(I42:I$42)</f>
        <v>3.1082678801902428E-3</v>
      </c>
      <c r="L42" s="158"/>
      <c r="M42" s="159">
        <f t="shared" ca="1" si="3"/>
        <v>0.98532927816429228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688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1
</oddHeader>
    <oddFooter xml:space="preserve">&amp;L&amp;"Arial"&amp;10 Oliver Wyman Actuarial Consulting, Inc.
&amp;C&amp;"Arial"&amp;10 &amp;R&amp;"Arial"&amp;10 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4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2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Limited to $350,000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[1]!ldfsir(ldfs, ldf_ages, ldf_type, ldf_ret, $A19, "Paid", 350000, cutoff, 3)</f>
        <v>0.19150366103478739</v>
      </c>
      <c r="D19" s="156"/>
      <c r="E19" s="156">
        <f ca="1">C19</f>
        <v>0.19150366103478739</v>
      </c>
      <c r="F19" s="156"/>
      <c r="G19" s="156">
        <f ca="1">SUM(E19:E$43)</f>
        <v>1</v>
      </c>
      <c r="H19" s="156"/>
      <c r="I19" s="157">
        <f ca="1">E19/((1+$E$11)^((A19-(A19/2))/12))</f>
        <v>0.18869416409322654</v>
      </c>
      <c r="J19" s="158"/>
      <c r="K19" s="158">
        <f ca="1">SUM(I19:I$42)</f>
        <v>0.91135864353905938</v>
      </c>
      <c r="L19" s="158"/>
      <c r="M19" s="159">
        <f ca="1">((1+$E$11)^((A18)/12))*K19/G19</f>
        <v>0.91135864353905938</v>
      </c>
    </row>
    <row r="20" spans="1:13" x14ac:dyDescent="0.2">
      <c r="A20" s="155">
        <f t="shared" ref="A20:A42" si="0">A19+12</f>
        <v>24</v>
      </c>
      <c r="B20" s="150"/>
      <c r="C20" s="156">
        <f ca="1">1 / [1]!ldfsir(ldfs, ldf_ages, ldf_type, ldf_ret, $A20, "Paid", 350000, cutoff, 3)</f>
        <v>0.52088995801462179</v>
      </c>
      <c r="D20" s="156"/>
      <c r="E20" s="156">
        <f t="shared" ref="E20:E41" ca="1" si="1">C20-C19</f>
        <v>0.3293862969798344</v>
      </c>
      <c r="F20" s="156"/>
      <c r="G20" s="156">
        <f ca="1">SUM(E20:E$43)</f>
        <v>0.80849633896521256</v>
      </c>
      <c r="H20" s="156"/>
      <c r="I20" s="158">
        <f ca="1">E20/((1+$E$11)^((A20-6)/12))</f>
        <v>0.31510093421393176</v>
      </c>
      <c r="J20" s="158"/>
      <c r="K20" s="158">
        <f ca="1">SUM(I20:I$42)</f>
        <v>0.72266447944583279</v>
      </c>
      <c r="L20" s="158"/>
      <c r="M20" s="159">
        <f ca="1">((1+$E$11)^((A19)/12))*K20/G20</f>
        <v>0.92065279452209736</v>
      </c>
    </row>
    <row r="21" spans="1:13" x14ac:dyDescent="0.2">
      <c r="A21" s="155">
        <f t="shared" si="0"/>
        <v>36</v>
      </c>
      <c r="B21" s="150"/>
      <c r="C21" s="156">
        <f ca="1">1 / [1]!ldfsir(ldfs, ldf_ages, ldf_type, ldf_ret, $A21, "Paid", 350000, cutoff, 3)</f>
        <v>0.70705237489517436</v>
      </c>
      <c r="D21" s="156"/>
      <c r="E21" s="156">
        <f t="shared" ca="1" si="1"/>
        <v>0.18616241688055257</v>
      </c>
      <c r="F21" s="156"/>
      <c r="G21" s="156">
        <f ca="1">SUM(E21:E$43)</f>
        <v>0.47911004198537821</v>
      </c>
      <c r="H21" s="156"/>
      <c r="I21" s="158">
        <f t="shared" ref="I21:I42" ca="1" si="2">E21/((1+$E$11)^((A21-6)/12))</f>
        <v>0.17290157399023007</v>
      </c>
      <c r="J21" s="158"/>
      <c r="K21" s="158">
        <f ca="1">SUM(I21:I$42)</f>
        <v>0.40756354523190114</v>
      </c>
      <c r="L21" s="158"/>
      <c r="M21" s="159">
        <f t="shared" ref="M21:M42" ca="1" si="3">((1+$E$11)^((A20)/12))*K21/G21</f>
        <v>0.90247360156504441</v>
      </c>
    </row>
    <row r="22" spans="1:13" x14ac:dyDescent="0.2">
      <c r="A22" s="155">
        <f t="shared" si="0"/>
        <v>48</v>
      </c>
      <c r="B22" s="150"/>
      <c r="C22" s="156">
        <f ca="1">1 / [1]!ldfsir(ldfs, ldf_ages, ldf_type, ldf_ret, $A22, "Paid", 350000, cutoff, 3)</f>
        <v>0.78143563237754277</v>
      </c>
      <c r="D22" s="156"/>
      <c r="E22" s="156">
        <f t="shared" ca="1" si="1"/>
        <v>7.4383257482368403E-2</v>
      </c>
      <c r="F22" s="156"/>
      <c r="G22" s="156">
        <f ca="1">SUM(E22:E$43)</f>
        <v>0.29294762510482564</v>
      </c>
      <c r="H22" s="156"/>
      <c r="I22" s="158">
        <f t="shared" ca="1" si="2"/>
        <v>6.7072563780899361E-2</v>
      </c>
      <c r="J22" s="158"/>
      <c r="K22" s="158">
        <f ca="1">SUM(I22:I$42)</f>
        <v>0.23466197124167099</v>
      </c>
      <c r="L22" s="158"/>
      <c r="M22" s="159">
        <f t="shared" ca="1" si="3"/>
        <v>0.87531507298358191</v>
      </c>
    </row>
    <row r="23" spans="1:13" x14ac:dyDescent="0.2">
      <c r="A23" s="155">
        <f t="shared" si="0"/>
        <v>60</v>
      </c>
      <c r="B23" s="150"/>
      <c r="C23" s="156">
        <f ca="1">1 / [1]!ldfsir(ldfs, ldf_ages, ldf_type, ldf_ret, $A23, "Paid", 350000, cutoff, 3)</f>
        <v>0.83222894848208251</v>
      </c>
      <c r="D23" s="156"/>
      <c r="E23" s="156">
        <f t="shared" ca="1" si="1"/>
        <v>5.0793316104539743E-2</v>
      </c>
      <c r="F23" s="156"/>
      <c r="G23" s="156">
        <f ca="1">SUM(E23:E$43)</f>
        <v>0.21856436762245723</v>
      </c>
      <c r="H23" s="156"/>
      <c r="I23" s="158">
        <f t="shared" ca="1" si="2"/>
        <v>4.4467125488655133E-2</v>
      </c>
      <c r="J23" s="158"/>
      <c r="K23" s="158">
        <f ca="1">SUM(I23:I$42)</f>
        <v>0.16758940746077167</v>
      </c>
      <c r="L23" s="158"/>
      <c r="M23" s="159">
        <f t="shared" ca="1" si="3"/>
        <v>0.86301054747222838</v>
      </c>
    </row>
    <row r="24" spans="1:13" x14ac:dyDescent="0.2">
      <c r="A24" s="155">
        <f t="shared" si="0"/>
        <v>72</v>
      </c>
      <c r="B24" s="150"/>
      <c r="C24" s="156">
        <f ca="1">1 / [1]!ldfsir(ldfs, ldf_ages, ldf_type, ldf_ret, $A24, "Paid", 350000, cutoff, 3)</f>
        <v>0.86218919062743771</v>
      </c>
      <c r="D24" s="156"/>
      <c r="E24" s="156">
        <f t="shared" ca="1" si="1"/>
        <v>2.9960242145355198E-2</v>
      </c>
      <c r="F24" s="156"/>
      <c r="G24" s="156">
        <f ca="1">SUM(E24:E$43)</f>
        <v>0.16777105151791749</v>
      </c>
      <c r="H24" s="156"/>
      <c r="I24" s="158">
        <f t="shared" ca="1" si="2"/>
        <v>2.5464818390366954E-2</v>
      </c>
      <c r="J24" s="158"/>
      <c r="K24" s="158">
        <f ca="1">SUM(I24:I$42)</f>
        <v>0.12312228197211658</v>
      </c>
      <c r="L24" s="158"/>
      <c r="M24" s="159">
        <f t="shared" ca="1" si="3"/>
        <v>0.85075743501366541</v>
      </c>
    </row>
    <row r="25" spans="1:13" x14ac:dyDescent="0.2">
      <c r="A25" s="155">
        <f t="shared" si="0"/>
        <v>84</v>
      </c>
      <c r="B25" s="150"/>
      <c r="C25" s="156">
        <f ca="1">1 / [1]!ldfsir(ldfs, ldf_ages, ldf_type, ldf_ret, $A25, "Paid", 350000, cutoff, 3)</f>
        <v>0.8862903164284015</v>
      </c>
      <c r="D25" s="156"/>
      <c r="E25" s="156">
        <f t="shared" ca="1" si="1"/>
        <v>2.4101125800963796E-2</v>
      </c>
      <c r="F25" s="156"/>
      <c r="G25" s="156">
        <f ca="1">SUM(E25:E$43)</f>
        <v>0.13781080937256229</v>
      </c>
      <c r="H25" s="156"/>
      <c r="I25" s="158">
        <f t="shared" ca="1" si="2"/>
        <v>1.9888194978932159E-2</v>
      </c>
      <c r="J25" s="158"/>
      <c r="K25" s="158">
        <f ca="1">SUM(I25:I$42)</f>
        <v>9.7657463581749621E-2</v>
      </c>
      <c r="L25" s="158"/>
      <c r="M25" s="159">
        <f t="shared" ca="1" si="3"/>
        <v>0.84614638861704283</v>
      </c>
    </row>
    <row r="26" spans="1:13" x14ac:dyDescent="0.2">
      <c r="A26" s="155">
        <f t="shared" si="0"/>
        <v>96</v>
      </c>
      <c r="B26" s="150"/>
      <c r="C26" s="156">
        <f ca="1">1 / [1]!ldfsir(ldfs, ldf_ages, ldf_type, ldf_ret, $A26, "Paid", 350000, cutoff, 3)</f>
        <v>0.90325098407369431</v>
      </c>
      <c r="D26" s="156"/>
      <c r="E26" s="156">
        <f t="shared" ca="1" si="1"/>
        <v>1.6960667645292804E-2</v>
      </c>
      <c r="F26" s="156"/>
      <c r="G26" s="156">
        <f ca="1">SUM(E26:E$43)</f>
        <v>0.1137096835715985</v>
      </c>
      <c r="H26" s="156"/>
      <c r="I26" s="158">
        <f t="shared" ca="1" si="2"/>
        <v>1.3588257200950924E-2</v>
      </c>
      <c r="J26" s="158"/>
      <c r="K26" s="158">
        <f ca="1">SUM(I26:I$42)</f>
        <v>7.7769268602817465E-2</v>
      </c>
      <c r="L26" s="158"/>
      <c r="M26" s="159">
        <f t="shared" ca="1" si="3"/>
        <v>0.84114552062390835</v>
      </c>
    </row>
    <row r="27" spans="1:13" x14ac:dyDescent="0.2">
      <c r="A27" s="155">
        <f t="shared" si="0"/>
        <v>108</v>
      </c>
      <c r="B27" s="150"/>
      <c r="C27" s="156">
        <f ca="1">1 / [1]!ldfsir(ldfs, ldf_ages, ldf_type, ldf_ret, $A27, "Paid", 350000, cutoff, 3)</f>
        <v>0.91657637325023</v>
      </c>
      <c r="D27" s="156"/>
      <c r="E27" s="156">
        <f t="shared" ca="1" si="1"/>
        <v>1.3325389176535696E-2</v>
      </c>
      <c r="F27" s="156"/>
      <c r="G27" s="156">
        <f ca="1">SUM(E27:E$43)</f>
        <v>9.6749015926305693E-2</v>
      </c>
      <c r="H27" s="156"/>
      <c r="I27" s="158">
        <f t="shared" ca="1" si="2"/>
        <v>1.0364861225796988E-2</v>
      </c>
      <c r="J27" s="158"/>
      <c r="K27" s="158">
        <f ca="1">SUM(I27:I$42)</f>
        <v>6.4181011401866536E-2</v>
      </c>
      <c r="L27" s="158"/>
      <c r="M27" s="159">
        <f t="shared" ca="1" si="3"/>
        <v>0.84034534365714519</v>
      </c>
    </row>
    <row r="28" spans="1:13" x14ac:dyDescent="0.2">
      <c r="A28" s="155">
        <f t="shared" si="0"/>
        <v>120</v>
      </c>
      <c r="B28" s="150"/>
      <c r="C28" s="156">
        <f ca="1">1 / [1]!ldfsir(ldfs, ldf_ages, ldf_type, ldf_ret, $A28, "Paid", 350000, cutoff, 3)</f>
        <v>0.92747461836911915</v>
      </c>
      <c r="D28" s="156"/>
      <c r="E28" s="156">
        <f t="shared" ca="1" si="1"/>
        <v>1.0898245118889149E-2</v>
      </c>
      <c r="F28" s="156"/>
      <c r="G28" s="156">
        <f ca="1">SUM(E28:E$43)</f>
        <v>8.3423626749769997E-2</v>
      </c>
      <c r="H28" s="156"/>
      <c r="I28" s="158">
        <f t="shared" ca="1" si="2"/>
        <v>8.2300587790574177E-3</v>
      </c>
      <c r="J28" s="158"/>
      <c r="K28" s="158">
        <f ca="1">SUM(I28:I$42)</f>
        <v>5.3816150176069541E-2</v>
      </c>
      <c r="L28" s="158"/>
      <c r="M28" s="159">
        <f t="shared" ca="1" si="3"/>
        <v>0.84170243302035064</v>
      </c>
    </row>
    <row r="29" spans="1:13" x14ac:dyDescent="0.2">
      <c r="A29" s="155">
        <f t="shared" si="0"/>
        <v>132</v>
      </c>
      <c r="B29" s="150"/>
      <c r="C29" s="156">
        <f ca="1">1 / [1]!ldfsir(ldfs, ldf_ages, ldf_type, ldf_ret, $A29, "Paid", 350000, cutoff, 3)</f>
        <v>0.93697711850664356</v>
      </c>
      <c r="D29" s="156"/>
      <c r="E29" s="156">
        <f t="shared" ca="1" si="1"/>
        <v>9.5025001375244056E-3</v>
      </c>
      <c r="F29" s="156"/>
      <c r="G29" s="156">
        <f ca="1">SUM(E29:E$43)</f>
        <v>7.2525381630880847E-2</v>
      </c>
      <c r="H29" s="156"/>
      <c r="I29" s="158">
        <f t="shared" ca="1" si="2"/>
        <v>6.9670194851204443E-3</v>
      </c>
      <c r="J29" s="158"/>
      <c r="K29" s="158">
        <f ca="1">SUM(I29:I$42)</f>
        <v>4.558609139701212E-2</v>
      </c>
      <c r="L29" s="158"/>
      <c r="M29" s="159">
        <f t="shared" ca="1" si="3"/>
        <v>0.84472350949528774</v>
      </c>
    </row>
    <row r="30" spans="1:13" x14ac:dyDescent="0.2">
      <c r="A30" s="155">
        <f t="shared" si="0"/>
        <v>144</v>
      </c>
      <c r="B30" s="150"/>
      <c r="C30" s="156">
        <f ca="1">1 / [1]!ldfsir(ldfs, ldf_ages, ldf_type, ldf_ret, $A30, "Paid", 350000, cutoff, 3)</f>
        <v>0.94498290557402709</v>
      </c>
      <c r="D30" s="156"/>
      <c r="E30" s="156">
        <f t="shared" ca="1" si="1"/>
        <v>8.0057870673835296E-3</v>
      </c>
      <c r="F30" s="156"/>
      <c r="G30" s="156">
        <f ca="1">SUM(E30:E$43)</f>
        <v>6.3022881493356442E-2</v>
      </c>
      <c r="H30" s="156"/>
      <c r="I30" s="158">
        <f t="shared" ca="1" si="2"/>
        <v>5.6987020467239718E-3</v>
      </c>
      <c r="J30" s="158"/>
      <c r="K30" s="158">
        <f ca="1">SUM(I30:I$42)</f>
        <v>3.8619071911891678E-2</v>
      </c>
      <c r="L30" s="158"/>
      <c r="M30" s="159">
        <f t="shared" ca="1" si="3"/>
        <v>0.84822886751090221</v>
      </c>
    </row>
    <row r="31" spans="1:13" x14ac:dyDescent="0.2">
      <c r="A31" s="155">
        <f t="shared" si="0"/>
        <v>156</v>
      </c>
      <c r="B31" s="150"/>
      <c r="C31" s="156">
        <f ca="1">1 / [1]!ldfsir(ldfs, ldf_ages, ldf_type, ldf_ret, $A31, "Paid", 350000, cutoff, 3)</f>
        <v>0.95215443534301503</v>
      </c>
      <c r="D31" s="156"/>
      <c r="E31" s="156">
        <f t="shared" ca="1" si="1"/>
        <v>7.1715297689879387E-3</v>
      </c>
      <c r="F31" s="156"/>
      <c r="G31" s="156">
        <f ca="1">SUM(E31:E$43)</f>
        <v>5.5017094425972912E-2</v>
      </c>
      <c r="H31" s="156"/>
      <c r="I31" s="158">
        <f t="shared" ca="1" si="2"/>
        <v>4.956173448018698E-3</v>
      </c>
      <c r="J31" s="158"/>
      <c r="K31" s="158">
        <f ca="1">SUM(I31:I$42)</f>
        <v>3.2920369865167699E-2</v>
      </c>
      <c r="L31" s="158"/>
      <c r="M31" s="159">
        <f t="shared" ca="1" si="3"/>
        <v>0.85312712755887588</v>
      </c>
    </row>
    <row r="32" spans="1:13" x14ac:dyDescent="0.2">
      <c r="A32" s="155">
        <f t="shared" si="0"/>
        <v>168</v>
      </c>
      <c r="B32" s="150"/>
      <c r="C32" s="156">
        <f ca="1">1 / [1]!ldfsir(ldfs, ldf_ages, ldf_type, ldf_ret, $A32, "Paid", 350000, cutoff, 3)</f>
        <v>0.95866157138905472</v>
      </c>
      <c r="D32" s="156"/>
      <c r="E32" s="156">
        <f t="shared" ca="1" si="1"/>
        <v>6.5071360460396965E-3</v>
      </c>
      <c r="F32" s="156"/>
      <c r="G32" s="156">
        <f ca="1">SUM(E32:E$43)</f>
        <v>4.7845564656984974E-2</v>
      </c>
      <c r="H32" s="156"/>
      <c r="I32" s="158">
        <f t="shared" ca="1" si="2"/>
        <v>4.3660364106258677E-3</v>
      </c>
      <c r="J32" s="158"/>
      <c r="K32" s="158">
        <f ca="1">SUM(I32:I$42)</f>
        <v>2.7964196417149E-2</v>
      </c>
      <c r="L32" s="158"/>
      <c r="M32" s="159">
        <f t="shared" ca="1" si="3"/>
        <v>0.85831080691759498</v>
      </c>
    </row>
    <row r="33" spans="1:13" x14ac:dyDescent="0.2">
      <c r="A33" s="155">
        <f t="shared" si="0"/>
        <v>180</v>
      </c>
      <c r="B33" s="150"/>
      <c r="C33" s="156">
        <f ca="1">1 / [1]!ldfsir(ldfs, ldf_ages, ldf_type, ldf_ret, $A33, "Paid", 350000, cutoff, 3)</f>
        <v>0.9644384835668911</v>
      </c>
      <c r="D33" s="156"/>
      <c r="E33" s="156">
        <f t="shared" ca="1" si="1"/>
        <v>5.7769121778363797E-3</v>
      </c>
      <c r="F33" s="156"/>
      <c r="G33" s="156">
        <f ca="1">SUM(E33:E$43)</f>
        <v>4.1338428610945277E-2</v>
      </c>
      <c r="H33" s="156"/>
      <c r="I33" s="158">
        <f t="shared" ca="1" si="2"/>
        <v>3.7631887964538939E-3</v>
      </c>
      <c r="J33" s="158"/>
      <c r="K33" s="158">
        <f ca="1">SUM(I33:I$42)</f>
        <v>2.3598160006523136E-2</v>
      </c>
      <c r="L33" s="158"/>
      <c r="M33" s="159">
        <f t="shared" ca="1" si="3"/>
        <v>0.86346616334378135</v>
      </c>
    </row>
    <row r="34" spans="1:13" x14ac:dyDescent="0.2">
      <c r="A34" s="155">
        <f t="shared" si="0"/>
        <v>192</v>
      </c>
      <c r="B34" s="150"/>
      <c r="C34" s="156">
        <f ca="1">1 / [1]!ldfsir(ldfs, ldf_ages, ldf_type, ldf_ret, $A34, "Paid", 350000, cutoff, 3)</f>
        <v>0.9692423142818708</v>
      </c>
      <c r="D34" s="156"/>
      <c r="E34" s="156">
        <f t="shared" ca="1" si="1"/>
        <v>4.8038307149796955E-3</v>
      </c>
      <c r="F34" s="156"/>
      <c r="G34" s="156">
        <f ca="1">SUM(E34:E$43)</f>
        <v>3.5561516433108897E-2</v>
      </c>
      <c r="H34" s="156"/>
      <c r="I34" s="158">
        <f t="shared" ca="1" si="2"/>
        <v>3.0381604906358209E-3</v>
      </c>
      <c r="J34" s="158"/>
      <c r="K34" s="158">
        <f ca="1">SUM(I34:I$42)</f>
        <v>1.983497121006924E-2</v>
      </c>
      <c r="L34" s="158"/>
      <c r="M34" s="159">
        <f t="shared" ca="1" si="3"/>
        <v>0.86897978359919281</v>
      </c>
    </row>
    <row r="35" spans="1:13" x14ac:dyDescent="0.2">
      <c r="A35" s="155">
        <f t="shared" si="0"/>
        <v>204</v>
      </c>
      <c r="B35" s="150"/>
      <c r="C35" s="156">
        <f ca="1">1 / [1]!ldfsir(ldfs, ldf_ages, ldf_type, ldf_ret, $A35, "Paid", 350000, cutoff, 3)</f>
        <v>0.97340619132725215</v>
      </c>
      <c r="D35" s="156"/>
      <c r="E35" s="156">
        <f t="shared" ca="1" si="1"/>
        <v>4.1638770453813478E-3</v>
      </c>
      <c r="F35" s="156"/>
      <c r="G35" s="156">
        <f ca="1">SUM(E35:E$43)</f>
        <v>3.0757685718129202E-2</v>
      </c>
      <c r="H35" s="156"/>
      <c r="I35" s="158">
        <f t="shared" ca="1" si="2"/>
        <v>2.556723063811361E-3</v>
      </c>
      <c r="J35" s="158"/>
      <c r="K35" s="158">
        <f ca="1">SUM(I35:I$42)</f>
        <v>1.6796810719433421E-2</v>
      </c>
      <c r="L35" s="158"/>
      <c r="M35" s="159">
        <f t="shared" ca="1" si="3"/>
        <v>0.8763321975785433</v>
      </c>
    </row>
    <row r="36" spans="1:13" x14ac:dyDescent="0.2">
      <c r="A36" s="155">
        <f t="shared" si="0"/>
        <v>216</v>
      </c>
      <c r="B36" s="150"/>
      <c r="C36" s="156">
        <f ca="1">1 / [1]!ldfsir(ldfs, ldf_ages, ldf_type, ldf_ret, $A36, "Paid", 350000, cutoff, 3)</f>
        <v>0.97701307675391846</v>
      </c>
      <c r="D36" s="156"/>
      <c r="E36" s="156">
        <f t="shared" ca="1" si="1"/>
        <v>3.6068854266663175E-3</v>
      </c>
      <c r="F36" s="156"/>
      <c r="G36" s="156">
        <f ca="1">SUM(E36:E$43)</f>
        <v>2.6593808672747854E-2</v>
      </c>
      <c r="H36" s="156"/>
      <c r="I36" s="158">
        <f t="shared" ca="1" si="2"/>
        <v>2.1502101854323297E-3</v>
      </c>
      <c r="J36" s="158"/>
      <c r="K36" s="158">
        <f ca="1">SUM(I36:I$42)</f>
        <v>1.424008765562206E-2</v>
      </c>
      <c r="L36" s="158"/>
      <c r="M36" s="159">
        <f t="shared" ca="1" si="3"/>
        <v>0.88504416402214936</v>
      </c>
    </row>
    <row r="37" spans="1:13" x14ac:dyDescent="0.2">
      <c r="A37" s="155">
        <f t="shared" si="0"/>
        <v>228</v>
      </c>
      <c r="B37" s="150"/>
      <c r="C37" s="156">
        <f ca="1">1 / [1]!ldfsir(ldfs, ldf_ages, ldf_type, ldf_ret, $A37, "Paid", 350000, cutoff, 3)</f>
        <v>0.9801357668115519</v>
      </c>
      <c r="D37" s="156"/>
      <c r="E37" s="156">
        <f t="shared" ca="1" si="1"/>
        <v>3.1226900576334371E-3</v>
      </c>
      <c r="F37" s="156"/>
      <c r="G37" s="156">
        <f ca="1">SUM(E37:E$43)</f>
        <v>2.2986923246081536E-2</v>
      </c>
      <c r="H37" s="156"/>
      <c r="I37" s="158">
        <f t="shared" ca="1" si="2"/>
        <v>1.807341510495478E-3</v>
      </c>
      <c r="J37" s="158"/>
      <c r="K37" s="158">
        <f ca="1">SUM(I37:I$42)</f>
        <v>1.208987747018973E-2</v>
      </c>
      <c r="L37" s="158"/>
      <c r="M37" s="159">
        <f t="shared" ca="1" si="3"/>
        <v>0.89538764676125082</v>
      </c>
    </row>
    <row r="38" spans="1:13" x14ac:dyDescent="0.2">
      <c r="A38" s="155">
        <f t="shared" si="0"/>
        <v>240</v>
      </c>
      <c r="B38" s="150"/>
      <c r="C38" s="156">
        <f ca="1">1 / [1]!ldfsir(ldfs, ldf_ages, ldf_type, ldf_ret, $A38, "Paid", 350000, cutoff, 3)</f>
        <v>0.98283798330955729</v>
      </c>
      <c r="D38" s="156"/>
      <c r="E38" s="156">
        <f t="shared" ca="1" si="1"/>
        <v>2.7022164980053942E-3</v>
      </c>
      <c r="F38" s="156"/>
      <c r="G38" s="156">
        <f ca="1">SUM(E38:E$43)</f>
        <v>1.9864233188448099E-2</v>
      </c>
      <c r="H38" s="156"/>
      <c r="I38" s="158">
        <f t="shared" ca="1" si="2"/>
        <v>1.5184281951869749E-3</v>
      </c>
      <c r="J38" s="158"/>
      <c r="K38" s="158">
        <f ca="1">SUM(I38:I$42)</f>
        <v>1.0282535959694252E-2</v>
      </c>
      <c r="L38" s="158"/>
      <c r="M38" s="159">
        <f t="shared" ca="1" si="3"/>
        <v>0.90768613493685324</v>
      </c>
    </row>
    <row r="39" spans="1:13" x14ac:dyDescent="0.2">
      <c r="A39" s="155">
        <f t="shared" si="0"/>
        <v>252</v>
      </c>
      <c r="B39" s="150"/>
      <c r="C39" s="156">
        <f ca="1">1 / [1]!ldfsir(ldfs, ldf_ages, ldf_type, ldf_ret, $A39, "Paid", 350000, cutoff, 3)</f>
        <v>0.98517539006320332</v>
      </c>
      <c r="D39" s="156"/>
      <c r="E39" s="156">
        <f t="shared" ca="1" si="1"/>
        <v>2.3374067536460208E-3</v>
      </c>
      <c r="F39" s="156"/>
      <c r="G39" s="156">
        <f ca="1">SUM(E39:E$43)</f>
        <v>1.7162016690442705E-2</v>
      </c>
      <c r="H39" s="156"/>
      <c r="I39" s="158">
        <f t="shared" ca="1" si="2"/>
        <v>1.2751791058804487E-3</v>
      </c>
      <c r="J39" s="158"/>
      <c r="K39" s="158">
        <f ca="1">SUM(I39:I$42)</f>
        <v>8.7641077645072771E-3</v>
      </c>
      <c r="L39" s="158"/>
      <c r="M39" s="159">
        <f t="shared" ca="1" si="3"/>
        <v>0.92232479322461913</v>
      </c>
    </row>
    <row r="40" spans="1:13" x14ac:dyDescent="0.2">
      <c r="A40" s="155">
        <f t="shared" si="0"/>
        <v>264</v>
      </c>
      <c r="B40" s="150"/>
      <c r="C40" s="156">
        <f ca="1">1 / [1]!ldfsir(ldfs, ldf_ages, ldf_type, ldf_ret, $A40, "Paid", 350000, cutoff, 3)</f>
        <v>0.98719652654715573</v>
      </c>
      <c r="D40" s="156"/>
      <c r="E40" s="156">
        <f t="shared" ca="1" si="1"/>
        <v>2.0211364839524126E-3</v>
      </c>
      <c r="F40" s="156"/>
      <c r="G40" s="156">
        <f ca="1">SUM(E40:E$43)</f>
        <v>1.4824609936796684E-2</v>
      </c>
      <c r="H40" s="156"/>
      <c r="I40" s="158">
        <f t="shared" ca="1" si="2"/>
        <v>1.070521294363771E-3</v>
      </c>
      <c r="J40" s="158"/>
      <c r="K40" s="158">
        <f ca="1">SUM(I40:I$42)</f>
        <v>7.488928658626829E-3</v>
      </c>
      <c r="L40" s="158"/>
      <c r="M40" s="159">
        <f t="shared" ca="1" si="3"/>
        <v>0.93976255638153539</v>
      </c>
    </row>
    <row r="41" spans="1:13" x14ac:dyDescent="0.2">
      <c r="A41" s="155">
        <f t="shared" si="0"/>
        <v>276</v>
      </c>
      <c r="B41" s="150"/>
      <c r="C41" s="156">
        <f ca="1">1 / [1]!ldfsir(ldfs, ldf_ages, ldf_type, ldf_ret, $A41, "Paid", 350000, cutoff, 3)</f>
        <v>0.98894365625912106</v>
      </c>
      <c r="D41" s="156"/>
      <c r="E41" s="156">
        <f t="shared" ca="1" si="1"/>
        <v>1.747129711965334E-3</v>
      </c>
      <c r="F41" s="156"/>
      <c r="G41" s="156">
        <f ca="1">SUM(E41:E$43)</f>
        <v>1.2803473452844272E-2</v>
      </c>
      <c r="H41" s="156"/>
      <c r="I41" s="158">
        <f t="shared" ca="1" si="2"/>
        <v>8.9843692672813896E-4</v>
      </c>
      <c r="J41" s="158"/>
      <c r="K41" s="158">
        <f ca="1">SUM(I41:I$42)</f>
        <v>6.4184073642630582E-3</v>
      </c>
      <c r="L41" s="158"/>
      <c r="M41" s="159">
        <f t="shared" ca="1" si="3"/>
        <v>0.9605465482016935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1.1056343740878938E-2</v>
      </c>
      <c r="F42" s="156"/>
      <c r="G42" s="156">
        <f ca="1">SUM(E42:E$43)</f>
        <v>1.1056343740878938E-2</v>
      </c>
      <c r="H42" s="156"/>
      <c r="I42" s="158">
        <f t="shared" ca="1" si="2"/>
        <v>5.5199704375349188E-3</v>
      </c>
      <c r="J42" s="158"/>
      <c r="K42" s="158">
        <f ca="1">SUM(I42:I$42)</f>
        <v>5.5199704375349188E-3</v>
      </c>
      <c r="L42" s="158"/>
      <c r="M42" s="159">
        <f t="shared" ca="1" si="3"/>
        <v>0.98532927816429228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689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2
</oddHeader>
    <oddFooter xml:space="preserve">&amp;L&amp;"Arial"&amp;10 Oliver Wyman Actuarial Consulting, Inc.
&amp;C&amp;"Arial"&amp;10 &amp;R&amp;"Arial"&amp;10 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3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Limited to $500,000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[1]!ldfsir(ldfs, ldf_ages, ldf_type, ldf_ret, $A19, "Paid", 500000, cutoff, 3)</f>
        <v>0.18402629106583934</v>
      </c>
      <c r="D19" s="156"/>
      <c r="E19" s="156">
        <f ca="1">C19</f>
        <v>0.18402629106583934</v>
      </c>
      <c r="F19" s="156"/>
      <c r="G19" s="156">
        <f ca="1">SUM(E19:E$43)</f>
        <v>1</v>
      </c>
      <c r="H19" s="156"/>
      <c r="I19" s="157">
        <f ca="1">E19/((1+$E$11)^((A19-(A19/2))/12))</f>
        <v>0.18132649253915559</v>
      </c>
      <c r="J19" s="158"/>
      <c r="K19" s="158">
        <f ca="1">SUM(I19:I$42)</f>
        <v>0.90311977373478292</v>
      </c>
      <c r="L19" s="158"/>
      <c r="M19" s="159">
        <f ca="1">((1+$E$11)^((A18)/12))*K19/G19</f>
        <v>0.90311977373478292</v>
      </c>
    </row>
    <row r="20" spans="1:13" x14ac:dyDescent="0.2">
      <c r="A20" s="155">
        <f t="shared" ref="A20:A42" si="0">A19+12</f>
        <v>24</v>
      </c>
      <c r="B20" s="150"/>
      <c r="C20" s="156">
        <f ca="1">1 / [1]!ldfsir(ldfs, ldf_ages, ldf_type, ldf_ret, $A20, "Paid", 500000, cutoff, 3)</f>
        <v>0.50239177460974138</v>
      </c>
      <c r="D20" s="156"/>
      <c r="E20" s="156">
        <f t="shared" ref="E20:E41" ca="1" si="1">C20-C19</f>
        <v>0.31836548354390204</v>
      </c>
      <c r="F20" s="156"/>
      <c r="G20" s="156">
        <f ca="1">SUM(E20:E$43)</f>
        <v>0.81597370893416066</v>
      </c>
      <c r="H20" s="156"/>
      <c r="I20" s="158">
        <f ca="1">E20/((1+$E$11)^((A20-6)/12))</f>
        <v>0.30455808941042634</v>
      </c>
      <c r="J20" s="158"/>
      <c r="K20" s="158">
        <f ca="1">SUM(I20:I$42)</f>
        <v>0.72179328119562725</v>
      </c>
      <c r="L20" s="158"/>
      <c r="M20" s="159">
        <f ca="1">((1+$E$11)^((A19)/12))*K20/G20</f>
        <v>0.91111646305687932</v>
      </c>
    </row>
    <row r="21" spans="1:13" x14ac:dyDescent="0.2">
      <c r="A21" s="155">
        <f t="shared" si="0"/>
        <v>36</v>
      </c>
      <c r="B21" s="150"/>
      <c r="C21" s="156">
        <f ca="1">1 / [1]!ldfsir(ldfs, ldf_ages, ldf_type, ldf_ret, $A21, "Paid", 500000, cutoff, 3)</f>
        <v>0.68194307050866176</v>
      </c>
      <c r="D21" s="156"/>
      <c r="E21" s="156">
        <f t="shared" ca="1" si="1"/>
        <v>0.17955129589892038</v>
      </c>
      <c r="F21" s="156"/>
      <c r="G21" s="156">
        <f ca="1">SUM(E21:E$43)</f>
        <v>0.49760822539025862</v>
      </c>
      <c r="H21" s="156"/>
      <c r="I21" s="158">
        <f t="shared" ref="I21:I42" ca="1" si="2">E21/((1+$E$11)^((A21-6)/12))</f>
        <v>0.16676138069709362</v>
      </c>
      <c r="J21" s="158"/>
      <c r="K21" s="158">
        <f ca="1">SUM(I21:I$42)</f>
        <v>0.41723519178520091</v>
      </c>
      <c r="L21" s="158"/>
      <c r="M21" s="159">
        <f t="shared" ref="M21:M42" ca="1" si="3">((1+$E$11)^((A20)/12))*K21/G21</f>
        <v>0.88954481131771312</v>
      </c>
    </row>
    <row r="22" spans="1:13" x14ac:dyDescent="0.2">
      <c r="A22" s="155">
        <f t="shared" si="0"/>
        <v>48</v>
      </c>
      <c r="B22" s="150"/>
      <c r="C22" s="156">
        <f ca="1">1 / [1]!ldfsir(ldfs, ldf_ages, ldf_type, ldf_ret, $A22, "Paid", 500000, cutoff, 3)</f>
        <v>0.75704430755715391</v>
      </c>
      <c r="D22" s="156"/>
      <c r="E22" s="156">
        <f t="shared" ca="1" si="1"/>
        <v>7.5101237048492142E-2</v>
      </c>
      <c r="F22" s="156"/>
      <c r="G22" s="156">
        <f ca="1">SUM(E22:E$43)</f>
        <v>0.31805692949133824</v>
      </c>
      <c r="H22" s="156"/>
      <c r="I22" s="158">
        <f t="shared" ca="1" si="2"/>
        <v>6.771997735046012E-2</v>
      </c>
      <c r="J22" s="158"/>
      <c r="K22" s="158">
        <f ca="1">SUM(I22:I$42)</f>
        <v>0.25047381108810735</v>
      </c>
      <c r="L22" s="158"/>
      <c r="M22" s="159">
        <f t="shared" ca="1" si="3"/>
        <v>0.86053618327573034</v>
      </c>
    </row>
    <row r="23" spans="1:13" x14ac:dyDescent="0.2">
      <c r="A23" s="155">
        <f t="shared" si="0"/>
        <v>60</v>
      </c>
      <c r="B23" s="150"/>
      <c r="C23" s="156">
        <f ca="1">1 / [1]!ldfsir(ldfs, ldf_ages, ldf_type, ldf_ret, $A23, "Paid", 500000, cutoff, 3)</f>
        <v>0.80741461590868302</v>
      </c>
      <c r="D23" s="156"/>
      <c r="E23" s="156">
        <f t="shared" ca="1" si="1"/>
        <v>5.0370308351529114E-2</v>
      </c>
      <c r="F23" s="156"/>
      <c r="G23" s="156">
        <f ca="1">SUM(E23:E$43)</f>
        <v>0.24295569244284609</v>
      </c>
      <c r="H23" s="156"/>
      <c r="I23" s="158">
        <f t="shared" ca="1" si="2"/>
        <v>4.4096802377695331E-2</v>
      </c>
      <c r="J23" s="158"/>
      <c r="K23" s="158">
        <f ca="1">SUM(I23:I$42)</f>
        <v>0.18275383373764714</v>
      </c>
      <c r="L23" s="158"/>
      <c r="M23" s="159">
        <f t="shared" ca="1" si="3"/>
        <v>0.84661959497567529</v>
      </c>
    </row>
    <row r="24" spans="1:13" x14ac:dyDescent="0.2">
      <c r="A24" s="155">
        <f t="shared" si="0"/>
        <v>72</v>
      </c>
      <c r="B24" s="150"/>
      <c r="C24" s="156">
        <f ca="1">1 / [1]!ldfsir(ldfs, ldf_ages, ldf_type, ldf_ret, $A24, "Paid", 500000, cutoff, 3)</f>
        <v>0.83809637131321379</v>
      </c>
      <c r="D24" s="156"/>
      <c r="E24" s="156">
        <f t="shared" ca="1" si="1"/>
        <v>3.0681755404530775E-2</v>
      </c>
      <c r="F24" s="156"/>
      <c r="G24" s="156">
        <f ca="1">SUM(E24:E$43)</f>
        <v>0.19258538409131698</v>
      </c>
      <c r="H24" s="156"/>
      <c r="I24" s="158">
        <f t="shared" ca="1" si="2"/>
        <v>2.6078071248004361E-2</v>
      </c>
      <c r="J24" s="158"/>
      <c r="K24" s="158">
        <f ca="1">SUM(I24:I$42)</f>
        <v>0.13865703135995186</v>
      </c>
      <c r="L24" s="158"/>
      <c r="M24" s="159">
        <f t="shared" ca="1" si="3"/>
        <v>0.83465057555342037</v>
      </c>
    </row>
    <row r="25" spans="1:13" x14ac:dyDescent="0.2">
      <c r="A25" s="155">
        <f t="shared" si="0"/>
        <v>84</v>
      </c>
      <c r="B25" s="150"/>
      <c r="C25" s="156">
        <f ca="1">1 / [1]!ldfsir(ldfs, ldf_ages, ldf_type, ldf_ret, $A25, "Paid", 500000, cutoff, 3)</f>
        <v>0.86239104414586898</v>
      </c>
      <c r="D25" s="156"/>
      <c r="E25" s="156">
        <f t="shared" ca="1" si="1"/>
        <v>2.4294672832655184E-2</v>
      </c>
      <c r="F25" s="156"/>
      <c r="G25" s="156">
        <f ca="1">SUM(E25:E$43)</f>
        <v>0.16190362868678621</v>
      </c>
      <c r="H25" s="156"/>
      <c r="I25" s="158">
        <f t="shared" ca="1" si="2"/>
        <v>2.0047909555573139E-2</v>
      </c>
      <c r="J25" s="158"/>
      <c r="K25" s="158">
        <f ca="1">SUM(I25:I$42)</f>
        <v>0.11257896011194753</v>
      </c>
      <c r="L25" s="158"/>
      <c r="M25" s="159">
        <f t="shared" ca="1" si="3"/>
        <v>0.83027889462917737</v>
      </c>
    </row>
    <row r="26" spans="1:13" x14ac:dyDescent="0.2">
      <c r="A26" s="155">
        <f t="shared" si="0"/>
        <v>96</v>
      </c>
      <c r="B26" s="150"/>
      <c r="C26" s="156">
        <f ca="1">1 / [1]!ldfsir(ldfs, ldf_ages, ldf_type, ldf_ret, $A26, "Paid", 500000, cutoff, 3)</f>
        <v>0.88100213308477826</v>
      </c>
      <c r="D26" s="156"/>
      <c r="E26" s="156">
        <f t="shared" ca="1" si="1"/>
        <v>1.8611088938909282E-2</v>
      </c>
      <c r="F26" s="156"/>
      <c r="G26" s="156">
        <f ca="1">SUM(E26:E$43)</f>
        <v>0.13760895585413102</v>
      </c>
      <c r="H26" s="156"/>
      <c r="I26" s="158">
        <f t="shared" ca="1" si="2"/>
        <v>1.4910513464477847E-2</v>
      </c>
      <c r="J26" s="158"/>
      <c r="K26" s="158">
        <f ca="1">SUM(I26:I$42)</f>
        <v>9.2531050556374381E-2</v>
      </c>
      <c r="L26" s="158"/>
      <c r="M26" s="159">
        <f t="shared" ca="1" si="3"/>
        <v>0.82699211045700194</v>
      </c>
    </row>
    <row r="27" spans="1:13" x14ac:dyDescent="0.2">
      <c r="A27" s="155">
        <f t="shared" si="0"/>
        <v>108</v>
      </c>
      <c r="B27" s="150"/>
      <c r="C27" s="156">
        <f ca="1">1 / [1]!ldfsir(ldfs, ldf_ages, ldf_type, ldf_ret, $A27, "Paid", 500000, cutoff, 3)</f>
        <v>0.8956567302807712</v>
      </c>
      <c r="D27" s="156"/>
      <c r="E27" s="156">
        <f t="shared" ca="1" si="1"/>
        <v>1.4654597195992936E-2</v>
      </c>
      <c r="F27" s="156"/>
      <c r="G27" s="156">
        <f ca="1">SUM(E27:E$43)</f>
        <v>0.11899786691522174</v>
      </c>
      <c r="H27" s="156"/>
      <c r="I27" s="158">
        <f t="shared" ca="1" si="2"/>
        <v>1.1398756482391099E-2</v>
      </c>
      <c r="J27" s="158"/>
      <c r="K27" s="158">
        <f ca="1">SUM(I27:I$42)</f>
        <v>7.7620537091896522E-2</v>
      </c>
      <c r="L27" s="158"/>
      <c r="M27" s="159">
        <f t="shared" ca="1" si="3"/>
        <v>0.82629526594207015</v>
      </c>
    </row>
    <row r="28" spans="1:13" x14ac:dyDescent="0.2">
      <c r="A28" s="155">
        <f t="shared" si="0"/>
        <v>120</v>
      </c>
      <c r="B28" s="150"/>
      <c r="C28" s="156">
        <f ca="1">1 / [1]!ldfsir(ldfs, ldf_ages, ldf_type, ldf_ret, $A28, "Paid", 500000, cutoff, 3)</f>
        <v>0.907889177979744</v>
      </c>
      <c r="D28" s="156"/>
      <c r="E28" s="156">
        <f t="shared" ca="1" si="1"/>
        <v>1.2232447698972804E-2</v>
      </c>
      <c r="F28" s="156"/>
      <c r="G28" s="156">
        <f ca="1">SUM(E28:E$43)</f>
        <v>0.1043432697192288</v>
      </c>
      <c r="H28" s="156"/>
      <c r="I28" s="158">
        <f t="shared" ca="1" si="2"/>
        <v>9.2376123381370089E-3</v>
      </c>
      <c r="J28" s="158"/>
      <c r="K28" s="158">
        <f ca="1">SUM(I28:I$42)</f>
        <v>6.6221780609505426E-2</v>
      </c>
      <c r="L28" s="158"/>
      <c r="M28" s="159">
        <f t="shared" ca="1" si="3"/>
        <v>0.82807835864456492</v>
      </c>
    </row>
    <row r="29" spans="1:13" x14ac:dyDescent="0.2">
      <c r="A29" s="155">
        <f t="shared" si="0"/>
        <v>132</v>
      </c>
      <c r="B29" s="150"/>
      <c r="C29" s="156">
        <f ca="1">1 / [1]!ldfsir(ldfs, ldf_ages, ldf_type, ldf_ret, $A29, "Paid", 500000, cutoff, 3)</f>
        <v>0.91864034237968117</v>
      </c>
      <c r="D29" s="156"/>
      <c r="E29" s="156">
        <f t="shared" ca="1" si="1"/>
        <v>1.0751164399937174E-2</v>
      </c>
      <c r="F29" s="156"/>
      <c r="G29" s="156">
        <f ca="1">SUM(E29:E$43)</f>
        <v>9.2110822020256E-2</v>
      </c>
      <c r="H29" s="156"/>
      <c r="I29" s="158">
        <f t="shared" ca="1" si="2"/>
        <v>7.8825120524133388E-3</v>
      </c>
      <c r="J29" s="158"/>
      <c r="K29" s="158">
        <f ca="1">SUM(I29:I$42)</f>
        <v>5.6984168271368416E-2</v>
      </c>
      <c r="L29" s="158"/>
      <c r="M29" s="159">
        <f t="shared" ca="1" si="3"/>
        <v>0.83141107009502713</v>
      </c>
    </row>
    <row r="30" spans="1:13" x14ac:dyDescent="0.2">
      <c r="A30" s="155">
        <f t="shared" si="0"/>
        <v>144</v>
      </c>
      <c r="B30" s="150"/>
      <c r="C30" s="156">
        <f ca="1">1 / [1]!ldfsir(ldfs, ldf_ages, ldf_type, ldf_ret, $A30, "Paid", 500000, cutoff, 3)</f>
        <v>0.92769518697227227</v>
      </c>
      <c r="D30" s="156"/>
      <c r="E30" s="156">
        <f t="shared" ca="1" si="1"/>
        <v>9.0548445925910936E-3</v>
      </c>
      <c r="F30" s="156"/>
      <c r="G30" s="156">
        <f ca="1">SUM(E30:E$43)</f>
        <v>8.1359657620318826E-2</v>
      </c>
      <c r="H30" s="156"/>
      <c r="I30" s="158">
        <f t="shared" ca="1" si="2"/>
        <v>6.4454451483969668E-3</v>
      </c>
      <c r="J30" s="158"/>
      <c r="K30" s="158">
        <f ca="1">SUM(I30:I$42)</f>
        <v>4.9101656218955084E-2</v>
      </c>
      <c r="L30" s="158"/>
      <c r="M30" s="159">
        <f t="shared" ca="1" si="3"/>
        <v>0.83540390452639779</v>
      </c>
    </row>
    <row r="31" spans="1:13" x14ac:dyDescent="0.2">
      <c r="A31" s="155">
        <f t="shared" si="0"/>
        <v>156</v>
      </c>
      <c r="B31" s="150"/>
      <c r="C31" s="156">
        <f ca="1">1 / [1]!ldfsir(ldfs, ldf_ages, ldf_type, ldf_ret, $A31, "Paid", 500000, cutoff, 3)</f>
        <v>0.93589919566831581</v>
      </c>
      <c r="D31" s="156"/>
      <c r="E31" s="156">
        <f t="shared" ca="1" si="1"/>
        <v>8.204008696043541E-3</v>
      </c>
      <c r="F31" s="156"/>
      <c r="G31" s="156">
        <f ca="1">SUM(E31:E$43)</f>
        <v>7.2304813027727732E-2</v>
      </c>
      <c r="H31" s="156"/>
      <c r="I31" s="158">
        <f t="shared" ca="1" si="2"/>
        <v>5.6697094450440504E-3</v>
      </c>
      <c r="J31" s="158"/>
      <c r="K31" s="158">
        <f ca="1">SUM(I31:I$42)</f>
        <v>4.2656211070558114E-2</v>
      </c>
      <c r="L31" s="158"/>
      <c r="M31" s="159">
        <f t="shared" ca="1" si="3"/>
        <v>0.84112737145360106</v>
      </c>
    </row>
    <row r="32" spans="1:13" x14ac:dyDescent="0.2">
      <c r="A32" s="155">
        <f t="shared" si="0"/>
        <v>168</v>
      </c>
      <c r="B32" s="150"/>
      <c r="C32" s="156">
        <f ca="1">1 / [1]!ldfsir(ldfs, ldf_ages, ldf_type, ldf_ret, $A32, "Paid", 500000, cutoff, 3)</f>
        <v>0.9434552002173332</v>
      </c>
      <c r="D32" s="156"/>
      <c r="E32" s="156">
        <f t="shared" ca="1" si="1"/>
        <v>7.5560045490173922E-3</v>
      </c>
      <c r="F32" s="156"/>
      <c r="G32" s="156">
        <f ca="1">SUM(E32:E$43)</f>
        <v>6.4100804331684191E-2</v>
      </c>
      <c r="H32" s="156"/>
      <c r="I32" s="158">
        <f t="shared" ca="1" si="2"/>
        <v>5.0697865768370579E-3</v>
      </c>
      <c r="J32" s="158"/>
      <c r="K32" s="158">
        <f ca="1">SUM(I32:I$42)</f>
        <v>3.6986501625514062E-2</v>
      </c>
      <c r="L32" s="158"/>
      <c r="M32" s="159">
        <f t="shared" ca="1" si="3"/>
        <v>0.84735168530250127</v>
      </c>
    </row>
    <row r="33" spans="1:13" x14ac:dyDescent="0.2">
      <c r="A33" s="155">
        <f t="shared" si="0"/>
        <v>180</v>
      </c>
      <c r="B33" s="150"/>
      <c r="C33" s="156">
        <f ca="1">1 / [1]!ldfsir(ldfs, ldf_ages, ldf_type, ldf_ret, $A33, "Paid", 500000, cutoff, 3)</f>
        <v>0.95023206620449763</v>
      </c>
      <c r="D33" s="156"/>
      <c r="E33" s="156">
        <f t="shared" ca="1" si="1"/>
        <v>6.7768659871644266E-3</v>
      </c>
      <c r="F33" s="156"/>
      <c r="G33" s="156">
        <f ca="1">SUM(E33:E$43)</f>
        <v>5.6544799782666799E-2</v>
      </c>
      <c r="H33" s="156"/>
      <c r="I33" s="158">
        <f t="shared" ca="1" si="2"/>
        <v>4.4145774373738353E-3</v>
      </c>
      <c r="J33" s="158"/>
      <c r="K33" s="158">
        <f ca="1">SUM(I33:I$42)</f>
        <v>3.1916715048676998E-2</v>
      </c>
      <c r="L33" s="158"/>
      <c r="M33" s="159">
        <f t="shared" ca="1" si="3"/>
        <v>0.85378134539891115</v>
      </c>
    </row>
    <row r="34" spans="1:13" x14ac:dyDescent="0.2">
      <c r="A34" s="155">
        <f t="shared" si="0"/>
        <v>192</v>
      </c>
      <c r="B34" s="150"/>
      <c r="C34" s="156">
        <f ca="1">1 / [1]!ldfsir(ldfs, ldf_ages, ldf_type, ldf_ret, $A34, "Paid", 500000, cutoff, 3)</f>
        <v>0.95615723889502657</v>
      </c>
      <c r="D34" s="156"/>
      <c r="E34" s="156">
        <f t="shared" ca="1" si="1"/>
        <v>5.9251726905289459E-3</v>
      </c>
      <c r="F34" s="156"/>
      <c r="G34" s="156">
        <f ca="1">SUM(E34:E$43)</f>
        <v>4.9767933795502373E-2</v>
      </c>
      <c r="H34" s="156"/>
      <c r="I34" s="158">
        <f t="shared" ca="1" si="2"/>
        <v>3.74734803048435E-3</v>
      </c>
      <c r="J34" s="158"/>
      <c r="K34" s="158">
        <f ca="1">SUM(I34:I$42)</f>
        <v>2.7502137611303164E-2</v>
      </c>
      <c r="L34" s="158"/>
      <c r="M34" s="159">
        <f t="shared" ca="1" si="3"/>
        <v>0.8609446086578928</v>
      </c>
    </row>
    <row r="35" spans="1:13" x14ac:dyDescent="0.2">
      <c r="A35" s="155">
        <f t="shared" si="0"/>
        <v>204</v>
      </c>
      <c r="B35" s="150"/>
      <c r="C35" s="156">
        <f ca="1">1 / [1]!ldfsir(ldfs, ldf_ages, ldf_type, ldf_ret, $A35, "Paid", 500000, cutoff, 3)</f>
        <v>0.9613913794045138</v>
      </c>
      <c r="D35" s="156"/>
      <c r="E35" s="156">
        <f t="shared" ca="1" si="1"/>
        <v>5.2341405094872284E-3</v>
      </c>
      <c r="F35" s="156"/>
      <c r="G35" s="156">
        <f ca="1">SUM(E35:E$43)</f>
        <v>4.3842761104973427E-2</v>
      </c>
      <c r="H35" s="156"/>
      <c r="I35" s="158">
        <f t="shared" ca="1" si="2"/>
        <v>3.2138911917870367E-3</v>
      </c>
      <c r="J35" s="158"/>
      <c r="K35" s="158">
        <f ca="1">SUM(I35:I$42)</f>
        <v>2.3754789580818815E-2</v>
      </c>
      <c r="L35" s="158"/>
      <c r="M35" s="159">
        <f t="shared" ca="1" si="3"/>
        <v>0.86945855687571061</v>
      </c>
    </row>
    <row r="36" spans="1:13" x14ac:dyDescent="0.2">
      <c r="A36" s="155">
        <f t="shared" si="0"/>
        <v>216</v>
      </c>
      <c r="B36" s="150"/>
      <c r="C36" s="156">
        <f ca="1">1 / [1]!ldfsir(ldfs, ldf_ages, ldf_type, ldf_ret, $A36, "Paid", 500000, cutoff, 3)</f>
        <v>0.96601179523575986</v>
      </c>
      <c r="D36" s="156"/>
      <c r="E36" s="156">
        <f t="shared" ca="1" si="1"/>
        <v>4.6204158312460608E-3</v>
      </c>
      <c r="F36" s="156"/>
      <c r="G36" s="156">
        <f ca="1">SUM(E36:E$43)</f>
        <v>3.8608620595486198E-2</v>
      </c>
      <c r="H36" s="156"/>
      <c r="I36" s="158">
        <f t="shared" ca="1" si="2"/>
        <v>2.7544166243340909E-3</v>
      </c>
      <c r="J36" s="158"/>
      <c r="K36" s="158">
        <f ca="1">SUM(I36:I$42)</f>
        <v>2.0540898389031777E-2</v>
      </c>
      <c r="L36" s="158"/>
      <c r="M36" s="159">
        <f t="shared" ca="1" si="3"/>
        <v>0.87936255539300612</v>
      </c>
    </row>
    <row r="37" spans="1:13" x14ac:dyDescent="0.2">
      <c r="A37" s="155">
        <f t="shared" si="0"/>
        <v>228</v>
      </c>
      <c r="B37" s="150"/>
      <c r="C37" s="156">
        <f ca="1">1 / [1]!ldfsir(ldfs, ldf_ages, ldf_type, ldf_ret, $A37, "Paid", 500000, cutoff, 3)</f>
        <v>0.97008790297197922</v>
      </c>
      <c r="D37" s="156"/>
      <c r="E37" s="156">
        <f t="shared" ca="1" si="1"/>
        <v>4.0761077362193587E-3</v>
      </c>
      <c r="F37" s="156"/>
      <c r="G37" s="156">
        <f ca="1">SUM(E37:E$43)</f>
        <v>3.3988204764240137E-2</v>
      </c>
      <c r="H37" s="156"/>
      <c r="I37" s="158">
        <f t="shared" ca="1" si="2"/>
        <v>2.359157834096444E-3</v>
      </c>
      <c r="J37" s="158"/>
      <c r="K37" s="158">
        <f ca="1">SUM(I37:I$42)</f>
        <v>1.7786481764697687E-2</v>
      </c>
      <c r="L37" s="158"/>
      <c r="M37" s="159">
        <f t="shared" ca="1" si="3"/>
        <v>0.89090597192178489</v>
      </c>
    </row>
    <row r="38" spans="1:13" x14ac:dyDescent="0.2">
      <c r="A38" s="155">
        <f t="shared" si="0"/>
        <v>240</v>
      </c>
      <c r="B38" s="150"/>
      <c r="C38" s="156">
        <f ca="1">1 / [1]!ldfsir(ldfs, ldf_ages, ldf_type, ldf_ret, $A38, "Paid", 500000, cutoff, 3)</f>
        <v>0.97368185402595708</v>
      </c>
      <c r="D38" s="156"/>
      <c r="E38" s="156">
        <f t="shared" ca="1" si="1"/>
        <v>3.5939510539778619E-3</v>
      </c>
      <c r="F38" s="156"/>
      <c r="G38" s="156">
        <f ca="1">SUM(E38:E$43)</f>
        <v>2.9912097028020779E-2</v>
      </c>
      <c r="H38" s="156"/>
      <c r="I38" s="158">
        <f t="shared" ca="1" si="2"/>
        <v>2.0195112480846963E-3</v>
      </c>
      <c r="J38" s="158"/>
      <c r="K38" s="158">
        <f ca="1">SUM(I38:I$42)</f>
        <v>1.5427323930601243E-2</v>
      </c>
      <c r="L38" s="158"/>
      <c r="M38" s="159">
        <f t="shared" ca="1" si="3"/>
        <v>0.90438011984746658</v>
      </c>
    </row>
    <row r="39" spans="1:13" x14ac:dyDescent="0.2">
      <c r="A39" s="155">
        <f t="shared" si="0"/>
        <v>252</v>
      </c>
      <c r="B39" s="150"/>
      <c r="C39" s="156">
        <f ca="1">1 / [1]!ldfsir(ldfs, ldf_ages, ldf_type, ldf_ret, $A39, "Paid", 500000, cutoff, 3)</f>
        <v>0.97684915667227412</v>
      </c>
      <c r="D39" s="156"/>
      <c r="E39" s="156">
        <f t="shared" ca="1" si="1"/>
        <v>3.1673026463170384E-3</v>
      </c>
      <c r="F39" s="156"/>
      <c r="G39" s="156">
        <f ca="1">SUM(E39:E$43)</f>
        <v>2.6318145974042917E-2</v>
      </c>
      <c r="H39" s="156"/>
      <c r="I39" s="158">
        <f t="shared" ca="1" si="2"/>
        <v>1.7279312427258399E-3</v>
      </c>
      <c r="J39" s="158"/>
      <c r="K39" s="158">
        <f ca="1">SUM(I39:I$42)</f>
        <v>1.3407812682516547E-2</v>
      </c>
      <c r="L39" s="158"/>
      <c r="M39" s="159">
        <f t="shared" ca="1" si="3"/>
        <v>0.92012564798903218</v>
      </c>
    </row>
    <row r="40" spans="1:13" x14ac:dyDescent="0.2">
      <c r="A40" s="155">
        <f t="shared" si="0"/>
        <v>264</v>
      </c>
      <c r="B40" s="150"/>
      <c r="C40" s="156">
        <f ca="1">1 / [1]!ldfsir(ldfs, ldf_ages, ldf_type, ldf_ret, $A40, "Paid", 500000, cutoff, 3)</f>
        <v>0.97963927955249741</v>
      </c>
      <c r="D40" s="156"/>
      <c r="E40" s="156">
        <f t="shared" ca="1" si="1"/>
        <v>2.7901228802232891E-3</v>
      </c>
      <c r="F40" s="156"/>
      <c r="G40" s="156">
        <f ca="1">SUM(E40:E$43)</f>
        <v>2.3150843327725878E-2</v>
      </c>
      <c r="H40" s="156"/>
      <c r="I40" s="158">
        <f t="shared" ca="1" si="2"/>
        <v>1.4778249667383345E-3</v>
      </c>
      <c r="J40" s="158"/>
      <c r="K40" s="158">
        <f ca="1">SUM(I40:I$42)</f>
        <v>1.1679881439790707E-2</v>
      </c>
      <c r="L40" s="158"/>
      <c r="M40" s="159">
        <f t="shared" ca="1" si="3"/>
        <v>0.93854118975576406</v>
      </c>
    </row>
    <row r="41" spans="1:13" x14ac:dyDescent="0.2">
      <c r="A41" s="155">
        <f t="shared" si="0"/>
        <v>276</v>
      </c>
      <c r="B41" s="150"/>
      <c r="C41" s="156">
        <f ca="1">1 / [1]!ldfsir(ldfs, ldf_ages, ldf_type, ldf_ret, $A41, "Paid", 500000, cutoff, 3)</f>
        <v>0.98209622672521157</v>
      </c>
      <c r="D41" s="156"/>
      <c r="E41" s="156">
        <f t="shared" ca="1" si="1"/>
        <v>2.4569471727141634E-3</v>
      </c>
      <c r="F41" s="156"/>
      <c r="G41" s="156">
        <f ca="1">SUM(E41:E$43)</f>
        <v>2.0360720447502589E-2</v>
      </c>
      <c r="H41" s="156"/>
      <c r="I41" s="158">
        <f t="shared" ca="1" si="2"/>
        <v>1.2634505909143979E-3</v>
      </c>
      <c r="J41" s="158"/>
      <c r="K41" s="158">
        <f ca="1">SUM(I41:I$42)</f>
        <v>1.0202056473052373E-2</v>
      </c>
      <c r="L41" s="158"/>
      <c r="M41" s="159">
        <f t="shared" ca="1" si="3"/>
        <v>0.96009349157404633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1.7903773274788426E-2</v>
      </c>
      <c r="F42" s="156"/>
      <c r="G42" s="156">
        <f ca="1">SUM(E42:E$43)</f>
        <v>1.7903773274788426E-2</v>
      </c>
      <c r="H42" s="156"/>
      <c r="I42" s="158">
        <f t="shared" ca="1" si="2"/>
        <v>8.9386058821379743E-3</v>
      </c>
      <c r="J42" s="158"/>
      <c r="K42" s="158">
        <f ca="1">SUM(I42:I$42)</f>
        <v>8.9386058821379743E-3</v>
      </c>
      <c r="L42" s="158"/>
      <c r="M42" s="159">
        <f t="shared" ca="1" si="3"/>
        <v>0.98532927816429217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690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3
</oddHeader>
    <oddFooter xml:space="preserve">&amp;L&amp;"Arial"&amp;10 Oliver Wyman Actuarial Consulting, Inc.
&amp;C&amp;"Arial"&amp;10 &amp;R&amp;"Arial"&amp;10 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6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4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Limited to $750,000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[1]!ldfsir(ldfs, ldf_ages, ldf_type, ldf_ret, $A19, "Paid", 750000, cutoff, 3)</f>
        <v>0.18157917841477356</v>
      </c>
      <c r="D19" s="156"/>
      <c r="E19" s="156">
        <f ca="1">C19</f>
        <v>0.18157917841477356</v>
      </c>
      <c r="F19" s="156"/>
      <c r="G19" s="156">
        <f ca="1">SUM(E19:E$43)</f>
        <v>1</v>
      </c>
      <c r="H19" s="156"/>
      <c r="I19" s="157">
        <f ca="1">E19/((1+$E$11)^((A19-(A19/2))/12))</f>
        <v>0.17891528079709423</v>
      </c>
      <c r="J19" s="158"/>
      <c r="K19" s="158">
        <f ca="1">SUM(I19:I$42)</f>
        <v>0.90057505634760315</v>
      </c>
      <c r="L19" s="158"/>
      <c r="M19" s="159">
        <f ca="1">((1+$E$11)^((A18)/12))*K19/G19</f>
        <v>0.90057505634760315</v>
      </c>
    </row>
    <row r="20" spans="1:13" x14ac:dyDescent="0.2">
      <c r="A20" s="155">
        <f t="shared" ref="A20:A42" si="0">A19+12</f>
        <v>24</v>
      </c>
      <c r="B20" s="150"/>
      <c r="C20" s="156">
        <f ca="1">1 / [1]!ldfsir(ldfs, ldf_ages, ldf_type, ldf_ret, $A20, "Paid", 750000, cutoff, 3)</f>
        <v>0.49752694885647947</v>
      </c>
      <c r="D20" s="156"/>
      <c r="E20" s="156">
        <f t="shared" ref="E20:E41" ca="1" si="1">C20-C19</f>
        <v>0.31594777044170591</v>
      </c>
      <c r="F20" s="156"/>
      <c r="G20" s="156">
        <f ca="1">SUM(E20:E$43)</f>
        <v>0.81842082158522644</v>
      </c>
      <c r="H20" s="156"/>
      <c r="I20" s="158">
        <f ca="1">E20/((1+$E$11)^((A20-6)/12))</f>
        <v>0.30224523163780959</v>
      </c>
      <c r="J20" s="158"/>
      <c r="K20" s="158">
        <f ca="1">SUM(I20:I$42)</f>
        <v>0.72165977555050886</v>
      </c>
      <c r="L20" s="158"/>
      <c r="M20" s="159">
        <f ca="1">((1+$E$11)^((A19)/12))*K20/G20</f>
        <v>0.9082241668501092</v>
      </c>
    </row>
    <row r="21" spans="1:13" x14ac:dyDescent="0.2">
      <c r="A21" s="155">
        <f t="shared" si="0"/>
        <v>36</v>
      </c>
      <c r="B21" s="150"/>
      <c r="C21" s="156">
        <f ca="1">1 / [1]!ldfsir(ldfs, ldf_ages, ldf_type, ldf_ret, $A21, "Paid", 750000, cutoff, 3)</f>
        <v>0.67533959015859801</v>
      </c>
      <c r="D21" s="156"/>
      <c r="E21" s="156">
        <f t="shared" ca="1" si="1"/>
        <v>0.17781264130211855</v>
      </c>
      <c r="F21" s="156"/>
      <c r="G21" s="156">
        <f ca="1">SUM(E21:E$43)</f>
        <v>0.50247305114352048</v>
      </c>
      <c r="H21" s="156"/>
      <c r="I21" s="158">
        <f t="shared" ref="I21:I42" ca="1" si="2">E21/((1+$E$11)^((A21-6)/12))</f>
        <v>0.16514657508031186</v>
      </c>
      <c r="J21" s="158"/>
      <c r="K21" s="158">
        <f ca="1">SUM(I21:I$42)</f>
        <v>0.41941454391269956</v>
      </c>
      <c r="L21" s="158"/>
      <c r="M21" s="159">
        <f t="shared" ref="M21:M42" ca="1" si="3">((1+$E$11)^((A20)/12))*K21/G21</f>
        <v>0.88553383833094501</v>
      </c>
    </row>
    <row r="22" spans="1:13" x14ac:dyDescent="0.2">
      <c r="A22" s="155">
        <f t="shared" si="0"/>
        <v>48</v>
      </c>
      <c r="B22" s="150"/>
      <c r="C22" s="156">
        <f ca="1">1 / [1]!ldfsir(ldfs, ldf_ages, ldf_type, ldf_ret, $A22, "Paid", 750000, cutoff, 3)</f>
        <v>0.74982636640374412</v>
      </c>
      <c r="D22" s="156"/>
      <c r="E22" s="156">
        <f t="shared" ca="1" si="1"/>
        <v>7.4486776245146102E-2</v>
      </c>
      <c r="F22" s="156"/>
      <c r="G22" s="156">
        <f ca="1">SUM(E22:E$43)</f>
        <v>0.32466040984140199</v>
      </c>
      <c r="H22" s="156"/>
      <c r="I22" s="158">
        <f t="shared" ca="1" si="2"/>
        <v>6.7165908292203841E-2</v>
      </c>
      <c r="J22" s="158"/>
      <c r="K22" s="158">
        <f ca="1">SUM(I22:I$42)</f>
        <v>0.25426796883238773</v>
      </c>
      <c r="L22" s="158"/>
      <c r="M22" s="159">
        <f t="shared" ca="1" si="3"/>
        <v>0.85580337594607636</v>
      </c>
    </row>
    <row r="23" spans="1:13" x14ac:dyDescent="0.2">
      <c r="A23" s="155">
        <f t="shared" si="0"/>
        <v>60</v>
      </c>
      <c r="B23" s="150"/>
      <c r="C23" s="156">
        <f ca="1">1 / [1]!ldfsir(ldfs, ldf_ages, ldf_type, ldf_ret, $A23, "Paid", 750000, cutoff, 3)</f>
        <v>0.79971642555726652</v>
      </c>
      <c r="D23" s="156"/>
      <c r="E23" s="156">
        <f t="shared" ca="1" si="1"/>
        <v>4.9890059153522404E-2</v>
      </c>
      <c r="F23" s="156"/>
      <c r="G23" s="156">
        <f ca="1">SUM(E23:E$43)</f>
        <v>0.25017363359625588</v>
      </c>
      <c r="H23" s="156"/>
      <c r="I23" s="158">
        <f t="shared" ca="1" si="2"/>
        <v>4.367636711196788E-2</v>
      </c>
      <c r="J23" s="158"/>
      <c r="K23" s="158">
        <f ca="1">SUM(I23:I$42)</f>
        <v>0.18710206054018388</v>
      </c>
      <c r="L23" s="158"/>
      <c r="M23" s="159">
        <f t="shared" ca="1" si="3"/>
        <v>0.84175544193031993</v>
      </c>
    </row>
    <row r="24" spans="1:13" x14ac:dyDescent="0.2">
      <c r="A24" s="155">
        <f t="shared" si="0"/>
        <v>72</v>
      </c>
      <c r="B24" s="150"/>
      <c r="C24" s="156">
        <f ca="1">1 / [1]!ldfsir(ldfs, ldf_ages, ldf_type, ldf_ret, $A24, "Paid", 750000, cutoff, 3)</f>
        <v>0.83045713824347589</v>
      </c>
      <c r="D24" s="156"/>
      <c r="E24" s="156">
        <f t="shared" ca="1" si="1"/>
        <v>3.074071268620937E-2</v>
      </c>
      <c r="F24" s="156"/>
      <c r="G24" s="156">
        <f ca="1">SUM(E24:E$43)</f>
        <v>0.20028357444273348</v>
      </c>
      <c r="H24" s="156"/>
      <c r="I24" s="158">
        <f t="shared" ca="1" si="2"/>
        <v>2.6128182207169889E-2</v>
      </c>
      <c r="J24" s="158"/>
      <c r="K24" s="158">
        <f ca="1">SUM(I24:I$42)</f>
        <v>0.14342569342821598</v>
      </c>
      <c r="L24" s="158"/>
      <c r="M24" s="159">
        <f t="shared" ca="1" si="3"/>
        <v>0.83017136299098604</v>
      </c>
    </row>
    <row r="25" spans="1:13" x14ac:dyDescent="0.2">
      <c r="A25" s="155">
        <f t="shared" si="0"/>
        <v>84</v>
      </c>
      <c r="B25" s="150"/>
      <c r="C25" s="156">
        <f ca="1">1 / [1]!ldfsir(ldfs, ldf_ages, ldf_type, ldf_ret, $A25, "Paid", 750000, cutoff, 3)</f>
        <v>0.854890712854385</v>
      </c>
      <c r="D25" s="156"/>
      <c r="E25" s="156">
        <f t="shared" ca="1" si="1"/>
        <v>2.4433574610909115E-2</v>
      </c>
      <c r="F25" s="156"/>
      <c r="G25" s="156">
        <f ca="1">SUM(E25:E$43)</f>
        <v>0.16954286175652411</v>
      </c>
      <c r="H25" s="156"/>
      <c r="I25" s="158">
        <f t="shared" ca="1" si="2"/>
        <v>2.0162530991586061E-2</v>
      </c>
      <c r="J25" s="158"/>
      <c r="K25" s="158">
        <f ca="1">SUM(I25:I$42)</f>
        <v>0.11729751122104608</v>
      </c>
      <c r="L25" s="158"/>
      <c r="M25" s="159">
        <f t="shared" ca="1" si="3"/>
        <v>0.82610002685787887</v>
      </c>
    </row>
    <row r="26" spans="1:13" x14ac:dyDescent="0.2">
      <c r="A26" s="155">
        <f t="shared" si="0"/>
        <v>96</v>
      </c>
      <c r="B26" s="150"/>
      <c r="C26" s="156">
        <f ca="1">1 / [1]!ldfsir(ldfs, ldf_ages, ldf_type, ldf_ret, $A26, "Paid", 750000, cutoff, 3)</f>
        <v>0.87378117971850822</v>
      </c>
      <c r="D26" s="156"/>
      <c r="E26" s="156">
        <f t="shared" ca="1" si="1"/>
        <v>1.8890466864123212E-2</v>
      </c>
      <c r="F26" s="156"/>
      <c r="G26" s="156">
        <f ca="1">SUM(E26:E$43)</f>
        <v>0.145109287145615</v>
      </c>
      <c r="H26" s="156"/>
      <c r="I26" s="158">
        <f t="shared" ca="1" si="2"/>
        <v>1.5134340685402639E-2</v>
      </c>
      <c r="J26" s="158"/>
      <c r="K26" s="158">
        <f ca="1">SUM(I26:I$42)</f>
        <v>9.7134980229460002E-2</v>
      </c>
      <c r="L26" s="158"/>
      <c r="M26" s="159">
        <f t="shared" ca="1" si="3"/>
        <v>0.82326759336150679</v>
      </c>
    </row>
    <row r="27" spans="1:13" x14ac:dyDescent="0.2">
      <c r="A27" s="155">
        <f t="shared" si="0"/>
        <v>108</v>
      </c>
      <c r="B27" s="150"/>
      <c r="C27" s="156">
        <f ca="1">1 / [1]!ldfsir(ldfs, ldf_ages, ldf_type, ldf_ret, $A27, "Paid", 750000, cutoff, 3)</f>
        <v>0.88892432566598645</v>
      </c>
      <c r="D27" s="156"/>
      <c r="E27" s="156">
        <f t="shared" ca="1" si="1"/>
        <v>1.5143145947478232E-2</v>
      </c>
      <c r="F27" s="156"/>
      <c r="G27" s="156">
        <f ca="1">SUM(E27:E$43)</f>
        <v>0.12621882028149178</v>
      </c>
      <c r="H27" s="156"/>
      <c r="I27" s="158">
        <f t="shared" ca="1" si="2"/>
        <v>1.1778763395817543E-2</v>
      </c>
      <c r="J27" s="158"/>
      <c r="K27" s="158">
        <f ca="1">SUM(I27:I$42)</f>
        <v>8.2000639544057383E-2</v>
      </c>
      <c r="L27" s="158"/>
      <c r="M27" s="159">
        <f t="shared" ca="1" si="3"/>
        <v>0.82298310661911711</v>
      </c>
    </row>
    <row r="28" spans="1:13" x14ac:dyDescent="0.2">
      <c r="A28" s="155">
        <f t="shared" si="0"/>
        <v>120</v>
      </c>
      <c r="B28" s="150"/>
      <c r="C28" s="156">
        <f ca="1">1 / [1]!ldfsir(ldfs, ldf_ages, ldf_type, ldf_ret, $A28, "Paid", 750000, cutoff, 3)</f>
        <v>0.90158380263000337</v>
      </c>
      <c r="D28" s="156"/>
      <c r="E28" s="156">
        <f t="shared" ca="1" si="1"/>
        <v>1.2659476964016925E-2</v>
      </c>
      <c r="F28" s="156"/>
      <c r="G28" s="156">
        <f ca="1">SUM(E28:E$43)</f>
        <v>0.11107567433401355</v>
      </c>
      <c r="H28" s="156"/>
      <c r="I28" s="158">
        <f t="shared" ca="1" si="2"/>
        <v>9.5600932433975647E-3</v>
      </c>
      <c r="J28" s="158"/>
      <c r="K28" s="158">
        <f ca="1">SUM(I28:I$42)</f>
        <v>7.022187614823984E-2</v>
      </c>
      <c r="L28" s="158"/>
      <c r="M28" s="159">
        <f t="shared" ca="1" si="3"/>
        <v>0.82487566666381085</v>
      </c>
    </row>
    <row r="29" spans="1:13" x14ac:dyDescent="0.2">
      <c r="A29" s="155">
        <f t="shared" si="0"/>
        <v>132</v>
      </c>
      <c r="B29" s="150"/>
      <c r="C29" s="156">
        <f ca="1">1 / [1]!ldfsir(ldfs, ldf_ages, ldf_type, ldf_ret, $A29, "Paid", 750000, cutoff, 3)</f>
        <v>0.91274347674667466</v>
      </c>
      <c r="D29" s="156"/>
      <c r="E29" s="156">
        <f t="shared" ca="1" si="1"/>
        <v>1.1159674116671292E-2</v>
      </c>
      <c r="F29" s="156"/>
      <c r="G29" s="156">
        <f ca="1">SUM(E29:E$43)</f>
        <v>9.8416197369996627E-2</v>
      </c>
      <c r="H29" s="156"/>
      <c r="I29" s="158">
        <f t="shared" ca="1" si="2"/>
        <v>8.1820221934454547E-3</v>
      </c>
      <c r="J29" s="158"/>
      <c r="K29" s="158">
        <f ca="1">SUM(I29:I$42)</f>
        <v>6.0661782904842282E-2</v>
      </c>
      <c r="L29" s="158"/>
      <c r="M29" s="159">
        <f t="shared" ca="1" si="3"/>
        <v>0.82836327580858626</v>
      </c>
    </row>
    <row r="30" spans="1:13" x14ac:dyDescent="0.2">
      <c r="A30" s="155">
        <f t="shared" si="0"/>
        <v>144</v>
      </c>
      <c r="B30" s="150"/>
      <c r="C30" s="156">
        <f ca="1">1 / [1]!ldfsir(ldfs, ldf_ages, ldf_type, ldf_ret, $A30, "Paid", 750000, cutoff, 3)</f>
        <v>0.92215633177750933</v>
      </c>
      <c r="D30" s="156"/>
      <c r="E30" s="156">
        <f t="shared" ca="1" si="1"/>
        <v>9.4128550308346659E-3</v>
      </c>
      <c r="F30" s="156"/>
      <c r="G30" s="156">
        <f ca="1">SUM(E30:E$43)</f>
        <v>8.7256523253325335E-2</v>
      </c>
      <c r="H30" s="156"/>
      <c r="I30" s="158">
        <f t="shared" ca="1" si="2"/>
        <v>6.7002851535076669E-3</v>
      </c>
      <c r="J30" s="158"/>
      <c r="K30" s="158">
        <f ca="1">SUM(I30:I$42)</f>
        <v>5.2479760711396817E-2</v>
      </c>
      <c r="L30" s="158"/>
      <c r="M30" s="159">
        <f t="shared" ca="1" si="3"/>
        <v>0.83253675021324014</v>
      </c>
    </row>
    <row r="31" spans="1:13" x14ac:dyDescent="0.2">
      <c r="A31" s="155">
        <f t="shared" si="0"/>
        <v>156</v>
      </c>
      <c r="B31" s="150"/>
      <c r="C31" s="156">
        <f ca="1">1 / [1]!ldfsir(ldfs, ldf_ages, ldf_type, ldf_ret, $A31, "Paid", 750000, cutoff, 3)</f>
        <v>0.93071778593690857</v>
      </c>
      <c r="D31" s="156"/>
      <c r="E31" s="156">
        <f t="shared" ca="1" si="1"/>
        <v>8.5614541593992399E-3</v>
      </c>
      <c r="F31" s="156"/>
      <c r="G31" s="156">
        <f ca="1">SUM(E31:E$43)</f>
        <v>7.784366822249067E-2</v>
      </c>
      <c r="H31" s="156"/>
      <c r="I31" s="158">
        <f t="shared" ca="1" si="2"/>
        <v>5.9167364771647388E-3</v>
      </c>
      <c r="J31" s="158"/>
      <c r="K31" s="158">
        <f ca="1">SUM(I31:I$42)</f>
        <v>4.5779475557889152E-2</v>
      </c>
      <c r="L31" s="158"/>
      <c r="M31" s="159">
        <f t="shared" ca="1" si="3"/>
        <v>0.83848291275552911</v>
      </c>
    </row>
    <row r="32" spans="1:13" x14ac:dyDescent="0.2">
      <c r="A32" s="155">
        <f t="shared" si="0"/>
        <v>168</v>
      </c>
      <c r="B32" s="150"/>
      <c r="C32" s="156">
        <f ca="1">1 / [1]!ldfsir(ldfs, ldf_ages, ldf_type, ldf_ret, $A32, "Paid", 750000, cutoff, 3)</f>
        <v>0.93863901969695795</v>
      </c>
      <c r="D32" s="156"/>
      <c r="E32" s="156">
        <f t="shared" ca="1" si="1"/>
        <v>7.9212337600493843E-3</v>
      </c>
      <c r="F32" s="156"/>
      <c r="G32" s="156">
        <f ca="1">SUM(E32:E$43)</f>
        <v>6.928221406309143E-2</v>
      </c>
      <c r="H32" s="156"/>
      <c r="I32" s="158">
        <f t="shared" ca="1" si="2"/>
        <v>5.3148412402569704E-3</v>
      </c>
      <c r="J32" s="158"/>
      <c r="K32" s="158">
        <f ca="1">SUM(I32:I$42)</f>
        <v>3.9862739080724408E-2</v>
      </c>
      <c r="L32" s="158"/>
      <c r="M32" s="159">
        <f t="shared" ca="1" si="3"/>
        <v>0.8449466727096524</v>
      </c>
    </row>
    <row r="33" spans="1:13" x14ac:dyDescent="0.2">
      <c r="A33" s="155">
        <f t="shared" si="0"/>
        <v>180</v>
      </c>
      <c r="B33" s="150"/>
      <c r="C33" s="156">
        <f ca="1">1 / [1]!ldfsir(ldfs, ldf_ages, ldf_type, ldf_ret, $A33, "Paid", 750000, cutoff, 3)</f>
        <v>0.94577104079234553</v>
      </c>
      <c r="D33" s="156"/>
      <c r="E33" s="156">
        <f t="shared" ca="1" si="1"/>
        <v>7.1320210953875751E-3</v>
      </c>
      <c r="F33" s="156"/>
      <c r="G33" s="156">
        <f ca="1">SUM(E33:E$43)</f>
        <v>6.1360980303042045E-2</v>
      </c>
      <c r="H33" s="156"/>
      <c r="I33" s="158">
        <f t="shared" ca="1" si="2"/>
        <v>4.6459321270636636E-3</v>
      </c>
      <c r="J33" s="158"/>
      <c r="K33" s="158">
        <f ca="1">SUM(I33:I$42)</f>
        <v>3.454789784046744E-2</v>
      </c>
      <c r="L33" s="158"/>
      <c r="M33" s="159">
        <f t="shared" ca="1" si="3"/>
        <v>0.851629081392698</v>
      </c>
    </row>
    <row r="34" spans="1:13" x14ac:dyDescent="0.2">
      <c r="A34" s="155">
        <f t="shared" si="0"/>
        <v>192</v>
      </c>
      <c r="B34" s="150"/>
      <c r="C34" s="156">
        <f ca="1">1 / [1]!ldfsir(ldfs, ldf_ages, ldf_type, ldf_ret, $A34, "Paid", 750000, cutoff, 3)</f>
        <v>0.95202639393298905</v>
      </c>
      <c r="D34" s="156"/>
      <c r="E34" s="156">
        <f t="shared" ca="1" si="1"/>
        <v>6.2553531406435159E-3</v>
      </c>
      <c r="F34" s="156"/>
      <c r="G34" s="156">
        <f ca="1">SUM(E34:E$43)</f>
        <v>5.422895920765447E-2</v>
      </c>
      <c r="H34" s="156"/>
      <c r="I34" s="158">
        <f t="shared" ca="1" si="2"/>
        <v>3.9561691271958474E-3</v>
      </c>
      <c r="J34" s="158"/>
      <c r="K34" s="158">
        <f ca="1">SUM(I34:I$42)</f>
        <v>2.9901965713403776E-2</v>
      </c>
      <c r="L34" s="158"/>
      <c r="M34" s="159">
        <f t="shared" ca="1" si="3"/>
        <v>0.85906661227642767</v>
      </c>
    </row>
    <row r="35" spans="1:13" x14ac:dyDescent="0.2">
      <c r="A35" s="155">
        <f t="shared" si="0"/>
        <v>204</v>
      </c>
      <c r="B35" s="150"/>
      <c r="C35" s="156">
        <f ca="1">1 / [1]!ldfsir(ldfs, ldf_ages, ldf_type, ldf_ret, $A35, "Paid", 750000, cutoff, 3)</f>
        <v>0.95757180270575382</v>
      </c>
      <c r="D35" s="156"/>
      <c r="E35" s="156">
        <f t="shared" ca="1" si="1"/>
        <v>5.5454087727647705E-3</v>
      </c>
      <c r="F35" s="156"/>
      <c r="G35" s="156">
        <f ca="1">SUM(E35:E$43)</f>
        <v>4.7973606067010954E-2</v>
      </c>
      <c r="H35" s="156"/>
      <c r="I35" s="158">
        <f t="shared" ca="1" si="2"/>
        <v>3.4050175721005347E-3</v>
      </c>
      <c r="J35" s="158"/>
      <c r="K35" s="158">
        <f ca="1">SUM(I35:I$42)</f>
        <v>2.594579658620793E-2</v>
      </c>
      <c r="L35" s="158"/>
      <c r="M35" s="159">
        <f t="shared" ca="1" si="3"/>
        <v>0.86788111761449938</v>
      </c>
    </row>
    <row r="36" spans="1:13" x14ac:dyDescent="0.2">
      <c r="A36" s="155">
        <f t="shared" si="0"/>
        <v>216</v>
      </c>
      <c r="B36" s="150"/>
      <c r="C36" s="156">
        <f ca="1">1 / [1]!ldfsir(ldfs, ldf_ages, ldf_type, ldf_ret, $A36, "Paid", 750000, cutoff, 3)</f>
        <v>0.96250419268000753</v>
      </c>
      <c r="D36" s="156"/>
      <c r="E36" s="156">
        <f t="shared" ca="1" si="1"/>
        <v>4.9323899742537147E-3</v>
      </c>
      <c r="F36" s="156"/>
      <c r="G36" s="156">
        <f ca="1">SUM(E36:E$43)</f>
        <v>4.2428197294246184E-2</v>
      </c>
      <c r="H36" s="156"/>
      <c r="I36" s="158">
        <f t="shared" ca="1" si="2"/>
        <v>2.9403970203087364E-3</v>
      </c>
      <c r="J36" s="158"/>
      <c r="K36" s="158">
        <f ca="1">SUM(I36:I$42)</f>
        <v>2.2540779014107396E-2</v>
      </c>
      <c r="L36" s="158"/>
      <c r="M36" s="159">
        <f t="shared" ca="1" si="3"/>
        <v>0.87810643861790094</v>
      </c>
    </row>
    <row r="37" spans="1:13" x14ac:dyDescent="0.2">
      <c r="A37" s="155">
        <f t="shared" si="0"/>
        <v>228</v>
      </c>
      <c r="B37" s="150"/>
      <c r="C37" s="156">
        <f ca="1">1 / [1]!ldfsir(ldfs, ldf_ages, ldf_type, ldf_ret, $A37, "Paid", 750000, cutoff, 3)</f>
        <v>0.96687313634136007</v>
      </c>
      <c r="D37" s="156"/>
      <c r="E37" s="156">
        <f t="shared" ca="1" si="1"/>
        <v>4.3689436613525423E-3</v>
      </c>
      <c r="F37" s="156"/>
      <c r="G37" s="156">
        <f ca="1">SUM(E37:E$43)</f>
        <v>3.7495807319992469E-2</v>
      </c>
      <c r="H37" s="156"/>
      <c r="I37" s="158">
        <f t="shared" ca="1" si="2"/>
        <v>2.5286445630030743E-3</v>
      </c>
      <c r="J37" s="158"/>
      <c r="K37" s="158">
        <f ca="1">SUM(I37:I$42)</f>
        <v>1.9600381993798661E-2</v>
      </c>
      <c r="L37" s="158"/>
      <c r="M37" s="159">
        <f t="shared" ca="1" si="3"/>
        <v>0.88992185271291391</v>
      </c>
    </row>
    <row r="38" spans="1:13" x14ac:dyDescent="0.2">
      <c r="A38" s="155">
        <f t="shared" si="0"/>
        <v>240</v>
      </c>
      <c r="B38" s="150"/>
      <c r="C38" s="156">
        <f ca="1">1 / [1]!ldfsir(ldfs, ldf_ages, ldf_type, ldf_ret, $A38, "Paid", 750000, cutoff, 3)</f>
        <v>0.9707407826949509</v>
      </c>
      <c r="D38" s="156"/>
      <c r="E38" s="156">
        <f t="shared" ca="1" si="1"/>
        <v>3.8676463535908256E-3</v>
      </c>
      <c r="F38" s="156"/>
      <c r="G38" s="156">
        <f ca="1">SUM(E38:E$43)</f>
        <v>3.3126863658639927E-2</v>
      </c>
      <c r="H38" s="156"/>
      <c r="I38" s="158">
        <f t="shared" ca="1" si="2"/>
        <v>2.1733059792356721E-3</v>
      </c>
      <c r="J38" s="158"/>
      <c r="K38" s="158">
        <f ca="1">SUM(I38:I$42)</f>
        <v>1.7071737430795583E-2</v>
      </c>
      <c r="L38" s="158"/>
      <c r="M38" s="159">
        <f t="shared" ca="1" si="3"/>
        <v>0.90365919423933783</v>
      </c>
    </row>
    <row r="39" spans="1:13" x14ac:dyDescent="0.2">
      <c r="A39" s="155">
        <f t="shared" si="0"/>
        <v>252</v>
      </c>
      <c r="B39" s="150"/>
      <c r="C39" s="156">
        <f ca="1">1 / [1]!ldfsir(ldfs, ldf_ages, ldf_type, ldf_ret, $A39, "Paid", 750000, cutoff, 3)</f>
        <v>0.97416292303349339</v>
      </c>
      <c r="D39" s="156"/>
      <c r="E39" s="156">
        <f t="shared" ca="1" si="1"/>
        <v>3.4221403385424898E-3</v>
      </c>
      <c r="F39" s="156"/>
      <c r="G39" s="156">
        <f ca="1">SUM(E39:E$43)</f>
        <v>2.9259217305049101E-2</v>
      </c>
      <c r="H39" s="156"/>
      <c r="I39" s="158">
        <f t="shared" ca="1" si="2"/>
        <v>1.8669586927020972E-3</v>
      </c>
      <c r="J39" s="158"/>
      <c r="K39" s="158">
        <f ca="1">SUM(I39:I$42)</f>
        <v>1.4898431451559913E-2</v>
      </c>
      <c r="L39" s="158"/>
      <c r="M39" s="159">
        <f t="shared" ca="1" si="3"/>
        <v>0.91964949516852212</v>
      </c>
    </row>
    <row r="40" spans="1:13" x14ac:dyDescent="0.2">
      <c r="A40" s="155">
        <f t="shared" si="0"/>
        <v>264</v>
      </c>
      <c r="B40" s="150"/>
      <c r="C40" s="156">
        <f ca="1">1 / [1]!ldfsir(ldfs, ldf_ages, ldf_type, ldf_ret, $A40, "Paid", 750000, cutoff, 3)</f>
        <v>0.97718952703454764</v>
      </c>
      <c r="D40" s="156"/>
      <c r="E40" s="156">
        <f t="shared" ca="1" si="1"/>
        <v>3.0266040010542561E-3</v>
      </c>
      <c r="F40" s="156"/>
      <c r="G40" s="156">
        <f ca="1">SUM(E40:E$43)</f>
        <v>2.5837076966506611E-2</v>
      </c>
      <c r="H40" s="156"/>
      <c r="I40" s="158">
        <f t="shared" ca="1" si="2"/>
        <v>1.603080276102451E-3</v>
      </c>
      <c r="J40" s="158"/>
      <c r="K40" s="158">
        <f ca="1">SUM(I40:I$42)</f>
        <v>1.3031472758857816E-2</v>
      </c>
      <c r="L40" s="158"/>
      <c r="M40" s="159">
        <f t="shared" ca="1" si="3"/>
        <v>0.9382786631053307</v>
      </c>
    </row>
    <row r="41" spans="1:13" x14ac:dyDescent="0.2">
      <c r="A41" s="155">
        <f t="shared" si="0"/>
        <v>276</v>
      </c>
      <c r="B41" s="150"/>
      <c r="C41" s="156">
        <f ca="1">1 / [1]!ldfsir(ldfs, ldf_ages, ldf_type, ldf_ret, $A41, "Paid", 750000, cutoff, 3)</f>
        <v>0.97986526153076103</v>
      </c>
      <c r="D41" s="156"/>
      <c r="E41" s="156">
        <f t="shared" ca="1" si="1"/>
        <v>2.6757344962133889E-3</v>
      </c>
      <c r="F41" s="156"/>
      <c r="G41" s="156">
        <f ca="1">SUM(E41:E$43)</f>
        <v>2.2810472965452355E-2</v>
      </c>
      <c r="H41" s="156"/>
      <c r="I41" s="158">
        <f t="shared" ca="1" si="2"/>
        <v>1.3759589005067079E-3</v>
      </c>
      <c r="J41" s="158"/>
      <c r="K41" s="158">
        <f ca="1">SUM(I41:I$42)</f>
        <v>1.1428392482755364E-2</v>
      </c>
      <c r="L41" s="158"/>
      <c r="M41" s="159">
        <f t="shared" ca="1" si="3"/>
        <v>0.95999683247129952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2.0134738469238966E-2</v>
      </c>
      <c r="F42" s="156"/>
      <c r="G42" s="156">
        <f ca="1">SUM(E42:E$43)</f>
        <v>2.0134738469238966E-2</v>
      </c>
      <c r="H42" s="156"/>
      <c r="I42" s="158">
        <f t="shared" ca="1" si="2"/>
        <v>1.0052433582248657E-2</v>
      </c>
      <c r="J42" s="158"/>
      <c r="K42" s="158">
        <f ca="1">SUM(I42:I$42)</f>
        <v>1.0052433582248657E-2</v>
      </c>
      <c r="L42" s="158"/>
      <c r="M42" s="159">
        <f t="shared" ca="1" si="3"/>
        <v>0.98532927816429228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600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4
</oddHeader>
    <oddFooter xml:space="preserve">&amp;L&amp;"Arial"&amp;10 Oliver Wyman Actuarial Consulting, Inc.
&amp;C&amp;"Arial"&amp;10 &amp;R&amp;"Arial"&amp;10 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7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5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Unlimited Loss &amp; ALAE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[1]!ldfsir(ldfs, ldf_ages, ldf_type, ldf_ret, $A19, "Paid", 10000000, cutoff, 3)</f>
        <v>0.17694384564895213</v>
      </c>
      <c r="D19" s="156"/>
      <c r="E19" s="156">
        <f ca="1">C19</f>
        <v>0.17694384564895213</v>
      </c>
      <c r="F19" s="156"/>
      <c r="G19" s="156">
        <f ca="1">SUM(E19:E$43)</f>
        <v>1</v>
      </c>
      <c r="H19" s="156"/>
      <c r="I19" s="157">
        <f ca="1">E19/((1+$E$11)^((A19-(A19/2))/12))</f>
        <v>0.17434795170889611</v>
      </c>
      <c r="J19" s="158"/>
      <c r="K19" s="158">
        <f ca="1">SUM(I19:I$42)</f>
        <v>0.89439876078558678</v>
      </c>
      <c r="L19" s="158"/>
      <c r="M19" s="159">
        <f ca="1">((1+$E$11)^((A18)/12))*K19/G19</f>
        <v>0.89439876078558678</v>
      </c>
    </row>
    <row r="20" spans="1:13" x14ac:dyDescent="0.2">
      <c r="A20" s="155">
        <f t="shared" ref="A20:A42" si="0">A19+12</f>
        <v>24</v>
      </c>
      <c r="B20" s="150"/>
      <c r="C20" s="156">
        <f ca="1">1 / [1]!ldfsir(ldfs, ldf_ages, ldf_type, ldf_ret, $A20, "Paid", 10000000, cutoff, 3)</f>
        <v>0.48482613707812877</v>
      </c>
      <c r="D20" s="156"/>
      <c r="E20" s="156">
        <f t="shared" ref="E20:E41" ca="1" si="1">C20-C19</f>
        <v>0.30788229142917667</v>
      </c>
      <c r="F20" s="156"/>
      <c r="G20" s="156">
        <f ca="1">SUM(E20:E$43)</f>
        <v>0.82305615435104784</v>
      </c>
      <c r="H20" s="156"/>
      <c r="I20" s="158">
        <f ca="1">E20/((1+$E$11)^((A20-6)/12))</f>
        <v>0.29452954948881471</v>
      </c>
      <c r="J20" s="158"/>
      <c r="K20" s="158">
        <f ca="1">SUM(I20:I$42)</f>
        <v>0.72005080907669061</v>
      </c>
      <c r="L20" s="158"/>
      <c r="M20" s="159">
        <f ca="1">((1+$E$11)^((A19)/12))*K20/G20</f>
        <v>0.90109566574319511</v>
      </c>
    </row>
    <row r="21" spans="1:13" x14ac:dyDescent="0.2">
      <c r="A21" s="155">
        <f t="shared" si="0"/>
        <v>36</v>
      </c>
      <c r="B21" s="150"/>
      <c r="C21" s="156">
        <f ca="1">1 / [1]!ldfsir(ldfs, ldf_ages, ldf_type, ldf_ret, $A21, "Paid", 10000000, cutoff, 3)</f>
        <v>0.65809959734858603</v>
      </c>
      <c r="D21" s="156"/>
      <c r="E21" s="156">
        <f t="shared" ca="1" si="1"/>
        <v>0.17327346027045726</v>
      </c>
      <c r="F21" s="156"/>
      <c r="G21" s="156">
        <f ca="1">SUM(E21:E$43)</f>
        <v>0.51517386292187117</v>
      </c>
      <c r="H21" s="156"/>
      <c r="I21" s="158">
        <f t="shared" ref="I21:I42" ca="1" si="2">E21/((1+$E$11)^((A21-6)/12))</f>
        <v>0.16093073195712976</v>
      </c>
      <c r="J21" s="158"/>
      <c r="K21" s="158">
        <f ca="1">SUM(I21:I$42)</f>
        <v>0.42552125958787579</v>
      </c>
      <c r="L21" s="158"/>
      <c r="M21" s="159">
        <f t="shared" ref="M21:M42" ca="1" si="3">((1+$E$11)^((A20)/12))*K21/G21</f>
        <v>0.87627796514443901</v>
      </c>
    </row>
    <row r="22" spans="1:13" x14ac:dyDescent="0.2">
      <c r="A22" s="155">
        <f t="shared" si="0"/>
        <v>48</v>
      </c>
      <c r="B22" s="150"/>
      <c r="C22" s="156">
        <f ca="1">1 / [1]!ldfsir(ldfs, ldf_ages, ldf_type, ldf_ret, $A22, "Paid", 10000000, cutoff, 3)</f>
        <v>0.73378105104367408</v>
      </c>
      <c r="D22" s="156"/>
      <c r="E22" s="156">
        <f t="shared" ca="1" si="1"/>
        <v>7.5681453695088052E-2</v>
      </c>
      <c r="F22" s="156"/>
      <c r="G22" s="156">
        <f ca="1">SUM(E22:E$43)</f>
        <v>0.34190040265141397</v>
      </c>
      <c r="H22" s="156"/>
      <c r="I22" s="158">
        <f t="shared" ca="1" si="2"/>
        <v>6.8243167909098512E-2</v>
      </c>
      <c r="J22" s="158"/>
      <c r="K22" s="158">
        <f ca="1">SUM(I22:I$42)</f>
        <v>0.26459052763074592</v>
      </c>
      <c r="L22" s="158"/>
      <c r="M22" s="159">
        <f t="shared" ca="1" si="3"/>
        <v>0.845641629094953</v>
      </c>
    </row>
    <row r="23" spans="1:13" x14ac:dyDescent="0.2">
      <c r="A23" s="155">
        <f t="shared" si="0"/>
        <v>60</v>
      </c>
      <c r="B23" s="150"/>
      <c r="C23" s="156">
        <f ca="1">1 / [1]!ldfsir(ldfs, ldf_ages, ldf_type, ldf_ret, $A23, "Paid", 10000000, cutoff, 3)</f>
        <v>0.78260352739627337</v>
      </c>
      <c r="D23" s="156"/>
      <c r="E23" s="156">
        <f t="shared" ca="1" si="1"/>
        <v>4.8822476352599287E-2</v>
      </c>
      <c r="F23" s="156"/>
      <c r="G23" s="156">
        <f ca="1">SUM(E23:E$43)</f>
        <v>0.26621894895632592</v>
      </c>
      <c r="H23" s="156"/>
      <c r="I23" s="158">
        <f t="shared" ca="1" si="2"/>
        <v>4.2741749291771353E-2</v>
      </c>
      <c r="J23" s="158"/>
      <c r="K23" s="158">
        <f ca="1">SUM(I23:I$42)</f>
        <v>0.19634735972164741</v>
      </c>
      <c r="L23" s="158"/>
      <c r="M23" s="159">
        <f t="shared" ca="1" si="3"/>
        <v>0.83010876593614502</v>
      </c>
    </row>
    <row r="24" spans="1:13" x14ac:dyDescent="0.2">
      <c r="A24" s="155">
        <f t="shared" si="0"/>
        <v>72</v>
      </c>
      <c r="B24" s="150"/>
      <c r="C24" s="156">
        <f ca="1">1 / [1]!ldfsir(ldfs, ldf_ages, ldf_type, ldf_ret, $A24, "Paid", 10000000, cutoff, 3)</f>
        <v>0.8131250649647277</v>
      </c>
      <c r="D24" s="156"/>
      <c r="E24" s="156">
        <f t="shared" ca="1" si="1"/>
        <v>3.0521537568454327E-2</v>
      </c>
      <c r="F24" s="156"/>
      <c r="G24" s="156">
        <f ca="1">SUM(E24:E$43)</f>
        <v>0.21739647260372663</v>
      </c>
      <c r="H24" s="156"/>
      <c r="I24" s="158">
        <f t="shared" ca="1" si="2"/>
        <v>2.5941893506890315E-2</v>
      </c>
      <c r="J24" s="158"/>
      <c r="K24" s="158">
        <f ca="1">SUM(I24:I$42)</f>
        <v>0.15360561042987608</v>
      </c>
      <c r="L24" s="158"/>
      <c r="M24" s="159">
        <f t="shared" ca="1" si="3"/>
        <v>0.81910713502224741</v>
      </c>
    </row>
    <row r="25" spans="1:13" x14ac:dyDescent="0.2">
      <c r="A25" s="155">
        <f t="shared" si="0"/>
        <v>84</v>
      </c>
      <c r="B25" s="150"/>
      <c r="C25" s="156">
        <f ca="1">1 / [1]!ldfsir(ldfs, ldf_ages, ldf_type, ldf_ret, $A25, "Paid", 10000000, cutoff, 3)</f>
        <v>0.83758577924357569</v>
      </c>
      <c r="D25" s="156"/>
      <c r="E25" s="156">
        <f t="shared" ca="1" si="1"/>
        <v>2.4460714278847995E-2</v>
      </c>
      <c r="F25" s="156"/>
      <c r="G25" s="156">
        <f ca="1">SUM(E25:E$43)</f>
        <v>0.1868749350352723</v>
      </c>
      <c r="H25" s="156"/>
      <c r="I25" s="158">
        <f t="shared" ca="1" si="2"/>
        <v>2.0184926584725132E-2</v>
      </c>
      <c r="J25" s="158"/>
      <c r="K25" s="158">
        <f ca="1">SUM(I25:I$42)</f>
        <v>0.12766371692298575</v>
      </c>
      <c r="L25" s="158"/>
      <c r="M25" s="159">
        <f t="shared" ca="1" si="3"/>
        <v>0.81571749762239143</v>
      </c>
    </row>
    <row r="26" spans="1:13" x14ac:dyDescent="0.2">
      <c r="A26" s="155">
        <f t="shared" si="0"/>
        <v>96</v>
      </c>
      <c r="B26" s="150"/>
      <c r="C26" s="156">
        <f ca="1">1 / [1]!ldfsir(ldfs, ldf_ages, ldf_type, ldf_ret, $A26, "Paid", 10000000, cutoff, 3)</f>
        <v>0.8570597495462059</v>
      </c>
      <c r="D26" s="156"/>
      <c r="E26" s="156">
        <f t="shared" ca="1" si="1"/>
        <v>1.9473970302630206E-2</v>
      </c>
      <c r="F26" s="156"/>
      <c r="G26" s="156">
        <f ca="1">SUM(E26:E$43)</f>
        <v>0.16241422075642431</v>
      </c>
      <c r="H26" s="156"/>
      <c r="I26" s="158">
        <f t="shared" ca="1" si="2"/>
        <v>1.5601821975991621E-2</v>
      </c>
      <c r="J26" s="158"/>
      <c r="K26" s="158">
        <f ca="1">SUM(I26:I$42)</f>
        <v>0.10747879033826062</v>
      </c>
      <c r="L26" s="158"/>
      <c r="M26" s="159">
        <f t="shared" ca="1" si="3"/>
        <v>0.81387796406539203</v>
      </c>
    </row>
    <row r="27" spans="1:13" x14ac:dyDescent="0.2">
      <c r="A27" s="155">
        <f t="shared" si="0"/>
        <v>108</v>
      </c>
      <c r="B27" s="150"/>
      <c r="C27" s="156">
        <f ca="1">1 / [1]!ldfsir(ldfs, ldf_ages, ldf_type, ldf_ret, $A27, "Paid", 10000000, cutoff, 3)</f>
        <v>0.87317751273537003</v>
      </c>
      <c r="D27" s="156"/>
      <c r="E27" s="156">
        <f t="shared" ca="1" si="1"/>
        <v>1.6117763189164136E-2</v>
      </c>
      <c r="F27" s="156"/>
      <c r="G27" s="156">
        <f ca="1">SUM(E27:E$43)</f>
        <v>0.1429402504537941</v>
      </c>
      <c r="H27" s="156"/>
      <c r="I27" s="158">
        <f t="shared" ca="1" si="2"/>
        <v>1.253684800591894E-2</v>
      </c>
      <c r="J27" s="158"/>
      <c r="K27" s="158">
        <f ca="1">SUM(I27:I$42)</f>
        <v>9.187696836226901E-2</v>
      </c>
      <c r="L27" s="158"/>
      <c r="M27" s="159">
        <f t="shared" ca="1" si="3"/>
        <v>0.81423527886948399</v>
      </c>
    </row>
    <row r="28" spans="1:13" x14ac:dyDescent="0.2">
      <c r="A28" s="155">
        <f t="shared" si="0"/>
        <v>120</v>
      </c>
      <c r="B28" s="150"/>
      <c r="C28" s="156">
        <f ca="1">1 / [1]!ldfsir(ldfs, ldf_ages, ldf_type, ldf_ret, $A28, "Paid", 10000000, cutoff, 3)</f>
        <v>0.88664876455648622</v>
      </c>
      <c r="D28" s="156"/>
      <c r="E28" s="156">
        <f t="shared" ca="1" si="1"/>
        <v>1.3471251821116192E-2</v>
      </c>
      <c r="F28" s="156"/>
      <c r="G28" s="156">
        <f ca="1">SUM(E28:E$43)</f>
        <v>0.12682248726462997</v>
      </c>
      <c r="H28" s="156"/>
      <c r="I28" s="158">
        <f t="shared" ca="1" si="2"/>
        <v>1.0173123572262924E-2</v>
      </c>
      <c r="J28" s="158"/>
      <c r="K28" s="158">
        <f ca="1">SUM(I28:I$42)</f>
        <v>7.9340120356350075E-2</v>
      </c>
      <c r="L28" s="158"/>
      <c r="M28" s="159">
        <f t="shared" ca="1" si="3"/>
        <v>0.81626581906363294</v>
      </c>
    </row>
    <row r="29" spans="1:13" x14ac:dyDescent="0.2">
      <c r="A29" s="155">
        <f t="shared" si="0"/>
        <v>132</v>
      </c>
      <c r="B29" s="150"/>
      <c r="C29" s="156">
        <f ca="1">1 / [1]!ldfsir(ldfs, ldf_ages, ldf_type, ldf_ret, $A29, "Paid", 10000000, cutoff, 3)</f>
        <v>0.89857302042502052</v>
      </c>
      <c r="D29" s="156"/>
      <c r="E29" s="156">
        <f t="shared" ca="1" si="1"/>
        <v>1.1924255868534295E-2</v>
      </c>
      <c r="F29" s="156"/>
      <c r="G29" s="156">
        <f ca="1">SUM(E29:E$43)</f>
        <v>0.11335123544351378</v>
      </c>
      <c r="H29" s="156"/>
      <c r="I29" s="158">
        <f t="shared" ca="1" si="2"/>
        <v>8.7425963461531045E-3</v>
      </c>
      <c r="J29" s="158"/>
      <c r="K29" s="158">
        <f ca="1">SUM(I29:I$42)</f>
        <v>6.9166996784087165E-2</v>
      </c>
      <c r="L29" s="158"/>
      <c r="M29" s="159">
        <f t="shared" ca="1" si="3"/>
        <v>0.82005863918879796</v>
      </c>
    </row>
    <row r="30" spans="1:13" x14ac:dyDescent="0.2">
      <c r="A30" s="155">
        <f t="shared" si="0"/>
        <v>144</v>
      </c>
      <c r="B30" s="150"/>
      <c r="C30" s="156">
        <f ca="1">1 / [1]!ldfsir(ldfs, ldf_ages, ldf_type, ldf_ret, $A30, "Paid", 10000000, cutoff, 3)</f>
        <v>0.90861302867964966</v>
      </c>
      <c r="D30" s="156"/>
      <c r="E30" s="156">
        <f t="shared" ca="1" si="1"/>
        <v>1.004000825462914E-2</v>
      </c>
      <c r="F30" s="156"/>
      <c r="G30" s="156">
        <f ca="1">SUM(E30:E$43)</f>
        <v>0.10142697957497948</v>
      </c>
      <c r="H30" s="156"/>
      <c r="I30" s="158">
        <f t="shared" ca="1" si="2"/>
        <v>7.1467071392494336E-3</v>
      </c>
      <c r="J30" s="158"/>
      <c r="K30" s="158">
        <f ca="1">SUM(I30:I$42)</f>
        <v>6.0424400437934053E-2</v>
      </c>
      <c r="L30" s="158"/>
      <c r="M30" s="159">
        <f t="shared" ca="1" si="3"/>
        <v>0.82464746613669682</v>
      </c>
    </row>
    <row r="31" spans="1:13" x14ac:dyDescent="0.2">
      <c r="A31" s="155">
        <f t="shared" si="0"/>
        <v>156</v>
      </c>
      <c r="B31" s="150"/>
      <c r="C31" s="156">
        <f ca="1">1 / [1]!ldfsir(ldfs, ldf_ages, ldf_type, ldf_ret, $A31, "Paid", 10000000, cutoff, 3)</f>
        <v>0.91780057610778309</v>
      </c>
      <c r="D31" s="156"/>
      <c r="E31" s="156">
        <f t="shared" ca="1" si="1"/>
        <v>9.1875474281334357E-3</v>
      </c>
      <c r="F31" s="156"/>
      <c r="G31" s="156">
        <f ca="1">SUM(E31:E$43)</f>
        <v>9.1386971320350341E-2</v>
      </c>
      <c r="H31" s="156"/>
      <c r="I31" s="158">
        <f t="shared" ca="1" si="2"/>
        <v>6.3494233563159861E-3</v>
      </c>
      <c r="J31" s="158"/>
      <c r="K31" s="158">
        <f ca="1">SUM(I31:I$42)</f>
        <v>5.3277693298684613E-2</v>
      </c>
      <c r="L31" s="158"/>
      <c r="M31" s="159">
        <f t="shared" ca="1" si="3"/>
        <v>0.83120438448906098</v>
      </c>
    </row>
    <row r="32" spans="1:13" x14ac:dyDescent="0.2">
      <c r="A32" s="155">
        <f t="shared" si="0"/>
        <v>168</v>
      </c>
      <c r="B32" s="150"/>
      <c r="C32" s="156">
        <f ca="1">1 / [1]!ldfsir(ldfs, ldf_ages, ldf_type, ldf_ret, $A32, "Paid", 10000000, cutoff, 3)</f>
        <v>0.92637103634949569</v>
      </c>
      <c r="D32" s="156"/>
      <c r="E32" s="156">
        <f t="shared" ca="1" si="1"/>
        <v>8.5704602417125963E-3</v>
      </c>
      <c r="F32" s="156"/>
      <c r="G32" s="156">
        <f ca="1">SUM(E32:E$43)</f>
        <v>8.2199423892216905E-2</v>
      </c>
      <c r="H32" s="156"/>
      <c r="I32" s="158">
        <f t="shared" ca="1" si="2"/>
        <v>5.7504470793894166E-3</v>
      </c>
      <c r="J32" s="158"/>
      <c r="K32" s="158">
        <f ca="1">SUM(I32:I$42)</f>
        <v>4.6928269942368629E-2</v>
      </c>
      <c r="L32" s="158"/>
      <c r="M32" s="159">
        <f t="shared" ca="1" si="3"/>
        <v>0.83839695293593586</v>
      </c>
    </row>
    <row r="33" spans="1:13" x14ac:dyDescent="0.2">
      <c r="A33" s="155">
        <f t="shared" si="0"/>
        <v>180</v>
      </c>
      <c r="B33" s="150"/>
      <c r="C33" s="156">
        <f ca="1">1 / [1]!ldfsir(ldfs, ldf_ages, ldf_type, ldf_ret, $A33, "Paid", 10000000, cutoff, 3)</f>
        <v>0.93412345538428931</v>
      </c>
      <c r="D33" s="156"/>
      <c r="E33" s="156">
        <f t="shared" ca="1" si="1"/>
        <v>7.7524190347936228E-3</v>
      </c>
      <c r="F33" s="156"/>
      <c r="G33" s="156">
        <f ca="1">SUM(E33:E$43)</f>
        <v>7.3628963650504309E-2</v>
      </c>
      <c r="H33" s="156"/>
      <c r="I33" s="158">
        <f t="shared" ca="1" si="2"/>
        <v>5.0500709650873913E-3</v>
      </c>
      <c r="J33" s="158"/>
      <c r="K33" s="158">
        <f ca="1">SUM(I33:I$42)</f>
        <v>4.1177822862979212E-2</v>
      </c>
      <c r="L33" s="158"/>
      <c r="M33" s="159">
        <f t="shared" ca="1" si="3"/>
        <v>0.84593275073238949</v>
      </c>
    </row>
    <row r="34" spans="1:13" x14ac:dyDescent="0.2">
      <c r="A34" s="155">
        <f t="shared" si="0"/>
        <v>192</v>
      </c>
      <c r="B34" s="150"/>
      <c r="C34" s="156">
        <f ca="1">1 / [1]!ldfsir(ldfs, ldf_ages, ldf_type, ldf_ret, $A34, "Paid", 10000000, cutoff, 3)</f>
        <v>0.94116055067568316</v>
      </c>
      <c r="D34" s="156"/>
      <c r="E34" s="156">
        <f t="shared" ca="1" si="1"/>
        <v>7.0370952913938467E-3</v>
      </c>
      <c r="F34" s="156"/>
      <c r="G34" s="156">
        <f ca="1">SUM(E34:E$43)</f>
        <v>6.5876544615710686E-2</v>
      </c>
      <c r="H34" s="156"/>
      <c r="I34" s="158">
        <f t="shared" ca="1" si="2"/>
        <v>4.450578330431971E-3</v>
      </c>
      <c r="J34" s="158"/>
      <c r="K34" s="158">
        <f ca="1">SUM(I34:I$42)</f>
        <v>3.6127751897891823E-2</v>
      </c>
      <c r="L34" s="158"/>
      <c r="M34" s="159">
        <f t="shared" ca="1" si="3"/>
        <v>0.85441427780242818</v>
      </c>
    </row>
    <row r="35" spans="1:13" x14ac:dyDescent="0.2">
      <c r="A35" s="155">
        <f t="shared" si="0"/>
        <v>204</v>
      </c>
      <c r="B35" s="150"/>
      <c r="C35" s="156">
        <f ca="1">1 / [1]!ldfsir(ldfs, ldf_ages, ldf_type, ldf_ret, $A35, "Paid", 10000000, cutoff, 3)</f>
        <v>0.94746720071391322</v>
      </c>
      <c r="D35" s="156"/>
      <c r="E35" s="156">
        <f t="shared" ca="1" si="1"/>
        <v>6.306650038230055E-3</v>
      </c>
      <c r="F35" s="156"/>
      <c r="G35" s="156">
        <f ca="1">SUM(E35:E$43)</f>
        <v>5.8839449324316839E-2</v>
      </c>
      <c r="H35" s="156"/>
      <c r="I35" s="158">
        <f t="shared" ca="1" si="2"/>
        <v>3.8724384587712625E-3</v>
      </c>
      <c r="J35" s="158"/>
      <c r="K35" s="158">
        <f ca="1">SUM(I35:I$42)</f>
        <v>3.1677173567459846E-2</v>
      </c>
      <c r="L35" s="158"/>
      <c r="M35" s="159">
        <f t="shared" ca="1" si="3"/>
        <v>0.8639197847683614</v>
      </c>
    </row>
    <row r="36" spans="1:13" x14ac:dyDescent="0.2">
      <c r="A36" s="155">
        <f t="shared" si="0"/>
        <v>216</v>
      </c>
      <c r="B36" s="150"/>
      <c r="C36" s="156">
        <f ca="1">1 / [1]!ldfsir(ldfs, ldf_ages, ldf_type, ldf_ret, $A36, "Paid", 10000000, cutoff, 3)</f>
        <v>0.95311481300921308</v>
      </c>
      <c r="D36" s="156"/>
      <c r="E36" s="156">
        <f t="shared" ca="1" si="1"/>
        <v>5.6476122952998642E-3</v>
      </c>
      <c r="F36" s="156"/>
      <c r="G36" s="156">
        <f ca="1">SUM(E36:E$43)</f>
        <v>5.2532799286086784E-2</v>
      </c>
      <c r="H36" s="156"/>
      <c r="I36" s="158">
        <f t="shared" ca="1" si="2"/>
        <v>3.3667699536412414E-3</v>
      </c>
      <c r="J36" s="158"/>
      <c r="K36" s="158">
        <f ca="1">SUM(I36:I$42)</f>
        <v>2.780473510868859E-2</v>
      </c>
      <c r="L36" s="158"/>
      <c r="M36" s="159">
        <f t="shared" ca="1" si="3"/>
        <v>0.87482470408750479</v>
      </c>
    </row>
    <row r="37" spans="1:13" x14ac:dyDescent="0.2">
      <c r="A37" s="155">
        <f t="shared" si="0"/>
        <v>228</v>
      </c>
      <c r="B37" s="150"/>
      <c r="C37" s="156">
        <f ca="1">1 / [1]!ldfsir(ldfs, ldf_ages, ldf_type, ldf_ret, $A37, "Paid", 10000000, cutoff, 3)</f>
        <v>0.95816874284323972</v>
      </c>
      <c r="D37" s="156"/>
      <c r="E37" s="156">
        <f t="shared" ca="1" si="1"/>
        <v>5.0539298340266381E-3</v>
      </c>
      <c r="F37" s="156"/>
      <c r="G37" s="156">
        <f ca="1">SUM(E37:E$43)</f>
        <v>4.688518699078692E-2</v>
      </c>
      <c r="H37" s="156"/>
      <c r="I37" s="158">
        <f t="shared" ca="1" si="2"/>
        <v>2.9250988767967239E-3</v>
      </c>
      <c r="J37" s="158"/>
      <c r="K37" s="158">
        <f ca="1">SUM(I37:I$42)</f>
        <v>2.4437965155047349E-2</v>
      </c>
      <c r="L37" s="158"/>
      <c r="M37" s="159">
        <f t="shared" ca="1" si="3"/>
        <v>0.88735915327706072</v>
      </c>
    </row>
    <row r="38" spans="1:13" x14ac:dyDescent="0.2">
      <c r="A38" s="155">
        <f t="shared" si="0"/>
        <v>240</v>
      </c>
      <c r="B38" s="150"/>
      <c r="C38" s="156">
        <f ca="1">1 / [1]!ldfsir(ldfs, ldf_ages, ldf_type, ldf_ret, $A38, "Paid", 10000000, cutoff, 3)</f>
        <v>0.96268860267645195</v>
      </c>
      <c r="D38" s="156"/>
      <c r="E38" s="156">
        <f t="shared" ca="1" si="1"/>
        <v>4.5198598332122364E-3</v>
      </c>
      <c r="F38" s="156"/>
      <c r="G38" s="156">
        <f ca="1">SUM(E38:E$43)</f>
        <v>4.1831257156760282E-2</v>
      </c>
      <c r="H38" s="156"/>
      <c r="I38" s="158">
        <f t="shared" ca="1" si="2"/>
        <v>2.5397974640849288E-3</v>
      </c>
      <c r="J38" s="158"/>
      <c r="K38" s="158">
        <f ca="1">SUM(I38:I$42)</f>
        <v>2.1512866278250622E-2</v>
      </c>
      <c r="L38" s="158"/>
      <c r="M38" s="159">
        <f t="shared" ca="1" si="3"/>
        <v>0.90178837075314511</v>
      </c>
    </row>
    <row r="39" spans="1:13" x14ac:dyDescent="0.2">
      <c r="A39" s="155">
        <f t="shared" si="0"/>
        <v>252</v>
      </c>
      <c r="B39" s="150"/>
      <c r="C39" s="156">
        <f ca="1">1 / [1]!ldfsir(ldfs, ldf_ages, ldf_type, ldf_ret, $A39, "Paid", 10000000, cutoff, 3)</f>
        <v>0.96672860604793642</v>
      </c>
      <c r="D39" s="156"/>
      <c r="E39" s="156">
        <f t="shared" ca="1" si="1"/>
        <v>4.0400033714844685E-3</v>
      </c>
      <c r="F39" s="156"/>
      <c r="G39" s="156">
        <f ca="1">SUM(E39:E$43)</f>
        <v>3.7311397323548046E-2</v>
      </c>
      <c r="H39" s="156"/>
      <c r="I39" s="158">
        <f t="shared" ca="1" si="2"/>
        <v>2.2040356814095803E-3</v>
      </c>
      <c r="J39" s="158"/>
      <c r="K39" s="158">
        <f ca="1">SUM(I39:I$42)</f>
        <v>1.8973068814165696E-2</v>
      </c>
      <c r="L39" s="158"/>
      <c r="M39" s="159">
        <f t="shared" ca="1" si="3"/>
        <v>0.9184183707800615</v>
      </c>
    </row>
    <row r="40" spans="1:13" x14ac:dyDescent="0.2">
      <c r="A40" s="155">
        <f t="shared" si="0"/>
        <v>264</v>
      </c>
      <c r="B40" s="150"/>
      <c r="C40" s="156">
        <f ca="1">1 / [1]!ldfsir(ldfs, ldf_ages, ldf_type, ldf_ret, $A40, "Paid", 10000000, cutoff, 3)</f>
        <v>0.97033792954674847</v>
      </c>
      <c r="D40" s="156"/>
      <c r="E40" s="156">
        <f t="shared" ca="1" si="1"/>
        <v>3.6093234988120448E-3</v>
      </c>
      <c r="F40" s="156"/>
      <c r="G40" s="156">
        <f ca="1">SUM(E40:E$43)</f>
        <v>3.3271393952063577E-2</v>
      </c>
      <c r="H40" s="156"/>
      <c r="I40" s="158">
        <f t="shared" ca="1" si="2"/>
        <v>1.9117252567574844E-3</v>
      </c>
      <c r="J40" s="158"/>
      <c r="K40" s="158">
        <f ca="1">SUM(I40:I$42)</f>
        <v>1.6769033132756114E-2</v>
      </c>
      <c r="L40" s="158"/>
      <c r="M40" s="159">
        <f t="shared" ca="1" si="3"/>
        <v>0.93760247480547954</v>
      </c>
    </row>
    <row r="41" spans="1:13" x14ac:dyDescent="0.2">
      <c r="A41" s="155">
        <f t="shared" si="0"/>
        <v>276</v>
      </c>
      <c r="B41" s="150"/>
      <c r="C41" s="156">
        <f ca="1">1 / [1]!ldfsir(ldfs, ldf_ages, ldf_type, ldf_ret, $A41, "Paid", 10000000, cutoff, 3)</f>
        <v>0.97356108040188671</v>
      </c>
      <c r="D41" s="156"/>
      <c r="E41" s="156">
        <f t="shared" ca="1" si="1"/>
        <v>3.223150855138246E-3</v>
      </c>
      <c r="F41" s="156"/>
      <c r="G41" s="156">
        <f ca="1">SUM(E41:E$43)</f>
        <v>2.9662070453251532E-2</v>
      </c>
      <c r="H41" s="156"/>
      <c r="I41" s="158">
        <f t="shared" ca="1" si="2"/>
        <v>1.6574600780008006E-3</v>
      </c>
      <c r="J41" s="158"/>
      <c r="K41" s="158">
        <f ca="1">SUM(I41:I$42)</f>
        <v>1.4857307875998631E-2</v>
      </c>
      <c r="L41" s="158"/>
      <c r="M41" s="159">
        <f t="shared" ca="1" si="3"/>
        <v>0.95974885881826377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2.6438919598113286E-2</v>
      </c>
      <c r="F42" s="156"/>
      <c r="G42" s="156">
        <f ca="1">SUM(E42:E$43)</f>
        <v>2.6438919598113286E-2</v>
      </c>
      <c r="H42" s="156"/>
      <c r="I42" s="158">
        <f t="shared" ca="1" si="2"/>
        <v>1.319984779799783E-2</v>
      </c>
      <c r="J42" s="158"/>
      <c r="K42" s="158">
        <f ca="1">SUM(I42:I$42)</f>
        <v>1.319984779799783E-2</v>
      </c>
      <c r="L42" s="158"/>
      <c r="M42" s="159">
        <f t="shared" ca="1" si="3"/>
        <v>0.98532927816429217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691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5
</oddHeader>
    <oddFooter xml:space="preserve">&amp;L&amp;"Arial"&amp;10 Oliver Wyman Actuarial Consulting, Inc.
&amp;C&amp;"Arial"&amp;10 &amp;R&amp;"Arial"&amp;10 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8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6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Excess of $250,000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[1]!ldfsir(xsldfs, ldf_ages, xsldf_type, xsldf_ret, $A19, "Paid XS", 250000, cutoff, 3)</f>
        <v>6.7019753037581939E-2</v>
      </c>
      <c r="D19" s="156"/>
      <c r="E19" s="156">
        <f ca="1">C19</f>
        <v>6.7019753037581939E-2</v>
      </c>
      <c r="F19" s="156"/>
      <c r="G19" s="156">
        <f ca="1">SUM(E19:E$43)</f>
        <v>1</v>
      </c>
      <c r="H19" s="156"/>
      <c r="I19" s="157">
        <f ca="1">E19/((1+$E$11)^((A19-(A19/2))/12))</f>
        <v>6.6036524883269804E-2</v>
      </c>
      <c r="J19" s="158"/>
      <c r="K19" s="158">
        <f ca="1">SUM(I19:I$42)</f>
        <v>0.79159405690868145</v>
      </c>
      <c r="L19" s="158"/>
      <c r="M19" s="159">
        <f ca="1">((1+$E$11)^((A18)/12))*K19/G19</f>
        <v>0.79159405690868145</v>
      </c>
    </row>
    <row r="20" spans="1:13" x14ac:dyDescent="0.2">
      <c r="A20" s="155">
        <f t="shared" ref="A20:A42" si="0">A19+12</f>
        <v>24</v>
      </c>
      <c r="B20" s="150"/>
      <c r="C20" s="156">
        <f ca="1">1 / [1]!ldfsir(xsldfs, ldf_ages, xsldf_type, xsldf_ret, $A20, "Paid XS", 250000, cutoff, 3)</f>
        <v>0.21903937235026327</v>
      </c>
      <c r="D20" s="156"/>
      <c r="E20" s="156">
        <f t="shared" ref="E20:E41" ca="1" si="1">C20-C19</f>
        <v>0.15201961931268132</v>
      </c>
      <c r="F20" s="156"/>
      <c r="G20" s="156">
        <f ca="1">SUM(E20:E$43)</f>
        <v>0.93298024696241799</v>
      </c>
      <c r="H20" s="156"/>
      <c r="I20" s="158">
        <f ca="1">E20/((1+$E$11)^((A20-6)/12))</f>
        <v>0.14542658423706303</v>
      </c>
      <c r="J20" s="158"/>
      <c r="K20" s="158">
        <f ca="1">SUM(I20:I$42)</f>
        <v>0.72555753202541162</v>
      </c>
      <c r="L20" s="158"/>
      <c r="M20" s="159">
        <f ca="1">((1+$E$11)^((A19)/12))*K20/G20</f>
        <v>0.80100758876653633</v>
      </c>
    </row>
    <row r="21" spans="1:13" x14ac:dyDescent="0.2">
      <c r="A21" s="155">
        <f t="shared" si="0"/>
        <v>36</v>
      </c>
      <c r="B21" s="150"/>
      <c r="C21" s="156">
        <f ca="1">1 / [1]!ldfsir(xsldfs, ldf_ages, xsldf_type, xsldf_ret, $A21, "Paid XS", 250000, cutoff, 3)</f>
        <v>0.36383992684290967</v>
      </c>
      <c r="D21" s="156"/>
      <c r="E21" s="156">
        <f t="shared" ca="1" si="1"/>
        <v>0.14480055449264639</v>
      </c>
      <c r="F21" s="156"/>
      <c r="G21" s="156">
        <f ca="1">SUM(E21:E$43)</f>
        <v>0.78096062764973673</v>
      </c>
      <c r="H21" s="156"/>
      <c r="I21" s="158">
        <f t="shared" ref="I21:I42" ca="1" si="2">E21/((1+$E$11)^((A21-6)/12))</f>
        <v>0.13448602680368429</v>
      </c>
      <c r="J21" s="158"/>
      <c r="K21" s="158">
        <f ca="1">SUM(I21:I$42)</f>
        <v>0.58013094778834839</v>
      </c>
      <c r="L21" s="158"/>
      <c r="M21" s="159">
        <f t="shared" ref="M21:M42" ca="1" si="3">((1+$E$11)^((A20)/12))*K21/G21</f>
        <v>0.78808188366788567</v>
      </c>
    </row>
    <row r="22" spans="1:13" x14ac:dyDescent="0.2">
      <c r="A22" s="155">
        <f t="shared" si="0"/>
        <v>48</v>
      </c>
      <c r="B22" s="150"/>
      <c r="C22" s="156">
        <f ca="1">1 / [1]!ldfsir(xsldfs, ldf_ages, xsldf_type, xsldf_ret, $A22, "Paid XS", 250000, cutoff, 3)</f>
        <v>0.44566339173168024</v>
      </c>
      <c r="D22" s="156"/>
      <c r="E22" s="156">
        <f t="shared" ca="1" si="1"/>
        <v>8.182346488877057E-2</v>
      </c>
      <c r="F22" s="156"/>
      <c r="G22" s="156">
        <f ca="1">SUM(E22:E$43)</f>
        <v>0.63616007315709033</v>
      </c>
      <c r="H22" s="156"/>
      <c r="I22" s="158">
        <f t="shared" ca="1" si="2"/>
        <v>7.3781516880020062E-2</v>
      </c>
      <c r="J22" s="158"/>
      <c r="K22" s="158">
        <f ca="1">SUM(I22:I$42)</f>
        <v>0.44564492098466413</v>
      </c>
      <c r="L22" s="158"/>
      <c r="M22" s="159">
        <f t="shared" ca="1" si="3"/>
        <v>0.76548066771326517</v>
      </c>
    </row>
    <row r="23" spans="1:13" x14ac:dyDescent="0.2">
      <c r="A23" s="155">
        <f t="shared" si="0"/>
        <v>60</v>
      </c>
      <c r="B23" s="150"/>
      <c r="C23" s="156">
        <f ca="1">1 / [1]!ldfsir(xsldfs, ldf_ages, xsldf_type, xsldf_ret, $A23, "Paid XS", 250000, cutoff, 3)</f>
        <v>0.48759099182612003</v>
      </c>
      <c r="D23" s="156"/>
      <c r="E23" s="156">
        <f t="shared" ca="1" si="1"/>
        <v>4.1927600094439799E-2</v>
      </c>
      <c r="F23" s="156"/>
      <c r="G23" s="156">
        <f ca="1">SUM(E23:E$43)</f>
        <v>0.55433660826831976</v>
      </c>
      <c r="H23" s="156"/>
      <c r="I23" s="158">
        <f t="shared" ca="1" si="2"/>
        <v>3.6705614002448823E-2</v>
      </c>
      <c r="J23" s="158"/>
      <c r="K23" s="158">
        <f ca="1">SUM(I23:I$42)</f>
        <v>0.37186340410464408</v>
      </c>
      <c r="L23" s="158"/>
      <c r="M23" s="159">
        <f t="shared" ca="1" si="3"/>
        <v>0.75502056186370448</v>
      </c>
    </row>
    <row r="24" spans="1:13" x14ac:dyDescent="0.2">
      <c r="A24" s="155">
        <f t="shared" si="0"/>
        <v>72</v>
      </c>
      <c r="B24" s="150"/>
      <c r="C24" s="156">
        <f ca="1">1 / [1]!ldfsir(xsldfs, ldf_ages, xsldf_type, xsldf_ret, $A24, "Paid XS", 250000, cutoff, 3)</f>
        <v>0.52150172049908361</v>
      </c>
      <c r="D24" s="156"/>
      <c r="E24" s="156">
        <f t="shared" ca="1" si="1"/>
        <v>3.3910728672963575E-2</v>
      </c>
      <c r="F24" s="156"/>
      <c r="G24" s="156">
        <f ca="1">SUM(E24:E$43)</f>
        <v>0.51240900817387991</v>
      </c>
      <c r="H24" s="156"/>
      <c r="I24" s="158">
        <f t="shared" ca="1" si="2"/>
        <v>2.8822548995182332E-2</v>
      </c>
      <c r="J24" s="158"/>
      <c r="K24" s="158">
        <f ca="1">SUM(I24:I$42)</f>
        <v>0.33515779010219521</v>
      </c>
      <c r="L24" s="158"/>
      <c r="M24" s="159">
        <f t="shared" ca="1" si="3"/>
        <v>0.75826094129342414</v>
      </c>
    </row>
    <row r="25" spans="1:13" x14ac:dyDescent="0.2">
      <c r="A25" s="155">
        <f t="shared" si="0"/>
        <v>84</v>
      </c>
      <c r="B25" s="150"/>
      <c r="C25" s="156">
        <f ca="1">1 / [1]!ldfsir(xsldfs, ldf_ages, xsldf_type, xsldf_ret, $A25, "Paid XS", 250000, cutoff, 3)</f>
        <v>0.54791683328547058</v>
      </c>
      <c r="D25" s="156"/>
      <c r="E25" s="156">
        <f t="shared" ca="1" si="1"/>
        <v>2.6415112786386974E-2</v>
      </c>
      <c r="F25" s="156"/>
      <c r="G25" s="156">
        <f ca="1">SUM(E25:E$43)</f>
        <v>0.47849827950091639</v>
      </c>
      <c r="H25" s="156"/>
      <c r="I25" s="158">
        <f t="shared" ca="1" si="2"/>
        <v>2.1797691851603861E-2</v>
      </c>
      <c r="J25" s="158"/>
      <c r="K25" s="158">
        <f ca="1">SUM(I25:I$42)</f>
        <v>0.30633524110701293</v>
      </c>
      <c r="L25" s="158"/>
      <c r="M25" s="159">
        <f t="shared" ca="1" si="3"/>
        <v>0.76443388371868359</v>
      </c>
    </row>
    <row r="26" spans="1:13" x14ac:dyDescent="0.2">
      <c r="A26" s="155">
        <f t="shared" si="0"/>
        <v>96</v>
      </c>
      <c r="B26" s="150"/>
      <c r="C26" s="156">
        <f ca="1">1 / [1]!ldfsir(xsldfs, ldf_ages, xsldf_type, xsldf_ret, $A26, "Paid XS", 250000, cutoff, 3)</f>
        <v>0.58424255756407395</v>
      </c>
      <c r="D26" s="156"/>
      <c r="E26" s="156">
        <f t="shared" ca="1" si="1"/>
        <v>3.6325724278603366E-2</v>
      </c>
      <c r="F26" s="156"/>
      <c r="G26" s="156">
        <f ca="1">SUM(E26:E$43)</f>
        <v>0.45208316671452942</v>
      </c>
      <c r="H26" s="156"/>
      <c r="I26" s="158">
        <f t="shared" ca="1" si="2"/>
        <v>2.9102821588835429E-2</v>
      </c>
      <c r="J26" s="158"/>
      <c r="K26" s="158">
        <f ca="1">SUM(I26:I$42)</f>
        <v>0.28453754925540908</v>
      </c>
      <c r="L26" s="158"/>
      <c r="M26" s="159">
        <f t="shared" ca="1" si="3"/>
        <v>0.77407282846752024</v>
      </c>
    </row>
    <row r="27" spans="1:13" x14ac:dyDescent="0.2">
      <c r="A27" s="155">
        <f t="shared" si="0"/>
        <v>108</v>
      </c>
      <c r="B27" s="150"/>
      <c r="C27" s="156">
        <f ca="1">1 / [1]!ldfsir(xsldfs, ldf_ages, xsldf_type, xsldf_ret, $A27, "Paid XS", 250000, cutoff, 3)</f>
        <v>0.61633628088317005</v>
      </c>
      <c r="D27" s="156"/>
      <c r="E27" s="156">
        <f t="shared" ca="1" si="1"/>
        <v>3.2093723319096101E-2</v>
      </c>
      <c r="F27" s="156"/>
      <c r="G27" s="156">
        <f ca="1">SUM(E27:E$43)</f>
        <v>0.41575744243592605</v>
      </c>
      <c r="H27" s="156"/>
      <c r="I27" s="158">
        <f t="shared" ca="1" si="2"/>
        <v>2.4963397617482314E-2</v>
      </c>
      <c r="J27" s="158"/>
      <c r="K27" s="158">
        <f ca="1">SUM(I27:I$42)</f>
        <v>0.25543472766657366</v>
      </c>
      <c r="L27" s="158"/>
      <c r="M27" s="159">
        <f t="shared" ca="1" si="3"/>
        <v>0.77828329147776287</v>
      </c>
    </row>
    <row r="28" spans="1:13" x14ac:dyDescent="0.2">
      <c r="A28" s="155">
        <f t="shared" si="0"/>
        <v>120</v>
      </c>
      <c r="B28" s="150"/>
      <c r="C28" s="156">
        <f ca="1">1 / [1]!ldfsir(xsldfs, ldf_ages, xsldf_type, xsldf_ret, $A28, "Paid XS", 250000, cutoff, 3)</f>
        <v>0.6448536605877554</v>
      </c>
      <c r="D28" s="156"/>
      <c r="E28" s="156">
        <f t="shared" ca="1" si="1"/>
        <v>2.8517379704585344E-2</v>
      </c>
      <c r="F28" s="156"/>
      <c r="G28" s="156">
        <f ca="1">SUM(E28:E$43)</f>
        <v>0.38366371911682995</v>
      </c>
      <c r="H28" s="156"/>
      <c r="I28" s="158">
        <f t="shared" ca="1" si="2"/>
        <v>2.1535550782084009E-2</v>
      </c>
      <c r="J28" s="158"/>
      <c r="K28" s="158">
        <f ca="1">SUM(I28:I$42)</f>
        <v>0.23047133004909132</v>
      </c>
      <c r="L28" s="158"/>
      <c r="M28" s="159">
        <f t="shared" ca="1" si="3"/>
        <v>0.78379267078402848</v>
      </c>
    </row>
    <row r="29" spans="1:13" x14ac:dyDescent="0.2">
      <c r="A29" s="155">
        <f t="shared" si="0"/>
        <v>132</v>
      </c>
      <c r="B29" s="150"/>
      <c r="C29" s="156">
        <f ca="1">1 / [1]!ldfsir(xsldfs, ldf_ages, xsldf_type, xsldf_ret, $A29, "Paid XS", 250000, cutoff, 3)</f>
        <v>0.67092430288474325</v>
      </c>
      <c r="D29" s="156"/>
      <c r="E29" s="156">
        <f t="shared" ca="1" si="1"/>
        <v>2.6070642296987856E-2</v>
      </c>
      <c r="F29" s="156"/>
      <c r="G29" s="156">
        <f ca="1">SUM(E29:E$43)</f>
        <v>0.3551463394122446</v>
      </c>
      <c r="H29" s="156"/>
      <c r="I29" s="158">
        <f t="shared" ca="1" si="2"/>
        <v>1.9114408865458763E-2</v>
      </c>
      <c r="J29" s="158"/>
      <c r="K29" s="158">
        <f ca="1">SUM(I29:I$42)</f>
        <v>0.20893577926700729</v>
      </c>
      <c r="L29" s="158"/>
      <c r="M29" s="159">
        <f t="shared" ca="1" si="3"/>
        <v>0.79063806895112831</v>
      </c>
    </row>
    <row r="30" spans="1:13" x14ac:dyDescent="0.2">
      <c r="A30" s="155">
        <f t="shared" si="0"/>
        <v>144</v>
      </c>
      <c r="B30" s="150"/>
      <c r="C30" s="156">
        <f ca="1">1 / [1]!ldfsir(xsldfs, ldf_ages, xsldf_type, xsldf_ret, $A30, "Paid XS", 250000, cutoff, 3)</f>
        <v>0.692847394367338</v>
      </c>
      <c r="D30" s="156"/>
      <c r="E30" s="156">
        <f t="shared" ca="1" si="1"/>
        <v>2.1923091482594748E-2</v>
      </c>
      <c r="F30" s="156"/>
      <c r="G30" s="156">
        <f ca="1">SUM(E30:E$43)</f>
        <v>0.32907569711525675</v>
      </c>
      <c r="H30" s="156"/>
      <c r="I30" s="158">
        <f t="shared" ca="1" si="2"/>
        <v>1.5605357131139702E-2</v>
      </c>
      <c r="J30" s="158"/>
      <c r="K30" s="158">
        <f ca="1">SUM(I30:I$42)</f>
        <v>0.18982137040154856</v>
      </c>
      <c r="L30" s="158"/>
      <c r="M30" s="159">
        <f t="shared" ca="1" si="3"/>
        <v>0.79847029908478817</v>
      </c>
    </row>
    <row r="31" spans="1:13" x14ac:dyDescent="0.2">
      <c r="A31" s="155">
        <f t="shared" si="0"/>
        <v>156</v>
      </c>
      <c r="B31" s="150"/>
      <c r="C31" s="156">
        <f ca="1">1 / [1]!ldfsir(xsldfs, ldf_ages, xsldf_type, xsldf_ret, $A31, "Paid XS", 250000, cutoff, 3)</f>
        <v>0.7137962290167742</v>
      </c>
      <c r="D31" s="156"/>
      <c r="E31" s="156">
        <f t="shared" ca="1" si="1"/>
        <v>2.0948834649436199E-2</v>
      </c>
      <c r="F31" s="156"/>
      <c r="G31" s="156">
        <f ca="1">SUM(E31:E$43)</f>
        <v>0.307152605632662</v>
      </c>
      <c r="H31" s="156"/>
      <c r="I31" s="158">
        <f t="shared" ca="1" si="2"/>
        <v>1.4477532883632151E-2</v>
      </c>
      <c r="J31" s="158"/>
      <c r="K31" s="158">
        <f ca="1">SUM(I31:I$42)</f>
        <v>0.17421601327040881</v>
      </c>
      <c r="L31" s="158"/>
      <c r="M31" s="159">
        <f t="shared" ca="1" si="3"/>
        <v>0.80868719010733459</v>
      </c>
    </row>
    <row r="32" spans="1:13" x14ac:dyDescent="0.2">
      <c r="A32" s="155">
        <f t="shared" si="0"/>
        <v>168</v>
      </c>
      <c r="B32" s="150"/>
      <c r="C32" s="156">
        <f ca="1">1 / [1]!ldfsir(xsldfs, ldf_ages, xsldf_type, xsldf_ret, $A32, "Paid XS", 250000, cutoff, 3)</f>
        <v>0.73438712004356832</v>
      </c>
      <c r="D32" s="156"/>
      <c r="E32" s="156">
        <f t="shared" ca="1" si="1"/>
        <v>2.0590891026794123E-2</v>
      </c>
      <c r="F32" s="156"/>
      <c r="G32" s="156">
        <f ca="1">SUM(E32:E$43)</f>
        <v>0.2862037709832258</v>
      </c>
      <c r="H32" s="156"/>
      <c r="I32" s="158">
        <f t="shared" ca="1" si="2"/>
        <v>1.381569085295626E-2</v>
      </c>
      <c r="J32" s="158"/>
      <c r="K32" s="158">
        <f ca="1">SUM(I32:I$42)</f>
        <v>0.15973848038677665</v>
      </c>
      <c r="L32" s="158"/>
      <c r="M32" s="159">
        <f t="shared" ca="1" si="3"/>
        <v>0.8196305135240568</v>
      </c>
    </row>
    <row r="33" spans="1:13" x14ac:dyDescent="0.2">
      <c r="A33" s="155">
        <f t="shared" si="0"/>
        <v>180</v>
      </c>
      <c r="B33" s="150"/>
      <c r="C33" s="156">
        <f ca="1">1 / [1]!ldfsir(xsldfs, ldf_ages, xsldf_type, xsldf_ret, $A33, "Paid XS", 250000, cutoff, 3)</f>
        <v>0.75363942468769651</v>
      </c>
      <c r="D33" s="156"/>
      <c r="E33" s="156">
        <f t="shared" ca="1" si="1"/>
        <v>1.9252304644128193E-2</v>
      </c>
      <c r="F33" s="156"/>
      <c r="G33" s="156">
        <f ca="1">SUM(E33:E$43)</f>
        <v>0.26561287995643168</v>
      </c>
      <c r="H33" s="156"/>
      <c r="I33" s="158">
        <f t="shared" ca="1" si="2"/>
        <v>1.2541311848336793E-2</v>
      </c>
      <c r="J33" s="158"/>
      <c r="K33" s="158">
        <f ca="1">SUM(I33:I$42)</f>
        <v>0.1459227895338204</v>
      </c>
      <c r="L33" s="158"/>
      <c r="M33" s="159">
        <f t="shared" ca="1" si="3"/>
        <v>0.83098873860053946</v>
      </c>
    </row>
    <row r="34" spans="1:13" x14ac:dyDescent="0.2">
      <c r="A34" s="155">
        <f t="shared" si="0"/>
        <v>192</v>
      </c>
      <c r="B34" s="150"/>
      <c r="C34" s="156">
        <f ca="1">1 / [1]!ldfsir(xsldfs, ldf_ages, xsldf_type, xsldf_ret, $A34, "Paid XS", 250000, cutoff, 3)</f>
        <v>0.77447938238593128</v>
      </c>
      <c r="D34" s="156"/>
      <c r="E34" s="156">
        <f t="shared" ca="1" si="1"/>
        <v>2.0839957698234768E-2</v>
      </c>
      <c r="F34" s="156"/>
      <c r="G34" s="156">
        <f ca="1">SUM(E34:E$43)</f>
        <v>0.24636057531230349</v>
      </c>
      <c r="H34" s="156"/>
      <c r="I34" s="158">
        <f t="shared" ca="1" si="2"/>
        <v>1.3180134742855175E-2</v>
      </c>
      <c r="J34" s="158"/>
      <c r="K34" s="158">
        <f ca="1">SUM(I34:I$42)</f>
        <v>0.13338147768548361</v>
      </c>
      <c r="L34" s="158"/>
      <c r="M34" s="159">
        <f t="shared" ca="1" si="3"/>
        <v>0.84349533584510783</v>
      </c>
    </row>
    <row r="35" spans="1:13" x14ac:dyDescent="0.2">
      <c r="A35" s="155">
        <f t="shared" si="0"/>
        <v>204</v>
      </c>
      <c r="B35" s="150"/>
      <c r="C35" s="156">
        <f ca="1">1 / [1]!ldfsir(xsldfs, ldf_ages, xsldf_type, xsldf_ret, $A35, "Paid XS", 250000, cutoff, 3)</f>
        <v>0.79404600312408513</v>
      </c>
      <c r="D35" s="156"/>
      <c r="E35" s="156">
        <f t="shared" ca="1" si="1"/>
        <v>1.956662073815385E-2</v>
      </c>
      <c r="F35" s="156"/>
      <c r="G35" s="156">
        <f ca="1">SUM(E35:E$43)</f>
        <v>0.22552061761406872</v>
      </c>
      <c r="H35" s="156"/>
      <c r="I35" s="158">
        <f t="shared" ca="1" si="2"/>
        <v>1.2014387066875068E-2</v>
      </c>
      <c r="J35" s="158"/>
      <c r="K35" s="158">
        <f ca="1">SUM(I35:I$42)</f>
        <v>0.12020134294262844</v>
      </c>
      <c r="L35" s="158"/>
      <c r="M35" s="159">
        <f t="shared" ca="1" si="3"/>
        <v>0.85530037585496754</v>
      </c>
    </row>
    <row r="36" spans="1:13" x14ac:dyDescent="0.2">
      <c r="A36" s="155">
        <f t="shared" si="0"/>
        <v>216</v>
      </c>
      <c r="B36" s="150"/>
      <c r="C36" s="156">
        <f ca="1">1 / [1]!ldfsir(xsldfs, ldf_ages, xsldf_type, xsldf_ret, $A36, "Paid XS", 250000, cutoff, 3)</f>
        <v>0.81231591168273298</v>
      </c>
      <c r="D36" s="156"/>
      <c r="E36" s="156">
        <f t="shared" ca="1" si="1"/>
        <v>1.8269908558647852E-2</v>
      </c>
      <c r="F36" s="156"/>
      <c r="G36" s="156">
        <f ca="1">SUM(E36:E$43)</f>
        <v>0.20595399687591487</v>
      </c>
      <c r="H36" s="156"/>
      <c r="I36" s="158">
        <f t="shared" ca="1" si="2"/>
        <v>1.0891430922448368E-2</v>
      </c>
      <c r="J36" s="158"/>
      <c r="K36" s="158">
        <f ca="1">SUM(I36:I$42)</f>
        <v>0.10818695587575337</v>
      </c>
      <c r="L36" s="158"/>
      <c r="M36" s="159">
        <f t="shared" ca="1" si="3"/>
        <v>0.86823541457980269</v>
      </c>
    </row>
    <row r="37" spans="1:13" x14ac:dyDescent="0.2">
      <c r="A37" s="155">
        <f t="shared" si="0"/>
        <v>228</v>
      </c>
      <c r="B37" s="150"/>
      <c r="C37" s="156">
        <f ca="1">1 / [1]!ldfsir(xsldfs, ldf_ages, xsldf_type, xsldf_ret, $A37, "Paid XS", 250000, cutoff, 3)</f>
        <v>0.82929361706597748</v>
      </c>
      <c r="D37" s="156"/>
      <c r="E37" s="156">
        <f t="shared" ca="1" si="1"/>
        <v>1.6977705383244501E-2</v>
      </c>
      <c r="F37" s="156"/>
      <c r="G37" s="156">
        <f ca="1">SUM(E37:E$43)</f>
        <v>0.18768408831726702</v>
      </c>
      <c r="H37" s="156"/>
      <c r="I37" s="158">
        <f t="shared" ca="1" si="2"/>
        <v>9.8263071665059508E-3</v>
      </c>
      <c r="J37" s="158"/>
      <c r="K37" s="158">
        <f ca="1">SUM(I37:I$42)</f>
        <v>9.7295524953305013E-2</v>
      </c>
      <c r="L37" s="158"/>
      <c r="M37" s="159">
        <f t="shared" ca="1" si="3"/>
        <v>0.88254214769233352</v>
      </c>
    </row>
    <row r="38" spans="1:13" x14ac:dyDescent="0.2">
      <c r="A38" s="155">
        <f t="shared" si="0"/>
        <v>240</v>
      </c>
      <c r="B38" s="150"/>
      <c r="C38" s="156">
        <f ca="1">1 / [1]!ldfsir(xsldfs, ldf_ages, xsldf_type, xsldf_ret, $A38, "Paid XS", 250000, cutoff, 3)</f>
        <v>0.84500483103666013</v>
      </c>
      <c r="D38" s="156"/>
      <c r="E38" s="156">
        <f t="shared" ca="1" si="1"/>
        <v>1.5711213970682647E-2</v>
      </c>
      <c r="F38" s="156"/>
      <c r="G38" s="156">
        <f ca="1">SUM(E38:E$43)</f>
        <v>0.17070638293402252</v>
      </c>
      <c r="H38" s="156"/>
      <c r="I38" s="158">
        <f t="shared" ca="1" si="2"/>
        <v>8.8284377996023962E-3</v>
      </c>
      <c r="J38" s="158"/>
      <c r="K38" s="158">
        <f ca="1">SUM(I38:I$42)</f>
        <v>8.7469217786799058E-2</v>
      </c>
      <c r="L38" s="158"/>
      <c r="M38" s="159">
        <f t="shared" ca="1" si="3"/>
        <v>0.89848897393808258</v>
      </c>
    </row>
    <row r="39" spans="1:13" x14ac:dyDescent="0.2">
      <c r="A39" s="155">
        <f t="shared" si="0"/>
        <v>252</v>
      </c>
      <c r="B39" s="150"/>
      <c r="C39" s="156">
        <f ca="1">1 / [1]!ldfsir(xsldfs, ldf_ages, xsldf_type, xsldf_ret, $A39, "Paid XS", 250000, cutoff, 3)</f>
        <v>0.85949093552055533</v>
      </c>
      <c r="D39" s="156"/>
      <c r="E39" s="156">
        <f t="shared" ca="1" si="1"/>
        <v>1.4486104483895201E-2</v>
      </c>
      <c r="F39" s="156"/>
      <c r="G39" s="156">
        <f ca="1">SUM(E39:E$43)</f>
        <v>0.15499516896333987</v>
      </c>
      <c r="H39" s="156"/>
      <c r="I39" s="158">
        <f t="shared" ca="1" si="2"/>
        <v>7.9029367629959869E-3</v>
      </c>
      <c r="J39" s="158"/>
      <c r="K39" s="158">
        <f ca="1">SUM(I39:I$42)</f>
        <v>7.8640779987196652E-2</v>
      </c>
      <c r="L39" s="158"/>
      <c r="M39" s="159">
        <f t="shared" ca="1" si="3"/>
        <v>0.91637692444230923</v>
      </c>
    </row>
    <row r="40" spans="1:13" x14ac:dyDescent="0.2">
      <c r="A40" s="155">
        <f t="shared" si="0"/>
        <v>264</v>
      </c>
      <c r="B40" s="150"/>
      <c r="C40" s="156">
        <f ca="1">1 / [1]!ldfsir(xsldfs, ldf_ages, xsldf_type, xsldf_ret, $A40, "Paid XS", 250000, cutoff, 3)</f>
        <v>0.87280446084465035</v>
      </c>
      <c r="D40" s="156"/>
      <c r="E40" s="156">
        <f t="shared" ca="1" si="1"/>
        <v>1.3313525324095021E-2</v>
      </c>
      <c r="F40" s="156"/>
      <c r="G40" s="156">
        <f ca="1">SUM(E40:E$43)</f>
        <v>0.14050906447944467</v>
      </c>
      <c r="H40" s="156"/>
      <c r="I40" s="158">
        <f t="shared" ca="1" si="2"/>
        <v>7.0516822963998397E-3</v>
      </c>
      <c r="J40" s="158"/>
      <c r="K40" s="158">
        <f ca="1">SUM(I40:I$42)</f>
        <v>7.0737843224200667E-2</v>
      </c>
      <c r="L40" s="158"/>
      <c r="M40" s="159">
        <f t="shared" ca="1" si="3"/>
        <v>0.93654616698176674</v>
      </c>
    </row>
    <row r="41" spans="1:13" x14ac:dyDescent="0.2">
      <c r="A41" s="155">
        <f t="shared" si="0"/>
        <v>276</v>
      </c>
      <c r="B41" s="150"/>
      <c r="C41" s="156">
        <f ca="1">1 / [1]!ldfsir(xsldfs, ldf_ages, xsldf_type, xsldf_ret, $A41, "Paid XS", 250000, cutoff, 3)</f>
        <v>0.88500543700154743</v>
      </c>
      <c r="D41" s="156"/>
      <c r="E41" s="156">
        <f t="shared" ca="1" si="1"/>
        <v>1.2200976156897081E-2</v>
      </c>
      <c r="F41" s="156"/>
      <c r="G41" s="156">
        <f ca="1">SUM(E41:E$43)</f>
        <v>0.12719553915534965</v>
      </c>
      <c r="H41" s="156"/>
      <c r="I41" s="158">
        <f t="shared" ca="1" si="2"/>
        <v>6.2741807013029687E-3</v>
      </c>
      <c r="J41" s="158"/>
      <c r="K41" s="158">
        <f ca="1">SUM(I41:I$42)</f>
        <v>6.3686160927800828E-2</v>
      </c>
      <c r="L41" s="158"/>
      <c r="M41" s="159">
        <f t="shared" ca="1" si="3"/>
        <v>0.95938325244233258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0.11499456299845257</v>
      </c>
      <c r="F42" s="156"/>
      <c r="G42" s="156">
        <f ca="1">SUM(E42:E$43)</f>
        <v>0.11499456299845257</v>
      </c>
      <c r="H42" s="156"/>
      <c r="I42" s="158">
        <f t="shared" ca="1" si="2"/>
        <v>5.7411980226497863E-2</v>
      </c>
      <c r="J42" s="158"/>
      <c r="K42" s="158">
        <f ca="1">SUM(I42:I$42)</f>
        <v>5.7411980226497863E-2</v>
      </c>
      <c r="L42" s="158"/>
      <c r="M42" s="159">
        <f t="shared" ca="1" si="3"/>
        <v>0.98532927816429217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600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6
</oddHeader>
    <oddFooter xml:space="preserve">&amp;L&amp;"Arial"&amp;10 Oliver Wyman Actuarial Consulting, Inc.
&amp;C&amp;"Arial"&amp;10 &amp;R&amp;"Arial"&amp;10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>
    <tabColor rgb="FFFFFF00"/>
    <pageSetUpPr fitToPage="1"/>
  </sheetPr>
  <dimension ref="A1:M45"/>
  <sheetViews>
    <sheetView zoomScale="85" zoomScaleNormal="85" zoomScaleSheetLayoutView="85" workbookViewId="0"/>
  </sheetViews>
  <sheetFormatPr defaultColWidth="9" defaultRowHeight="12.75" x14ac:dyDescent="0.2"/>
  <cols>
    <col min="1" max="3" width="9" style="222"/>
    <col min="4" max="4" width="10.75" style="222" customWidth="1"/>
    <col min="5" max="5" width="5.625" style="222" customWidth="1"/>
    <col min="6" max="6" width="10.5" style="222" customWidth="1"/>
    <col min="7" max="7" width="5.625" style="222" customWidth="1"/>
    <col min="8" max="8" width="10.75" style="222" customWidth="1"/>
    <col min="9" max="9" width="2.625" style="222" customWidth="1"/>
    <col min="10" max="18" width="9" style="222"/>
    <col min="19" max="19" width="25.625" style="222" customWidth="1"/>
    <col min="20" max="21" width="15.625" style="222" customWidth="1"/>
    <col min="22" max="16384" width="9" style="222"/>
  </cols>
  <sheetData>
    <row r="1" spans="1:13" x14ac:dyDescent="0.2">
      <c r="A1" s="1" t="str">
        <f>[1]!getlabels()</f>
        <v>Exhibit 1, Sheet 1B</v>
      </c>
    </row>
    <row r="2" spans="1:13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</row>
    <row r="3" spans="1:13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</row>
    <row r="4" spans="1:13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</row>
    <row r="5" spans="1:13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</row>
    <row r="6" spans="1:13" x14ac:dyDescent="0.2">
      <c r="G6" s="224"/>
      <c r="H6" s="224"/>
    </row>
    <row r="7" spans="1:13" x14ac:dyDescent="0.2">
      <c r="A7" s="224" t="str">
        <f>"Total Estimated Unpaid Loss and ALAE as of "&amp;ctxt_l</f>
        <v>Total Estimated Unpaid Loss and ALAE as of April 30, 2019</v>
      </c>
      <c r="B7" s="224"/>
      <c r="C7" s="224"/>
      <c r="D7" s="224"/>
      <c r="E7" s="224"/>
      <c r="F7" s="224"/>
      <c r="G7" s="224"/>
      <c r="H7" s="224"/>
    </row>
    <row r="10" spans="1:13" x14ac:dyDescent="0.2">
      <c r="D10" s="370"/>
      <c r="F10" s="342" t="s">
        <v>532</v>
      </c>
    </row>
    <row r="11" spans="1:13" x14ac:dyDescent="0.2">
      <c r="D11" s="370" t="s">
        <v>523</v>
      </c>
      <c r="F11" s="370" t="s">
        <v>533</v>
      </c>
      <c r="H11" s="370" t="s">
        <v>534</v>
      </c>
      <c r="K11" s="370" t="s">
        <v>538</v>
      </c>
      <c r="L11" s="267"/>
    </row>
    <row r="12" spans="1:13" x14ac:dyDescent="0.2">
      <c r="D12" s="343" t="s">
        <v>8</v>
      </c>
      <c r="F12" s="251" t="s">
        <v>530</v>
      </c>
      <c r="H12" s="343" t="s">
        <v>8</v>
      </c>
      <c r="K12" s="343" t="s">
        <v>338</v>
      </c>
      <c r="L12" s="343" t="s">
        <v>18</v>
      </c>
      <c r="M12" s="343" t="s">
        <v>56</v>
      </c>
    </row>
    <row r="13" spans="1:13" x14ac:dyDescent="0.2">
      <c r="D13" s="288">
        <v>1</v>
      </c>
      <c r="F13" s="288">
        <f>D13+1</f>
        <v>2</v>
      </c>
      <c r="H13" s="288">
        <f>F13+1</f>
        <v>3</v>
      </c>
    </row>
    <row r="15" spans="1:13" x14ac:dyDescent="0.2">
      <c r="A15" s="390" t="s">
        <v>560</v>
      </c>
    </row>
    <row r="17" spans="1:13" x14ac:dyDescent="0.2">
      <c r="A17" s="391" t="s">
        <v>524</v>
      </c>
      <c r="D17" s="389">
        <f ca="1">'e1.3A'!S41</f>
        <v>12510982.236518349</v>
      </c>
      <c r="F17" s="324">
        <f ca="1">H17/D17</f>
        <v>0.89130359782758195</v>
      </c>
      <c r="H17" s="389">
        <f ca="1">'e1.3A'!W41</f>
        <v>11151083.479765773</v>
      </c>
    </row>
    <row r="18" spans="1:13" hidden="1" x14ac:dyDescent="0.2">
      <c r="A18" s="391" t="s">
        <v>525</v>
      </c>
      <c r="D18" s="290">
        <f ca="1">$D$17 * K18</f>
        <v>12405225.274356408</v>
      </c>
      <c r="F18" s="236">
        <f ca="1">F17</f>
        <v>0.89130359782758195</v>
      </c>
      <c r="H18" s="290">
        <f ca="1">D18*F18</f>
        <v>11056821.918895518</v>
      </c>
      <c r="J18" s="393">
        <v>0.5</v>
      </c>
      <c r="K18" s="394">
        <f>L18</f>
        <v>0.99154686976908601</v>
      </c>
      <c r="L18" s="332">
        <v>0.99154686976908601</v>
      </c>
      <c r="M18" s="388">
        <f>K18/L18-1</f>
        <v>0</v>
      </c>
    </row>
    <row r="19" spans="1:13" hidden="1" x14ac:dyDescent="0.2">
      <c r="A19" s="391" t="s">
        <v>526</v>
      </c>
      <c r="D19" s="290">
        <f ca="1">$D$17 * K19</f>
        <v>12918360.40922213</v>
      </c>
      <c r="F19" s="236">
        <f ca="1">F18</f>
        <v>0.89130359782758195</v>
      </c>
      <c r="H19" s="290">
        <f ca="1">D19*F19</f>
        <v>11514181.110773077</v>
      </c>
      <c r="J19" s="393">
        <v>0.6</v>
      </c>
      <c r="K19" s="394">
        <f t="shared" ref="K19:K22" si="0">L19</f>
        <v>1.0325616458406186</v>
      </c>
      <c r="L19" s="332">
        <v>1.0325616458406186</v>
      </c>
      <c r="M19" s="388">
        <f>K19/L19-1</f>
        <v>0</v>
      </c>
    </row>
    <row r="20" spans="1:13" hidden="1" x14ac:dyDescent="0.2">
      <c r="A20" s="391" t="s">
        <v>527</v>
      </c>
      <c r="D20" s="290">
        <f ca="1">$D$17 * K20</f>
        <v>13476741.441127133</v>
      </c>
      <c r="F20" s="236">
        <f ca="1">F19</f>
        <v>0.89130359782758195</v>
      </c>
      <c r="H20" s="290">
        <f ca="1">D20*F20</f>
        <v>12011868.133468686</v>
      </c>
      <c r="J20" s="393">
        <v>0.7</v>
      </c>
      <c r="K20" s="394">
        <f t="shared" si="0"/>
        <v>1.0771929162995553</v>
      </c>
      <c r="L20" s="332">
        <v>1.0771929162995553</v>
      </c>
      <c r="M20" s="388">
        <f>K20/L20-1</f>
        <v>0</v>
      </c>
    </row>
    <row r="21" spans="1:13" hidden="1" x14ac:dyDescent="0.2">
      <c r="A21" s="391" t="s">
        <v>528</v>
      </c>
      <c r="D21" s="290">
        <f ca="1">$D$17 * K21</f>
        <v>14098057.891118513</v>
      </c>
      <c r="F21" s="236">
        <f ca="1">F20</f>
        <v>0.89130359782758195</v>
      </c>
      <c r="H21" s="290">
        <f ca="1">D21*F21</f>
        <v>12565649.720735464</v>
      </c>
      <c r="J21" s="393">
        <v>0.8</v>
      </c>
      <c r="K21" s="394">
        <f t="shared" si="0"/>
        <v>1.1268546005898437</v>
      </c>
      <c r="L21" s="332">
        <v>1.1268546005898437</v>
      </c>
      <c r="M21" s="388">
        <f>K21/L21-1</f>
        <v>0</v>
      </c>
    </row>
    <row r="22" spans="1:13" hidden="1" x14ac:dyDescent="0.2">
      <c r="A22" s="391" t="s">
        <v>529</v>
      </c>
      <c r="D22" s="290">
        <f ca="1">$D$17 * K22</f>
        <v>15065773.578255378</v>
      </c>
      <c r="F22" s="236">
        <f ca="1">F21</f>
        <v>0.89130359782758195</v>
      </c>
      <c r="H22" s="290">
        <f ca="1">D22*F22</f>
        <v>13428178.194354741</v>
      </c>
      <c r="J22" s="393">
        <v>0.9</v>
      </c>
      <c r="K22" s="394">
        <f t="shared" si="0"/>
        <v>1.2042038980984113</v>
      </c>
      <c r="L22" s="332">
        <v>1.2042038980984113</v>
      </c>
      <c r="M22" s="388">
        <f>K22/L22-1</f>
        <v>0</v>
      </c>
    </row>
    <row r="25" spans="1:13" x14ac:dyDescent="0.2">
      <c r="A25" s="392" t="s">
        <v>535</v>
      </c>
    </row>
    <row r="27" spans="1:13" x14ac:dyDescent="0.2">
      <c r="A27" s="391" t="s">
        <v>524</v>
      </c>
      <c r="D27" s="389">
        <f ca="1">'e1.3B'!M41</f>
        <v>3991670.60086009</v>
      </c>
      <c r="F27" s="324">
        <f ca="1">H27/D27</f>
        <v>0.85272769040540253</v>
      </c>
      <c r="H27" s="389">
        <f ca="1">'e1.3B'!Q41</f>
        <v>3403808.0523305698</v>
      </c>
    </row>
    <row r="30" spans="1:13" x14ac:dyDescent="0.2">
      <c r="A30" s="392" t="s">
        <v>536</v>
      </c>
    </row>
    <row r="32" spans="1:13" x14ac:dyDescent="0.2">
      <c r="A32" s="391" t="s">
        <v>524</v>
      </c>
      <c r="D32" s="289">
        <f ca="1">D17+D27</f>
        <v>16502652.837378439</v>
      </c>
      <c r="F32" s="324">
        <f ca="1">H32/D32</f>
        <v>0.88197283645994029</v>
      </c>
      <c r="H32" s="289">
        <f ca="1">H17+H27</f>
        <v>14554891.532096343</v>
      </c>
    </row>
    <row r="33" spans="1:13" hidden="1" x14ac:dyDescent="0.2">
      <c r="A33" s="391" t="s">
        <v>525</v>
      </c>
      <c r="D33" s="290">
        <f ca="1">$D$32 * K33</f>
        <v>16036823.776677409</v>
      </c>
      <c r="F33" s="236">
        <f ca="1">F32</f>
        <v>0.88197283645994029</v>
      </c>
      <c r="H33" s="290">
        <f ca="1">D33*F33</f>
        <v>14144042.954124387</v>
      </c>
      <c r="J33" s="393">
        <v>0.5</v>
      </c>
      <c r="K33" s="394">
        <f>L33</f>
        <v>0.97177247408089873</v>
      </c>
      <c r="L33" s="332">
        <v>0.97177247408089873</v>
      </c>
      <c r="M33" s="388">
        <f>K33/L33-1</f>
        <v>0</v>
      </c>
    </row>
    <row r="34" spans="1:13" hidden="1" x14ac:dyDescent="0.2">
      <c r="A34" s="391" t="s">
        <v>526</v>
      </c>
      <c r="D34" s="290">
        <f ca="1">$D$32 * K34</f>
        <v>16852639.02707231</v>
      </c>
      <c r="F34" s="236">
        <f ca="1">F33</f>
        <v>0.88197283645994029</v>
      </c>
      <c r="H34" s="290">
        <f ca="1">D34*F34</f>
        <v>14863569.844542455</v>
      </c>
      <c r="J34" s="393">
        <v>0.6</v>
      </c>
      <c r="K34" s="394">
        <f t="shared" ref="K34:K37" si="1">L34</f>
        <v>1.0212078744637441</v>
      </c>
      <c r="L34" s="332">
        <v>1.0212078744637441</v>
      </c>
      <c r="M34" s="388">
        <f>K34/L34-1</f>
        <v>0</v>
      </c>
    </row>
    <row r="35" spans="1:13" hidden="1" x14ac:dyDescent="0.2">
      <c r="A35" s="391" t="s">
        <v>527</v>
      </c>
      <c r="D35" s="290">
        <f ca="1">$D$32 * K35</f>
        <v>17825152.102864008</v>
      </c>
      <c r="F35" s="236">
        <f ca="1">F34</f>
        <v>0.88197283645994029</v>
      </c>
      <c r="H35" s="290">
        <f ca="1">D35*F35</f>
        <v>15721299.960492838</v>
      </c>
      <c r="J35" s="393">
        <v>0.7</v>
      </c>
      <c r="K35" s="394">
        <f t="shared" si="1"/>
        <v>1.0801385861120532</v>
      </c>
      <c r="L35" s="332">
        <v>1.0801385861120532</v>
      </c>
      <c r="M35" s="388">
        <f>K35/L35-1</f>
        <v>0</v>
      </c>
    </row>
    <row r="36" spans="1:13" hidden="1" x14ac:dyDescent="0.2">
      <c r="A36" s="391" t="s">
        <v>528</v>
      </c>
      <c r="D36" s="290">
        <f ca="1">$D$32 * K36</f>
        <v>19012480.651654486</v>
      </c>
      <c r="F36" s="236">
        <f ca="1">F35</f>
        <v>0.88197283645994029</v>
      </c>
      <c r="H36" s="290">
        <f ca="1">D36*F36</f>
        <v>16768491.488479441</v>
      </c>
      <c r="J36" s="393">
        <v>0.8</v>
      </c>
      <c r="K36" s="394">
        <f t="shared" si="1"/>
        <v>1.1520863244842245</v>
      </c>
      <c r="L36" s="332">
        <v>1.1520863244842245</v>
      </c>
      <c r="M36" s="388">
        <f>K36/L36-1</f>
        <v>0</v>
      </c>
    </row>
    <row r="37" spans="1:13" hidden="1" x14ac:dyDescent="0.2">
      <c r="A37" s="391" t="s">
        <v>529</v>
      </c>
      <c r="D37" s="290">
        <f ca="1">$D$32 * K37</f>
        <v>20904039.932151992</v>
      </c>
      <c r="F37" s="236">
        <f ca="1">F36</f>
        <v>0.88197283645994029</v>
      </c>
      <c r="H37" s="290">
        <f ca="1">D37*F37</f>
        <v>18436795.392431948</v>
      </c>
      <c r="J37" s="393">
        <v>0.9</v>
      </c>
      <c r="K37" s="394">
        <f t="shared" si="1"/>
        <v>1.2667078522553918</v>
      </c>
      <c r="L37" s="332">
        <v>1.2667078522553918</v>
      </c>
      <c r="M37" s="388">
        <f>K37/L37-1</f>
        <v>0</v>
      </c>
    </row>
    <row r="40" spans="1:13" x14ac:dyDescent="0.2">
      <c r="A40" s="327" t="s">
        <v>83</v>
      </c>
    </row>
    <row r="41" spans="1:13" x14ac:dyDescent="0.2">
      <c r="A41" s="327" t="s">
        <v>730</v>
      </c>
    </row>
    <row r="42" spans="1:13" x14ac:dyDescent="0.2">
      <c r="A42" s="327" t="s">
        <v>731</v>
      </c>
    </row>
    <row r="43" spans="1:13" x14ac:dyDescent="0.2">
      <c r="A43" s="327" t="s">
        <v>539</v>
      </c>
    </row>
    <row r="44" spans="1:13" x14ac:dyDescent="0.2">
      <c r="A44" s="327" t="s">
        <v>567</v>
      </c>
    </row>
    <row r="45" spans="1:13" hidden="1" x14ac:dyDescent="0.2">
      <c r="A45" s="327" t="s">
        <v>540</v>
      </c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  
  &amp;R&amp;"Arial"&amp;10  Exhibit 1
Sheet 1B
</oddHeader>
    <oddFooter xml:space="preserve">&amp;L&amp;"Arial"&amp;10 Oliver Wyman Actuarial Consulting, Inc.
&amp;C&amp;"Arial"&amp;10 &amp;R&amp;"Arial"&amp;10 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9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7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Excess of $350,000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[1]!ldfsir(xsldfs, ldf_ages, xsldf_type, xsldf_ret, $A19, "Paid XS", 350000, cutoff, 3)</f>
        <v>8.1829168653404422E-2</v>
      </c>
      <c r="D19" s="156"/>
      <c r="E19" s="156">
        <f ca="1">C19</f>
        <v>8.1829168653404422E-2</v>
      </c>
      <c r="F19" s="156"/>
      <c r="G19" s="156">
        <f ca="1">SUM(E19:E$43)</f>
        <v>1</v>
      </c>
      <c r="H19" s="156"/>
      <c r="I19" s="157">
        <f ca="1">E19/((1+$E$11)^((A19-(A19/2))/12))</f>
        <v>8.0628675682043183E-2</v>
      </c>
      <c r="J19" s="158"/>
      <c r="K19" s="158">
        <f ca="1">SUM(I19:I$42)</f>
        <v>0.78360520144222467</v>
      </c>
      <c r="L19" s="158"/>
      <c r="M19" s="159">
        <f ca="1">((1+$E$11)^((A18)/12))*K19/G19</f>
        <v>0.78360520144222467</v>
      </c>
    </row>
    <row r="20" spans="1:13" x14ac:dyDescent="0.2">
      <c r="A20" s="155">
        <f t="shared" ref="A20:A42" si="0">A19+12</f>
        <v>24</v>
      </c>
      <c r="B20" s="150"/>
      <c r="C20" s="156">
        <f ca="1">1 / [1]!ldfsir(xsldfs, ldf_ages, xsldf_type, xsldf_ret, $A20, "Paid XS", 350000, cutoff, 3)</f>
        <v>0.24923258120537164</v>
      </c>
      <c r="D20" s="156"/>
      <c r="E20" s="156">
        <f t="shared" ref="E20:E41" ca="1" si="1">C20-C19</f>
        <v>0.16740341255196722</v>
      </c>
      <c r="F20" s="156"/>
      <c r="G20" s="156">
        <f ca="1">SUM(E20:E$43)</f>
        <v>0.91817083134659561</v>
      </c>
      <c r="H20" s="156"/>
      <c r="I20" s="158">
        <f ca="1">E20/((1+$E$11)^((A20-6)/12))</f>
        <v>0.1601431880117177</v>
      </c>
      <c r="J20" s="158"/>
      <c r="K20" s="158">
        <f ca="1">SUM(I20:I$42)</f>
        <v>0.70297652576018133</v>
      </c>
      <c r="L20" s="158"/>
      <c r="M20" s="159">
        <f ca="1">((1+$E$11)^((A19)/12))*K20/G20</f>
        <v>0.78859597453239383</v>
      </c>
    </row>
    <row r="21" spans="1:13" x14ac:dyDescent="0.2">
      <c r="A21" s="155">
        <f t="shared" si="0"/>
        <v>36</v>
      </c>
      <c r="B21" s="150"/>
      <c r="C21" s="156">
        <f ca="1">1 / [1]!ldfsir(xsldfs, ldf_ages, xsldf_type, xsldf_ret, $A21, "Paid XS", 350000, cutoff, 3)</f>
        <v>0.33830655732773229</v>
      </c>
      <c r="D21" s="156"/>
      <c r="E21" s="156">
        <f t="shared" ca="1" si="1"/>
        <v>8.9073976122360649E-2</v>
      </c>
      <c r="F21" s="156"/>
      <c r="G21" s="156">
        <f ca="1">SUM(E21:E$43)</f>
        <v>0.75076741879462838</v>
      </c>
      <c r="H21" s="156"/>
      <c r="I21" s="158">
        <f t="shared" ref="I21:I42" ca="1" si="2">E21/((1+$E$11)^((A21-6)/12))</f>
        <v>8.2729000467404182E-2</v>
      </c>
      <c r="J21" s="158"/>
      <c r="K21" s="158">
        <f ca="1">SUM(I21:I$42)</f>
        <v>0.54283333774846365</v>
      </c>
      <c r="L21" s="158"/>
      <c r="M21" s="159">
        <f t="shared" ref="M21:M42" ca="1" si="3">((1+$E$11)^((A20)/12))*K21/G21</f>
        <v>0.7670709644565431</v>
      </c>
    </row>
    <row r="22" spans="1:13" x14ac:dyDescent="0.2">
      <c r="A22" s="155">
        <f t="shared" si="0"/>
        <v>48</v>
      </c>
      <c r="B22" s="150"/>
      <c r="C22" s="156">
        <f ca="1">1 / [1]!ldfsir(xsldfs, ldf_ages, xsldf_type, xsldf_ret, $A22, "Paid XS", 350000, cutoff, 3)</f>
        <v>0.42246871700552124</v>
      </c>
      <c r="D22" s="156"/>
      <c r="E22" s="156">
        <f t="shared" ca="1" si="1"/>
        <v>8.416215967778895E-2</v>
      </c>
      <c r="F22" s="156"/>
      <c r="G22" s="156">
        <f ca="1">SUM(E22:E$43)</f>
        <v>0.66169344267226771</v>
      </c>
      <c r="H22" s="156"/>
      <c r="I22" s="158">
        <f t="shared" ca="1" si="2"/>
        <v>7.5890355087834163E-2</v>
      </c>
      <c r="J22" s="158"/>
      <c r="K22" s="158">
        <f ca="1">SUM(I22:I$42)</f>
        <v>0.46010433728105943</v>
      </c>
      <c r="L22" s="158"/>
      <c r="M22" s="159">
        <f t="shared" ca="1" si="3"/>
        <v>0.75982078669795439</v>
      </c>
    </row>
    <row r="23" spans="1:13" x14ac:dyDescent="0.2">
      <c r="A23" s="155">
        <f t="shared" si="0"/>
        <v>60</v>
      </c>
      <c r="B23" s="150"/>
      <c r="C23" s="156">
        <f ca="1">1 / [1]!ldfsir(xsldfs, ldf_ages, xsldf_type, xsldf_ret, $A23, "Paid XS", 350000, cutoff, 3)</f>
        <v>0.45841631950510675</v>
      </c>
      <c r="D23" s="156"/>
      <c r="E23" s="156">
        <f t="shared" ca="1" si="1"/>
        <v>3.5947602499585507E-2</v>
      </c>
      <c r="F23" s="156"/>
      <c r="G23" s="156">
        <f ca="1">SUM(E23:E$43)</f>
        <v>0.57753128299447876</v>
      </c>
      <c r="H23" s="156"/>
      <c r="I23" s="158">
        <f t="shared" ca="1" si="2"/>
        <v>3.1470411344584254E-2</v>
      </c>
      <c r="J23" s="158"/>
      <c r="K23" s="158">
        <f ca="1">SUM(I23:I$42)</f>
        <v>0.38421398219322522</v>
      </c>
      <c r="L23" s="158"/>
      <c r="M23" s="159">
        <f t="shared" ca="1" si="3"/>
        <v>0.74876675016025451</v>
      </c>
    </row>
    <row r="24" spans="1:13" x14ac:dyDescent="0.2">
      <c r="A24" s="155">
        <f t="shared" si="0"/>
        <v>72</v>
      </c>
      <c r="B24" s="150"/>
      <c r="C24" s="156">
        <f ca="1">1 / [1]!ldfsir(xsldfs, ldf_ages, xsldf_type, xsldf_ret, $A24, "Paid XS", 350000, cutoff, 3)</f>
        <v>0.49260462285680662</v>
      </c>
      <c r="D24" s="156"/>
      <c r="E24" s="156">
        <f t="shared" ca="1" si="1"/>
        <v>3.4188303351699867E-2</v>
      </c>
      <c r="F24" s="156"/>
      <c r="G24" s="156">
        <f ca="1">SUM(E24:E$43)</f>
        <v>0.54158368049489325</v>
      </c>
      <c r="H24" s="156"/>
      <c r="I24" s="158">
        <f t="shared" ca="1" si="2"/>
        <v>2.9058474617862252E-2</v>
      </c>
      <c r="J24" s="158"/>
      <c r="K24" s="158">
        <f ca="1">SUM(I24:I$42)</f>
        <v>0.352743570848641</v>
      </c>
      <c r="L24" s="158"/>
      <c r="M24" s="159">
        <f t="shared" ca="1" si="3"/>
        <v>0.75505686616546897</v>
      </c>
    </row>
    <row r="25" spans="1:13" x14ac:dyDescent="0.2">
      <c r="A25" s="155">
        <f t="shared" si="0"/>
        <v>84</v>
      </c>
      <c r="B25" s="150"/>
      <c r="C25" s="156">
        <f ca="1">1 / [1]!ldfsir(xsldfs, ldf_ages, xsldf_type, xsldf_ret, $A25, "Paid XS", 350000, cutoff, 3)</f>
        <v>0.51941441513004627</v>
      </c>
      <c r="D25" s="156"/>
      <c r="E25" s="156">
        <f t="shared" ca="1" si="1"/>
        <v>2.6809792273239652E-2</v>
      </c>
      <c r="F25" s="156"/>
      <c r="G25" s="156">
        <f ca="1">SUM(E25:E$43)</f>
        <v>0.50739537714319338</v>
      </c>
      <c r="H25" s="156"/>
      <c r="I25" s="158">
        <f t="shared" ca="1" si="2"/>
        <v>2.212338047932751E-2</v>
      </c>
      <c r="J25" s="158"/>
      <c r="K25" s="158">
        <f ca="1">SUM(I25:I$42)</f>
        <v>0.32368509623077873</v>
      </c>
      <c r="L25" s="158"/>
      <c r="M25" s="159">
        <f t="shared" ca="1" si="3"/>
        <v>0.76172734304888512</v>
      </c>
    </row>
    <row r="26" spans="1:13" x14ac:dyDescent="0.2">
      <c r="A26" s="155">
        <f t="shared" si="0"/>
        <v>96</v>
      </c>
      <c r="B26" s="150"/>
      <c r="C26" s="156">
        <f ca="1">1 / [1]!ldfsir(xsldfs, ldf_ages, xsldf_type, xsldf_ret, $A26, "Paid XS", 350000, cutoff, 3)</f>
        <v>0.55530699817671347</v>
      </c>
      <c r="D26" s="156"/>
      <c r="E26" s="156">
        <f t="shared" ca="1" si="1"/>
        <v>3.5892583046667204E-2</v>
      </c>
      <c r="F26" s="156"/>
      <c r="G26" s="156">
        <f ca="1">SUM(E26:E$43)</f>
        <v>0.48058558486995373</v>
      </c>
      <c r="H26" s="156"/>
      <c r="I26" s="158">
        <f t="shared" ca="1" si="2"/>
        <v>2.8755804915495994E-2</v>
      </c>
      <c r="J26" s="158"/>
      <c r="K26" s="158">
        <f ca="1">SUM(I26:I$42)</f>
        <v>0.30156171575145119</v>
      </c>
      <c r="L26" s="158"/>
      <c r="M26" s="159">
        <f t="shared" ca="1" si="3"/>
        <v>0.77173116442049328</v>
      </c>
    </row>
    <row r="27" spans="1:13" x14ac:dyDescent="0.2">
      <c r="A27" s="155">
        <f t="shared" si="0"/>
        <v>108</v>
      </c>
      <c r="B27" s="150"/>
      <c r="C27" s="156">
        <f ca="1">1 / [1]!ldfsir(xsldfs, ldf_ages, xsldf_type, xsldf_ret, $A27, "Paid XS", 350000, cutoff, 3)</f>
        <v>0.58966645916379834</v>
      </c>
      <c r="D27" s="156"/>
      <c r="E27" s="156">
        <f t="shared" ca="1" si="1"/>
        <v>3.4359460987084867E-2</v>
      </c>
      <c r="F27" s="156"/>
      <c r="G27" s="156">
        <f ca="1">SUM(E27:E$43)</f>
        <v>0.44469300182328653</v>
      </c>
      <c r="H27" s="156"/>
      <c r="I27" s="158">
        <f t="shared" ca="1" si="2"/>
        <v>2.6725751886588156E-2</v>
      </c>
      <c r="J27" s="158"/>
      <c r="K27" s="158">
        <f ca="1">SUM(I27:I$42)</f>
        <v>0.27280591083595518</v>
      </c>
      <c r="L27" s="158"/>
      <c r="M27" s="159">
        <f t="shared" ca="1" si="3"/>
        <v>0.777125712470767</v>
      </c>
    </row>
    <row r="28" spans="1:13" x14ac:dyDescent="0.2">
      <c r="A28" s="155">
        <f t="shared" si="0"/>
        <v>120</v>
      </c>
      <c r="B28" s="150"/>
      <c r="C28" s="156">
        <f ca="1">1 / [1]!ldfsir(xsldfs, ldf_ages, xsldf_type, xsldf_ret, $A28, "Paid XS", 350000, cutoff, 3)</f>
        <v>0.61994635140406384</v>
      </c>
      <c r="D28" s="156"/>
      <c r="E28" s="156">
        <f t="shared" ca="1" si="1"/>
        <v>3.0279892240265505E-2</v>
      </c>
      <c r="F28" s="156"/>
      <c r="G28" s="156">
        <f ca="1">SUM(E28:E$43)</f>
        <v>0.41033354083620166</v>
      </c>
      <c r="H28" s="156"/>
      <c r="I28" s="158">
        <f t="shared" ca="1" si="2"/>
        <v>2.2866552389153003E-2</v>
      </c>
      <c r="J28" s="158"/>
      <c r="K28" s="158">
        <f ca="1">SUM(I28:I$42)</f>
        <v>0.24608015894936702</v>
      </c>
      <c r="L28" s="158"/>
      <c r="M28" s="159">
        <f t="shared" ca="1" si="3"/>
        <v>0.7824824454156466</v>
      </c>
    </row>
    <row r="29" spans="1:13" x14ac:dyDescent="0.2">
      <c r="A29" s="155">
        <f t="shared" si="0"/>
        <v>132</v>
      </c>
      <c r="B29" s="150"/>
      <c r="C29" s="156">
        <f ca="1">1 / [1]!ldfsir(xsldfs, ldf_ages, xsldf_type, xsldf_ret, $A29, "Paid XS", 350000, cutoff, 3)</f>
        <v>0.64769117285073119</v>
      </c>
      <c r="D29" s="156"/>
      <c r="E29" s="156">
        <f t="shared" ca="1" si="1"/>
        <v>2.7744821446667345E-2</v>
      </c>
      <c r="F29" s="156"/>
      <c r="G29" s="156">
        <f ca="1">SUM(E29:E$43)</f>
        <v>0.38005364859593616</v>
      </c>
      <c r="H29" s="156"/>
      <c r="I29" s="158">
        <f t="shared" ca="1" si="2"/>
        <v>2.0341879382542921E-2</v>
      </c>
      <c r="J29" s="158"/>
      <c r="K29" s="158">
        <f ca="1">SUM(I29:I$42)</f>
        <v>0.22321360656021405</v>
      </c>
      <c r="L29" s="158"/>
      <c r="M29" s="159">
        <f t="shared" ca="1" si="3"/>
        <v>0.78931072772749022</v>
      </c>
    </row>
    <row r="30" spans="1:13" x14ac:dyDescent="0.2">
      <c r="A30" s="155">
        <f t="shared" si="0"/>
        <v>144</v>
      </c>
      <c r="B30" s="150"/>
      <c r="C30" s="156">
        <f ca="1">1 / [1]!ldfsir(xsldfs, ldf_ages, xsldf_type, xsldf_ret, $A30, "Paid XS", 350000, cutoff, 3)</f>
        <v>0.6710201058640215</v>
      </c>
      <c r="D30" s="156"/>
      <c r="E30" s="156">
        <f t="shared" ca="1" si="1"/>
        <v>2.3328933013290309E-2</v>
      </c>
      <c r="F30" s="156"/>
      <c r="G30" s="156">
        <f ca="1">SUM(E30:E$43)</f>
        <v>0.35230882714926881</v>
      </c>
      <c r="H30" s="156"/>
      <c r="I30" s="158">
        <f t="shared" ca="1" si="2"/>
        <v>1.6606067235082386E-2</v>
      </c>
      <c r="J30" s="158"/>
      <c r="K30" s="158">
        <f ca="1">SUM(I30:I$42)</f>
        <v>0.2028717271776711</v>
      </c>
      <c r="L30" s="158"/>
      <c r="M30" s="159">
        <f t="shared" ca="1" si="3"/>
        <v>0.79709020759993809</v>
      </c>
    </row>
    <row r="31" spans="1:13" x14ac:dyDescent="0.2">
      <c r="A31" s="155">
        <f t="shared" si="0"/>
        <v>156</v>
      </c>
      <c r="B31" s="150"/>
      <c r="C31" s="156">
        <f ca="1">1 / [1]!ldfsir(xsldfs, ldf_ages, xsldf_type, xsldf_ret, $A31, "Paid XS", 350000, cutoff, 3)</f>
        <v>0.69337766014907531</v>
      </c>
      <c r="D31" s="156"/>
      <c r="E31" s="156">
        <f t="shared" ca="1" si="1"/>
        <v>2.2357554285053816E-2</v>
      </c>
      <c r="F31" s="156"/>
      <c r="G31" s="156">
        <f ca="1">SUM(E31:E$43)</f>
        <v>0.3289798941359785</v>
      </c>
      <c r="H31" s="156"/>
      <c r="I31" s="158">
        <f t="shared" ca="1" si="2"/>
        <v>1.5451085121251309E-2</v>
      </c>
      <c r="J31" s="158"/>
      <c r="K31" s="158">
        <f ca="1">SUM(I31:I$42)</f>
        <v>0.18626565994258876</v>
      </c>
      <c r="L31" s="158"/>
      <c r="M31" s="159">
        <f t="shared" ca="1" si="3"/>
        <v>0.80725386943849198</v>
      </c>
    </row>
    <row r="32" spans="1:13" x14ac:dyDescent="0.2">
      <c r="A32" s="155">
        <f t="shared" si="0"/>
        <v>168</v>
      </c>
      <c r="B32" s="150"/>
      <c r="C32" s="156">
        <f ca="1">1 / [1]!ldfsir(xsldfs, ldf_ages, xsldf_type, xsldf_ret, $A32, "Paid XS", 350000, cutoff, 3)</f>
        <v>0.71542716591491273</v>
      </c>
      <c r="D32" s="156"/>
      <c r="E32" s="156">
        <f t="shared" ca="1" si="1"/>
        <v>2.2049505765837418E-2</v>
      </c>
      <c r="F32" s="156"/>
      <c r="G32" s="156">
        <f ca="1">SUM(E32:E$43)</f>
        <v>0.30662233985092469</v>
      </c>
      <c r="H32" s="156"/>
      <c r="I32" s="158">
        <f t="shared" ca="1" si="2"/>
        <v>1.4794364883233284E-2</v>
      </c>
      <c r="J32" s="158"/>
      <c r="K32" s="158">
        <f ca="1">SUM(I32:I$42)</f>
        <v>0.17081457482133744</v>
      </c>
      <c r="L32" s="158"/>
      <c r="M32" s="159">
        <f t="shared" ca="1" si="3"/>
        <v>0.81809747455448545</v>
      </c>
    </row>
    <row r="33" spans="1:13" x14ac:dyDescent="0.2">
      <c r="A33" s="155">
        <f t="shared" si="0"/>
        <v>180</v>
      </c>
      <c r="B33" s="150"/>
      <c r="C33" s="156">
        <f ca="1">1 / [1]!ldfsir(xsldfs, ldf_ages, xsldf_type, xsldf_ret, $A33, "Paid XS", 350000, cutoff, 3)</f>
        <v>0.73608494752626619</v>
      </c>
      <c r="D33" s="156"/>
      <c r="E33" s="156">
        <f t="shared" ca="1" si="1"/>
        <v>2.0657781611353454E-2</v>
      </c>
      <c r="F33" s="156"/>
      <c r="G33" s="156">
        <f ca="1">SUM(E33:E$43)</f>
        <v>0.28457283408508727</v>
      </c>
      <c r="H33" s="156"/>
      <c r="I33" s="158">
        <f t="shared" ca="1" si="2"/>
        <v>1.3456865869917402E-2</v>
      </c>
      <c r="J33" s="158"/>
      <c r="K33" s="158">
        <f ca="1">SUM(I33:I$42)</f>
        <v>0.15602020993810417</v>
      </c>
      <c r="L33" s="158"/>
      <c r="M33" s="159">
        <f t="shared" ca="1" si="3"/>
        <v>0.82929407924985299</v>
      </c>
    </row>
    <row r="34" spans="1:13" x14ac:dyDescent="0.2">
      <c r="A34" s="155">
        <f t="shared" si="0"/>
        <v>192</v>
      </c>
      <c r="B34" s="150"/>
      <c r="C34" s="156">
        <f ca="1">1 / [1]!ldfsir(xsldfs, ldf_ages, xsldf_type, xsldf_ret, $A34, "Paid XS", 350000, cutoff, 3)</f>
        <v>0.75771125519447924</v>
      </c>
      <c r="D34" s="156"/>
      <c r="E34" s="156">
        <f t="shared" ca="1" si="1"/>
        <v>2.1626307668213052E-2</v>
      </c>
      <c r="F34" s="156"/>
      <c r="G34" s="156">
        <f ca="1">SUM(E34:E$43)</f>
        <v>0.26391505247373381</v>
      </c>
      <c r="H34" s="156"/>
      <c r="I34" s="158">
        <f t="shared" ca="1" si="2"/>
        <v>1.3677458140024631E-2</v>
      </c>
      <c r="J34" s="158"/>
      <c r="K34" s="158">
        <f ca="1">SUM(I34:I$42)</f>
        <v>0.14256334406818674</v>
      </c>
      <c r="L34" s="158"/>
      <c r="M34" s="159">
        <f t="shared" ca="1" si="3"/>
        <v>0.84159293976604177</v>
      </c>
    </row>
    <row r="35" spans="1:13" x14ac:dyDescent="0.2">
      <c r="A35" s="155">
        <f t="shared" si="0"/>
        <v>204</v>
      </c>
      <c r="B35" s="150"/>
      <c r="C35" s="156">
        <f ca="1">1 / [1]!ldfsir(xsldfs, ldf_ages, xsldf_type, xsldf_ret, $A35, "Paid XS", 350000, cutoff, 3)</f>
        <v>0.7780159646646897</v>
      </c>
      <c r="D35" s="156"/>
      <c r="E35" s="156">
        <f t="shared" ca="1" si="1"/>
        <v>2.0304709470210458E-2</v>
      </c>
      <c r="F35" s="156"/>
      <c r="G35" s="156">
        <f ca="1">SUM(E35:E$43)</f>
        <v>0.24228874480552076</v>
      </c>
      <c r="H35" s="156"/>
      <c r="I35" s="158">
        <f t="shared" ca="1" si="2"/>
        <v>1.2467591727776764E-2</v>
      </c>
      <c r="J35" s="158"/>
      <c r="K35" s="158">
        <f ca="1">SUM(I35:I$42)</f>
        <v>0.12888588592816211</v>
      </c>
      <c r="L35" s="158"/>
      <c r="M35" s="159">
        <f t="shared" ca="1" si="3"/>
        <v>0.85362616090106069</v>
      </c>
    </row>
    <row r="36" spans="1:13" x14ac:dyDescent="0.2">
      <c r="A36" s="155">
        <f t="shared" si="0"/>
        <v>216</v>
      </c>
      <c r="B36" s="150"/>
      <c r="C36" s="156">
        <f ca="1">1 / [1]!ldfsir(xsldfs, ldf_ages, xsldf_type, xsldf_ret, $A36, "Paid XS", 350000, cutoff, 3)</f>
        <v>0.79699500128114298</v>
      </c>
      <c r="D36" s="156"/>
      <c r="E36" s="156">
        <f t="shared" ca="1" si="1"/>
        <v>1.8979036616453282E-2</v>
      </c>
      <c r="F36" s="156"/>
      <c r="G36" s="156">
        <f ca="1">SUM(E36:E$43)</f>
        <v>0.2219840353353103</v>
      </c>
      <c r="H36" s="156"/>
      <c r="I36" s="158">
        <f t="shared" ca="1" si="2"/>
        <v>1.1314170819145992E-2</v>
      </c>
      <c r="J36" s="158"/>
      <c r="K36" s="158">
        <f ca="1">SUM(I36:I$42)</f>
        <v>0.11641829420038535</v>
      </c>
      <c r="L36" s="158"/>
      <c r="M36" s="159">
        <f t="shared" ca="1" si="3"/>
        <v>0.86682675910259532</v>
      </c>
    </row>
    <row r="37" spans="1:13" x14ac:dyDescent="0.2">
      <c r="A37" s="155">
        <f t="shared" si="0"/>
        <v>228</v>
      </c>
      <c r="B37" s="150"/>
      <c r="C37" s="156">
        <f ca="1">1 / [1]!ldfsir(xsldfs, ldf_ages, xsldf_type, xsldf_ret, $A37, "Paid XS", 350000, cutoff, 3)</f>
        <v>0.81466511083069659</v>
      </c>
      <c r="D37" s="156"/>
      <c r="E37" s="156">
        <f t="shared" ca="1" si="1"/>
        <v>1.7670109549553614E-2</v>
      </c>
      <c r="F37" s="156"/>
      <c r="G37" s="156">
        <f ca="1">SUM(E37:E$43)</f>
        <v>0.20300499871885702</v>
      </c>
      <c r="H37" s="156"/>
      <c r="I37" s="158">
        <f t="shared" ca="1" si="2"/>
        <v>1.0227054845178508E-2</v>
      </c>
      <c r="J37" s="158"/>
      <c r="K37" s="158">
        <f ca="1">SUM(I37:I$42)</f>
        <v>0.10510412338123935</v>
      </c>
      <c r="L37" s="158"/>
      <c r="M37" s="159">
        <f t="shared" ca="1" si="3"/>
        <v>0.88142033765712813</v>
      </c>
    </row>
    <row r="38" spans="1:13" x14ac:dyDescent="0.2">
      <c r="A38" s="155">
        <f t="shared" si="0"/>
        <v>240</v>
      </c>
      <c r="B38" s="150"/>
      <c r="C38" s="156">
        <f ca="1">1 / [1]!ldfsir(xsldfs, ldf_ages, xsldf_type, xsldf_ret, $A38, "Paid XS", 350000, cutoff, 3)</f>
        <v>0.83105906069457669</v>
      </c>
      <c r="D38" s="156"/>
      <c r="E38" s="156">
        <f t="shared" ca="1" si="1"/>
        <v>1.6393949863880097E-2</v>
      </c>
      <c r="F38" s="156"/>
      <c r="G38" s="156">
        <f ca="1">SUM(E38:E$43)</f>
        <v>0.18533488916930341</v>
      </c>
      <c r="H38" s="156"/>
      <c r="I38" s="158">
        <f t="shared" ca="1" si="2"/>
        <v>9.2120804244114705E-3</v>
      </c>
      <c r="J38" s="158"/>
      <c r="K38" s="158">
        <f ca="1">SUM(I38:I$42)</f>
        <v>9.4877068536060843E-2</v>
      </c>
      <c r="L38" s="158"/>
      <c r="M38" s="159">
        <f t="shared" ca="1" si="3"/>
        <v>0.89765890665203829</v>
      </c>
    </row>
    <row r="39" spans="1:13" x14ac:dyDescent="0.2">
      <c r="A39" s="155">
        <f t="shared" si="0"/>
        <v>252</v>
      </c>
      <c r="B39" s="150"/>
      <c r="C39" s="156">
        <f ca="1">1 / [1]!ldfsir(xsldfs, ldf_ages, xsldf_type, xsldf_ret, $A39, "Paid XS", 350000, cutoff, 3)</f>
        <v>0.84622159021546262</v>
      </c>
      <c r="D39" s="156"/>
      <c r="E39" s="156">
        <f t="shared" ca="1" si="1"/>
        <v>1.5162529520885926E-2</v>
      </c>
      <c r="F39" s="156"/>
      <c r="G39" s="156">
        <f ca="1">SUM(E39:E$43)</f>
        <v>0.16894093930542331</v>
      </c>
      <c r="H39" s="156"/>
      <c r="I39" s="158">
        <f t="shared" ca="1" si="2"/>
        <v>8.2719624246697654E-3</v>
      </c>
      <c r="J39" s="158"/>
      <c r="K39" s="158">
        <f ca="1">SUM(I39:I$42)</f>
        <v>8.5664988111649382E-2</v>
      </c>
      <c r="L39" s="158"/>
      <c r="M39" s="159">
        <f t="shared" ca="1" si="3"/>
        <v>0.91582595717996496</v>
      </c>
    </row>
    <row r="40" spans="1:13" x14ac:dyDescent="0.2">
      <c r="A40" s="155">
        <f t="shared" si="0"/>
        <v>264</v>
      </c>
      <c r="B40" s="150"/>
      <c r="C40" s="156">
        <f ca="1">1 / [1]!ldfsir(xsldfs, ldf_ages, xsldf_type, xsldf_ret, $A40, "Paid XS", 350000, cutoff, 3)</f>
        <v>0.86020603804956441</v>
      </c>
      <c r="D40" s="156"/>
      <c r="E40" s="156">
        <f t="shared" ca="1" si="1"/>
        <v>1.3984447834101799E-2</v>
      </c>
      <c r="F40" s="156"/>
      <c r="G40" s="156">
        <f ca="1">SUM(E40:E$43)</f>
        <v>0.15377840978453738</v>
      </c>
      <c r="H40" s="156"/>
      <c r="I40" s="158">
        <f t="shared" ca="1" si="2"/>
        <v>7.4070451526606429E-3</v>
      </c>
      <c r="J40" s="158"/>
      <c r="K40" s="158">
        <f ca="1">SUM(I40:I$42)</f>
        <v>7.7393025686979616E-2</v>
      </c>
      <c r="L40" s="158"/>
      <c r="M40" s="159">
        <f t="shared" ca="1" si="3"/>
        <v>0.93624212771732329</v>
      </c>
    </row>
    <row r="41" spans="1:13" x14ac:dyDescent="0.2">
      <c r="A41" s="155">
        <f t="shared" si="0"/>
        <v>276</v>
      </c>
      <c r="B41" s="150"/>
      <c r="C41" s="156">
        <f ca="1">1 / [1]!ldfsir(xsldfs, ldf_ages, xsldf_type, xsldf_ret, $A41, "Paid XS", 350000, cutoff, 3)</f>
        <v>0.87307156901400451</v>
      </c>
      <c r="D41" s="156"/>
      <c r="E41" s="156">
        <f t="shared" ca="1" si="1"/>
        <v>1.2865530964440097E-2</v>
      </c>
      <c r="F41" s="156"/>
      <c r="G41" s="156">
        <f ca="1">SUM(E41:E$43)</f>
        <v>0.13979396195043559</v>
      </c>
      <c r="H41" s="156"/>
      <c r="I41" s="158">
        <f t="shared" ca="1" si="2"/>
        <v>6.6159186815126511E-3</v>
      </c>
      <c r="J41" s="158"/>
      <c r="K41" s="158">
        <f ca="1">SUM(I41:I$42)</f>
        <v>6.9985980534318967E-2</v>
      </c>
      <c r="L41" s="158"/>
      <c r="M41" s="159">
        <f t="shared" ca="1" si="3"/>
        <v>0.95927158800906243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0.12692843098599549</v>
      </c>
      <c r="F42" s="156"/>
      <c r="G42" s="156">
        <f ca="1">SUM(E42:E$43)</f>
        <v>0.12692843098599549</v>
      </c>
      <c r="H42" s="156"/>
      <c r="I42" s="158">
        <f t="shared" ca="1" si="2"/>
        <v>6.3370061852806317E-2</v>
      </c>
      <c r="J42" s="158"/>
      <c r="K42" s="158">
        <f ca="1">SUM(I42:I$42)</f>
        <v>6.3370061852806317E-2</v>
      </c>
      <c r="L42" s="158"/>
      <c r="M42" s="159">
        <f t="shared" ca="1" si="3"/>
        <v>0.98532927816429217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600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7
</oddHeader>
    <oddFooter xml:space="preserve">&amp;L&amp;"Arial"&amp;10 Oliver Wyman Actuarial Consulting, Inc.
&amp;C&amp;"Arial"&amp;10 &amp;R&amp;"Arial"&amp;10 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0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8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Excess of $500,000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[1]!ldfsir(xsldfs, ldf_ages, xsldf_type, xsldf_ret, $A19, "Paid XS", 500000, cutoff, 3)</f>
        <v>0.11325844014785497</v>
      </c>
      <c r="D19" s="156"/>
      <c r="E19" s="156">
        <f ca="1">C19</f>
        <v>0.11325844014785497</v>
      </c>
      <c r="F19" s="156"/>
      <c r="G19" s="156">
        <f ca="1">SUM(E19:E$43)</f>
        <v>1</v>
      </c>
      <c r="H19" s="156"/>
      <c r="I19" s="157">
        <f ca="1">E19/((1+$E$11)^((A19-(A19/2))/12))</f>
        <v>0.11159685707689973</v>
      </c>
      <c r="J19" s="158"/>
      <c r="K19" s="158">
        <f ca="1">SUM(I19:I$42)</f>
        <v>0.8159793430057326</v>
      </c>
      <c r="L19" s="158"/>
      <c r="M19" s="159">
        <f ca="1">((1+$E$11)^((A18)/12))*K19/G19</f>
        <v>0.8159793430057326</v>
      </c>
    </row>
    <row r="20" spans="1:13" x14ac:dyDescent="0.2">
      <c r="A20" s="155">
        <f t="shared" ref="A20:A42" si="0">A19+12</f>
        <v>24</v>
      </c>
      <c r="B20" s="150"/>
      <c r="C20" s="156">
        <f ca="1">1 / [1]!ldfsir(xsldfs, ldf_ages, xsldf_type, xsldf_ret, $A20, "Paid XS", 500000, cutoff, 3)</f>
        <v>0.32687578472967299</v>
      </c>
      <c r="D20" s="156"/>
      <c r="E20" s="156">
        <f t="shared" ref="E20:E41" ca="1" si="1">C20-C19</f>
        <v>0.21361734458181802</v>
      </c>
      <c r="F20" s="156"/>
      <c r="G20" s="156">
        <f ca="1">SUM(E20:E$43)</f>
        <v>0.88674155985214498</v>
      </c>
      <c r="H20" s="156"/>
      <c r="I20" s="158">
        <f ca="1">E20/((1+$E$11)^((A20-6)/12))</f>
        <v>0.20435283877686972</v>
      </c>
      <c r="J20" s="158"/>
      <c r="K20" s="158">
        <f ca="1">SUM(I20:I$42)</f>
        <v>0.70438248592883279</v>
      </c>
      <c r="L20" s="158"/>
      <c r="M20" s="159">
        <f ca="1">((1+$E$11)^((A19)/12))*K20/G20</f>
        <v>0.81817971927206135</v>
      </c>
    </row>
    <row r="21" spans="1:13" x14ac:dyDescent="0.2">
      <c r="A21" s="155">
        <f t="shared" si="0"/>
        <v>36</v>
      </c>
      <c r="B21" s="150"/>
      <c r="C21" s="156">
        <f ca="1">1 / [1]!ldfsir(xsldfs, ldf_ages, xsldf_type, xsldf_ret, $A21, "Paid XS", 500000, cutoff, 3)</f>
        <v>0.44369889711398608</v>
      </c>
      <c r="D21" s="156"/>
      <c r="E21" s="156">
        <f t="shared" ca="1" si="1"/>
        <v>0.11682311238431309</v>
      </c>
      <c r="F21" s="156"/>
      <c r="G21" s="156">
        <f ca="1">SUM(E21:E$43)</f>
        <v>0.67312421527032695</v>
      </c>
      <c r="H21" s="156"/>
      <c r="I21" s="158">
        <f t="shared" ref="I21:I42" ca="1" si="2">E21/((1+$E$11)^((A21-6)/12))</f>
        <v>0.1085014921279492</v>
      </c>
      <c r="J21" s="158"/>
      <c r="K21" s="158">
        <f ca="1">SUM(I21:I$42)</f>
        <v>0.5000296471519633</v>
      </c>
      <c r="L21" s="158"/>
      <c r="M21" s="159">
        <f t="shared" ref="M21:M42" ca="1" si="3">((1+$E$11)^((A20)/12))*K21/G21</f>
        <v>0.78808849931282932</v>
      </c>
    </row>
    <row r="22" spans="1:13" x14ac:dyDescent="0.2">
      <c r="A22" s="155">
        <f t="shared" si="0"/>
        <v>48</v>
      </c>
      <c r="B22" s="150"/>
      <c r="C22" s="156">
        <f ca="1">1 / [1]!ldfsir(xsldfs, ldf_ages, xsldf_type, xsldf_ret, $A22, "Paid XS", 500000, cutoff, 3)</f>
        <v>0.52459766350856107</v>
      </c>
      <c r="D22" s="156"/>
      <c r="E22" s="156">
        <f t="shared" ca="1" si="1"/>
        <v>8.0898766394574995E-2</v>
      </c>
      <c r="F22" s="156"/>
      <c r="G22" s="156">
        <f ca="1">SUM(E22:E$43)</f>
        <v>0.55630110288601387</v>
      </c>
      <c r="H22" s="156"/>
      <c r="I22" s="158">
        <f t="shared" ca="1" si="2"/>
        <v>7.294770157225762E-2</v>
      </c>
      <c r="J22" s="158"/>
      <c r="K22" s="158">
        <f ca="1">SUM(I22:I$42)</f>
        <v>0.39152815502401406</v>
      </c>
      <c r="L22" s="158"/>
      <c r="M22" s="159">
        <f t="shared" ca="1" si="3"/>
        <v>0.76906801736574815</v>
      </c>
    </row>
    <row r="23" spans="1:13" x14ac:dyDescent="0.2">
      <c r="A23" s="155">
        <f t="shared" si="0"/>
        <v>60</v>
      </c>
      <c r="B23" s="150"/>
      <c r="C23" s="156">
        <f ca="1">1 / [1]!ldfsir(xsldfs, ldf_ages, xsldf_type, xsldf_ret, $A23, "Paid XS", 500000, cutoff, 3)</f>
        <v>0.55950202221998768</v>
      </c>
      <c r="D23" s="156"/>
      <c r="E23" s="156">
        <f t="shared" ca="1" si="1"/>
        <v>3.4904358711426609E-2</v>
      </c>
      <c r="F23" s="156"/>
      <c r="G23" s="156">
        <f ca="1">SUM(E23:E$43)</f>
        <v>0.47540233649143893</v>
      </c>
      <c r="H23" s="156"/>
      <c r="I23" s="158">
        <f t="shared" ca="1" si="2"/>
        <v>3.0557101169130373E-2</v>
      </c>
      <c r="J23" s="158"/>
      <c r="K23" s="158">
        <f ca="1">SUM(I23:I$42)</f>
        <v>0.31858045345175645</v>
      </c>
      <c r="L23" s="158"/>
      <c r="M23" s="159">
        <f t="shared" ca="1" si="3"/>
        <v>0.75423505424905257</v>
      </c>
    </row>
    <row r="24" spans="1:13" x14ac:dyDescent="0.2">
      <c r="A24" s="155">
        <f t="shared" si="0"/>
        <v>72</v>
      </c>
      <c r="B24" s="150"/>
      <c r="C24" s="156">
        <f ca="1">1 / [1]!ldfsir(xsldfs, ldf_ages, xsldf_type, xsldf_ret, $A24, "Paid XS", 500000, cutoff, 3)</f>
        <v>0.58858287973255174</v>
      </c>
      <c r="D24" s="156"/>
      <c r="E24" s="156">
        <f t="shared" ca="1" si="1"/>
        <v>2.9080857512564062E-2</v>
      </c>
      <c r="F24" s="156"/>
      <c r="G24" s="156">
        <f ca="1">SUM(E24:E$43)</f>
        <v>0.44049797778001232</v>
      </c>
      <c r="H24" s="156"/>
      <c r="I24" s="158">
        <f t="shared" ca="1" si="2"/>
        <v>2.4717382176044585E-2</v>
      </c>
      <c r="J24" s="158"/>
      <c r="K24" s="158">
        <f ca="1">SUM(I24:I$42)</f>
        <v>0.28802335228262615</v>
      </c>
      <c r="L24" s="158"/>
      <c r="M24" s="159">
        <f t="shared" ca="1" si="3"/>
        <v>0.75800122120191693</v>
      </c>
    </row>
    <row r="25" spans="1:13" x14ac:dyDescent="0.2">
      <c r="A25" s="155">
        <f t="shared" si="0"/>
        <v>84</v>
      </c>
      <c r="B25" s="150"/>
      <c r="C25" s="156">
        <f ca="1">1 / [1]!ldfsir(xsldfs, ldf_ages, xsldf_type, xsldf_ret, $A25, "Paid XS", 500000, cutoff, 3)</f>
        <v>0.61453664001575958</v>
      </c>
      <c r="D25" s="156"/>
      <c r="E25" s="156">
        <f t="shared" ca="1" si="1"/>
        <v>2.5953760283207838E-2</v>
      </c>
      <c r="F25" s="156"/>
      <c r="G25" s="156">
        <f ca="1">SUM(E25:E$43)</f>
        <v>0.41141712026744826</v>
      </c>
      <c r="H25" s="156"/>
      <c r="I25" s="158">
        <f t="shared" ca="1" si="2"/>
        <v>2.141698480028105E-2</v>
      </c>
      <c r="J25" s="158"/>
      <c r="K25" s="158">
        <f ca="1">SUM(I25:I$42)</f>
        <v>0.26330597010658152</v>
      </c>
      <c r="L25" s="158"/>
      <c r="M25" s="159">
        <f t="shared" ca="1" si="3"/>
        <v>0.76419060561013696</v>
      </c>
    </row>
    <row r="26" spans="1:13" x14ac:dyDescent="0.2">
      <c r="A26" s="155">
        <f t="shared" si="0"/>
        <v>96</v>
      </c>
      <c r="B26" s="150"/>
      <c r="C26" s="156">
        <f ca="1">1 / [1]!ldfsir(xsldfs, ldf_ages, xsldf_type, xsldf_ret, $A26, "Paid XS", 500000, cutoff, 3)</f>
        <v>0.64176964640172873</v>
      </c>
      <c r="D26" s="156"/>
      <c r="E26" s="156">
        <f t="shared" ca="1" si="1"/>
        <v>2.723300638596915E-2</v>
      </c>
      <c r="F26" s="156"/>
      <c r="G26" s="156">
        <f ca="1">SUM(E26:E$43)</f>
        <v>0.38546335998424042</v>
      </c>
      <c r="H26" s="156"/>
      <c r="I26" s="158">
        <f t="shared" ca="1" si="2"/>
        <v>2.1818073608109983E-2</v>
      </c>
      <c r="J26" s="158"/>
      <c r="K26" s="158">
        <f ca="1">SUM(I26:I$42)</f>
        <v>0.24188898530630049</v>
      </c>
      <c r="L26" s="158"/>
      <c r="M26" s="159">
        <f t="shared" ca="1" si="3"/>
        <v>0.77178007625555467</v>
      </c>
    </row>
    <row r="27" spans="1:13" x14ac:dyDescent="0.2">
      <c r="A27" s="155">
        <f t="shared" si="0"/>
        <v>108</v>
      </c>
      <c r="B27" s="150"/>
      <c r="C27" s="156">
        <f ca="1">1 / [1]!ldfsir(xsldfs, ldf_ages, xsldf_type, xsldf_ret, $A27, "Paid XS", 500000, cutoff, 3)</f>
        <v>0.67104420983510638</v>
      </c>
      <c r="D27" s="156"/>
      <c r="E27" s="156">
        <f t="shared" ca="1" si="1"/>
        <v>2.9274563433377643E-2</v>
      </c>
      <c r="F27" s="156"/>
      <c r="G27" s="156">
        <f ca="1">SUM(E27:E$43)</f>
        <v>0.35823035359827127</v>
      </c>
      <c r="H27" s="156"/>
      <c r="I27" s="158">
        <f t="shared" ca="1" si="2"/>
        <v>2.2770576034435528E-2</v>
      </c>
      <c r="J27" s="158"/>
      <c r="K27" s="158">
        <f ca="1">SUM(I27:I$42)</f>
        <v>0.22007091169819049</v>
      </c>
      <c r="L27" s="158"/>
      <c r="M27" s="159">
        <f t="shared" ca="1" si="3"/>
        <v>0.77821224227021768</v>
      </c>
    </row>
    <row r="28" spans="1:13" x14ac:dyDescent="0.2">
      <c r="A28" s="155">
        <f t="shared" si="0"/>
        <v>120</v>
      </c>
      <c r="B28" s="150"/>
      <c r="C28" s="156">
        <f ca="1">1 / [1]!ldfsir(xsldfs, ldf_ages, xsldf_type, xsldf_ret, $A28, "Paid XS", 500000, cutoff, 3)</f>
        <v>0.69565479817225351</v>
      </c>
      <c r="D28" s="156"/>
      <c r="E28" s="156">
        <f t="shared" ca="1" si="1"/>
        <v>2.4610588337147132E-2</v>
      </c>
      <c r="F28" s="156"/>
      <c r="G28" s="156">
        <f ca="1">SUM(E28:E$43)</f>
        <v>0.32895579016489362</v>
      </c>
      <c r="H28" s="156"/>
      <c r="I28" s="158">
        <f t="shared" ca="1" si="2"/>
        <v>1.8585248027762409E-2</v>
      </c>
      <c r="J28" s="158"/>
      <c r="K28" s="158">
        <f ca="1">SUM(I28:I$42)</f>
        <v>0.19730033566375493</v>
      </c>
      <c r="L28" s="158"/>
      <c r="M28" s="159">
        <f t="shared" ca="1" si="3"/>
        <v>0.78257381335508558</v>
      </c>
    </row>
    <row r="29" spans="1:13" x14ac:dyDescent="0.2">
      <c r="A29" s="155">
        <f t="shared" si="0"/>
        <v>132</v>
      </c>
      <c r="B29" s="150"/>
      <c r="C29" s="156">
        <f ca="1">1 / [1]!ldfsir(xsldfs, ldf_ages, xsldf_type, xsldf_ret, $A29, "Paid XS", 500000, cutoff, 3)</f>
        <v>0.71812750185365093</v>
      </c>
      <c r="D29" s="156"/>
      <c r="E29" s="156">
        <f t="shared" ca="1" si="1"/>
        <v>2.2472703681397421E-2</v>
      </c>
      <c r="F29" s="156"/>
      <c r="G29" s="156">
        <f ca="1">SUM(E29:E$43)</f>
        <v>0.30434520182774649</v>
      </c>
      <c r="H29" s="156"/>
      <c r="I29" s="158">
        <f t="shared" ca="1" si="2"/>
        <v>1.6476481153982162E-2</v>
      </c>
      <c r="J29" s="158"/>
      <c r="K29" s="158">
        <f ca="1">SUM(I29:I$42)</f>
        <v>0.17871508763599253</v>
      </c>
      <c r="L29" s="158"/>
      <c r="M29" s="159">
        <f t="shared" ca="1" si="3"/>
        <v>0.78916352900436615</v>
      </c>
    </row>
    <row r="30" spans="1:13" x14ac:dyDescent="0.2">
      <c r="A30" s="155">
        <f t="shared" si="0"/>
        <v>144</v>
      </c>
      <c r="B30" s="150"/>
      <c r="C30" s="156">
        <f ca="1">1 / [1]!ldfsir(xsldfs, ldf_ages, xsldf_type, xsldf_ret, $A30, "Paid XS", 500000, cutoff, 3)</f>
        <v>0.7370261095903512</v>
      </c>
      <c r="D30" s="156"/>
      <c r="E30" s="156">
        <f t="shared" ca="1" si="1"/>
        <v>1.8898607736700268E-2</v>
      </c>
      <c r="F30" s="156"/>
      <c r="G30" s="156">
        <f ca="1">SUM(E30:E$43)</f>
        <v>0.28187249814634907</v>
      </c>
      <c r="H30" s="156"/>
      <c r="I30" s="158">
        <f t="shared" ca="1" si="2"/>
        <v>1.3452460536720879E-2</v>
      </c>
      <c r="J30" s="158"/>
      <c r="K30" s="158">
        <f ca="1">SUM(I30:I$42)</f>
        <v>0.16223860648201038</v>
      </c>
      <c r="L30" s="158"/>
      <c r="M30" s="159">
        <f t="shared" ca="1" si="3"/>
        <v>0.79672964091350518</v>
      </c>
    </row>
    <row r="31" spans="1:13" x14ac:dyDescent="0.2">
      <c r="A31" s="155">
        <f t="shared" si="0"/>
        <v>156</v>
      </c>
      <c r="B31" s="150"/>
      <c r="C31" s="156">
        <f ca="1">1 / [1]!ldfsir(xsldfs, ldf_ages, xsldf_type, xsldf_ret, $A31, "Paid XS", 500000, cutoff, 3)</f>
        <v>0.75505764511754314</v>
      </c>
      <c r="D31" s="156"/>
      <c r="E31" s="156">
        <f t="shared" ca="1" si="1"/>
        <v>1.8031535527191944E-2</v>
      </c>
      <c r="F31" s="156"/>
      <c r="G31" s="156">
        <f ca="1">SUM(E31:E$43)</f>
        <v>0.2629738904096488</v>
      </c>
      <c r="H31" s="156"/>
      <c r="I31" s="158">
        <f t="shared" ca="1" si="2"/>
        <v>1.2461416250871431E-2</v>
      </c>
      <c r="J31" s="158"/>
      <c r="K31" s="158">
        <f ca="1">SUM(I31:I$42)</f>
        <v>0.14878614594528952</v>
      </c>
      <c r="L31" s="158"/>
      <c r="M31" s="159">
        <f t="shared" ca="1" si="3"/>
        <v>0.80667121387195151</v>
      </c>
    </row>
    <row r="32" spans="1:13" x14ac:dyDescent="0.2">
      <c r="A32" s="155">
        <f t="shared" si="0"/>
        <v>168</v>
      </c>
      <c r="B32" s="150"/>
      <c r="C32" s="156">
        <f ca="1">1 / [1]!ldfsir(xsldfs, ldf_ages, xsldf_type, xsldf_ret, $A32, "Paid XS", 500000, cutoff, 3)</f>
        <v>0.77275009901389791</v>
      </c>
      <c r="D32" s="156"/>
      <c r="E32" s="156">
        <f t="shared" ca="1" si="1"/>
        <v>1.7692453896354765E-2</v>
      </c>
      <c r="F32" s="156"/>
      <c r="G32" s="156">
        <f ca="1">SUM(E32:E$43)</f>
        <v>0.24494235488245686</v>
      </c>
      <c r="H32" s="156"/>
      <c r="I32" s="158">
        <f t="shared" ca="1" si="2"/>
        <v>1.1870951730264957E-2</v>
      </c>
      <c r="J32" s="158"/>
      <c r="K32" s="158">
        <f ca="1">SUM(I32:I$42)</f>
        <v>0.13632472969441808</v>
      </c>
      <c r="L32" s="158"/>
      <c r="M32" s="159">
        <f t="shared" ca="1" si="3"/>
        <v>0.81732480129659646</v>
      </c>
    </row>
    <row r="33" spans="1:13" x14ac:dyDescent="0.2">
      <c r="A33" s="155">
        <f t="shared" si="0"/>
        <v>180</v>
      </c>
      <c r="B33" s="150"/>
      <c r="C33" s="156">
        <f ca="1">1 / [1]!ldfsir(xsldfs, ldf_ages, xsldf_type, xsldf_ret, $A33, "Paid XS", 500000, cutoff, 3)</f>
        <v>0.78927469880958501</v>
      </c>
      <c r="D33" s="156"/>
      <c r="E33" s="156">
        <f t="shared" ca="1" si="1"/>
        <v>1.65245997956871E-2</v>
      </c>
      <c r="F33" s="156"/>
      <c r="G33" s="156">
        <f ca="1">SUM(E33:E$43)</f>
        <v>0.22724990098610209</v>
      </c>
      <c r="H33" s="156"/>
      <c r="I33" s="158">
        <f t="shared" ca="1" si="2"/>
        <v>1.0764433819089864E-2</v>
      </c>
      <c r="J33" s="158"/>
      <c r="K33" s="158">
        <f ca="1">SUM(I33:I$42)</f>
        <v>0.12445377796415313</v>
      </c>
      <c r="L33" s="158"/>
      <c r="M33" s="159">
        <f t="shared" ca="1" si="3"/>
        <v>0.82837222349104611</v>
      </c>
    </row>
    <row r="34" spans="1:13" x14ac:dyDescent="0.2">
      <c r="A34" s="155">
        <f t="shared" si="0"/>
        <v>192</v>
      </c>
      <c r="B34" s="150"/>
      <c r="C34" s="156">
        <f ca="1">1 / [1]!ldfsir(xsldfs, ldf_ages, xsldf_type, xsldf_ret, $A34, "Paid XS", 500000, cutoff, 3)</f>
        <v>0.80631021096883959</v>
      </c>
      <c r="D34" s="156"/>
      <c r="E34" s="156">
        <f t="shared" ca="1" si="1"/>
        <v>1.7035512159254584E-2</v>
      </c>
      <c r="F34" s="156"/>
      <c r="G34" s="156">
        <f ca="1">SUM(E34:E$43)</f>
        <v>0.21072530119041499</v>
      </c>
      <c r="H34" s="156"/>
      <c r="I34" s="158">
        <f t="shared" ca="1" si="2"/>
        <v>1.0774030778936839E-2</v>
      </c>
      <c r="J34" s="158"/>
      <c r="K34" s="158">
        <f ca="1">SUM(I34:I$42)</f>
        <v>0.11368934414506326</v>
      </c>
      <c r="L34" s="158"/>
      <c r="M34" s="159">
        <f t="shared" ca="1" si="3"/>
        <v>0.84054592776529913</v>
      </c>
    </row>
    <row r="35" spans="1:13" x14ac:dyDescent="0.2">
      <c r="A35" s="155">
        <f t="shared" si="0"/>
        <v>204</v>
      </c>
      <c r="B35" s="150"/>
      <c r="C35" s="156">
        <f ca="1">1 / [1]!ldfsir(xsldfs, ldf_ages, xsldf_type, xsldf_ret, $A35, "Paid XS", 500000, cutoff, 3)</f>
        <v>0.82226087521703706</v>
      </c>
      <c r="D35" s="156"/>
      <c r="E35" s="156">
        <f t="shared" ca="1" si="1"/>
        <v>1.5950664248197466E-2</v>
      </c>
      <c r="F35" s="156"/>
      <c r="G35" s="156">
        <f ca="1">SUM(E35:E$43)</f>
        <v>0.19368978903116041</v>
      </c>
      <c r="H35" s="156"/>
      <c r="I35" s="158">
        <f t="shared" ca="1" si="2"/>
        <v>9.7941007195957702E-3</v>
      </c>
      <c r="J35" s="158"/>
      <c r="K35" s="158">
        <f ca="1">SUM(I35:I$42)</f>
        <v>0.10291531336612643</v>
      </c>
      <c r="L35" s="158"/>
      <c r="M35" s="159">
        <f t="shared" ca="1" si="3"/>
        <v>0.85264621778241367</v>
      </c>
    </row>
    <row r="36" spans="1:13" x14ac:dyDescent="0.2">
      <c r="A36" s="155">
        <f t="shared" si="0"/>
        <v>216</v>
      </c>
      <c r="B36" s="150"/>
      <c r="C36" s="156">
        <f ca="1">1 / [1]!ldfsir(xsldfs, ldf_ages, xsldf_type, xsldf_ret, $A36, "Paid XS", 500000, cutoff, 3)</f>
        <v>0.83714504628433684</v>
      </c>
      <c r="D36" s="156"/>
      <c r="E36" s="156">
        <f t="shared" ca="1" si="1"/>
        <v>1.4884171067299778E-2</v>
      </c>
      <c r="F36" s="156"/>
      <c r="G36" s="156">
        <f ca="1">SUM(E36:E$43)</f>
        <v>0.17773912478296294</v>
      </c>
      <c r="H36" s="156"/>
      <c r="I36" s="158">
        <f t="shared" ca="1" si="2"/>
        <v>8.8730559595859206E-3</v>
      </c>
      <c r="J36" s="158"/>
      <c r="K36" s="158">
        <f ca="1">SUM(I36:I$42)</f>
        <v>9.3121212646530643E-2</v>
      </c>
      <c r="L36" s="158"/>
      <c r="M36" s="159">
        <f t="shared" ca="1" si="3"/>
        <v>0.86596114403645252</v>
      </c>
    </row>
    <row r="37" spans="1:13" x14ac:dyDescent="0.2">
      <c r="A37" s="155">
        <f t="shared" si="0"/>
        <v>228</v>
      </c>
      <c r="B37" s="150"/>
      <c r="C37" s="156">
        <f ca="1">1 / [1]!ldfsir(xsldfs, ldf_ages, xsldf_type, xsldf_ret, $A37, "Paid XS", 500000, cutoff, 3)</f>
        <v>0.85099156019650013</v>
      </c>
      <c r="D37" s="156"/>
      <c r="E37" s="156">
        <f t="shared" ca="1" si="1"/>
        <v>1.3846513912163294E-2</v>
      </c>
      <c r="F37" s="156"/>
      <c r="G37" s="156">
        <f ca="1">SUM(E37:E$43)</f>
        <v>0.16285495371566316</v>
      </c>
      <c r="H37" s="156"/>
      <c r="I37" s="158">
        <f t="shared" ca="1" si="2"/>
        <v>8.014045232549144E-3</v>
      </c>
      <c r="J37" s="158"/>
      <c r="K37" s="158">
        <f ca="1">SUM(I37:I$42)</f>
        <v>8.4248156686944728E-2</v>
      </c>
      <c r="L37" s="158"/>
      <c r="M37" s="159">
        <f t="shared" ca="1" si="3"/>
        <v>0.880703006079819</v>
      </c>
    </row>
    <row r="38" spans="1:13" x14ac:dyDescent="0.2">
      <c r="A38" s="155">
        <f t="shared" si="0"/>
        <v>240</v>
      </c>
      <c r="B38" s="150"/>
      <c r="C38" s="156">
        <f ca="1">1 / [1]!ldfsir(xsldfs, ldf_ages, xsldf_type, xsldf_ret, $A38, "Paid XS", 500000, cutoff, 3)</f>
        <v>0.86383719913447854</v>
      </c>
      <c r="D38" s="156"/>
      <c r="E38" s="156">
        <f t="shared" ca="1" si="1"/>
        <v>1.284563893797841E-2</v>
      </c>
      <c r="F38" s="156"/>
      <c r="G38" s="156">
        <f ca="1">SUM(E38:E$43)</f>
        <v>0.14900843980349987</v>
      </c>
      <c r="H38" s="156"/>
      <c r="I38" s="158">
        <f t="shared" ca="1" si="2"/>
        <v>7.2182152551490894E-3</v>
      </c>
      <c r="J38" s="158"/>
      <c r="K38" s="158">
        <f ca="1">SUM(I38:I$42)</f>
        <v>7.6234111454395584E-2</v>
      </c>
      <c r="L38" s="158"/>
      <c r="M38" s="159">
        <f t="shared" ca="1" si="3"/>
        <v>0.89711009700201683</v>
      </c>
    </row>
    <row r="39" spans="1:13" x14ac:dyDescent="0.2">
      <c r="A39" s="155">
        <f t="shared" si="0"/>
        <v>252</v>
      </c>
      <c r="B39" s="150"/>
      <c r="C39" s="156">
        <f ca="1">1 / [1]!ldfsir(xsldfs, ldf_ages, xsldf_type, xsldf_ret, $A39, "Paid XS", 500000, cutoff, 3)</f>
        <v>0.87572453436550268</v>
      </c>
      <c r="D39" s="156"/>
      <c r="E39" s="156">
        <f t="shared" ca="1" si="1"/>
        <v>1.1887335231024143E-2</v>
      </c>
      <c r="F39" s="156"/>
      <c r="G39" s="156">
        <f ca="1">SUM(E39:E$43)</f>
        <v>0.13616280086552146</v>
      </c>
      <c r="H39" s="156"/>
      <c r="I39" s="158">
        <f t="shared" ca="1" si="2"/>
        <v>6.4851705795550803E-3</v>
      </c>
      <c r="J39" s="158"/>
      <c r="K39" s="158">
        <f ca="1">SUM(I39:I$42)</f>
        <v>6.9015896199246501E-2</v>
      </c>
      <c r="L39" s="158"/>
      <c r="M39" s="159">
        <f t="shared" ca="1" si="3"/>
        <v>0.91545109753834819</v>
      </c>
    </row>
    <row r="40" spans="1:13" x14ac:dyDescent="0.2">
      <c r="A40" s="155">
        <f t="shared" si="0"/>
        <v>264</v>
      </c>
      <c r="B40" s="150"/>
      <c r="C40" s="156">
        <f ca="1">1 / [1]!ldfsir(xsldfs, ldf_ages, xsldf_type, xsldf_ret, $A40, "Paid XS", 500000, cutoff, 3)</f>
        <v>0.88670011634012003</v>
      </c>
      <c r="D40" s="156"/>
      <c r="E40" s="156">
        <f t="shared" ca="1" si="1"/>
        <v>1.0975581974617343E-2</v>
      </c>
      <c r="F40" s="156"/>
      <c r="G40" s="156">
        <f ca="1">SUM(E40:E$43)</f>
        <v>0.12427546563449732</v>
      </c>
      <c r="H40" s="156"/>
      <c r="I40" s="158">
        <f t="shared" ca="1" si="2"/>
        <v>5.813360114546166E-3</v>
      </c>
      <c r="J40" s="158"/>
      <c r="K40" s="158">
        <f ca="1">SUM(I40:I$42)</f>
        <v>6.2530725619691419E-2</v>
      </c>
      <c r="L40" s="158"/>
      <c r="M40" s="159">
        <f t="shared" ca="1" si="3"/>
        <v>0.93603004294901859</v>
      </c>
    </row>
    <row r="41" spans="1:13" x14ac:dyDescent="0.2">
      <c r="A41" s="155">
        <f t="shared" si="0"/>
        <v>276</v>
      </c>
      <c r="B41" s="150"/>
      <c r="C41" s="156">
        <f ca="1">1 / [1]!ldfsir(xsldfs, ldf_ages, xsldf_type, xsldf_ret, $A41, "Paid XS", 500000, cutoff, 3)</f>
        <v>0.89681297679969207</v>
      </c>
      <c r="D41" s="156"/>
      <c r="E41" s="156">
        <f t="shared" ca="1" si="1"/>
        <v>1.0112860459572048E-2</v>
      </c>
      <c r="F41" s="156"/>
      <c r="G41" s="156">
        <f ca="1">SUM(E41:E$43)</f>
        <v>0.11329988365987997</v>
      </c>
      <c r="H41" s="156"/>
      <c r="I41" s="158">
        <f t="shared" ca="1" si="2"/>
        <v>5.2003965186465237E-3</v>
      </c>
      <c r="J41" s="158"/>
      <c r="K41" s="158">
        <f ca="1">SUM(I41:I$42)</f>
        <v>5.6717365505145251E-2</v>
      </c>
      <c r="L41" s="158"/>
      <c r="M41" s="159">
        <f t="shared" ca="1" si="3"/>
        <v>0.95919195921023226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0.10318702320030793</v>
      </c>
      <c r="F42" s="156"/>
      <c r="G42" s="156">
        <f ca="1">SUM(E42:E$43)</f>
        <v>0.10318702320030793</v>
      </c>
      <c r="H42" s="156"/>
      <c r="I42" s="158">
        <f t="shared" ca="1" si="2"/>
        <v>5.1516968986498726E-2</v>
      </c>
      <c r="J42" s="158"/>
      <c r="K42" s="158">
        <f ca="1">SUM(I42:I$42)</f>
        <v>5.1516968986498726E-2</v>
      </c>
      <c r="L42" s="158"/>
      <c r="M42" s="159">
        <f t="shared" ca="1" si="3"/>
        <v>0.98532927816429217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600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8
</oddHeader>
    <oddFooter xml:space="preserve">&amp;L&amp;"Arial"&amp;10 Oliver Wyman Actuarial Consulting, Inc.
&amp;C&amp;"Arial"&amp;10 &amp;R&amp;"Arial"&amp;10 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1">
    <tabColor theme="7" tint="0.79998168889431442"/>
    <pageSetUpPr fitToPage="1"/>
  </sheetPr>
  <dimension ref="A1:M49"/>
  <sheetViews>
    <sheetView zoomScale="85" zoomScaleNormal="85" zoomScaleSheetLayoutView="85" workbookViewId="0"/>
  </sheetViews>
  <sheetFormatPr defaultColWidth="9" defaultRowHeight="12.75" x14ac:dyDescent="0.2"/>
  <cols>
    <col min="1" max="1" width="9" style="1"/>
    <col min="2" max="2" width="2.625" style="1" customWidth="1"/>
    <col min="3" max="3" width="9" style="1"/>
    <col min="4" max="4" width="2.625" style="1" customWidth="1"/>
    <col min="5" max="5" width="9" style="1"/>
    <col min="6" max="6" width="2.625" style="1" customWidth="1"/>
    <col min="7" max="7" width="9" style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6384" width="9" style="1"/>
  </cols>
  <sheetData>
    <row r="1" spans="1:13" x14ac:dyDescent="0.2">
      <c r="A1" s="1" t="str">
        <f>[1]!getlabels()</f>
        <v>Exhibit 9, Sheet 9</v>
      </c>
      <c r="E1" s="114"/>
    </row>
    <row r="2" spans="1:1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7" spans="1:13" x14ac:dyDescent="0.2">
      <c r="A7" s="81" t="s">
        <v>189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x14ac:dyDescent="0.2">
      <c r="A8" s="81" t="str">
        <f>VLOOKUP($A$1, index_lkups, 3, FALSE)</f>
        <v>Loss &amp; ALAE Excess of $750,000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11" spans="1:13" x14ac:dyDescent="0.2">
      <c r="A11" s="147" t="s">
        <v>214</v>
      </c>
      <c r="B11" s="147"/>
      <c r="C11" s="148"/>
      <c r="D11" s="148"/>
      <c r="E11" s="149">
        <v>0.03</v>
      </c>
      <c r="F11" s="148"/>
      <c r="G11" s="148"/>
      <c r="H11" s="148"/>
      <c r="I11" s="148"/>
      <c r="J11" s="148"/>
      <c r="K11" s="148"/>
      <c r="L11" s="148"/>
      <c r="M11" s="148"/>
    </row>
    <row r="12" spans="1:13" x14ac:dyDescent="0.2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</row>
    <row r="13" spans="1:13" x14ac:dyDescent="0.2">
      <c r="A13" s="148"/>
      <c r="B13" s="148"/>
      <c r="C13" s="148"/>
      <c r="D13" s="148"/>
      <c r="E13" s="148"/>
      <c r="F13" s="148"/>
      <c r="G13" s="148"/>
      <c r="H13" s="148"/>
      <c r="I13" s="150" t="s">
        <v>215</v>
      </c>
      <c r="J13" s="150"/>
      <c r="K13" s="148"/>
      <c r="L13" s="148"/>
      <c r="M13" s="148"/>
    </row>
    <row r="14" spans="1:13" x14ac:dyDescent="0.2">
      <c r="A14" s="151" t="s">
        <v>216</v>
      </c>
      <c r="B14" s="148"/>
      <c r="C14" s="150" t="s">
        <v>217</v>
      </c>
      <c r="D14" s="150"/>
      <c r="E14" s="150" t="s">
        <v>218</v>
      </c>
      <c r="F14" s="150"/>
      <c r="G14" s="150" t="s">
        <v>219</v>
      </c>
      <c r="H14" s="150"/>
      <c r="I14" s="150" t="s">
        <v>220</v>
      </c>
      <c r="J14" s="150"/>
      <c r="K14" s="150" t="s">
        <v>219</v>
      </c>
      <c r="L14" s="150"/>
      <c r="M14" s="150" t="s">
        <v>215</v>
      </c>
    </row>
    <row r="15" spans="1:13" x14ac:dyDescent="0.2">
      <c r="A15" s="151" t="s">
        <v>221</v>
      </c>
      <c r="B15" s="148"/>
      <c r="C15" s="150" t="s">
        <v>222</v>
      </c>
      <c r="D15" s="150"/>
      <c r="E15" s="150" t="s">
        <v>222</v>
      </c>
      <c r="F15" s="150"/>
      <c r="G15" s="150" t="s">
        <v>223</v>
      </c>
      <c r="H15" s="150"/>
      <c r="I15" s="150" t="s">
        <v>224</v>
      </c>
      <c r="J15" s="150"/>
      <c r="K15" s="150" t="s">
        <v>223</v>
      </c>
      <c r="L15" s="150"/>
      <c r="M15" s="150" t="s">
        <v>220</v>
      </c>
    </row>
    <row r="16" spans="1:13" x14ac:dyDescent="0.2">
      <c r="A16" s="152" t="s">
        <v>225</v>
      </c>
      <c r="B16" s="153"/>
      <c r="C16" s="152" t="s">
        <v>75</v>
      </c>
      <c r="D16" s="153"/>
      <c r="E16" s="152" t="s">
        <v>75</v>
      </c>
      <c r="F16" s="153"/>
      <c r="G16" s="152" t="s">
        <v>226</v>
      </c>
      <c r="H16" s="153"/>
      <c r="I16" s="152" t="s">
        <v>227</v>
      </c>
      <c r="J16" s="153"/>
      <c r="K16" s="152" t="s">
        <v>228</v>
      </c>
      <c r="L16" s="153"/>
      <c r="M16" s="154" t="s">
        <v>229</v>
      </c>
    </row>
    <row r="17" spans="1:13" x14ac:dyDescent="0.2">
      <c r="A17" s="153" t="s">
        <v>230</v>
      </c>
      <c r="B17" s="153"/>
      <c r="C17" s="153" t="s">
        <v>231</v>
      </c>
      <c r="D17" s="153"/>
      <c r="E17" s="153" t="s">
        <v>232</v>
      </c>
      <c r="F17" s="153"/>
      <c r="G17" s="153" t="s">
        <v>233</v>
      </c>
      <c r="H17" s="153"/>
      <c r="I17" s="153" t="s">
        <v>234</v>
      </c>
      <c r="J17" s="153"/>
      <c r="K17" s="153" t="s">
        <v>235</v>
      </c>
      <c r="L17" s="153"/>
      <c r="M17" s="153" t="s">
        <v>236</v>
      </c>
    </row>
    <row r="18" spans="1:13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</row>
    <row r="19" spans="1:13" x14ac:dyDescent="0.2">
      <c r="A19" s="155">
        <v>12</v>
      </c>
      <c r="B19" s="150"/>
      <c r="C19" s="156">
        <f ca="1">1 / [1]!ldfsir(xsldfs, ldf_ages, xsldf_type, xsldf_ret, $A19, "Paid XS", 750000, cutoff, 3)</f>
        <v>0.11641641298502915</v>
      </c>
      <c r="D19" s="156"/>
      <c r="E19" s="156">
        <f ca="1">C19</f>
        <v>0.11641641298502915</v>
      </c>
      <c r="F19" s="156"/>
      <c r="G19" s="156">
        <f ca="1">SUM(E19:E$43)</f>
        <v>1</v>
      </c>
      <c r="H19" s="156"/>
      <c r="I19" s="157">
        <f ca="1">E19/((1+$E$11)^((A19-(A19/2))/12))</f>
        <v>0.11470850017301502</v>
      </c>
      <c r="J19" s="158"/>
      <c r="K19" s="158">
        <f ca="1">SUM(I19:I$42)</f>
        <v>0.81374968279512794</v>
      </c>
      <c r="L19" s="158"/>
      <c r="M19" s="159">
        <f ca="1">((1+$E$11)^((A18)/12))*K19/G19</f>
        <v>0.81374968279512794</v>
      </c>
    </row>
    <row r="20" spans="1:13" x14ac:dyDescent="0.2">
      <c r="A20" s="155">
        <f t="shared" ref="A20:A42" si="0">A19+12</f>
        <v>24</v>
      </c>
      <c r="B20" s="150"/>
      <c r="C20" s="156">
        <f ca="1">1 / [1]!ldfsir(xsldfs, ldf_ages, xsldf_type, xsldf_ret, $A20, "Paid XS", 750000, cutoff, 3)</f>
        <v>0.31898097157897992</v>
      </c>
      <c r="D20" s="156"/>
      <c r="E20" s="156">
        <f t="shared" ref="E20:E41" ca="1" si="1">C20-C19</f>
        <v>0.20256455859395078</v>
      </c>
      <c r="F20" s="156"/>
      <c r="G20" s="156">
        <f ca="1">SUM(E20:E$43)</f>
        <v>0.88358358701497086</v>
      </c>
      <c r="H20" s="156"/>
      <c r="I20" s="158">
        <f ca="1">E20/((1+$E$11)^((A20-6)/12))</f>
        <v>0.19377940805926813</v>
      </c>
      <c r="J20" s="158"/>
      <c r="K20" s="158">
        <f ca="1">SUM(I20:I$42)</f>
        <v>0.6990411826221129</v>
      </c>
      <c r="L20" s="158"/>
      <c r="M20" s="159">
        <f ca="1">((1+$E$11)^((A19)/12))*K20/G20</f>
        <v>0.81487753810956298</v>
      </c>
    </row>
    <row r="21" spans="1:13" x14ac:dyDescent="0.2">
      <c r="A21" s="155">
        <f t="shared" si="0"/>
        <v>36</v>
      </c>
      <c r="B21" s="150"/>
      <c r="C21" s="156">
        <f ca="1">1 / [1]!ldfsir(xsldfs, ldf_ages, xsldf_type, xsldf_ret, $A21, "Paid XS", 750000, cutoff, 3)</f>
        <v>0.43298253312642376</v>
      </c>
      <c r="D21" s="156"/>
      <c r="E21" s="156">
        <f t="shared" ca="1" si="1"/>
        <v>0.11400156154744384</v>
      </c>
      <c r="F21" s="156"/>
      <c r="G21" s="156">
        <f ca="1">SUM(E21:E$43)</f>
        <v>0.68101902842102002</v>
      </c>
      <c r="H21" s="156"/>
      <c r="I21" s="158">
        <f t="shared" ref="I21:I42" ca="1" si="2">E21/((1+$E$11)^((A21-6)/12))</f>
        <v>0.1058809278434773</v>
      </c>
      <c r="J21" s="158"/>
      <c r="K21" s="158">
        <f ca="1">SUM(I21:I$42)</f>
        <v>0.50526177456284482</v>
      </c>
      <c r="L21" s="158"/>
      <c r="M21" s="159">
        <f t="shared" ref="M21:M42" ca="1" si="3">((1+$E$11)^((A20)/12))*K21/G21</f>
        <v>0.78710314141521442</v>
      </c>
    </row>
    <row r="22" spans="1:13" x14ac:dyDescent="0.2">
      <c r="A22" s="155">
        <f t="shared" si="0"/>
        <v>48</v>
      </c>
      <c r="B22" s="150"/>
      <c r="C22" s="156">
        <f ca="1">1 / [1]!ldfsir(xsldfs, ldf_ages, xsldf_type, xsldf_ret, $A22, "Paid XS", 750000, cutoff, 3)</f>
        <v>0.52426389357246794</v>
      </c>
      <c r="D22" s="156"/>
      <c r="E22" s="156">
        <f t="shared" ca="1" si="1"/>
        <v>9.128136044604418E-2</v>
      </c>
      <c r="F22" s="156"/>
      <c r="G22" s="156">
        <f ca="1">SUM(E22:E$43)</f>
        <v>0.56701746687357624</v>
      </c>
      <c r="H22" s="156"/>
      <c r="I22" s="158">
        <f t="shared" ca="1" si="2"/>
        <v>8.230985140676067E-2</v>
      </c>
      <c r="J22" s="158"/>
      <c r="K22" s="158">
        <f ca="1">SUM(I22:I$42)</f>
        <v>0.39938084671936758</v>
      </c>
      <c r="L22" s="158"/>
      <c r="M22" s="159">
        <f t="shared" ca="1" si="3"/>
        <v>0.76966629775872231</v>
      </c>
    </row>
    <row r="23" spans="1:13" x14ac:dyDescent="0.2">
      <c r="A23" s="155">
        <f t="shared" si="0"/>
        <v>60</v>
      </c>
      <c r="B23" s="150"/>
      <c r="C23" s="156">
        <f ca="1">1 / [1]!ldfsir(xsldfs, ldf_ages, xsldf_type, xsldf_ret, $A23, "Paid XS", 750000, cutoff, 3)</f>
        <v>0.5591460447401102</v>
      </c>
      <c r="D23" s="156"/>
      <c r="E23" s="156">
        <f t="shared" ca="1" si="1"/>
        <v>3.4882151167642261E-2</v>
      </c>
      <c r="F23" s="156"/>
      <c r="G23" s="156">
        <f ca="1">SUM(E23:E$43)</f>
        <v>0.47573610642753206</v>
      </c>
      <c r="H23" s="156"/>
      <c r="I23" s="158">
        <f t="shared" ca="1" si="2"/>
        <v>3.0537659523811902E-2</v>
      </c>
      <c r="J23" s="158"/>
      <c r="K23" s="158">
        <f ca="1">SUM(I23:I$42)</f>
        <v>0.31707099531260696</v>
      </c>
      <c r="L23" s="158"/>
      <c r="M23" s="159">
        <f t="shared" ca="1" si="3"/>
        <v>0.7501347780803107</v>
      </c>
    </row>
    <row r="24" spans="1:13" x14ac:dyDescent="0.2">
      <c r="A24" s="155">
        <f t="shared" si="0"/>
        <v>72</v>
      </c>
      <c r="B24" s="150"/>
      <c r="C24" s="156">
        <f ca="1">1 / [1]!ldfsir(xsldfs, ldf_ages, xsldf_type, xsldf_ret, $A24, "Paid XS", 750000, cutoff, 3)</f>
        <v>0.58680562873333431</v>
      </c>
      <c r="D24" s="156"/>
      <c r="E24" s="156">
        <f t="shared" ca="1" si="1"/>
        <v>2.7659583993224102E-2</v>
      </c>
      <c r="F24" s="156"/>
      <c r="G24" s="156">
        <f ca="1">SUM(E24:E$43)</f>
        <v>0.4408539552598898</v>
      </c>
      <c r="H24" s="156"/>
      <c r="I24" s="158">
        <f t="shared" ca="1" si="2"/>
        <v>2.3509365502566503E-2</v>
      </c>
      <c r="J24" s="158"/>
      <c r="K24" s="158">
        <f ca="1">SUM(I24:I$42)</f>
        <v>0.28653333578879503</v>
      </c>
      <c r="L24" s="158"/>
      <c r="M24" s="159">
        <f t="shared" ca="1" si="3"/>
        <v>0.7534709933742727</v>
      </c>
    </row>
    <row r="25" spans="1:13" x14ac:dyDescent="0.2">
      <c r="A25" s="155">
        <f t="shared" si="0"/>
        <v>84</v>
      </c>
      <c r="B25" s="150"/>
      <c r="C25" s="156">
        <f ca="1">1 / [1]!ldfsir(xsldfs, ldf_ages, xsldf_type, xsldf_ret, $A25, "Paid XS", 750000, cutoff, 3)</f>
        <v>0.6116207284482833</v>
      </c>
      <c r="D25" s="156"/>
      <c r="E25" s="156">
        <f t="shared" ca="1" si="1"/>
        <v>2.4815099714948996E-2</v>
      </c>
      <c r="F25" s="156"/>
      <c r="G25" s="156">
        <f ca="1">SUM(E25:E$43)</f>
        <v>0.41319437126666569</v>
      </c>
      <c r="H25" s="156"/>
      <c r="I25" s="158">
        <f t="shared" ca="1" si="2"/>
        <v>2.0477364652103244E-2</v>
      </c>
      <c r="J25" s="158"/>
      <c r="K25" s="158">
        <f ca="1">SUM(I25:I$42)</f>
        <v>0.26302397028622854</v>
      </c>
      <c r="L25" s="158"/>
      <c r="M25" s="159">
        <f t="shared" ca="1" si="3"/>
        <v>0.76008870788744853</v>
      </c>
    </row>
    <row r="26" spans="1:13" x14ac:dyDescent="0.2">
      <c r="A26" s="155">
        <f t="shared" si="0"/>
        <v>96</v>
      </c>
      <c r="B26" s="150"/>
      <c r="C26" s="156">
        <f ca="1">1 / [1]!ldfsir(xsldfs, ldf_ages, xsldf_type, xsldf_ret, $A26, "Paid XS", 750000, cutoff, 3)</f>
        <v>0.63871399317219357</v>
      </c>
      <c r="D26" s="156"/>
      <c r="E26" s="156">
        <f t="shared" ca="1" si="1"/>
        <v>2.7093264723910271E-2</v>
      </c>
      <c r="F26" s="156"/>
      <c r="G26" s="156">
        <f ca="1">SUM(E26:E$43)</f>
        <v>0.3883792715517167</v>
      </c>
      <c r="H26" s="156"/>
      <c r="I26" s="158">
        <f t="shared" ca="1" si="2"/>
        <v>2.1706117776803341E-2</v>
      </c>
      <c r="J26" s="158"/>
      <c r="K26" s="158">
        <f ca="1">SUM(I26:I$42)</f>
        <v>0.24254660563412525</v>
      </c>
      <c r="L26" s="158"/>
      <c r="M26" s="159">
        <f t="shared" ca="1" si="3"/>
        <v>0.76806810575934981</v>
      </c>
    </row>
    <row r="27" spans="1:13" x14ac:dyDescent="0.2">
      <c r="A27" s="155">
        <f t="shared" si="0"/>
        <v>108</v>
      </c>
      <c r="B27" s="150"/>
      <c r="C27" s="156">
        <f ca="1">1 / [1]!ldfsir(xsldfs, ldf_ages, xsldf_type, xsldf_ret, $A27, "Paid XS", 750000, cutoff, 3)</f>
        <v>0.66755815216711578</v>
      </c>
      <c r="D27" s="156"/>
      <c r="E27" s="156">
        <f t="shared" ca="1" si="1"/>
        <v>2.8844158994922209E-2</v>
      </c>
      <c r="F27" s="156"/>
      <c r="G27" s="156">
        <f ca="1">SUM(E27:E$43)</f>
        <v>0.36128600682780643</v>
      </c>
      <c r="H27" s="156"/>
      <c r="I27" s="158">
        <f t="shared" ca="1" si="2"/>
        <v>2.2435795397528276E-2</v>
      </c>
      <c r="J27" s="158"/>
      <c r="K27" s="158">
        <f ca="1">SUM(I27:I$42)</f>
        <v>0.22084048785732191</v>
      </c>
      <c r="L27" s="158"/>
      <c r="M27" s="159">
        <f t="shared" ca="1" si="3"/>
        <v>0.77432869662741988</v>
      </c>
    </row>
    <row r="28" spans="1:13" x14ac:dyDescent="0.2">
      <c r="A28" s="155">
        <f t="shared" si="0"/>
        <v>120</v>
      </c>
      <c r="B28" s="150"/>
      <c r="C28" s="156">
        <f ca="1">1 / [1]!ldfsir(xsldfs, ldf_ages, xsldf_type, xsldf_ret, $A28, "Paid XS", 750000, cutoff, 3)</f>
        <v>0.69162943002382382</v>
      </c>
      <c r="D28" s="156"/>
      <c r="E28" s="156">
        <f t="shared" ca="1" si="1"/>
        <v>2.407127785670804E-2</v>
      </c>
      <c r="F28" s="156"/>
      <c r="G28" s="156">
        <f ca="1">SUM(E28:E$43)</f>
        <v>0.33244184783288422</v>
      </c>
      <c r="H28" s="156"/>
      <c r="I28" s="158">
        <f t="shared" ca="1" si="2"/>
        <v>1.8177975397558634E-2</v>
      </c>
      <c r="J28" s="158"/>
      <c r="K28" s="158">
        <f ca="1">SUM(I28:I$42)</f>
        <v>0.19840469245979364</v>
      </c>
      <c r="L28" s="158"/>
      <c r="M28" s="159">
        <f t="shared" ca="1" si="3"/>
        <v>0.77870197135217589</v>
      </c>
    </row>
    <row r="29" spans="1:13" x14ac:dyDescent="0.2">
      <c r="A29" s="155">
        <f t="shared" si="0"/>
        <v>132</v>
      </c>
      <c r="B29" s="150"/>
      <c r="C29" s="156">
        <f ca="1">1 / [1]!ldfsir(xsldfs, ldf_ages, xsldf_type, xsldf_ret, $A29, "Paid XS", 750000, cutoff, 3)</f>
        <v>0.71353747192023209</v>
      </c>
      <c r="D29" s="156"/>
      <c r="E29" s="156">
        <f t="shared" ca="1" si="1"/>
        <v>2.190804189640827E-2</v>
      </c>
      <c r="F29" s="156"/>
      <c r="G29" s="156">
        <f ca="1">SUM(E29:E$43)</f>
        <v>0.30837056997617618</v>
      </c>
      <c r="H29" s="156"/>
      <c r="I29" s="158">
        <f t="shared" ca="1" si="2"/>
        <v>1.6062483826795888E-2</v>
      </c>
      <c r="J29" s="158"/>
      <c r="K29" s="158">
        <f ca="1">SUM(I29:I$42)</f>
        <v>0.18022671706223503</v>
      </c>
      <c r="L29" s="158"/>
      <c r="M29" s="159">
        <f t="shared" ca="1" si="3"/>
        <v>0.78544991201355174</v>
      </c>
    </row>
    <row r="30" spans="1:13" x14ac:dyDescent="0.2">
      <c r="A30" s="155">
        <f t="shared" si="0"/>
        <v>144</v>
      </c>
      <c r="B30" s="150"/>
      <c r="C30" s="156">
        <f ca="1">1 / [1]!ldfsir(xsldfs, ldf_ages, xsldf_type, xsldf_ret, $A30, "Paid XS", 750000, cutoff, 3)</f>
        <v>0.73176674649961793</v>
      </c>
      <c r="D30" s="156"/>
      <c r="E30" s="156">
        <f t="shared" ca="1" si="1"/>
        <v>1.8229274579385835E-2</v>
      </c>
      <c r="F30" s="156"/>
      <c r="G30" s="156">
        <f ca="1">SUM(E30:E$43)</f>
        <v>0.28646252807976791</v>
      </c>
      <c r="H30" s="156"/>
      <c r="I30" s="158">
        <f t="shared" ca="1" si="2"/>
        <v>1.2976013911120757E-2</v>
      </c>
      <c r="J30" s="158"/>
      <c r="K30" s="158">
        <f ca="1">SUM(I30:I$42)</f>
        <v>0.16416423323543916</v>
      </c>
      <c r="L30" s="158"/>
      <c r="M30" s="159">
        <f t="shared" ca="1" si="3"/>
        <v>0.79326847224752983</v>
      </c>
    </row>
    <row r="31" spans="1:13" x14ac:dyDescent="0.2">
      <c r="A31" s="155">
        <f t="shared" si="0"/>
        <v>156</v>
      </c>
      <c r="B31" s="150"/>
      <c r="C31" s="156">
        <f ca="1">1 / [1]!ldfsir(xsldfs, ldf_ages, xsldf_type, xsldf_ret, $A31, "Paid XS", 750000, cutoff, 3)</f>
        <v>0.7491297195291392</v>
      </c>
      <c r="D31" s="156"/>
      <c r="E31" s="156">
        <f t="shared" ca="1" si="1"/>
        <v>1.7362973029521278E-2</v>
      </c>
      <c r="F31" s="156"/>
      <c r="G31" s="156">
        <f ca="1">SUM(E31:E$43)</f>
        <v>0.26823325350038207</v>
      </c>
      <c r="H31" s="156"/>
      <c r="I31" s="158">
        <f t="shared" ca="1" si="2"/>
        <v>1.1999379306728059E-2</v>
      </c>
      <c r="J31" s="158"/>
      <c r="K31" s="158">
        <f ca="1">SUM(I31:I$42)</f>
        <v>0.15118821932431839</v>
      </c>
      <c r="L31" s="158"/>
      <c r="M31" s="159">
        <f t="shared" ca="1" si="3"/>
        <v>0.8036223952531959</v>
      </c>
    </row>
    <row r="32" spans="1:13" x14ac:dyDescent="0.2">
      <c r="A32" s="155">
        <f t="shared" si="0"/>
        <v>168</v>
      </c>
      <c r="B32" s="150"/>
      <c r="C32" s="156">
        <f ca="1">1 / [1]!ldfsir(xsldfs, ldf_ages, xsldf_type, xsldf_ret, $A32, "Paid XS", 750000, cutoff, 3)</f>
        <v>0.76617767516066593</v>
      </c>
      <c r="D32" s="156"/>
      <c r="E32" s="156">
        <f t="shared" ca="1" si="1"/>
        <v>1.7047955631526723E-2</v>
      </c>
      <c r="F32" s="156"/>
      <c r="G32" s="156">
        <f ca="1">SUM(E32:E$43)</f>
        <v>0.2508702804708608</v>
      </c>
      <c r="H32" s="156"/>
      <c r="I32" s="158">
        <f t="shared" ca="1" si="2"/>
        <v>1.1438518341610512E-2</v>
      </c>
      <c r="J32" s="158"/>
      <c r="K32" s="158">
        <f ca="1">SUM(I32:I$42)</f>
        <v>0.13918884001759033</v>
      </c>
      <c r="L32" s="158"/>
      <c r="M32" s="159">
        <f t="shared" ca="1" si="3"/>
        <v>0.81477767601009066</v>
      </c>
    </row>
    <row r="33" spans="1:13" x14ac:dyDescent="0.2">
      <c r="A33" s="155">
        <f t="shared" si="0"/>
        <v>180</v>
      </c>
      <c r="B33" s="150"/>
      <c r="C33" s="156">
        <f ca="1">1 / [1]!ldfsir(xsldfs, ldf_ages, xsldf_type, xsldf_ret, $A33, "Paid XS", 750000, cutoff, 3)</f>
        <v>0.78203115109888566</v>
      </c>
      <c r="D33" s="156"/>
      <c r="E33" s="156">
        <f t="shared" ca="1" si="1"/>
        <v>1.585347593821973E-2</v>
      </c>
      <c r="F33" s="156"/>
      <c r="G33" s="156">
        <f ca="1">SUM(E33:E$43)</f>
        <v>0.23382232483933407</v>
      </c>
      <c r="H33" s="156"/>
      <c r="I33" s="158">
        <f t="shared" ca="1" si="2"/>
        <v>1.0327251167924821E-2</v>
      </c>
      <c r="J33" s="158"/>
      <c r="K33" s="158">
        <f ca="1">SUM(I33:I$42)</f>
        <v>0.1277503216759798</v>
      </c>
      <c r="L33" s="158"/>
      <c r="M33" s="159">
        <f t="shared" ca="1" si="3"/>
        <v>0.82641306405108506</v>
      </c>
    </row>
    <row r="34" spans="1:13" x14ac:dyDescent="0.2">
      <c r="A34" s="155">
        <f t="shared" si="0"/>
        <v>192</v>
      </c>
      <c r="B34" s="150"/>
      <c r="C34" s="156">
        <f ca="1">1 / [1]!ldfsir(xsldfs, ldf_ages, xsldf_type, xsldf_ret, $A34, "Paid XS", 750000, cutoff, 3)</f>
        <v>0.79927611015768318</v>
      </c>
      <c r="D34" s="156"/>
      <c r="E34" s="156">
        <f t="shared" ca="1" si="1"/>
        <v>1.7244959058797527E-2</v>
      </c>
      <c r="F34" s="156"/>
      <c r="G34" s="156">
        <f ca="1">SUM(E34:E$43)</f>
        <v>0.21796884890111434</v>
      </c>
      <c r="H34" s="156"/>
      <c r="I34" s="158">
        <f t="shared" ca="1" si="2"/>
        <v>1.0906494500669012E-2</v>
      </c>
      <c r="J34" s="158"/>
      <c r="K34" s="158">
        <f ca="1">SUM(I34:I$42)</f>
        <v>0.11742307050805501</v>
      </c>
      <c r="L34" s="158"/>
      <c r="M34" s="159">
        <f t="shared" ca="1" si="3"/>
        <v>0.83930028869289774</v>
      </c>
    </row>
    <row r="35" spans="1:13" x14ac:dyDescent="0.2">
      <c r="A35" s="155">
        <f t="shared" si="0"/>
        <v>204</v>
      </c>
      <c r="B35" s="150"/>
      <c r="C35" s="156">
        <f ca="1">1 / [1]!ldfsir(xsldfs, ldf_ages, xsldf_type, xsldf_ret, $A35, "Paid XS", 750000, cutoff, 3)</f>
        <v>0.81552292668756043</v>
      </c>
      <c r="D35" s="156"/>
      <c r="E35" s="156">
        <f t="shared" ca="1" si="1"/>
        <v>1.624681652987725E-2</v>
      </c>
      <c r="F35" s="156"/>
      <c r="G35" s="156">
        <f ca="1">SUM(E35:E$43)</f>
        <v>0.20072388984231682</v>
      </c>
      <c r="H35" s="156"/>
      <c r="I35" s="158">
        <f t="shared" ca="1" si="2"/>
        <v>9.975945514895607E-3</v>
      </c>
      <c r="J35" s="158"/>
      <c r="K35" s="158">
        <f ca="1">SUM(I35:I$42)</f>
        <v>0.106516576007386</v>
      </c>
      <c r="L35" s="158"/>
      <c r="M35" s="159">
        <f t="shared" ca="1" si="3"/>
        <v>0.85155700960201552</v>
      </c>
    </row>
    <row r="36" spans="1:13" x14ac:dyDescent="0.2">
      <c r="A36" s="155">
        <f t="shared" si="0"/>
        <v>216</v>
      </c>
      <c r="B36" s="150"/>
      <c r="C36" s="156">
        <f ca="1">1 / [1]!ldfsir(xsldfs, ldf_ages, xsldf_type, xsldf_ret, $A36, "Paid XS", 750000, cutoff, 3)</f>
        <v>0.83050979747063369</v>
      </c>
      <c r="D36" s="156"/>
      <c r="E36" s="156">
        <f t="shared" ca="1" si="1"/>
        <v>1.4986870783073258E-2</v>
      </c>
      <c r="F36" s="156"/>
      <c r="G36" s="156">
        <f ca="1">SUM(E36:E$43)</f>
        <v>0.18447707331243957</v>
      </c>
      <c r="H36" s="156"/>
      <c r="I36" s="158">
        <f t="shared" ca="1" si="2"/>
        <v>8.934279411061407E-3</v>
      </c>
      <c r="J36" s="158"/>
      <c r="K36" s="158">
        <f ca="1">SUM(I36:I$42)</f>
        <v>9.6540630492490384E-2</v>
      </c>
      <c r="L36" s="158"/>
      <c r="M36" s="159">
        <f t="shared" ca="1" si="3"/>
        <v>0.86496901572849738</v>
      </c>
    </row>
    <row r="37" spans="1:13" x14ac:dyDescent="0.2">
      <c r="A37" s="155">
        <f t="shared" si="0"/>
        <v>228</v>
      </c>
      <c r="B37" s="150"/>
      <c r="C37" s="156">
        <f ca="1">1 / [1]!ldfsir(xsldfs, ldf_ages, xsldf_type, xsldf_ret, $A37, "Paid XS", 750000, cutoff, 3)</f>
        <v>0.84450816701090103</v>
      </c>
      <c r="D37" s="156"/>
      <c r="E37" s="156">
        <f t="shared" ca="1" si="1"/>
        <v>1.3998369540267341E-2</v>
      </c>
      <c r="F37" s="156"/>
      <c r="G37" s="156">
        <f ca="1">SUM(E37:E$43)</f>
        <v>0.16949020252936631</v>
      </c>
      <c r="H37" s="156"/>
      <c r="I37" s="158">
        <f t="shared" ca="1" si="2"/>
        <v>8.1019357933186636E-3</v>
      </c>
      <c r="J37" s="158"/>
      <c r="K37" s="158">
        <f ca="1">SUM(I37:I$42)</f>
        <v>8.7606351081428974E-2</v>
      </c>
      <c r="L37" s="158"/>
      <c r="M37" s="159">
        <f t="shared" ca="1" si="3"/>
        <v>0.8799561640135144</v>
      </c>
    </row>
    <row r="38" spans="1:13" x14ac:dyDescent="0.2">
      <c r="A38" s="155">
        <f t="shared" si="0"/>
        <v>240</v>
      </c>
      <c r="B38" s="150"/>
      <c r="C38" s="156">
        <f ca="1">1 / [1]!ldfsir(xsldfs, ldf_ages, xsldf_type, xsldf_ret, $A38, "Paid XS", 750000, cutoff, 3)</f>
        <v>0.85754452597474162</v>
      </c>
      <c r="D38" s="156"/>
      <c r="E38" s="156">
        <f t="shared" ca="1" si="1"/>
        <v>1.3036358963840589E-2</v>
      </c>
      <c r="F38" s="156"/>
      <c r="G38" s="156">
        <f ca="1">SUM(E38:E$43)</f>
        <v>0.15549183298909897</v>
      </c>
      <c r="H38" s="156"/>
      <c r="I38" s="158">
        <f t="shared" ca="1" si="2"/>
        <v>7.3253845603730352E-3</v>
      </c>
      <c r="J38" s="158"/>
      <c r="K38" s="158">
        <f ca="1">SUM(I38:I$42)</f>
        <v>7.9504415288110308E-2</v>
      </c>
      <c r="L38" s="158"/>
      <c r="M38" s="159">
        <f t="shared" ca="1" si="3"/>
        <v>0.89658389623479873</v>
      </c>
    </row>
    <row r="39" spans="1:13" x14ac:dyDescent="0.2">
      <c r="A39" s="155">
        <f t="shared" si="0"/>
        <v>252</v>
      </c>
      <c r="B39" s="150"/>
      <c r="C39" s="156">
        <f ca="1">1 / [1]!ldfsir(xsldfs, ldf_ages, xsldf_type, xsldf_ret, $A39, "Paid XS", 750000, cutoff, 3)</f>
        <v>0.86965248584714294</v>
      </c>
      <c r="D39" s="156"/>
      <c r="E39" s="156">
        <f t="shared" ca="1" si="1"/>
        <v>1.2107959872401319E-2</v>
      </c>
      <c r="F39" s="156"/>
      <c r="G39" s="156">
        <f ca="1">SUM(E39:E$43)</f>
        <v>0.14245547402525838</v>
      </c>
      <c r="H39" s="156"/>
      <c r="I39" s="158">
        <f t="shared" ca="1" si="2"/>
        <v>6.6055329993554412E-3</v>
      </c>
      <c r="J39" s="158"/>
      <c r="K39" s="158">
        <f ca="1">SUM(I39:I$42)</f>
        <v>7.2179030727737278E-2</v>
      </c>
      <c r="L39" s="158"/>
      <c r="M39" s="159">
        <f t="shared" ca="1" si="3"/>
        <v>0.9151165246328179</v>
      </c>
    </row>
    <row r="40" spans="1:13" x14ac:dyDescent="0.2">
      <c r="A40" s="155">
        <f t="shared" si="0"/>
        <v>264</v>
      </c>
      <c r="B40" s="150"/>
      <c r="C40" s="156">
        <f ca="1">1 / [1]!ldfsir(xsldfs, ldf_ages, xsldf_type, xsldf_ret, $A40, "Paid XS", 750000, cutoff, 3)</f>
        <v>0.88087086719452123</v>
      </c>
      <c r="D40" s="156"/>
      <c r="E40" s="156">
        <f t="shared" ca="1" si="1"/>
        <v>1.1218381347378292E-2</v>
      </c>
      <c r="F40" s="156"/>
      <c r="G40" s="156">
        <f ca="1">SUM(E40:E$43)</f>
        <v>0.13034751415285706</v>
      </c>
      <c r="H40" s="156"/>
      <c r="I40" s="158">
        <f t="shared" ca="1" si="2"/>
        <v>5.9419619684350613E-3</v>
      </c>
      <c r="J40" s="158"/>
      <c r="K40" s="158">
        <f ca="1">SUM(I40:I$42)</f>
        <v>6.5573497728381835E-2</v>
      </c>
      <c r="L40" s="158"/>
      <c r="M40" s="159">
        <f t="shared" ca="1" si="3"/>
        <v>0.935852307310303</v>
      </c>
    </row>
    <row r="41" spans="1:13" x14ac:dyDescent="0.2">
      <c r="A41" s="155">
        <f t="shared" si="0"/>
        <v>276</v>
      </c>
      <c r="B41" s="150"/>
      <c r="C41" s="156">
        <f ca="1">1 / [1]!ldfsir(xsldfs, ldf_ages, xsldf_type, xsldf_ret, $A41, "Paid XS", 750000, cutoff, 3)</f>
        <v>0.89124209316699765</v>
      </c>
      <c r="D41" s="156"/>
      <c r="E41" s="156">
        <f t="shared" ca="1" si="1"/>
        <v>1.0371225972476417E-2</v>
      </c>
      <c r="F41" s="156"/>
      <c r="G41" s="156">
        <f ca="1">SUM(E41:E$43)</f>
        <v>0.11912913280547877</v>
      </c>
      <c r="H41" s="156"/>
      <c r="I41" s="158">
        <f t="shared" ca="1" si="2"/>
        <v>5.333257356509114E-3</v>
      </c>
      <c r="J41" s="158"/>
      <c r="K41" s="158">
        <f ca="1">SUM(I41:I$42)</f>
        <v>5.9631535759946772E-2</v>
      </c>
      <c r="L41" s="158"/>
      <c r="M41" s="159">
        <f t="shared" ca="1" si="3"/>
        <v>0.95912885668200465</v>
      </c>
    </row>
    <row r="42" spans="1:13" x14ac:dyDescent="0.2">
      <c r="A42" s="155">
        <f t="shared" si="0"/>
        <v>288</v>
      </c>
      <c r="B42" s="150" t="s">
        <v>240</v>
      </c>
      <c r="C42" s="161">
        <v>1</v>
      </c>
      <c r="D42" s="156"/>
      <c r="E42" s="156">
        <f ca="1">C42-C41</f>
        <v>0.10875790683300235</v>
      </c>
      <c r="F42" s="156"/>
      <c r="G42" s="156">
        <f ca="1">SUM(E42:E$43)</f>
        <v>0.10875790683300235</v>
      </c>
      <c r="H42" s="156"/>
      <c r="I42" s="158">
        <f t="shared" ca="1" si="2"/>
        <v>5.4298278403437657E-2</v>
      </c>
      <c r="J42" s="158"/>
      <c r="K42" s="158">
        <f ca="1">SUM(I42:I$42)</f>
        <v>5.4298278403437657E-2</v>
      </c>
      <c r="L42" s="158"/>
      <c r="M42" s="159">
        <f t="shared" ca="1" si="3"/>
        <v>0.98532927816429228</v>
      </c>
    </row>
    <row r="43" spans="1:13" x14ac:dyDescent="0.2">
      <c r="A43" s="150"/>
      <c r="B43" s="150"/>
      <c r="C43" s="156"/>
      <c r="D43" s="156"/>
      <c r="E43" s="156"/>
      <c r="F43" s="156"/>
      <c r="G43" s="156"/>
      <c r="H43" s="156"/>
      <c r="I43" s="158"/>
      <c r="J43" s="158"/>
      <c r="K43" s="158"/>
      <c r="L43" s="158"/>
      <c r="M43" s="158"/>
    </row>
    <row r="44" spans="1:13" x14ac:dyDescent="0.2">
      <c r="A44" s="150"/>
      <c r="B44" s="150"/>
      <c r="C44" s="156"/>
      <c r="D44" s="156"/>
      <c r="E44" s="156"/>
      <c r="F44" s="156"/>
      <c r="G44" s="156"/>
      <c r="H44" s="156"/>
      <c r="I44" s="158"/>
      <c r="J44" s="158"/>
      <c r="K44" s="158"/>
      <c r="L44" s="158"/>
      <c r="M44" s="158"/>
    </row>
    <row r="45" spans="1:13" ht="12" customHeight="1" x14ac:dyDescent="0.2">
      <c r="A45" s="162" t="s">
        <v>83</v>
      </c>
      <c r="B45" s="148"/>
      <c r="C45" s="156"/>
      <c r="D45" s="148"/>
      <c r="E45" s="148"/>
      <c r="F45" s="148"/>
      <c r="G45" s="148"/>
      <c r="H45" s="148"/>
      <c r="I45" s="148"/>
      <c r="J45" s="148"/>
      <c r="K45" s="158"/>
      <c r="L45" s="158"/>
      <c r="M45" s="148"/>
    </row>
    <row r="46" spans="1:13" ht="12" customHeight="1" x14ac:dyDescent="0.2">
      <c r="A46" s="163" t="s">
        <v>600</v>
      </c>
      <c r="B46" s="160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3" ht="12" customHeight="1" x14ac:dyDescent="0.2">
      <c r="A47" s="164" t="s">
        <v>237</v>
      </c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 spans="1:13" ht="12" customHeight="1" x14ac:dyDescent="0.2">
      <c r="A48" s="165" t="s">
        <v>238</v>
      </c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 spans="1:13" ht="12" customHeight="1" x14ac:dyDescent="0.2">
      <c r="A49" s="165" t="s">
        <v>239</v>
      </c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</sheetData>
  <printOptions horizontalCentered="1"/>
  <pageMargins left="0.7" right="0.7" top="0.75" bottom="0.75" header="0.3" footer="0.3"/>
  <pageSetup orientation="portrait" blackAndWhite="1" r:id="rId1"/>
  <headerFooter>
    <oddHeader xml:space="preserve">&amp;L&amp;"Arial"&amp;10  
  &amp;R&amp;"Arial"&amp;10  Exhibit 9
Sheet 9
</oddHeader>
    <oddFooter xml:space="preserve">&amp;L&amp;"Arial"&amp;10 Oliver Wyman Actuarial Consulting, Inc.
&amp;C&amp;"Arial"&amp;10 &amp;R&amp;"Arial"&amp;10 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4">
    <tabColor rgb="FFFF0000"/>
    <pageSetUpPr fitToPage="1"/>
  </sheetPr>
  <dimension ref="A1:AB91"/>
  <sheetViews>
    <sheetView zoomScale="85" zoomScaleNormal="85" zoomScaleSheetLayoutView="55" workbookViewId="0"/>
  </sheetViews>
  <sheetFormatPr defaultColWidth="9" defaultRowHeight="12.75" x14ac:dyDescent="0.2"/>
  <cols>
    <col min="1" max="1" width="9.5" style="1" bestFit="1" customWidth="1"/>
    <col min="2" max="2" width="2.625" style="1" customWidth="1"/>
    <col min="3" max="3" width="11.625" style="1" customWidth="1"/>
    <col min="4" max="4" width="2.625" style="1" customWidth="1"/>
    <col min="5" max="5" width="11.625" style="1" customWidth="1"/>
    <col min="6" max="6" width="2.625" style="1" customWidth="1"/>
    <col min="7" max="7" width="11.625" style="1" customWidth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3" width="11.625" style="1" customWidth="1"/>
    <col min="14" max="14" width="2.625" style="1" customWidth="1"/>
    <col min="15" max="15" width="11.625" style="1" customWidth="1"/>
    <col min="16" max="16" width="2.625" style="1" customWidth="1"/>
    <col min="17" max="17" width="11.625" style="1" customWidth="1"/>
    <col min="18" max="18" width="2.625" style="1" customWidth="1"/>
    <col min="19" max="19" width="11.625" style="1" customWidth="1"/>
    <col min="20" max="20" width="2.625" style="1" customWidth="1"/>
    <col min="21" max="21" width="11.625" style="1" customWidth="1"/>
    <col min="22" max="22" width="2.625" style="1" customWidth="1"/>
    <col min="23" max="24" width="6.125" style="1" bestFit="1" customWidth="1"/>
    <col min="25" max="26" width="9" style="1"/>
    <col min="27" max="27" width="11.5" style="1" bestFit="1" customWidth="1"/>
    <col min="28" max="16384" width="9" style="1"/>
  </cols>
  <sheetData>
    <row r="1" spans="1:28" x14ac:dyDescent="0.2">
      <c r="A1" s="1" t="str">
        <f>[1]!getlabels()</f>
        <v>Exhibit 10, Sheet 1</v>
      </c>
    </row>
    <row r="2" spans="1:28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8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spans="1:28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</row>
    <row r="5" spans="1:28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</row>
    <row r="7" spans="1:28" x14ac:dyDescent="0.2">
      <c r="A7" s="628" t="str">
        <f>"Comparison of Expected Development to Actual Development - "&amp;ptxt_l&amp;" to "&amp;ctxt_l</f>
        <v>Comparison of Expected Development to Actual Development - October 31, 2018 to April 30, 2019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</row>
    <row r="8" spans="1:28" x14ac:dyDescent="0.2">
      <c r="A8" s="81" t="s">
        <v>241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11" spans="1:28" x14ac:dyDescent="0.2">
      <c r="A11" s="200" t="s">
        <v>277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</row>
    <row r="12" spans="1:28" x14ac:dyDescent="0.2">
      <c r="A12" s="166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N12" s="167"/>
      <c r="O12" s="167"/>
      <c r="P12" s="167"/>
      <c r="Q12" s="167"/>
      <c r="R12" s="167"/>
      <c r="S12" s="167"/>
      <c r="T12" s="167"/>
      <c r="U12" s="167"/>
      <c r="V12" s="167"/>
    </row>
    <row r="13" spans="1:28" x14ac:dyDescent="0.2">
      <c r="A13" s="167"/>
      <c r="B13" s="167"/>
      <c r="C13" s="168" t="s">
        <v>105</v>
      </c>
      <c r="D13" s="167"/>
      <c r="E13" s="168"/>
      <c r="F13" s="167"/>
      <c r="G13" s="167"/>
      <c r="H13" s="167"/>
      <c r="I13" s="167"/>
      <c r="J13" s="167"/>
      <c r="K13" s="167"/>
      <c r="L13" s="167"/>
      <c r="M13" s="168" t="s">
        <v>242</v>
      </c>
      <c r="N13" s="167"/>
      <c r="O13" s="168" t="s">
        <v>244</v>
      </c>
      <c r="P13" s="167"/>
      <c r="R13" s="167"/>
      <c r="S13" s="168" t="s">
        <v>105</v>
      </c>
      <c r="T13" s="167"/>
      <c r="U13" s="167"/>
      <c r="V13" s="167"/>
    </row>
    <row r="14" spans="1:28" x14ac:dyDescent="0.2">
      <c r="A14" s="181" t="str">
        <f>Intro!M9</f>
        <v>Policy</v>
      </c>
      <c r="B14" s="148"/>
      <c r="C14" s="168" t="s">
        <v>245</v>
      </c>
      <c r="D14" s="167"/>
      <c r="E14" s="167"/>
      <c r="F14" s="167"/>
      <c r="G14" s="167"/>
      <c r="H14" s="167"/>
      <c r="I14" s="170" t="s">
        <v>246</v>
      </c>
      <c r="J14" s="170"/>
      <c r="K14" s="170"/>
      <c r="L14" s="167"/>
      <c r="M14" s="168" t="s">
        <v>243</v>
      </c>
      <c r="N14" s="167"/>
      <c r="O14" s="168" t="s">
        <v>243</v>
      </c>
      <c r="P14" s="167"/>
      <c r="Q14" s="219" t="s">
        <v>242</v>
      </c>
      <c r="R14" s="167"/>
      <c r="S14" s="168" t="s">
        <v>245</v>
      </c>
      <c r="T14" s="167"/>
      <c r="U14" s="170" t="s">
        <v>248</v>
      </c>
      <c r="V14" s="167"/>
      <c r="AB14" s="1" t="s">
        <v>826</v>
      </c>
    </row>
    <row r="15" spans="1:28" x14ac:dyDescent="0.2">
      <c r="A15" s="181" t="str">
        <f>Intro!M10</f>
        <v>Period</v>
      </c>
      <c r="B15" s="148"/>
      <c r="C15" s="171" t="s">
        <v>249</v>
      </c>
      <c r="D15" s="167"/>
      <c r="E15" s="172" t="s">
        <v>250</v>
      </c>
      <c r="F15" s="172"/>
      <c r="G15" s="172"/>
      <c r="H15" s="167"/>
      <c r="I15" s="172" t="s">
        <v>251</v>
      </c>
      <c r="J15" s="172"/>
      <c r="K15" s="172"/>
      <c r="L15" s="167"/>
      <c r="M15" s="168" t="s">
        <v>71</v>
      </c>
      <c r="N15" s="167"/>
      <c r="O15" s="168" t="s">
        <v>71</v>
      </c>
      <c r="P15" s="167"/>
      <c r="Q15" s="174" t="s">
        <v>247</v>
      </c>
      <c r="R15" s="167"/>
      <c r="S15" s="171" t="s">
        <v>249</v>
      </c>
      <c r="T15" s="167"/>
      <c r="U15" s="174" t="s">
        <v>245</v>
      </c>
      <c r="V15" s="167"/>
      <c r="W15" s="45" t="s">
        <v>172</v>
      </c>
      <c r="X15" s="45"/>
      <c r="AB15" s="1" t="s">
        <v>409</v>
      </c>
    </row>
    <row r="16" spans="1:28" x14ac:dyDescent="0.2">
      <c r="A16" s="176" t="str">
        <f>Intro!M11</f>
        <v>Ending 9/30</v>
      </c>
      <c r="B16" s="148"/>
      <c r="C16" s="479" t="str">
        <f>ptxt</f>
        <v>10/31/18</v>
      </c>
      <c r="D16" s="167"/>
      <c r="E16" s="177" t="str">
        <f>C16</f>
        <v>10/31/18</v>
      </c>
      <c r="F16" s="178"/>
      <c r="G16" s="179" t="str">
        <f>ctxt</f>
        <v>4/30/19</v>
      </c>
      <c r="H16" s="178"/>
      <c r="I16" s="177" t="str">
        <f>E16</f>
        <v>10/31/18</v>
      </c>
      <c r="J16" s="178"/>
      <c r="K16" s="177" t="str">
        <f>G16</f>
        <v>4/30/19</v>
      </c>
      <c r="L16" s="167"/>
      <c r="M16" s="173" t="str">
        <f>pr_to_curr</f>
        <v>10/18-4/19</v>
      </c>
      <c r="N16" s="167"/>
      <c r="O16" s="180" t="str">
        <f>M16</f>
        <v>10/18-4/19</v>
      </c>
      <c r="P16" s="167"/>
      <c r="Q16" s="208" t="s">
        <v>244</v>
      </c>
      <c r="R16" s="167"/>
      <c r="S16" s="179" t="str">
        <f>ctxt</f>
        <v>4/30/19</v>
      </c>
      <c r="T16" s="167"/>
      <c r="U16" s="180" t="s">
        <v>252</v>
      </c>
      <c r="V16" s="167"/>
      <c r="W16" s="108" t="s">
        <v>661</v>
      </c>
      <c r="X16" s="108" t="s">
        <v>664</v>
      </c>
      <c r="AB16" s="707" t="s">
        <v>827</v>
      </c>
    </row>
    <row r="17" spans="1:28" x14ac:dyDescent="0.2">
      <c r="A17" s="181"/>
      <c r="B17" s="148"/>
      <c r="C17" s="201">
        <v>1</v>
      </c>
      <c r="D17" s="167"/>
      <c r="E17" s="169" t="s">
        <v>254</v>
      </c>
      <c r="F17" s="167"/>
      <c r="G17" s="169" t="s">
        <v>255</v>
      </c>
      <c r="H17" s="167"/>
      <c r="I17" s="169" t="s">
        <v>256</v>
      </c>
      <c r="J17" s="167"/>
      <c r="K17" s="169" t="s">
        <v>257</v>
      </c>
      <c r="L17" s="167"/>
      <c r="M17" s="201">
        <v>4</v>
      </c>
      <c r="N17" s="167"/>
      <c r="O17" s="201">
        <f>M17+1</f>
        <v>5</v>
      </c>
      <c r="P17" s="167"/>
      <c r="Q17" s="201">
        <f>O17+1</f>
        <v>6</v>
      </c>
      <c r="R17" s="167"/>
      <c r="S17" s="201">
        <f>Q17+1</f>
        <v>7</v>
      </c>
      <c r="T17" s="167"/>
      <c r="U17" s="201">
        <f>S17+1</f>
        <v>8</v>
      </c>
      <c r="V17" s="167"/>
    </row>
    <row r="18" spans="1:28" ht="14.25" x14ac:dyDescent="0.2">
      <c r="A18" s="148"/>
      <c r="B18" s="148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/>
      <c r="N18" s="167"/>
      <c r="O18" s="167"/>
      <c r="P18" s="167"/>
      <c r="Q18" s="167"/>
      <c r="R18" s="167"/>
      <c r="S18" s="167"/>
      <c r="T18" s="167"/>
      <c r="U18" s="167"/>
      <c r="V18" s="167"/>
    </row>
    <row r="19" spans="1:28" x14ac:dyDescent="0.2">
      <c r="A19" s="151">
        <f>Intro!C18</f>
        <v>1996</v>
      </c>
      <c r="B19" s="148"/>
      <c r="C19" s="204">
        <v>683326</v>
      </c>
      <c r="D19" s="167"/>
      <c r="E19" s="204">
        <v>683326</v>
      </c>
      <c r="F19" s="167"/>
      <c r="G19" s="207">
        <f>'e7'!O16</f>
        <v>683326</v>
      </c>
      <c r="H19" s="167"/>
      <c r="I19" s="185">
        <f>1 / [1]!ldfsir(prldfs, prldf_ages, prldf_type, prldf_ret, Intro!$Y18, "Rept", Intro!$H18, prldf_cutoff, 3)</f>
        <v>0.99601848341720789</v>
      </c>
      <c r="J19" s="167"/>
      <c r="K19" s="185">
        <f>1 / [1]!ldfsir(prldfs, prldf_ages, prldf_type, prldf_ret, Intro!$AA18, "Rept", Intro!$H18, prldf_cutoff, 3)</f>
        <v>0.99601848341720789</v>
      </c>
      <c r="L19" s="167"/>
      <c r="M19" s="649">
        <f t="shared" ref="M19:M42" si="0">G19-E19</f>
        <v>0</v>
      </c>
      <c r="N19" s="167"/>
      <c r="O19" s="206">
        <f>IF(I19=1,0,((C19-E19)/(1-I19))*(K19-I19))</f>
        <v>0</v>
      </c>
      <c r="P19" s="183"/>
      <c r="Q19" s="206">
        <f>M19-O19</f>
        <v>0</v>
      </c>
      <c r="R19" s="167"/>
      <c r="S19" s="382">
        <f>'e2.1'!U18</f>
        <v>683326</v>
      </c>
      <c r="T19" s="167"/>
      <c r="U19" s="207">
        <f>S19-C19</f>
        <v>0</v>
      </c>
      <c r="W19" s="3" t="b">
        <v>1</v>
      </c>
      <c r="AB19" s="207">
        <f>U19</f>
        <v>0</v>
      </c>
    </row>
    <row r="20" spans="1:28" x14ac:dyDescent="0.2">
      <c r="A20" s="151">
        <f>Intro!C19</f>
        <v>1997</v>
      </c>
      <c r="B20" s="148"/>
      <c r="C20" s="202">
        <v>1337604</v>
      </c>
      <c r="D20" s="167"/>
      <c r="E20" s="202">
        <v>1337604</v>
      </c>
      <c r="F20" s="167"/>
      <c r="G20" s="184">
        <f>'e7'!O17</f>
        <v>1337604</v>
      </c>
      <c r="H20" s="167"/>
      <c r="I20" s="185">
        <f>1 / [1]!ldfsir(prldfs, prldf_ages, prldf_type, prldf_ret, Intro!$Y19, "Rept", Intro!$H19, prldf_cutoff, 3)</f>
        <v>0.99531516612852733</v>
      </c>
      <c r="J20" s="167"/>
      <c r="K20" s="185">
        <f>1 / [1]!ldfsir(prldfs, prldf_ages, prldf_type, prldf_ret, Intro!$AA19, "Rept", Intro!$H19, prldf_cutoff, 3)</f>
        <v>0.99531516612852733</v>
      </c>
      <c r="L20" s="167"/>
      <c r="M20" s="650">
        <f t="shared" si="0"/>
        <v>0</v>
      </c>
      <c r="N20" s="167"/>
      <c r="O20" s="183">
        <f t="shared" ref="O20:O42" si="1">IF(I20=1,0,((C20-E20)/(1-I20))*(K20-I20))</f>
        <v>0</v>
      </c>
      <c r="P20" s="183"/>
      <c r="Q20" s="183">
        <f t="shared" ref="Q20:Q42" si="2">M20-O20</f>
        <v>0</v>
      </c>
      <c r="R20" s="167"/>
      <c r="S20" s="220">
        <f>'e2.1'!U19</f>
        <v>1337604</v>
      </c>
      <c r="T20" s="167"/>
      <c r="U20" s="184">
        <f t="shared" ref="U20:U42" si="3">S20-C20</f>
        <v>0</v>
      </c>
      <c r="W20" s="3" t="b">
        <v>1</v>
      </c>
      <c r="AB20" s="184">
        <f t="shared" ref="AB20:AB41" si="4">U20</f>
        <v>0</v>
      </c>
    </row>
    <row r="21" spans="1:28" x14ac:dyDescent="0.2">
      <c r="A21" s="151">
        <f>Intro!C20</f>
        <v>1998</v>
      </c>
      <c r="B21" s="148"/>
      <c r="C21" s="202">
        <v>2603276.8798025614</v>
      </c>
      <c r="D21" s="167"/>
      <c r="E21" s="202">
        <v>2593680.7199999997</v>
      </c>
      <c r="F21" s="167"/>
      <c r="G21" s="184">
        <f>'e7'!O18</f>
        <v>2593680.7199999997</v>
      </c>
      <c r="H21" s="167"/>
      <c r="I21" s="185">
        <f>1 / [1]!ldfsir(prldfs, prldf_ages, prldf_type, prldf_ret, Intro!$Y20, "Rept", Intro!$H20, prldf_cutoff, 3)</f>
        <v>0.99448795512129806</v>
      </c>
      <c r="J21" s="167"/>
      <c r="K21" s="185">
        <f>1 / [1]!ldfsir(prldfs, prldf_ages, prldf_type, prldf_ret, Intro!$AA20, "Rept", Intro!$H20, prldf_cutoff, 3)</f>
        <v>0.99448795512129806</v>
      </c>
      <c r="L21" s="167"/>
      <c r="M21" s="650">
        <f t="shared" si="0"/>
        <v>0</v>
      </c>
      <c r="N21" s="167"/>
      <c r="O21" s="183">
        <f t="shared" si="1"/>
        <v>0</v>
      </c>
      <c r="P21" s="183"/>
      <c r="Q21" s="183">
        <f t="shared" si="2"/>
        <v>0</v>
      </c>
      <c r="R21" s="167"/>
      <c r="S21" s="220">
        <f>'e2.1'!U20</f>
        <v>2603276.8798025614</v>
      </c>
      <c r="T21" s="167"/>
      <c r="U21" s="184">
        <f t="shared" si="3"/>
        <v>0</v>
      </c>
      <c r="W21" s="3" t="b">
        <v>1</v>
      </c>
      <c r="AB21" s="184">
        <f t="shared" si="4"/>
        <v>0</v>
      </c>
    </row>
    <row r="22" spans="1:28" x14ac:dyDescent="0.2">
      <c r="A22" s="151">
        <f>Intro!C21</f>
        <v>1999</v>
      </c>
      <c r="B22" s="148"/>
      <c r="C22" s="202">
        <v>2650176.9452059255</v>
      </c>
      <c r="D22" s="184"/>
      <c r="E22" s="202">
        <v>2640381.7999999998</v>
      </c>
      <c r="F22" s="183"/>
      <c r="G22" s="184">
        <f>'e7'!O19</f>
        <v>2640381.7999999998</v>
      </c>
      <c r="H22" s="167"/>
      <c r="I22" s="185">
        <f>1 / [1]!ldfsir(prldfs, prldf_ages, prldf_type, prldf_ret, Intro!$Y21, "Rept", Intro!$H21, prldf_cutoff, 3)</f>
        <v>0.99351515819287273</v>
      </c>
      <c r="J22" s="167"/>
      <c r="K22" s="185">
        <f>1 / [1]!ldfsir(prldfs, prldf_ages, prldf_type, prldf_ret, Intro!$AA21, "Rept", Intro!$H21, prldf_cutoff, 3)</f>
        <v>0.99351515819287273</v>
      </c>
      <c r="L22" s="167"/>
      <c r="M22" s="650">
        <f t="shared" si="0"/>
        <v>0</v>
      </c>
      <c r="N22" s="183"/>
      <c r="O22" s="183">
        <f t="shared" si="1"/>
        <v>0</v>
      </c>
      <c r="P22" s="183"/>
      <c r="Q22" s="183">
        <f t="shared" si="2"/>
        <v>0</v>
      </c>
      <c r="R22" s="167"/>
      <c r="S22" s="220">
        <f>'e2.1'!U21</f>
        <v>2650176.9452059255</v>
      </c>
      <c r="T22" s="167"/>
      <c r="U22" s="184">
        <f t="shared" si="3"/>
        <v>0</v>
      </c>
      <c r="W22" s="3" t="b">
        <v>1</v>
      </c>
      <c r="AB22" s="184">
        <f t="shared" si="4"/>
        <v>0</v>
      </c>
    </row>
    <row r="23" spans="1:28" x14ac:dyDescent="0.2">
      <c r="A23" s="151">
        <f>Intro!C22</f>
        <v>2000</v>
      </c>
      <c r="B23" s="148"/>
      <c r="C23" s="202">
        <v>2398255.8306415239</v>
      </c>
      <c r="D23" s="184"/>
      <c r="E23" s="202">
        <v>2370485.2200000002</v>
      </c>
      <c r="F23" s="183"/>
      <c r="G23" s="184">
        <f>'e7'!O20</f>
        <v>2370485.2200000002</v>
      </c>
      <c r="H23" s="167"/>
      <c r="I23" s="185">
        <f>1 / [1]!ldfsir(prldfs, prldf_ages, prldf_type, prldf_ret, Intro!$Y22, "Rept", Intro!$H22, prldf_cutoff, 3)</f>
        <v>0.99237133609505235</v>
      </c>
      <c r="J23" s="167"/>
      <c r="K23" s="185">
        <f>1 / [1]!ldfsir(prldfs, prldf_ages, prldf_type, prldf_ret, Intro!$AA22, "Rept", Intro!$H22, prldf_cutoff, 3)</f>
        <v>0.99237133609505235</v>
      </c>
      <c r="L23" s="167"/>
      <c r="M23" s="650">
        <f t="shared" si="0"/>
        <v>0</v>
      </c>
      <c r="N23" s="183"/>
      <c r="O23" s="183">
        <f t="shared" si="1"/>
        <v>0</v>
      </c>
      <c r="P23" s="183"/>
      <c r="Q23" s="183">
        <f t="shared" si="2"/>
        <v>0</v>
      </c>
      <c r="R23" s="167"/>
      <c r="S23" s="220">
        <f>'e2.1'!U22</f>
        <v>2398255.8306415239</v>
      </c>
      <c r="T23" s="167"/>
      <c r="U23" s="184">
        <f t="shared" si="3"/>
        <v>0</v>
      </c>
      <c r="W23" s="3" t="b">
        <v>1</v>
      </c>
      <c r="AB23" s="184">
        <f t="shared" si="4"/>
        <v>0</v>
      </c>
    </row>
    <row r="24" spans="1:28" x14ac:dyDescent="0.2">
      <c r="A24" s="151">
        <f>Intro!C23</f>
        <v>2001</v>
      </c>
      <c r="B24" s="148"/>
      <c r="C24" s="202">
        <v>1349446.97</v>
      </c>
      <c r="D24" s="184"/>
      <c r="E24" s="202">
        <v>1349446.97</v>
      </c>
      <c r="F24" s="183"/>
      <c r="G24" s="184">
        <f>'e7'!O21</f>
        <v>1349446.97</v>
      </c>
      <c r="H24" s="167"/>
      <c r="I24" s="185">
        <f>1 / [1]!ldfsir(prldfs, prldf_ages, prldf_type, prldf_ret, Intro!$Y23, "Rept", Intro!$H23, prldf_cutoff, 3)</f>
        <v>0.99102667494209029</v>
      </c>
      <c r="J24" s="167"/>
      <c r="K24" s="185">
        <f>1 / [1]!ldfsir(prldfs, prldf_ages, prldf_type, prldf_ret, Intro!$AA23, "Rept", Intro!$H23, prldf_cutoff, 3)</f>
        <v>0.99102667494209029</v>
      </c>
      <c r="L24" s="167"/>
      <c r="M24" s="650">
        <f t="shared" si="0"/>
        <v>0</v>
      </c>
      <c r="N24" s="183"/>
      <c r="O24" s="183">
        <f t="shared" si="1"/>
        <v>0</v>
      </c>
      <c r="P24" s="183"/>
      <c r="Q24" s="183">
        <f t="shared" si="2"/>
        <v>0</v>
      </c>
      <c r="R24" s="167"/>
      <c r="S24" s="220">
        <f>'e2.1'!U23</f>
        <v>1349446.97</v>
      </c>
      <c r="T24" s="167"/>
      <c r="U24" s="184">
        <f t="shared" si="3"/>
        <v>0</v>
      </c>
      <c r="W24" s="3" t="b">
        <v>1</v>
      </c>
      <c r="AB24" s="184">
        <f t="shared" si="4"/>
        <v>0</v>
      </c>
    </row>
    <row r="25" spans="1:28" x14ac:dyDescent="0.2">
      <c r="A25" s="151">
        <f>Intro!C24</f>
        <v>2002</v>
      </c>
      <c r="B25" s="148"/>
      <c r="C25" s="202">
        <v>3036578.8122747019</v>
      </c>
      <c r="D25" s="184"/>
      <c r="E25" s="202">
        <v>2954508.65</v>
      </c>
      <c r="F25" s="183"/>
      <c r="G25" s="184">
        <f>'e7'!O22</f>
        <v>2954508.65</v>
      </c>
      <c r="H25" s="167"/>
      <c r="I25" s="185">
        <f>1 / [1]!ldfsir(prldfs, prldf_ages, prldf_type, prldf_ret, Intro!$Y24, "Rept", Intro!$H24, prldf_cutoff, 3)</f>
        <v>0.98942759833126204</v>
      </c>
      <c r="J25" s="167"/>
      <c r="K25" s="185">
        <f>1 / [1]!ldfsir(prldfs, prldf_ages, prldf_type, prldf_ret, Intro!$AA24, "Rept", Intro!$H24, prldf_cutoff, 3)</f>
        <v>0.98942759833126204</v>
      </c>
      <c r="L25" s="167"/>
      <c r="M25" s="650">
        <f t="shared" si="0"/>
        <v>0</v>
      </c>
      <c r="N25" s="183"/>
      <c r="O25" s="183">
        <f t="shared" si="1"/>
        <v>0</v>
      </c>
      <c r="P25" s="183"/>
      <c r="Q25" s="183">
        <f t="shared" si="2"/>
        <v>0</v>
      </c>
      <c r="R25" s="167"/>
      <c r="S25" s="220">
        <f>'e2.1'!U24</f>
        <v>3036578.8122747019</v>
      </c>
      <c r="T25" s="167"/>
      <c r="U25" s="184">
        <f t="shared" si="3"/>
        <v>0</v>
      </c>
      <c r="W25" s="3" t="b">
        <v>1</v>
      </c>
      <c r="AB25" s="184">
        <f t="shared" si="4"/>
        <v>0</v>
      </c>
    </row>
    <row r="26" spans="1:28" x14ac:dyDescent="0.2">
      <c r="A26" s="151">
        <f>Intro!C25</f>
        <v>2003</v>
      </c>
      <c r="B26" s="148"/>
      <c r="C26" s="202">
        <v>1243025.0200000005</v>
      </c>
      <c r="D26" s="184"/>
      <c r="E26" s="202">
        <v>1243025.0200000005</v>
      </c>
      <c r="F26" s="183"/>
      <c r="G26" s="184">
        <f>'e7'!O23</f>
        <v>1243025.0200000005</v>
      </c>
      <c r="H26" s="167"/>
      <c r="I26" s="185">
        <f>1 / [1]!ldfsir(prldfs, prldf_ages, prldf_type, prldf_ret, Intro!$Y25, "Rept", Intro!$H25, prldf_cutoff, 3)</f>
        <v>0.99065516060169634</v>
      </c>
      <c r="J26" s="167"/>
      <c r="K26" s="185">
        <f>1 / [1]!ldfsir(prldfs, prldf_ages, prldf_type, prldf_ret, Intro!$AA25, "Rept", Intro!$H25, prldf_cutoff, 3)</f>
        <v>0.99138348364004203</v>
      </c>
      <c r="L26" s="167"/>
      <c r="M26" s="650">
        <f t="shared" si="0"/>
        <v>0</v>
      </c>
      <c r="N26" s="183"/>
      <c r="O26" s="183">
        <f t="shared" si="1"/>
        <v>0</v>
      </c>
      <c r="P26" s="183"/>
      <c r="Q26" s="183">
        <f t="shared" si="2"/>
        <v>0</v>
      </c>
      <c r="R26" s="167"/>
      <c r="S26" s="220">
        <f ca="1">'e2.1'!U25</f>
        <v>1243025.0200000005</v>
      </c>
      <c r="T26" s="167"/>
      <c r="U26" s="184">
        <f t="shared" ca="1" si="3"/>
        <v>0</v>
      </c>
      <c r="W26" s="3" t="b">
        <v>1</v>
      </c>
      <c r="X26" s="487" t="b">
        <v>1</v>
      </c>
      <c r="AB26" s="184">
        <f t="shared" ca="1" si="4"/>
        <v>0</v>
      </c>
    </row>
    <row r="27" spans="1:28" x14ac:dyDescent="0.2">
      <c r="A27" s="151">
        <f>Intro!C26</f>
        <v>2004</v>
      </c>
      <c r="B27" s="148"/>
      <c r="C27" s="202">
        <v>2431974.7728585149</v>
      </c>
      <c r="D27" s="184"/>
      <c r="E27" s="202">
        <v>2386789.33</v>
      </c>
      <c r="F27" s="183"/>
      <c r="G27" s="184">
        <f>'e7'!O24</f>
        <v>2385205.2599999993</v>
      </c>
      <c r="H27" s="167"/>
      <c r="I27" s="185">
        <f>1 / [1]!ldfsir(prldfs, prldf_ages, prldf_type, prldf_ret, Intro!$Y26, "Rept", Intro!$H26, prldf_cutoff, 3)</f>
        <v>0.98364002818098417</v>
      </c>
      <c r="J27" s="167"/>
      <c r="K27" s="185">
        <f>1 / [1]!ldfsir(prldfs, prldf_ages, prldf_type, prldf_ret, Intro!$AA26, "Rept", Intro!$H26, prldf_cutoff, 3)</f>
        <v>0.98466285343073678</v>
      </c>
      <c r="L27" s="167"/>
      <c r="M27" s="650">
        <f t="shared" si="0"/>
        <v>-1584.0700000007637</v>
      </c>
      <c r="N27" s="183"/>
      <c r="O27" s="183">
        <f t="shared" si="1"/>
        <v>2824.9933672393768</v>
      </c>
      <c r="P27" s="183"/>
      <c r="Q27" s="183">
        <f t="shared" si="2"/>
        <v>-4409.06336724014</v>
      </c>
      <c r="R27" s="167"/>
      <c r="S27" s="220">
        <f ca="1">'e2.1'!U26</f>
        <v>2426504.272478655</v>
      </c>
      <c r="T27" s="167"/>
      <c r="U27" s="184">
        <f t="shared" ca="1" si="3"/>
        <v>-5470.5003798599355</v>
      </c>
      <c r="W27" s="3" t="b">
        <v>1</v>
      </c>
      <c r="X27" s="487" t="b">
        <v>1</v>
      </c>
      <c r="AB27" s="184">
        <f t="shared" ca="1" si="4"/>
        <v>-5470.5003798599355</v>
      </c>
    </row>
    <row r="28" spans="1:28" x14ac:dyDescent="0.2">
      <c r="A28" s="151">
        <f>Intro!C27</f>
        <v>2005</v>
      </c>
      <c r="B28" s="148"/>
      <c r="C28" s="202">
        <v>699839.89000000025</v>
      </c>
      <c r="D28" s="184"/>
      <c r="E28" s="202">
        <v>699839.89000000025</v>
      </c>
      <c r="F28" s="183"/>
      <c r="G28" s="184">
        <f>'e7'!O25</f>
        <v>699839.89000000025</v>
      </c>
      <c r="H28" s="167"/>
      <c r="I28" s="185">
        <f>1 / [1]!ldfsir(prldfs, prldf_ages, prldf_type, prldf_ret, Intro!$Y27, "Rept", Intro!$H27, prldf_cutoff, 3)</f>
        <v>0.98124003942996518</v>
      </c>
      <c r="J28" s="167"/>
      <c r="K28" s="185">
        <f>1 / [1]!ldfsir(prldfs, prldf_ages, prldf_type, prldf_ret, Intro!$AA27, "Rept", Intro!$H27, prldf_cutoff, 3)</f>
        <v>0.98248698971014525</v>
      </c>
      <c r="L28" s="167"/>
      <c r="M28" s="650">
        <f t="shared" si="0"/>
        <v>0</v>
      </c>
      <c r="N28" s="183"/>
      <c r="O28" s="183">
        <f t="shared" si="1"/>
        <v>0</v>
      </c>
      <c r="P28" s="183"/>
      <c r="Q28" s="183">
        <f t="shared" si="2"/>
        <v>0</v>
      </c>
      <c r="R28" s="167"/>
      <c r="S28" s="220">
        <f ca="1">'e2.1'!U27</f>
        <v>699839.89000000025</v>
      </c>
      <c r="T28" s="167"/>
      <c r="U28" s="184">
        <f t="shared" ca="1" si="3"/>
        <v>0</v>
      </c>
      <c r="W28" s="3" t="b">
        <v>1</v>
      </c>
      <c r="X28" s="487" t="b">
        <v>1</v>
      </c>
      <c r="AB28" s="184">
        <f t="shared" ca="1" si="4"/>
        <v>0</v>
      </c>
    </row>
    <row r="29" spans="1:28" x14ac:dyDescent="0.2">
      <c r="A29" s="151">
        <f>Intro!C28</f>
        <v>2006</v>
      </c>
      <c r="B29" s="148"/>
      <c r="C29" s="202">
        <v>2005481.3700000008</v>
      </c>
      <c r="D29" s="184"/>
      <c r="E29" s="202">
        <v>2005481.3700000008</v>
      </c>
      <c r="F29" s="183"/>
      <c r="G29" s="184">
        <f>'e7'!O26</f>
        <v>2005481.3700000008</v>
      </c>
      <c r="H29" s="167"/>
      <c r="I29" s="185">
        <f>1 / [1]!ldfsir(prldfs, prldf_ages, prldf_type, prldf_ret, Intro!$Y28, "Rept", Intro!$H28, prldf_cutoff, 3)</f>
        <v>0.97848831654643331</v>
      </c>
      <c r="J29" s="167"/>
      <c r="K29" s="185">
        <f>1 / [1]!ldfsir(prldfs, prldf_ages, prldf_type, prldf_ret, Intro!$AA28, "Rept", Intro!$H28, prldf_cutoff, 3)</f>
        <v>0.97991025114142272</v>
      </c>
      <c r="L29" s="167"/>
      <c r="M29" s="650">
        <f t="shared" si="0"/>
        <v>0</v>
      </c>
      <c r="N29" s="183"/>
      <c r="O29" s="183">
        <f t="shared" si="1"/>
        <v>0</v>
      </c>
      <c r="P29" s="183"/>
      <c r="Q29" s="183">
        <f t="shared" si="2"/>
        <v>0</v>
      </c>
      <c r="R29" s="167"/>
      <c r="S29" s="220">
        <f ca="1">'e2.1'!U28</f>
        <v>2005481.3700000008</v>
      </c>
      <c r="T29" s="167"/>
      <c r="U29" s="184">
        <f t="shared" ca="1" si="3"/>
        <v>0</v>
      </c>
      <c r="W29" s="3" t="b">
        <v>1</v>
      </c>
      <c r="X29" s="487" t="b">
        <v>1</v>
      </c>
      <c r="AB29" s="184">
        <f t="shared" ca="1" si="4"/>
        <v>0</v>
      </c>
    </row>
    <row r="30" spans="1:28" x14ac:dyDescent="0.2">
      <c r="A30" s="151">
        <f>Intro!C29</f>
        <v>2007</v>
      </c>
      <c r="B30" s="148"/>
      <c r="C30" s="202">
        <v>1099670.4199999997</v>
      </c>
      <c r="D30" s="184"/>
      <c r="E30" s="202">
        <v>1099670.4199999997</v>
      </c>
      <c r="F30" s="183"/>
      <c r="G30" s="184">
        <f>'e7'!O27</f>
        <v>1099670.4199999997</v>
      </c>
      <c r="H30" s="167"/>
      <c r="I30" s="185">
        <f>1 / [1]!ldfsir(prldfs, prldf_ages, prldf_type, prldf_ret, Intro!$Y29, "Rept", Intro!$H29, prldf_cutoff, 3)</f>
        <v>0.97533603907945809</v>
      </c>
      <c r="J30" s="167"/>
      <c r="K30" s="185">
        <f>1 / [1]!ldfsir(prldfs, prldf_ages, prldf_type, prldf_ret, Intro!$AA29, "Rept", Intro!$H29, prldf_cutoff, 3)</f>
        <v>0.97696554097004962</v>
      </c>
      <c r="L30" s="167"/>
      <c r="M30" s="650">
        <f t="shared" si="0"/>
        <v>0</v>
      </c>
      <c r="N30" s="183"/>
      <c r="O30" s="183">
        <f t="shared" si="1"/>
        <v>0</v>
      </c>
      <c r="P30" s="183"/>
      <c r="Q30" s="183">
        <f t="shared" si="2"/>
        <v>0</v>
      </c>
      <c r="R30" s="167"/>
      <c r="S30" s="220">
        <f ca="1">'e2.1'!U29</f>
        <v>1099670.4199999997</v>
      </c>
      <c r="T30" s="167"/>
      <c r="U30" s="184">
        <f t="shared" ca="1" si="3"/>
        <v>0</v>
      </c>
      <c r="W30" s="3" t="b">
        <v>1</v>
      </c>
      <c r="X30" s="487" t="b">
        <v>1</v>
      </c>
      <c r="AB30" s="184">
        <f t="shared" ca="1" si="4"/>
        <v>0</v>
      </c>
    </row>
    <row r="31" spans="1:28" x14ac:dyDescent="0.2">
      <c r="A31" s="151">
        <f>Intro!C30</f>
        <v>2008</v>
      </c>
      <c r="B31" s="148"/>
      <c r="C31" s="202">
        <v>766269.99000000011</v>
      </c>
      <c r="D31" s="184"/>
      <c r="E31" s="202">
        <v>766269.99000000011</v>
      </c>
      <c r="F31" s="183"/>
      <c r="G31" s="184">
        <f>'e7'!O28</f>
        <v>766269.99000000011</v>
      </c>
      <c r="H31" s="167"/>
      <c r="I31" s="185">
        <f>1 / [1]!ldfsir(prldfs, prldf_ages, prldf_type, prldf_ret, Intro!$Y30, "Rept", Intro!$H30, prldf_cutoff, 3)</f>
        <v>0.9602023322467611</v>
      </c>
      <c r="J31" s="167"/>
      <c r="K31" s="185">
        <f>1 / [1]!ldfsir(prldfs, prldf_ages, prldf_type, prldf_ret, Intro!$AA30, "Rept", Intro!$H30, prldf_cutoff, 3)</f>
        <v>0.96263289704291233</v>
      </c>
      <c r="L31" s="167"/>
      <c r="M31" s="650">
        <f t="shared" si="0"/>
        <v>0</v>
      </c>
      <c r="N31" s="183"/>
      <c r="O31" s="183">
        <f t="shared" si="1"/>
        <v>0</v>
      </c>
      <c r="P31" s="183"/>
      <c r="Q31" s="183">
        <f t="shared" si="2"/>
        <v>0</v>
      </c>
      <c r="R31" s="167"/>
      <c r="S31" s="220">
        <f ca="1">'e2.1'!U30</f>
        <v>766269.99000000011</v>
      </c>
      <c r="T31" s="167"/>
      <c r="U31" s="184">
        <f t="shared" ca="1" si="3"/>
        <v>0</v>
      </c>
      <c r="W31" s="3" t="b">
        <v>1</v>
      </c>
      <c r="X31" s="487" t="b">
        <v>1</v>
      </c>
      <c r="AB31" s="184">
        <f t="shared" ca="1" si="4"/>
        <v>0</v>
      </c>
    </row>
    <row r="32" spans="1:28" x14ac:dyDescent="0.2">
      <c r="A32" s="151">
        <f>Intro!C31</f>
        <v>2009</v>
      </c>
      <c r="B32" s="148"/>
      <c r="C32" s="202">
        <v>1965499.3844942674</v>
      </c>
      <c r="D32" s="184"/>
      <c r="E32" s="202">
        <v>1864995.4700000004</v>
      </c>
      <c r="F32" s="183"/>
      <c r="G32" s="184">
        <f>'e7'!O29</f>
        <v>1882294.4700000004</v>
      </c>
      <c r="H32" s="167"/>
      <c r="I32" s="185">
        <f>1 / [1]!ldfsir(prldfs, prldf_ages, prldf_type, prldf_ret, Intro!$Y31, "Rept", Intro!$H31, prldf_cutoff, 3)</f>
        <v>0.95479762339079466</v>
      </c>
      <c r="J32" s="167"/>
      <c r="K32" s="185">
        <f>1 / [1]!ldfsir(prldfs, prldf_ages, prldf_type, prldf_ret, Intro!$AA31, "Rept", Intro!$H31, prldf_cutoff, 3)</f>
        <v>0.95758707232686757</v>
      </c>
      <c r="L32" s="167"/>
      <c r="M32" s="650">
        <f t="shared" si="0"/>
        <v>17299</v>
      </c>
      <c r="N32" s="183"/>
      <c r="O32" s="183">
        <f t="shared" si="1"/>
        <v>6202.1194102458649</v>
      </c>
      <c r="P32" s="183"/>
      <c r="Q32" s="183">
        <f t="shared" si="2"/>
        <v>11096.880589754135</v>
      </c>
      <c r="R32" s="167"/>
      <c r="S32" s="220">
        <f ca="1">'e2.1'!U31</f>
        <v>1965664.0366146131</v>
      </c>
      <c r="T32" s="167"/>
      <c r="U32" s="184">
        <f t="shared" ca="1" si="3"/>
        <v>164.65212034573779</v>
      </c>
      <c r="W32" s="3" t="b">
        <v>1</v>
      </c>
      <c r="X32" s="487" t="b">
        <v>1</v>
      </c>
      <c r="AB32" s="184">
        <f t="shared" ca="1" si="4"/>
        <v>164.65212034573779</v>
      </c>
    </row>
    <row r="33" spans="1:28" x14ac:dyDescent="0.2">
      <c r="A33" s="151">
        <f>Intro!C32</f>
        <v>2010</v>
      </c>
      <c r="B33" s="148"/>
      <c r="C33" s="202">
        <v>1207742.3321619411</v>
      </c>
      <c r="D33" s="184"/>
      <c r="E33" s="202">
        <v>1187635.5200000003</v>
      </c>
      <c r="F33" s="183"/>
      <c r="G33" s="184">
        <f>'e7'!O30</f>
        <v>1200315.5200000003</v>
      </c>
      <c r="H33" s="167"/>
      <c r="I33" s="185">
        <f>1 / [1]!ldfsir(prldfs, prldf_ages, prldf_type, prldf_ret, Intro!$Y32, "Rept", Intro!$H32, prldf_cutoff, 3)</f>
        <v>0.94845569190181755</v>
      </c>
      <c r="J33" s="167"/>
      <c r="K33" s="185">
        <f>1 / [1]!ldfsir(prldfs, prldf_ages, prldf_type, prldf_ret, Intro!$AA32, "Rept", Intro!$H32, prldf_cutoff, 3)</f>
        <v>0.95173726108191492</v>
      </c>
      <c r="L33" s="167"/>
      <c r="M33" s="650">
        <f t="shared" si="0"/>
        <v>12680</v>
      </c>
      <c r="N33" s="183"/>
      <c r="O33" s="183">
        <f t="shared" si="1"/>
        <v>1280.1005103211119</v>
      </c>
      <c r="P33" s="183"/>
      <c r="Q33" s="183">
        <f t="shared" si="2"/>
        <v>11399.899489678888</v>
      </c>
      <c r="R33" s="167"/>
      <c r="S33" s="220">
        <f>'e2.1'!U32</f>
        <v>1200315.5200000003</v>
      </c>
      <c r="T33" s="167"/>
      <c r="U33" s="184">
        <f t="shared" si="3"/>
        <v>-7426.8121619408485</v>
      </c>
      <c r="W33" s="3" t="b">
        <v>1</v>
      </c>
      <c r="X33" s="487" t="b">
        <v>1</v>
      </c>
      <c r="AB33" s="184">
        <f t="shared" si="4"/>
        <v>-7426.8121619408485</v>
      </c>
    </row>
    <row r="34" spans="1:28" x14ac:dyDescent="0.2">
      <c r="A34" s="151">
        <f>Intro!C33</f>
        <v>2011</v>
      </c>
      <c r="B34" s="148"/>
      <c r="C34" s="202">
        <v>1212815.81</v>
      </c>
      <c r="D34" s="184"/>
      <c r="E34" s="202">
        <v>1212815.81</v>
      </c>
      <c r="F34" s="183"/>
      <c r="G34" s="184">
        <f>'e7'!O31</f>
        <v>1212882.8100000003</v>
      </c>
      <c r="H34" s="167"/>
      <c r="I34" s="185">
        <f>1 / [1]!ldfsir(prldfs, prldf_ages, prldf_type, prldf_ret, Intro!$Y33, "Rept", Intro!$H33, prldf_cutoff, 3)</f>
        <v>0.94117065553555057</v>
      </c>
      <c r="J34" s="167"/>
      <c r="K34" s="185">
        <f>1 / [1]!ldfsir(prldfs, prldf_ages, prldf_type, prldf_ret, Intro!$AA33, "Rept", Intro!$H33, prldf_cutoff, 3)</f>
        <v>0.94493247857462404</v>
      </c>
      <c r="L34" s="167"/>
      <c r="M34" s="650">
        <f t="shared" si="0"/>
        <v>67.000000000232831</v>
      </c>
      <c r="N34" s="183"/>
      <c r="O34" s="183">
        <f t="shared" si="1"/>
        <v>0</v>
      </c>
      <c r="P34" s="183"/>
      <c r="Q34" s="183">
        <f t="shared" si="2"/>
        <v>67.000000000232831</v>
      </c>
      <c r="R34" s="167"/>
      <c r="S34" s="220">
        <f ca="1">'e2.1'!U33</f>
        <v>1212882.8100000003</v>
      </c>
      <c r="T34" s="167"/>
      <c r="U34" s="184">
        <f t="shared" ca="1" si="3"/>
        <v>67.000000000232831</v>
      </c>
      <c r="W34" s="3" t="b">
        <v>1</v>
      </c>
      <c r="X34" s="487" t="b">
        <v>1</v>
      </c>
      <c r="AB34" s="184">
        <f t="shared" ca="1" si="4"/>
        <v>67.000000000232831</v>
      </c>
    </row>
    <row r="35" spans="1:28" x14ac:dyDescent="0.2">
      <c r="A35" s="151">
        <f>Intro!C34</f>
        <v>2012</v>
      </c>
      <c r="B35" s="148"/>
      <c r="C35" s="202">
        <v>1975697.1394949416</v>
      </c>
      <c r="D35" s="184"/>
      <c r="E35" s="202">
        <v>1926182.29</v>
      </c>
      <c r="F35" s="183"/>
      <c r="G35" s="184">
        <f>'e7'!O32</f>
        <v>1930458.7599999993</v>
      </c>
      <c r="H35" s="167"/>
      <c r="I35" s="185">
        <f>1 / [1]!ldfsir(prldfs, prldf_ages, prldf_type, prldf_ret, Intro!$Y34, "Rept", Intro!$H34, prldf_cutoff, 3)</f>
        <v>0.93245963169659574</v>
      </c>
      <c r="J35" s="167"/>
      <c r="K35" s="185">
        <f>1 / [1]!ldfsir(prldfs, prldf_ages, prldf_type, prldf_ret, Intro!$AA34, "Rept", Intro!$H34, prldf_cutoff, 3)</f>
        <v>0.93697855255751528</v>
      </c>
      <c r="L35" s="167"/>
      <c r="M35" s="650">
        <f t="shared" si="0"/>
        <v>4276.4699999992736</v>
      </c>
      <c r="N35" s="183"/>
      <c r="O35" s="183">
        <f t="shared" si="1"/>
        <v>3312.8881575362193</v>
      </c>
      <c r="P35" s="183"/>
      <c r="Q35" s="183">
        <f t="shared" si="2"/>
        <v>963.58184246305427</v>
      </c>
      <c r="R35" s="167"/>
      <c r="S35" s="220">
        <f ca="1">'e2.1'!U34</f>
        <v>1961844.1484409242</v>
      </c>
      <c r="T35" s="167"/>
      <c r="U35" s="184">
        <f t="shared" ca="1" si="3"/>
        <v>-13852.99105401733</v>
      </c>
      <c r="W35" s="3" t="b">
        <v>1</v>
      </c>
      <c r="X35" s="487" t="b">
        <v>1</v>
      </c>
      <c r="AB35" s="184">
        <f t="shared" ca="1" si="4"/>
        <v>-13852.99105401733</v>
      </c>
    </row>
    <row r="36" spans="1:28" x14ac:dyDescent="0.2">
      <c r="A36" s="151">
        <f>Intro!C35</f>
        <v>2013</v>
      </c>
      <c r="B36" s="148"/>
      <c r="C36" s="202">
        <v>2177334.3199999994</v>
      </c>
      <c r="D36" s="184"/>
      <c r="E36" s="202">
        <v>2097334.3199999994</v>
      </c>
      <c r="F36" s="183"/>
      <c r="G36" s="184">
        <f>'e7'!O33</f>
        <v>2106047.2399999998</v>
      </c>
      <c r="H36" s="167"/>
      <c r="I36" s="185">
        <f>1 / [1]!ldfsir(prldfs, prldf_ages, prldf_type, prldf_ret, Intro!$Y35, "Rept", Intro!$H35, prldf_cutoff, 3)</f>
        <v>0.92160505438677187</v>
      </c>
      <c r="J36" s="167"/>
      <c r="K36" s="185">
        <f>1 / [1]!ldfsir(prldfs, prldf_ages, prldf_type, prldf_ret, Intro!$AA35, "Rept", Intro!$H35, prldf_cutoff, 3)</f>
        <v>0.9272631497560152</v>
      </c>
      <c r="L36" s="167"/>
      <c r="M36" s="650">
        <f t="shared" si="0"/>
        <v>8712.9200000003912</v>
      </c>
      <c r="N36" s="183"/>
      <c r="O36" s="183">
        <f t="shared" si="1"/>
        <v>5773.9389446440055</v>
      </c>
      <c r="P36" s="183"/>
      <c r="Q36" s="183">
        <f t="shared" si="2"/>
        <v>2938.9810553563857</v>
      </c>
      <c r="R36" s="167"/>
      <c r="S36" s="220">
        <f ca="1">'e2.1'!U35</f>
        <v>2180039.3351955777</v>
      </c>
      <c r="T36" s="167"/>
      <c r="U36" s="184">
        <f t="shared" ca="1" si="3"/>
        <v>2705.0151955783367</v>
      </c>
      <c r="W36" s="3" t="b">
        <v>1</v>
      </c>
      <c r="X36" s="487" t="b">
        <v>1</v>
      </c>
      <c r="AB36" s="184">
        <f t="shared" ca="1" si="4"/>
        <v>2705.0151955783367</v>
      </c>
    </row>
    <row r="37" spans="1:28" x14ac:dyDescent="0.2">
      <c r="A37" s="151">
        <f>Intro!C36</f>
        <v>2014</v>
      </c>
      <c r="B37" s="148"/>
      <c r="C37" s="202">
        <v>2342329.11</v>
      </c>
      <c r="D37" s="184"/>
      <c r="E37" s="202">
        <v>2342329.11</v>
      </c>
      <c r="F37" s="183"/>
      <c r="G37" s="184">
        <f>'e7'!O34</f>
        <v>2342502.8100000005</v>
      </c>
      <c r="H37" s="167"/>
      <c r="I37" s="185">
        <f>1 / [1]!ldfsir(prldfs, prldf_ages, prldf_type, prldf_ret, Intro!$Y36, "Rept", Intro!$H36, prldf_cutoff, 3)</f>
        <v>0.90789985610047552</v>
      </c>
      <c r="J37" s="167"/>
      <c r="K37" s="185">
        <f>1 / [1]!ldfsir(prldfs, prldf_ages, prldf_type, prldf_ret, Intro!$AA36, "Rept", Intro!$H36, prldf_cutoff, 3)</f>
        <v>0.91506197780478549</v>
      </c>
      <c r="L37" s="167"/>
      <c r="M37" s="650">
        <f t="shared" si="0"/>
        <v>173.70000000065193</v>
      </c>
      <c r="N37" s="183"/>
      <c r="O37" s="183">
        <f t="shared" si="1"/>
        <v>0</v>
      </c>
      <c r="P37" s="183"/>
      <c r="Q37" s="183">
        <f t="shared" si="2"/>
        <v>173.70000000065193</v>
      </c>
      <c r="R37" s="167"/>
      <c r="S37" s="220">
        <f ca="1">'e2.1'!U36</f>
        <v>2342502.8100000005</v>
      </c>
      <c r="T37" s="167"/>
      <c r="U37" s="184">
        <f t="shared" ca="1" si="3"/>
        <v>173.70000000065193</v>
      </c>
      <c r="W37" s="3" t="b">
        <v>1</v>
      </c>
      <c r="X37" s="487" t="b">
        <v>1</v>
      </c>
      <c r="AB37" s="184">
        <f t="shared" ca="1" si="4"/>
        <v>173.70000000065193</v>
      </c>
    </row>
    <row r="38" spans="1:28" x14ac:dyDescent="0.2">
      <c r="A38" s="151">
        <f>Intro!C37</f>
        <v>2015</v>
      </c>
      <c r="B38" s="148"/>
      <c r="C38" s="202">
        <v>3668986.9450358944</v>
      </c>
      <c r="D38" s="184"/>
      <c r="E38" s="202">
        <v>3276954.1399999997</v>
      </c>
      <c r="F38" s="183"/>
      <c r="G38" s="184">
        <f>'e7'!O35</f>
        <v>3251678.2500000009</v>
      </c>
      <c r="H38" s="167"/>
      <c r="I38" s="185">
        <f>1 / [1]!ldfsir(prldfs, prldf_ages, prldf_type, prldf_ret, Intro!$Y37, "Rept", Intro!$H37, prldf_cutoff, 3)</f>
        <v>0.87919573692679676</v>
      </c>
      <c r="J38" s="167"/>
      <c r="K38" s="185">
        <f>1 / [1]!ldfsir(prldfs, prldf_ages, prldf_type, prldf_ret, Intro!$AA37, "Rept", Intro!$H37, prldf_cutoff, 3)</f>
        <v>0.89499243417990171</v>
      </c>
      <c r="L38" s="167"/>
      <c r="M38" s="650">
        <f t="shared" si="0"/>
        <v>-25275.889999998733</v>
      </c>
      <c r="N38" s="183"/>
      <c r="O38" s="183">
        <f t="shared" si="1"/>
        <v>51263.286384892803</v>
      </c>
      <c r="P38" s="183"/>
      <c r="Q38" s="183">
        <f t="shared" si="2"/>
        <v>-76539.176384891529</v>
      </c>
      <c r="R38" s="167"/>
      <c r="S38" s="220">
        <f ca="1">'e2.1'!U37</f>
        <v>3581039.2926820084</v>
      </c>
      <c r="T38" s="167"/>
      <c r="U38" s="184">
        <f t="shared" ca="1" si="3"/>
        <v>-87947.652353886049</v>
      </c>
      <c r="W38" s="3" t="b">
        <v>1</v>
      </c>
      <c r="X38" s="487" t="b">
        <v>1</v>
      </c>
      <c r="AB38" s="184">
        <f t="shared" ca="1" si="4"/>
        <v>-87947.652353886049</v>
      </c>
    </row>
    <row r="39" spans="1:28" x14ac:dyDescent="0.2">
      <c r="A39" s="151">
        <f>Intro!C38</f>
        <v>2016</v>
      </c>
      <c r="B39" s="148"/>
      <c r="C39" s="202">
        <v>3005729.7628304977</v>
      </c>
      <c r="D39" s="184"/>
      <c r="E39" s="202">
        <v>2444111.0400000019</v>
      </c>
      <c r="F39" s="183"/>
      <c r="G39" s="184">
        <f>'e7'!O36</f>
        <v>2628716.9900000021</v>
      </c>
      <c r="H39" s="167"/>
      <c r="I39" s="185">
        <f>1 / [1]!ldfsir(prldfs, prldf_ages, prldf_type, prldf_ret, Intro!$Y38, "Rept", Intro!$H38, prldf_cutoff, 3)</f>
        <v>0.82777308940913075</v>
      </c>
      <c r="J39" s="167"/>
      <c r="K39" s="185">
        <f>1 / [1]!ldfsir(prldfs, prldf_ages, prldf_type, prldf_ret, Intro!$AA38, "Rept", Intro!$H38, prldf_cutoff, 3)</f>
        <v>0.85186014392457765</v>
      </c>
      <c r="L39" s="167"/>
      <c r="M39" s="650">
        <f t="shared" si="0"/>
        <v>184605.95000000019</v>
      </c>
      <c r="N39" s="183"/>
      <c r="O39" s="183">
        <f t="shared" si="1"/>
        <v>78546.034108742824</v>
      </c>
      <c r="P39" s="183"/>
      <c r="Q39" s="183">
        <f t="shared" si="2"/>
        <v>106059.91589125736</v>
      </c>
      <c r="R39" s="167"/>
      <c r="S39" s="220">
        <f ca="1">'e2.1'!U38</f>
        <v>3097471.5187295564</v>
      </c>
      <c r="T39" s="167"/>
      <c r="U39" s="184">
        <f t="shared" ca="1" si="3"/>
        <v>91741.755899058655</v>
      </c>
      <c r="W39" s="3" t="b">
        <v>1</v>
      </c>
      <c r="X39" s="487" t="b">
        <v>1</v>
      </c>
      <c r="AB39" s="184">
        <f t="shared" ca="1" si="4"/>
        <v>91741.755899058655</v>
      </c>
    </row>
    <row r="40" spans="1:28" x14ac:dyDescent="0.2">
      <c r="A40" s="151">
        <f>Intro!C39</f>
        <v>2017</v>
      </c>
      <c r="B40" s="148"/>
      <c r="C40" s="202">
        <v>3354912.593202048</v>
      </c>
      <c r="D40" s="184"/>
      <c r="E40" s="202">
        <v>2264112.3000000003</v>
      </c>
      <c r="F40" s="183"/>
      <c r="G40" s="184">
        <f>'e7'!O37</f>
        <v>2585441.4500000016</v>
      </c>
      <c r="H40" s="167"/>
      <c r="I40" s="185">
        <f>1 / [1]!ldfsir(prldfs, prldf_ages, prldf_type, prldf_ret, Intro!$Y39, "Rept", Intro!$H39, prldf_cutoff, 3)</f>
        <v>0.73136980879900793</v>
      </c>
      <c r="J40" s="167"/>
      <c r="K40" s="185">
        <f>1 / [1]!ldfsir(prldfs, prldf_ages, prldf_type, prldf_ret, Intro!$AA39, "Rept", Intro!$H39, prldf_cutoff, 3)</f>
        <v>0.78564859899580386</v>
      </c>
      <c r="L40" s="167"/>
      <c r="M40" s="650">
        <f t="shared" si="0"/>
        <v>321329.1500000013</v>
      </c>
      <c r="N40" s="183"/>
      <c r="O40" s="183">
        <f t="shared" si="1"/>
        <v>220404.56434406462</v>
      </c>
      <c r="P40" s="183"/>
      <c r="Q40" s="183">
        <f t="shared" si="2"/>
        <v>100924.58565593668</v>
      </c>
      <c r="R40" s="167"/>
      <c r="S40" s="220">
        <f ca="1">'e2.1'!U39</f>
        <v>3447882.2158604558</v>
      </c>
      <c r="T40" s="167"/>
      <c r="U40" s="184">
        <f t="shared" ca="1" si="3"/>
        <v>92969.622658407781</v>
      </c>
      <c r="W40" s="3" t="b">
        <v>1</v>
      </c>
      <c r="X40" s="487" t="b">
        <v>1</v>
      </c>
      <c r="Z40" s="1" t="s">
        <v>819</v>
      </c>
      <c r="AB40" s="184">
        <f t="shared" ca="1" si="4"/>
        <v>92969.622658407781</v>
      </c>
    </row>
    <row r="41" spans="1:28" x14ac:dyDescent="0.2">
      <c r="A41" s="151">
        <f>Intro!C40</f>
        <v>2018</v>
      </c>
      <c r="B41" s="148"/>
      <c r="C41" s="202">
        <v>9312850.7121051922</v>
      </c>
      <c r="D41" s="184"/>
      <c r="E41" s="202">
        <v>4706747.6700000055</v>
      </c>
      <c r="F41" s="183"/>
      <c r="G41" s="184">
        <f>'e7'!O38</f>
        <v>5817996.7700000023</v>
      </c>
      <c r="H41" s="167"/>
      <c r="I41" s="185">
        <f>1 / [1]!ldfsir(prldfs, prldf_ages, prldf_type, prldf_ret, Intro!$Y40, "Rept", Intro!$H40, prldf_cutoff, 3)</f>
        <v>0.47830890275181503</v>
      </c>
      <c r="J41" s="167"/>
      <c r="K41" s="690">
        <f>1 / [1]!ldfsir(prldfs, prldf_ages, prldf_type, prldf_ret, Intro!$AA40, "Rept", Intro!$H40, prldf_cutoff, 3)</f>
        <v>0.62547302783606418</v>
      </c>
      <c r="L41" s="167"/>
      <c r="M41" s="650">
        <f t="shared" si="0"/>
        <v>1111249.0999999968</v>
      </c>
      <c r="N41" s="183"/>
      <c r="O41" s="183">
        <f t="shared" si="1"/>
        <v>1299338.1098792874</v>
      </c>
      <c r="P41" s="183"/>
      <c r="Q41" s="183">
        <f t="shared" si="2"/>
        <v>-188089.00987929059</v>
      </c>
      <c r="R41" s="167"/>
      <c r="S41" s="220">
        <f ca="1">'e2.1'!U40</f>
        <v>9287422.3262577429</v>
      </c>
      <c r="T41" s="167"/>
      <c r="U41" s="184">
        <f t="shared" ca="1" si="3"/>
        <v>-25428.385847449303</v>
      </c>
      <c r="W41" s="3" t="b">
        <v>1</v>
      </c>
      <c r="X41" s="487" t="b">
        <v>1</v>
      </c>
      <c r="AB41" s="184">
        <f t="shared" ca="1" si="4"/>
        <v>-25428.385847449303</v>
      </c>
    </row>
    <row r="42" spans="1:28" x14ac:dyDescent="0.2">
      <c r="A42" s="151">
        <f>Intro!C41</f>
        <v>2019</v>
      </c>
      <c r="B42" s="148"/>
      <c r="C42" s="203">
        <v>9109297.8979146965</v>
      </c>
      <c r="D42" s="184"/>
      <c r="E42" s="202">
        <v>178621.64</v>
      </c>
      <c r="F42" s="183"/>
      <c r="G42" s="184">
        <f>'e7'!O39</f>
        <v>1261811.2200000007</v>
      </c>
      <c r="H42" s="167"/>
      <c r="I42" s="185">
        <f>1 / [1]!ldfsir(prldfs, prldf_ages, prldf_type, prldf_ret, Intro!$Y41, "Rept", Intro!$H41, prldf_cutoff, 3)</f>
        <v>1.9179928476013321E-2</v>
      </c>
      <c r="J42" s="167"/>
      <c r="K42" s="690">
        <f>1 / [1]!ldfsir(prldfs, prldf_ages, prldf_type, prldf_ret, Intro!$AA41, "Rept", Intro!$H41, prldf_cutoff, 3)</f>
        <v>0.22078228799276661</v>
      </c>
      <c r="L42" s="167"/>
      <c r="M42" s="650">
        <f t="shared" si="0"/>
        <v>1083189.5800000005</v>
      </c>
      <c r="N42" s="183"/>
      <c r="O42" s="183">
        <f t="shared" si="1"/>
        <v>1835653.100857062</v>
      </c>
      <c r="P42" s="183"/>
      <c r="Q42" s="183">
        <f t="shared" si="2"/>
        <v>-752463.52085706149</v>
      </c>
      <c r="R42" s="167"/>
      <c r="S42" s="221">
        <f ca="1">'e2.1'!U41</f>
        <v>8549781.2667972855</v>
      </c>
      <c r="T42" s="167"/>
      <c r="U42" s="184">
        <f t="shared" ca="1" si="3"/>
        <v>-559516.63111741096</v>
      </c>
      <c r="W42" s="3" t="b">
        <v>1</v>
      </c>
      <c r="X42" s="487" t="b">
        <v>1</v>
      </c>
      <c r="Z42" s="1" t="s">
        <v>410</v>
      </c>
      <c r="AA42" s="704">
        <v>8948879.980890099</v>
      </c>
      <c r="AB42" s="184">
        <f ca="1">AA48-AA47</f>
        <v>-471294.55683074705</v>
      </c>
    </row>
    <row r="43" spans="1:28" x14ac:dyDescent="0.2">
      <c r="A43" s="151"/>
      <c r="B43" s="148"/>
      <c r="C43" s="186"/>
      <c r="D43" s="184"/>
      <c r="E43" s="186"/>
      <c r="F43" s="183"/>
      <c r="G43" s="187"/>
      <c r="H43" s="167"/>
      <c r="I43" s="188"/>
      <c r="J43" s="167"/>
      <c r="K43" s="189"/>
      <c r="L43" s="167"/>
      <c r="M43" s="186"/>
      <c r="N43" s="183"/>
      <c r="O43" s="186"/>
      <c r="P43" s="183"/>
      <c r="Q43" s="186"/>
      <c r="R43" s="167"/>
      <c r="S43" s="186"/>
      <c r="T43" s="167"/>
      <c r="U43" s="186"/>
      <c r="Z43" s="1" t="s">
        <v>820</v>
      </c>
      <c r="AA43" s="704">
        <f>AA42*(1-I42)+E42</f>
        <v>8955862.7429162003</v>
      </c>
      <c r="AB43" s="186"/>
    </row>
    <row r="44" spans="1:28" x14ac:dyDescent="0.2">
      <c r="A44" s="151" t="s">
        <v>78</v>
      </c>
      <c r="B44" s="148"/>
      <c r="C44" s="205">
        <f>SUM(C19:C43)</f>
        <v>61638122.908022702</v>
      </c>
      <c r="D44" s="184"/>
      <c r="E44" s="205">
        <f>SUM(E19:E43)</f>
        <v>45632348.689999998</v>
      </c>
      <c r="F44" s="183"/>
      <c r="G44" s="205">
        <f>SUM(G19:G43)</f>
        <v>48349071.600000001</v>
      </c>
      <c r="H44" s="167"/>
      <c r="I44" s="188"/>
      <c r="J44" s="167"/>
      <c r="K44" s="189"/>
      <c r="L44" s="167"/>
      <c r="M44" s="205">
        <f>SUM(M19:M43)</f>
        <v>2716722.91</v>
      </c>
      <c r="N44" s="183"/>
      <c r="O44" s="205">
        <f>SUM(O19:O43)</f>
        <v>3504599.135964036</v>
      </c>
      <c r="P44" s="183"/>
      <c r="Q44" s="205">
        <f>SUM(Q19:Q43)</f>
        <v>-787876.2259640363</v>
      </c>
      <c r="R44" s="167"/>
      <c r="S44" s="205">
        <f ca="1">SUM(S19:S43)</f>
        <v>61126301.680981532</v>
      </c>
      <c r="T44" s="167"/>
      <c r="U44" s="205">
        <f ca="1">SUM(U19:U43)</f>
        <v>-511821.22704117303</v>
      </c>
      <c r="Z44" s="1" t="s">
        <v>821</v>
      </c>
      <c r="AA44" s="704">
        <f>AA42*(1-I78)+E78</f>
        <v>8940855.0927869305</v>
      </c>
      <c r="AB44" s="205">
        <f ca="1">SUM(AB19:AB42)</f>
        <v>-423599.15275450912</v>
      </c>
    </row>
    <row r="45" spans="1:28" x14ac:dyDescent="0.2">
      <c r="A45" s="151"/>
      <c r="B45" s="148"/>
      <c r="C45" s="190"/>
      <c r="D45" s="184"/>
      <c r="E45" s="191"/>
      <c r="F45" s="183"/>
      <c r="G45" s="184"/>
      <c r="H45" s="167"/>
      <c r="I45" s="188"/>
      <c r="J45" s="167"/>
      <c r="K45" s="189"/>
      <c r="L45" s="167"/>
      <c r="M45" s="183"/>
      <c r="N45" s="183"/>
      <c r="O45" s="183"/>
      <c r="P45" s="183"/>
      <c r="Q45" s="183"/>
      <c r="R45" s="167"/>
      <c r="S45" s="167"/>
      <c r="T45" s="167"/>
      <c r="U45" s="184"/>
      <c r="V45" s="182"/>
      <c r="Z45" s="1" t="s">
        <v>822</v>
      </c>
      <c r="AA45" s="705">
        <f>AVERAGE(AA43:AA44)</f>
        <v>8948358.9178515654</v>
      </c>
    </row>
    <row r="46" spans="1:28" x14ac:dyDescent="0.2">
      <c r="A46" s="151"/>
      <c r="B46" s="148"/>
      <c r="C46" s="190"/>
      <c r="D46" s="184"/>
      <c r="E46" s="191"/>
      <c r="F46" s="183"/>
      <c r="G46" s="184"/>
      <c r="H46" s="167"/>
      <c r="I46" s="188"/>
      <c r="J46" s="167"/>
      <c r="K46" s="189"/>
      <c r="L46" s="167"/>
      <c r="M46" s="183"/>
      <c r="N46" s="183"/>
      <c r="O46" s="183"/>
      <c r="P46" s="183"/>
      <c r="Q46" s="183"/>
      <c r="R46" s="167"/>
      <c r="S46" s="183"/>
      <c r="T46" s="167"/>
      <c r="U46" s="184"/>
      <c r="V46" s="182"/>
      <c r="Z46" s="706" t="s">
        <v>823</v>
      </c>
      <c r="AA46" s="705">
        <f>AA45-5/12*AA42</f>
        <v>5219658.9258140242</v>
      </c>
    </row>
    <row r="47" spans="1:28" x14ac:dyDescent="0.2">
      <c r="A47" s="200" t="s">
        <v>258</v>
      </c>
      <c r="B47" s="148"/>
      <c r="C47" s="190"/>
      <c r="D47" s="184"/>
      <c r="E47" s="191"/>
      <c r="F47" s="183"/>
      <c r="G47" s="184"/>
      <c r="H47" s="167"/>
      <c r="I47" s="188"/>
      <c r="J47" s="167"/>
      <c r="K47" s="189"/>
      <c r="L47" s="167"/>
      <c r="M47" s="183"/>
      <c r="N47" s="183"/>
      <c r="O47" s="183"/>
      <c r="P47" s="183"/>
      <c r="Q47" s="183"/>
      <c r="R47" s="167"/>
      <c r="S47" s="167"/>
      <c r="T47" s="167"/>
      <c r="U47" s="184"/>
      <c r="V47" s="182"/>
      <c r="Z47" s="706" t="s">
        <v>824</v>
      </c>
      <c r="AA47" s="85">
        <v>5312839.1603901517</v>
      </c>
    </row>
    <row r="48" spans="1:28" x14ac:dyDescent="0.2">
      <c r="A48" s="151"/>
      <c r="B48" s="148"/>
      <c r="C48" s="190"/>
      <c r="D48" s="184"/>
      <c r="E48" s="191"/>
      <c r="F48" s="183"/>
      <c r="G48" s="184"/>
      <c r="H48" s="167"/>
      <c r="I48" s="188"/>
      <c r="J48" s="167"/>
      <c r="K48" s="189"/>
      <c r="L48" s="167"/>
      <c r="N48" s="183"/>
      <c r="O48" s="183"/>
      <c r="P48" s="183"/>
      <c r="Q48" s="183"/>
      <c r="R48" s="167"/>
      <c r="S48" s="167"/>
      <c r="T48" s="167"/>
      <c r="U48" s="184"/>
      <c r="V48" s="182"/>
      <c r="Z48" s="706" t="s">
        <v>825</v>
      </c>
      <c r="AA48" s="85">
        <f ca="1">'e1.3A'!I39+'e1.3A'!O39</f>
        <v>4841544.6035594046</v>
      </c>
    </row>
    <row r="49" spans="1:24" ht="12.75" customHeight="1" x14ac:dyDescent="0.2">
      <c r="A49" s="167"/>
      <c r="B49" s="167"/>
      <c r="C49" s="168" t="s">
        <v>105</v>
      </c>
      <c r="D49" s="175"/>
      <c r="E49" s="168"/>
      <c r="F49" s="167"/>
      <c r="G49" s="175"/>
      <c r="H49" s="167"/>
      <c r="I49" s="167"/>
      <c r="J49" s="167"/>
      <c r="K49" s="167"/>
      <c r="L49" s="167"/>
      <c r="M49" s="168" t="s">
        <v>242</v>
      </c>
      <c r="N49" s="167"/>
      <c r="O49" s="168" t="s">
        <v>244</v>
      </c>
      <c r="P49" s="167"/>
      <c r="R49" s="167"/>
      <c r="S49" s="168" t="s">
        <v>105</v>
      </c>
      <c r="T49" s="167"/>
      <c r="U49" s="167"/>
      <c r="V49" s="167"/>
      <c r="W49"/>
    </row>
    <row r="50" spans="1:24" ht="12.75" customHeight="1" x14ac:dyDescent="0.2">
      <c r="A50" s="181" t="str">
        <f>A14</f>
        <v>Policy</v>
      </c>
      <c r="B50" s="148"/>
      <c r="C50" s="168" t="s">
        <v>245</v>
      </c>
      <c r="D50" s="175"/>
      <c r="E50" s="167"/>
      <c r="F50" s="167"/>
      <c r="G50" s="175"/>
      <c r="H50" s="167"/>
      <c r="I50" s="170" t="s">
        <v>246</v>
      </c>
      <c r="J50" s="170"/>
      <c r="K50" s="170"/>
      <c r="L50" s="167"/>
      <c r="M50" s="168" t="s">
        <v>243</v>
      </c>
      <c r="N50" s="167"/>
      <c r="O50" s="168" t="s">
        <v>243</v>
      </c>
      <c r="P50" s="167"/>
      <c r="Q50" s="169" t="s">
        <v>242</v>
      </c>
      <c r="R50" s="167"/>
      <c r="S50" s="168" t="s">
        <v>245</v>
      </c>
      <c r="T50" s="167"/>
      <c r="U50" s="170" t="s">
        <v>248</v>
      </c>
      <c r="V50" s="167"/>
      <c r="W50"/>
    </row>
    <row r="51" spans="1:24" ht="12.75" customHeight="1" x14ac:dyDescent="0.2">
      <c r="A51" s="181" t="str">
        <f>A15</f>
        <v>Period</v>
      </c>
      <c r="B51" s="148"/>
      <c r="C51" s="171" t="s">
        <v>249</v>
      </c>
      <c r="D51" s="175"/>
      <c r="E51" s="172" t="s">
        <v>259</v>
      </c>
      <c r="F51" s="172"/>
      <c r="G51" s="192"/>
      <c r="H51" s="167"/>
      <c r="I51" s="172" t="s">
        <v>260</v>
      </c>
      <c r="J51" s="172"/>
      <c r="K51" s="172"/>
      <c r="L51" s="167"/>
      <c r="M51" s="168" t="s">
        <v>75</v>
      </c>
      <c r="N51" s="167"/>
      <c r="O51" s="168" t="s">
        <v>75</v>
      </c>
      <c r="P51" s="167"/>
      <c r="Q51" s="170" t="s">
        <v>247</v>
      </c>
      <c r="R51" s="167"/>
      <c r="S51" s="171" t="s">
        <v>249</v>
      </c>
      <c r="T51" s="167"/>
      <c r="U51" s="174" t="s">
        <v>245</v>
      </c>
      <c r="V51" s="167"/>
      <c r="W51" s="45" t="s">
        <v>172</v>
      </c>
      <c r="X51" s="45"/>
    </row>
    <row r="52" spans="1:24" ht="12.75" customHeight="1" x14ac:dyDescent="0.2">
      <c r="A52" s="176" t="str">
        <f>A16</f>
        <v>Ending 9/30</v>
      </c>
      <c r="B52" s="148"/>
      <c r="C52" s="177" t="str">
        <f>C16</f>
        <v>10/31/18</v>
      </c>
      <c r="D52" s="175"/>
      <c r="E52" s="177" t="str">
        <f>E16</f>
        <v>10/31/18</v>
      </c>
      <c r="F52" s="178"/>
      <c r="G52" s="177" t="str">
        <f>G16</f>
        <v>4/30/19</v>
      </c>
      <c r="H52" s="178"/>
      <c r="I52" s="177" t="str">
        <f>I16</f>
        <v>10/31/18</v>
      </c>
      <c r="J52" s="178"/>
      <c r="K52" s="177" t="str">
        <f>K16</f>
        <v>4/30/19</v>
      </c>
      <c r="L52" s="167"/>
      <c r="M52" s="173" t="str">
        <f>M16</f>
        <v>10/18-4/19</v>
      </c>
      <c r="N52" s="167"/>
      <c r="O52" s="173" t="str">
        <f>O16</f>
        <v>10/18-4/19</v>
      </c>
      <c r="P52" s="167"/>
      <c r="Q52" s="208" t="s">
        <v>244</v>
      </c>
      <c r="R52" s="167"/>
      <c r="S52" s="179" t="str">
        <f>S16</f>
        <v>4/30/19</v>
      </c>
      <c r="T52" s="167"/>
      <c r="U52" s="180" t="s">
        <v>252</v>
      </c>
      <c r="V52" s="167"/>
      <c r="W52" s="108" t="s">
        <v>661</v>
      </c>
      <c r="X52" s="108" t="s">
        <v>664</v>
      </c>
    </row>
    <row r="53" spans="1:24" ht="12.75" customHeight="1" x14ac:dyDescent="0.2">
      <c r="A53" s="181"/>
      <c r="B53" s="148"/>
      <c r="C53" s="169" t="s">
        <v>253</v>
      </c>
      <c r="D53" s="175"/>
      <c r="E53" s="169" t="s">
        <v>254</v>
      </c>
      <c r="F53" s="167"/>
      <c r="G53" s="193" t="s">
        <v>255</v>
      </c>
      <c r="H53" s="167"/>
      <c r="I53" s="169" t="s">
        <v>256</v>
      </c>
      <c r="J53" s="167"/>
      <c r="K53" s="169" t="s">
        <v>257</v>
      </c>
      <c r="L53" s="167"/>
      <c r="M53" s="169" t="s">
        <v>232</v>
      </c>
      <c r="N53" s="167"/>
      <c r="O53" s="169" t="s">
        <v>233</v>
      </c>
      <c r="P53" s="167"/>
      <c r="Q53" s="169" t="s">
        <v>234</v>
      </c>
      <c r="R53" s="167"/>
      <c r="S53" s="169" t="s">
        <v>235</v>
      </c>
      <c r="T53" s="167"/>
      <c r="U53" s="169" t="s">
        <v>236</v>
      </c>
      <c r="V53" s="167"/>
    </row>
    <row r="54" spans="1:24" ht="12.75" customHeight="1" x14ac:dyDescent="0.2">
      <c r="A54" s="181"/>
      <c r="B54" s="148"/>
      <c r="C54" s="169"/>
      <c r="D54" s="175"/>
      <c r="E54" s="214"/>
      <c r="F54" s="167"/>
      <c r="G54" s="193"/>
      <c r="H54" s="167"/>
      <c r="I54" s="169"/>
      <c r="J54" s="167"/>
      <c r="K54" s="169"/>
      <c r="L54" s="167"/>
      <c r="M54" s="169"/>
      <c r="N54" s="167"/>
      <c r="O54" s="169"/>
      <c r="P54" s="167"/>
      <c r="Q54" s="169"/>
      <c r="R54" s="167"/>
      <c r="S54" s="167"/>
      <c r="T54" s="167"/>
      <c r="U54" s="169"/>
      <c r="V54" s="167"/>
    </row>
    <row r="55" spans="1:24" ht="12.75" customHeight="1" x14ac:dyDescent="0.2">
      <c r="A55" s="168">
        <f t="shared" ref="A55:A76" si="5">A19</f>
        <v>1996</v>
      </c>
      <c r="B55" s="148"/>
      <c r="C55" s="213">
        <f t="shared" ref="C55:C76" si="6">C19</f>
        <v>683326</v>
      </c>
      <c r="D55" s="175"/>
      <c r="E55" s="204">
        <v>683326</v>
      </c>
      <c r="F55" s="167"/>
      <c r="G55" s="207">
        <f>'e7'!K16</f>
        <v>683326</v>
      </c>
      <c r="H55" s="167"/>
      <c r="I55" s="185">
        <f>1 / [1]!ldfsir(prldfs, prldf_ages, prldf_type, prldf_ret, Intro!$Y18, "Paid", Intro!$H18, prldf_cutoff, 3)</f>
        <v>0.9916976350062694</v>
      </c>
      <c r="J55" s="167"/>
      <c r="K55" s="185">
        <f>1 / [1]!ldfsir(prldfs, prldf_ages, prldf_type, prldf_ret, Intro!$AA18, "Paid", Intro!$H18, prldf_cutoff, 3)</f>
        <v>0.9916976350062694</v>
      </c>
      <c r="L55" s="167"/>
      <c r="M55" s="649">
        <f>G55-E55</f>
        <v>0</v>
      </c>
      <c r="N55" s="183"/>
      <c r="O55" s="215">
        <f>IF(I55=1,0,((C55-E55)/(1-I55))*(K55-I55))</f>
        <v>0</v>
      </c>
      <c r="P55" s="183"/>
      <c r="Q55" s="215">
        <f>M55-O55</f>
        <v>0</v>
      </c>
      <c r="R55" s="167"/>
      <c r="S55" s="206">
        <f>S19</f>
        <v>683326</v>
      </c>
      <c r="T55" s="167"/>
      <c r="U55" s="215">
        <f>U19</f>
        <v>0</v>
      </c>
      <c r="V55" s="167"/>
      <c r="W55" s="1" t="b">
        <v>1</v>
      </c>
    </row>
    <row r="56" spans="1:24" ht="12.75" customHeight="1" x14ac:dyDescent="0.2">
      <c r="A56" s="168">
        <f t="shared" si="5"/>
        <v>1997</v>
      </c>
      <c r="B56" s="148"/>
      <c r="C56" s="212">
        <f t="shared" si="6"/>
        <v>1337604</v>
      </c>
      <c r="D56" s="175"/>
      <c r="E56" s="202">
        <v>1337604</v>
      </c>
      <c r="F56" s="167"/>
      <c r="G56" s="184">
        <f>'e7'!K17</f>
        <v>1337604</v>
      </c>
      <c r="H56" s="167"/>
      <c r="I56" s="185">
        <f>1 / [1]!ldfsir(prldfs, prldf_ages, prldf_type, prldf_ret, Intro!$Y19, "Paid", Intro!$H19, prldf_cutoff, 3)</f>
        <v>0.9901340916505933</v>
      </c>
      <c r="J56" s="167"/>
      <c r="K56" s="185">
        <f>1 / [1]!ldfsir(prldfs, prldf_ages, prldf_type, prldf_ret, Intro!$AA19, "Paid", Intro!$H19, prldf_cutoff, 3)</f>
        <v>0.9901340916505933</v>
      </c>
      <c r="L56" s="167"/>
      <c r="M56" s="211">
        <f>G56-E56</f>
        <v>0</v>
      </c>
      <c r="N56" s="183"/>
      <c r="O56" s="194">
        <f>IF(I56=1,0,((C56-E56)/(1-I56))*(K56-I56))</f>
        <v>0</v>
      </c>
      <c r="P56" s="183"/>
      <c r="Q56" s="194">
        <f>M56-O56</f>
        <v>0</v>
      </c>
      <c r="R56" s="167"/>
      <c r="S56" s="183">
        <f>S20</f>
        <v>1337604</v>
      </c>
      <c r="T56" s="167"/>
      <c r="U56" s="194">
        <f>U20</f>
        <v>0</v>
      </c>
      <c r="V56" s="167"/>
      <c r="W56" s="1" t="b">
        <v>1</v>
      </c>
    </row>
    <row r="57" spans="1:24" ht="12.75" customHeight="1" x14ac:dyDescent="0.2">
      <c r="A57" s="168">
        <f t="shared" si="5"/>
        <v>1998</v>
      </c>
      <c r="B57" s="148"/>
      <c r="C57" s="212">
        <f t="shared" si="6"/>
        <v>2603276.8798025614</v>
      </c>
      <c r="D57" s="175"/>
      <c r="E57" s="202">
        <v>2584955.17</v>
      </c>
      <c r="F57" s="167"/>
      <c r="G57" s="184">
        <f>'e7'!K18</f>
        <v>2584955.17</v>
      </c>
      <c r="H57" s="167"/>
      <c r="I57" s="185">
        <f>1 / [1]!ldfsir(prldfs, prldf_ages, prldf_type, prldf_ret, Intro!$Y20, "Paid", Intro!$H20, prldf_cutoff, 3)</f>
        <v>0.98827783850892748</v>
      </c>
      <c r="J57" s="167"/>
      <c r="K57" s="185">
        <f>1 / [1]!ldfsir(prldfs, prldf_ages, prldf_type, prldf_ret, Intro!$AA20, "Paid", Intro!$H20, prldf_cutoff, 3)</f>
        <v>0.98827783850892748</v>
      </c>
      <c r="L57" s="167"/>
      <c r="M57" s="211">
        <f t="shared" ref="M57:M78" si="7">G57-E57</f>
        <v>0</v>
      </c>
      <c r="N57" s="183"/>
      <c r="O57" s="194">
        <f t="shared" ref="O57:O78" si="8">IF(I57=1,0,((C57-E57)/(1-I57))*(K57-I57))</f>
        <v>0</v>
      </c>
      <c r="P57" s="183"/>
      <c r="Q57" s="194">
        <f t="shared" ref="Q57:Q78" si="9">M57-O57</f>
        <v>0</v>
      </c>
      <c r="R57" s="167"/>
      <c r="S57" s="183">
        <f t="shared" ref="S57:S78" si="10">S21</f>
        <v>2603276.8798025614</v>
      </c>
      <c r="T57" s="167"/>
      <c r="U57" s="194">
        <f t="shared" ref="U57:U78" si="11">U21</f>
        <v>0</v>
      </c>
      <c r="V57" s="167"/>
      <c r="W57" s="1" t="b">
        <v>1</v>
      </c>
    </row>
    <row r="58" spans="1:24" ht="12.75" customHeight="1" x14ac:dyDescent="0.2">
      <c r="A58" s="168">
        <f t="shared" si="5"/>
        <v>1999</v>
      </c>
      <c r="B58" s="167"/>
      <c r="C58" s="212">
        <f t="shared" si="6"/>
        <v>2650176.9452059255</v>
      </c>
      <c r="D58" s="184"/>
      <c r="E58" s="202">
        <v>2548851.29</v>
      </c>
      <c r="F58" s="183"/>
      <c r="G58" s="184">
        <f>'e7'!K19</f>
        <v>2548851.29</v>
      </c>
      <c r="H58" s="167"/>
      <c r="I58" s="185">
        <f>1 / [1]!ldfsir(prldfs, prldf_ages, prldf_type, prldf_ret, Intro!$Y21, "Paid", Intro!$H21, prldf_cutoff, 3)</f>
        <v>0.98607479783347818</v>
      </c>
      <c r="J58" s="167"/>
      <c r="K58" s="185">
        <f>1 / [1]!ldfsir(prldfs, prldf_ages, prldf_type, prldf_ret, Intro!$AA21, "Paid", Intro!$H21, prldf_cutoff, 3)</f>
        <v>0.98607479783347818</v>
      </c>
      <c r="L58" s="188"/>
      <c r="M58" s="211">
        <f t="shared" si="7"/>
        <v>0</v>
      </c>
      <c r="N58" s="183"/>
      <c r="O58" s="194">
        <f t="shared" si="8"/>
        <v>0</v>
      </c>
      <c r="P58" s="183"/>
      <c r="Q58" s="194">
        <f t="shared" si="9"/>
        <v>0</v>
      </c>
      <c r="R58" s="167"/>
      <c r="S58" s="183">
        <f t="shared" si="10"/>
        <v>2650176.9452059255</v>
      </c>
      <c r="T58" s="167"/>
      <c r="U58" s="194">
        <f t="shared" si="11"/>
        <v>0</v>
      </c>
      <c r="V58" s="167"/>
      <c r="W58" s="1" t="b">
        <v>1</v>
      </c>
    </row>
    <row r="59" spans="1:24" ht="12.75" customHeight="1" x14ac:dyDescent="0.2">
      <c r="A59" s="168">
        <f t="shared" si="5"/>
        <v>2000</v>
      </c>
      <c r="B59" s="167"/>
      <c r="C59" s="212">
        <f t="shared" si="6"/>
        <v>2398255.8306415239</v>
      </c>
      <c r="D59" s="184"/>
      <c r="E59" s="202">
        <v>2314287.94</v>
      </c>
      <c r="F59" s="183"/>
      <c r="G59" s="184">
        <f>'e7'!K20</f>
        <v>2314287.94</v>
      </c>
      <c r="H59" s="167"/>
      <c r="I59" s="185">
        <f>1 / [1]!ldfsir(prldfs, prldf_ages, prldf_type, prldf_ret, Intro!$Y22, "Paid", Intro!$H22, prldf_cutoff, 3)</f>
        <v>0.9834611985355749</v>
      </c>
      <c r="J59" s="167"/>
      <c r="K59" s="185">
        <f>1 / [1]!ldfsir(prldfs, prldf_ages, prldf_type, prldf_ret, Intro!$AA22, "Paid", Intro!$H22, prldf_cutoff, 3)</f>
        <v>0.9834611985355749</v>
      </c>
      <c r="L59" s="188"/>
      <c r="M59" s="211">
        <f t="shared" si="7"/>
        <v>0</v>
      </c>
      <c r="N59" s="183"/>
      <c r="O59" s="194">
        <f t="shared" si="8"/>
        <v>0</v>
      </c>
      <c r="P59" s="183"/>
      <c r="Q59" s="194">
        <f t="shared" si="9"/>
        <v>0</v>
      </c>
      <c r="R59" s="167"/>
      <c r="S59" s="183">
        <f t="shared" si="10"/>
        <v>2398255.8306415239</v>
      </c>
      <c r="T59" s="167"/>
      <c r="U59" s="194">
        <f t="shared" si="11"/>
        <v>0</v>
      </c>
      <c r="V59" s="167"/>
      <c r="W59" s="1" t="b">
        <v>1</v>
      </c>
    </row>
    <row r="60" spans="1:24" ht="12.75" customHeight="1" x14ac:dyDescent="0.2">
      <c r="A60" s="168">
        <f t="shared" si="5"/>
        <v>2001</v>
      </c>
      <c r="B60" s="167"/>
      <c r="C60" s="212">
        <f t="shared" si="6"/>
        <v>1349446.97</v>
      </c>
      <c r="D60" s="184"/>
      <c r="E60" s="202">
        <v>1349346.97</v>
      </c>
      <c r="F60" s="183"/>
      <c r="G60" s="184">
        <f>'e7'!K21</f>
        <v>1349346.97</v>
      </c>
      <c r="H60" s="167"/>
      <c r="I60" s="185">
        <f>1 / [1]!ldfsir(prldfs, prldf_ages, prldf_type, prldf_ret, Intro!$Y23, "Paid", Intro!$H23, prldf_cutoff, 3)</f>
        <v>0.98036196202753123</v>
      </c>
      <c r="J60" s="167"/>
      <c r="K60" s="185">
        <f>1 / [1]!ldfsir(prldfs, prldf_ages, prldf_type, prldf_ret, Intro!$AA23, "Paid", Intro!$H23, prldf_cutoff, 3)</f>
        <v>0.98036196202753123</v>
      </c>
      <c r="L60" s="188"/>
      <c r="M60" s="211">
        <f t="shared" si="7"/>
        <v>0</v>
      </c>
      <c r="N60" s="183"/>
      <c r="O60" s="194">
        <f t="shared" si="8"/>
        <v>0</v>
      </c>
      <c r="P60" s="183"/>
      <c r="Q60" s="194">
        <f t="shared" si="9"/>
        <v>0</v>
      </c>
      <c r="R60" s="167"/>
      <c r="S60" s="183">
        <f t="shared" si="10"/>
        <v>1349446.97</v>
      </c>
      <c r="T60" s="167"/>
      <c r="U60" s="194">
        <f t="shared" si="11"/>
        <v>0</v>
      </c>
      <c r="V60" s="167"/>
      <c r="W60" s="1" t="b">
        <v>1</v>
      </c>
    </row>
    <row r="61" spans="1:24" ht="12.75" customHeight="1" x14ac:dyDescent="0.2">
      <c r="A61" s="168">
        <f t="shared" si="5"/>
        <v>2002</v>
      </c>
      <c r="B61" s="167"/>
      <c r="C61" s="212">
        <f t="shared" si="6"/>
        <v>3036578.8122747019</v>
      </c>
      <c r="D61" s="184"/>
      <c r="E61" s="202">
        <v>2761132.9899999998</v>
      </c>
      <c r="F61" s="183"/>
      <c r="G61" s="184">
        <f>'e7'!K22</f>
        <v>2761132.9899999998</v>
      </c>
      <c r="H61" s="167"/>
      <c r="I61" s="185">
        <f>1 / [1]!ldfsir(prldfs, prldf_ages, prldf_type, prldf_ret, Intro!$Y24, "Paid", Intro!$H24, prldf_cutoff, 3)</f>
        <v>0.97668887123333192</v>
      </c>
      <c r="J61" s="167"/>
      <c r="K61" s="185">
        <f>1 / [1]!ldfsir(prldfs, prldf_ages, prldf_type, prldf_ret, Intro!$AA24, "Paid", Intro!$H24, prldf_cutoff, 3)</f>
        <v>0.97668887123333192</v>
      </c>
      <c r="L61" s="188"/>
      <c r="M61" s="211">
        <f t="shared" si="7"/>
        <v>0</v>
      </c>
      <c r="N61" s="183"/>
      <c r="O61" s="194">
        <f t="shared" si="8"/>
        <v>0</v>
      </c>
      <c r="P61" s="183"/>
      <c r="Q61" s="194">
        <f t="shared" si="9"/>
        <v>0</v>
      </c>
      <c r="R61" s="167"/>
      <c r="S61" s="183">
        <f t="shared" si="10"/>
        <v>3036578.8122747019</v>
      </c>
      <c r="T61" s="167"/>
      <c r="U61" s="194">
        <f t="shared" si="11"/>
        <v>0</v>
      </c>
      <c r="V61" s="167"/>
      <c r="W61" s="1" t="b">
        <v>1</v>
      </c>
    </row>
    <row r="62" spans="1:24" ht="12.75" customHeight="1" x14ac:dyDescent="0.2">
      <c r="A62" s="168">
        <f t="shared" si="5"/>
        <v>2003</v>
      </c>
      <c r="B62" s="167"/>
      <c r="C62" s="212">
        <f t="shared" si="6"/>
        <v>1243025.0200000005</v>
      </c>
      <c r="D62" s="184"/>
      <c r="E62" s="202">
        <v>1243025.0200000005</v>
      </c>
      <c r="F62" s="183"/>
      <c r="G62" s="184">
        <f>'e7'!K23</f>
        <v>1243025.0200000005</v>
      </c>
      <c r="H62" s="167"/>
      <c r="I62" s="185">
        <f>1 / [1]!ldfsir(prldfs, prldf_ages, prldf_type, prldf_ret, Intro!$Y25, "Paid", Intro!$H25, prldf_cutoff, 3)</f>
        <v>0.97950125124275012</v>
      </c>
      <c r="J62" s="167"/>
      <c r="K62" s="185">
        <f>1 / [1]!ldfsir(prldfs, prldf_ages, prldf_type, prldf_ret, Intro!$AA25, "Paid", Intro!$H25, prldf_cutoff, 3)</f>
        <v>0.98118688096014983</v>
      </c>
      <c r="L62" s="188"/>
      <c r="M62" s="211">
        <f t="shared" si="7"/>
        <v>0</v>
      </c>
      <c r="N62" s="183"/>
      <c r="O62" s="194">
        <f t="shared" si="8"/>
        <v>0</v>
      </c>
      <c r="P62" s="183"/>
      <c r="Q62" s="194">
        <f t="shared" si="9"/>
        <v>0</v>
      </c>
      <c r="R62" s="167"/>
      <c r="S62" s="183">
        <f t="shared" ca="1" si="10"/>
        <v>1243025.0200000005</v>
      </c>
      <c r="T62" s="167"/>
      <c r="U62" s="194">
        <f t="shared" ca="1" si="11"/>
        <v>0</v>
      </c>
      <c r="V62" s="167"/>
      <c r="W62" s="1" t="b">
        <v>1</v>
      </c>
      <c r="X62" s="487" t="b">
        <v>1</v>
      </c>
    </row>
    <row r="63" spans="1:24" ht="12.75" customHeight="1" x14ac:dyDescent="0.2">
      <c r="A63" s="168">
        <f t="shared" si="5"/>
        <v>2004</v>
      </c>
      <c r="B63" s="167"/>
      <c r="C63" s="212">
        <f t="shared" si="6"/>
        <v>2431974.7728585149</v>
      </c>
      <c r="D63" s="184"/>
      <c r="E63" s="202">
        <v>2351823.8399999994</v>
      </c>
      <c r="F63" s="183"/>
      <c r="G63" s="184">
        <f>'e7'!K24</f>
        <v>2359249.2899999996</v>
      </c>
      <c r="H63" s="167"/>
      <c r="I63" s="185">
        <f>1 / [1]!ldfsir(prldfs, prldf_ages, prldf_type, prldf_ret, Intro!$Y26, "Paid", Intro!$H26, prldf_cutoff, 3)</f>
        <v>0.96486546671970053</v>
      </c>
      <c r="J63" s="167"/>
      <c r="K63" s="185">
        <f>1 / [1]!ldfsir(prldfs, prldf_ages, prldf_type, prldf_ret, Intro!$AA26, "Paid", Intro!$H26, prldf_cutoff, 3)</f>
        <v>0.96732363078207662</v>
      </c>
      <c r="L63" s="188"/>
      <c r="M63" s="211">
        <f t="shared" si="7"/>
        <v>7425.4500000001863</v>
      </c>
      <c r="N63" s="183"/>
      <c r="O63" s="194">
        <f t="shared" si="8"/>
        <v>5607.7062742483186</v>
      </c>
      <c r="P63" s="183"/>
      <c r="Q63" s="194">
        <f t="shared" si="9"/>
        <v>1817.7437257518677</v>
      </c>
      <c r="R63" s="167"/>
      <c r="S63" s="183">
        <f t="shared" ca="1" si="10"/>
        <v>2426504.272478655</v>
      </c>
      <c r="T63" s="167"/>
      <c r="U63" s="194">
        <f t="shared" ca="1" si="11"/>
        <v>-5470.5003798599355</v>
      </c>
      <c r="V63" s="167"/>
      <c r="W63" s="1" t="b">
        <v>1</v>
      </c>
      <c r="X63" s="487" t="b">
        <v>1</v>
      </c>
    </row>
    <row r="64" spans="1:24" ht="12.75" customHeight="1" x14ac:dyDescent="0.2">
      <c r="A64" s="168">
        <f t="shared" si="5"/>
        <v>2005</v>
      </c>
      <c r="B64" s="167"/>
      <c r="C64" s="212">
        <f t="shared" si="6"/>
        <v>699839.89000000025</v>
      </c>
      <c r="D64" s="175"/>
      <c r="E64" s="202">
        <v>699839.89000000025</v>
      </c>
      <c r="F64" s="183"/>
      <c r="G64" s="184">
        <f>'e7'!K25</f>
        <v>699839.89000000025</v>
      </c>
      <c r="H64" s="167"/>
      <c r="I64" s="185">
        <f>1 / [1]!ldfsir(prldfs, prldf_ages, prldf_type, prldf_ret, Intro!$Y27, "Paid", Intro!$H27, prldf_cutoff, 3)</f>
        <v>0.95917615905558584</v>
      </c>
      <c r="J64" s="167"/>
      <c r="K64" s="185">
        <f>1 / [1]!ldfsir(prldfs, prldf_ages, prldf_type, prldf_ret, Intro!$AA27, "Paid", Intro!$H27, prldf_cutoff, 3)</f>
        <v>0.96213454157680445</v>
      </c>
      <c r="L64" s="188"/>
      <c r="M64" s="211">
        <f t="shared" si="7"/>
        <v>0</v>
      </c>
      <c r="N64" s="183"/>
      <c r="O64" s="194">
        <f t="shared" si="8"/>
        <v>0</v>
      </c>
      <c r="P64" s="183"/>
      <c r="Q64" s="194">
        <f t="shared" si="9"/>
        <v>0</v>
      </c>
      <c r="R64" s="167"/>
      <c r="S64" s="183">
        <f t="shared" ca="1" si="10"/>
        <v>699839.89000000025</v>
      </c>
      <c r="T64" s="167"/>
      <c r="U64" s="194">
        <f t="shared" ca="1" si="11"/>
        <v>0</v>
      </c>
      <c r="V64" s="167"/>
      <c r="W64" s="1" t="b">
        <v>1</v>
      </c>
      <c r="X64" s="487" t="b">
        <v>1</v>
      </c>
    </row>
    <row r="65" spans="1:24" ht="12.75" customHeight="1" x14ac:dyDescent="0.2">
      <c r="A65" s="168">
        <f t="shared" si="5"/>
        <v>2006</v>
      </c>
      <c r="B65" s="167"/>
      <c r="C65" s="212">
        <f t="shared" si="6"/>
        <v>2005481.3700000008</v>
      </c>
      <c r="D65" s="184"/>
      <c r="E65" s="202">
        <v>2005481.3700000008</v>
      </c>
      <c r="F65" s="183"/>
      <c r="G65" s="184">
        <f>'e7'!K26</f>
        <v>2005481.3700000008</v>
      </c>
      <c r="H65" s="167"/>
      <c r="I65" s="185">
        <f>1 / [1]!ldfsir(prldfs, prldf_ages, prldf_type, prldf_ret, Intro!$Y28, "Paid", Intro!$H28, prldf_cutoff, 3)</f>
        <v>0.95273283769317396</v>
      </c>
      <c r="J65" s="167"/>
      <c r="K65" s="185">
        <f>1 / [1]!ldfsir(prldfs, prldf_ages, prldf_type, prldf_ret, Intro!$AA28, "Paid", Intro!$H28, prldf_cutoff, 3)</f>
        <v>0.956062682908845</v>
      </c>
      <c r="L65" s="188"/>
      <c r="M65" s="211">
        <f t="shared" si="7"/>
        <v>0</v>
      </c>
      <c r="N65" s="183"/>
      <c r="O65" s="194">
        <f t="shared" si="8"/>
        <v>0</v>
      </c>
      <c r="P65" s="183"/>
      <c r="Q65" s="194">
        <f t="shared" si="9"/>
        <v>0</v>
      </c>
      <c r="R65" s="167"/>
      <c r="S65" s="183">
        <f t="shared" ca="1" si="10"/>
        <v>2005481.3700000008</v>
      </c>
      <c r="T65" s="167"/>
      <c r="U65" s="194">
        <f t="shared" ca="1" si="11"/>
        <v>0</v>
      </c>
      <c r="V65" s="167"/>
      <c r="W65" s="1" t="b">
        <v>1</v>
      </c>
      <c r="X65" s="487" t="b">
        <v>1</v>
      </c>
    </row>
    <row r="66" spans="1:24" ht="12.75" customHeight="1" x14ac:dyDescent="0.2">
      <c r="A66" s="168">
        <f t="shared" si="5"/>
        <v>2007</v>
      </c>
      <c r="B66" s="167"/>
      <c r="C66" s="212">
        <f t="shared" si="6"/>
        <v>1099670.4199999997</v>
      </c>
      <c r="D66" s="184"/>
      <c r="E66" s="202">
        <v>1099670.4199999997</v>
      </c>
      <c r="F66" s="183"/>
      <c r="G66" s="184">
        <f>'e7'!K27</f>
        <v>1099670.4199999997</v>
      </c>
      <c r="H66" s="167"/>
      <c r="I66" s="185">
        <f>1 / [1]!ldfsir(prldfs, prldf_ages, prldf_type, prldf_ret, Intro!$Y29, "Paid", Intro!$H29, prldf_cutoff, 3)</f>
        <v>0.94561839854417928</v>
      </c>
      <c r="J66" s="167"/>
      <c r="K66" s="185">
        <f>1 / [1]!ldfsir(prldfs, prldf_ages, prldf_type, prldf_ret, Intro!$AA29, "Paid", Intro!$H29, prldf_cutoff, 3)</f>
        <v>0.9492842337023597</v>
      </c>
      <c r="L66" s="188"/>
      <c r="M66" s="211">
        <f t="shared" si="7"/>
        <v>0</v>
      </c>
      <c r="N66" s="183"/>
      <c r="O66" s="194">
        <f t="shared" si="8"/>
        <v>0</v>
      </c>
      <c r="P66" s="183"/>
      <c r="Q66" s="194">
        <f t="shared" si="9"/>
        <v>0</v>
      </c>
      <c r="R66" s="167"/>
      <c r="S66" s="183">
        <f t="shared" ca="1" si="10"/>
        <v>1099670.4199999997</v>
      </c>
      <c r="T66" s="167"/>
      <c r="U66" s="194">
        <f t="shared" ca="1" si="11"/>
        <v>0</v>
      </c>
      <c r="V66" s="167"/>
      <c r="W66" s="1" t="b">
        <v>1</v>
      </c>
      <c r="X66" s="487" t="b">
        <v>1</v>
      </c>
    </row>
    <row r="67" spans="1:24" ht="12.75" customHeight="1" x14ac:dyDescent="0.2">
      <c r="A67" s="168">
        <f t="shared" si="5"/>
        <v>2008</v>
      </c>
      <c r="B67" s="167"/>
      <c r="C67" s="212">
        <f t="shared" si="6"/>
        <v>766269.99000000011</v>
      </c>
      <c r="D67" s="184"/>
      <c r="E67" s="202">
        <v>766269.99000000011</v>
      </c>
      <c r="F67" s="183"/>
      <c r="G67" s="184">
        <f>'e7'!K28</f>
        <v>766269.99000000011</v>
      </c>
      <c r="H67" s="167"/>
      <c r="I67" s="185">
        <f>1 / [1]!ldfsir(prldfs, prldf_ages, prldf_type, prldf_ret, Intro!$Y30, "Paid", Intro!$H30, prldf_cutoff, 3)</f>
        <v>0.91943454950797598</v>
      </c>
      <c r="J67" s="167"/>
      <c r="K67" s="185">
        <f>1 / [1]!ldfsir(prldfs, prldf_ages, prldf_type, prldf_ret, Intro!$AA30, "Paid", Intro!$H30, prldf_cutoff, 3)</f>
        <v>0.92404631737664178</v>
      </c>
      <c r="L67" s="188"/>
      <c r="M67" s="211">
        <f t="shared" si="7"/>
        <v>0</v>
      </c>
      <c r="N67" s="183"/>
      <c r="O67" s="194">
        <f t="shared" si="8"/>
        <v>0</v>
      </c>
      <c r="P67" s="183"/>
      <c r="Q67" s="194">
        <f t="shared" si="9"/>
        <v>0</v>
      </c>
      <c r="R67" s="167"/>
      <c r="S67" s="183">
        <f t="shared" ca="1" si="10"/>
        <v>766269.99000000011</v>
      </c>
      <c r="T67" s="167"/>
      <c r="U67" s="194">
        <f t="shared" ca="1" si="11"/>
        <v>0</v>
      </c>
      <c r="V67" s="167"/>
      <c r="W67" s="1" t="b">
        <v>1</v>
      </c>
      <c r="X67" s="487" t="b">
        <v>1</v>
      </c>
    </row>
    <row r="68" spans="1:24" ht="12.75" customHeight="1" x14ac:dyDescent="0.2">
      <c r="A68" s="168">
        <f t="shared" si="5"/>
        <v>2009</v>
      </c>
      <c r="B68" s="167"/>
      <c r="C68" s="212">
        <f t="shared" si="6"/>
        <v>1965499.3844942674</v>
      </c>
      <c r="D68" s="184"/>
      <c r="E68" s="202">
        <v>1713135.0100000005</v>
      </c>
      <c r="F68" s="183"/>
      <c r="G68" s="184">
        <f>'e7'!K29</f>
        <v>1764381.6700000004</v>
      </c>
      <c r="H68" s="167"/>
      <c r="I68" s="185">
        <f>1 / [1]!ldfsir(prldfs, prldf_ages, prldf_type, prldf_ret, Intro!$Y31, "Paid", Intro!$H31, prldf_cutoff, 3)</f>
        <v>0.90883431974222584</v>
      </c>
      <c r="J68" s="167"/>
      <c r="K68" s="185">
        <f>1 / [1]!ldfsir(prldfs, prldf_ages, prldf_type, prldf_ret, Intro!$AA31, "Paid", Intro!$H31, prldf_cutoff, 3)</f>
        <v>0.91431455057411237</v>
      </c>
      <c r="L68" s="188"/>
      <c r="M68" s="211">
        <f t="shared" si="7"/>
        <v>51246.659999999916</v>
      </c>
      <c r="N68" s="183"/>
      <c r="O68" s="194">
        <f t="shared" si="8"/>
        <v>15170.347241009094</v>
      </c>
      <c r="P68" s="183"/>
      <c r="Q68" s="194">
        <f t="shared" si="9"/>
        <v>36076.312758990825</v>
      </c>
      <c r="R68" s="167"/>
      <c r="S68" s="183">
        <f t="shared" ca="1" si="10"/>
        <v>1965664.0366146131</v>
      </c>
      <c r="T68" s="167"/>
      <c r="U68" s="194">
        <f t="shared" ca="1" si="11"/>
        <v>164.65212034573779</v>
      </c>
      <c r="V68" s="167"/>
      <c r="W68" s="1" t="b">
        <v>1</v>
      </c>
      <c r="X68" s="487" t="b">
        <v>1</v>
      </c>
    </row>
    <row r="69" spans="1:24" ht="12.75" customHeight="1" x14ac:dyDescent="0.2">
      <c r="A69" s="168">
        <f t="shared" si="5"/>
        <v>2010</v>
      </c>
      <c r="B69" s="167"/>
      <c r="C69" s="212">
        <f t="shared" si="6"/>
        <v>1207742.3321619411</v>
      </c>
      <c r="D69" s="184"/>
      <c r="E69" s="202">
        <v>1182322.2200000002</v>
      </c>
      <c r="F69" s="183"/>
      <c r="G69" s="184">
        <f>'e7'!K30</f>
        <v>1183179.1900000002</v>
      </c>
      <c r="H69" s="167"/>
      <c r="I69" s="185">
        <f>1 / [1]!ldfsir(prldfs, prldf_ages, prldf_type, prldf_ret, Intro!$Y32, "Paid", Intro!$H32, prldf_cutoff, 3)</f>
        <v>0.8967319097785087</v>
      </c>
      <c r="J69" s="167"/>
      <c r="K69" s="185">
        <f>1 / [1]!ldfsir(prldfs, prldf_ages, prldf_type, prldf_ret, Intro!$AA32, "Paid", Intro!$H32, prldf_cutoff, 3)</f>
        <v>0.90296688719495199</v>
      </c>
      <c r="L69" s="188"/>
      <c r="M69" s="211">
        <f t="shared" si="7"/>
        <v>856.96999999997206</v>
      </c>
      <c r="N69" s="183"/>
      <c r="O69" s="194">
        <f t="shared" si="8"/>
        <v>1534.7802492833619</v>
      </c>
      <c r="P69" s="183"/>
      <c r="Q69" s="194">
        <f t="shared" si="9"/>
        <v>-677.81024928338979</v>
      </c>
      <c r="R69" s="167"/>
      <c r="S69" s="183">
        <f t="shared" si="10"/>
        <v>1200315.5200000003</v>
      </c>
      <c r="T69" s="167"/>
      <c r="U69" s="194">
        <f t="shared" si="11"/>
        <v>-7426.8121619408485</v>
      </c>
      <c r="V69" s="167"/>
      <c r="W69" s="1" t="b">
        <v>1</v>
      </c>
      <c r="X69" s="487" t="b">
        <v>1</v>
      </c>
    </row>
    <row r="70" spans="1:24" ht="12.75" customHeight="1" x14ac:dyDescent="0.2">
      <c r="A70" s="168">
        <f t="shared" si="5"/>
        <v>2011</v>
      </c>
      <c r="B70" s="167"/>
      <c r="C70" s="212">
        <f t="shared" si="6"/>
        <v>1212815.81</v>
      </c>
      <c r="D70" s="184"/>
      <c r="E70" s="202">
        <v>1212815.81</v>
      </c>
      <c r="F70" s="183"/>
      <c r="G70" s="184">
        <f>'e7'!K31</f>
        <v>1212882.8100000003</v>
      </c>
      <c r="H70" s="167"/>
      <c r="I70" s="185">
        <f>1 / [1]!ldfsir(prldfs, prldf_ages, prldf_type, prldf_ret, Intro!$Y33, "Paid", Intro!$H33, prldf_cutoff, 3)</f>
        <v>0.88229318139346236</v>
      </c>
      <c r="J70" s="167"/>
      <c r="K70" s="185">
        <f>1 / [1]!ldfsir(prldfs, prldf_ages, prldf_type, prldf_ret, Intro!$AA33, "Paid", Intro!$H33, prldf_cutoff, 3)</f>
        <v>0.88976901673693964</v>
      </c>
      <c r="L70" s="188"/>
      <c r="M70" s="211">
        <f t="shared" si="7"/>
        <v>67.000000000232831</v>
      </c>
      <c r="N70" s="183"/>
      <c r="O70" s="194">
        <f t="shared" si="8"/>
        <v>0</v>
      </c>
      <c r="P70" s="183"/>
      <c r="Q70" s="194">
        <f t="shared" si="9"/>
        <v>67.000000000232831</v>
      </c>
      <c r="R70" s="167"/>
      <c r="S70" s="183">
        <f t="shared" ca="1" si="10"/>
        <v>1212882.8100000003</v>
      </c>
      <c r="T70" s="167"/>
      <c r="U70" s="194">
        <f t="shared" ca="1" si="11"/>
        <v>67.000000000232831</v>
      </c>
      <c r="V70" s="167"/>
      <c r="W70" s="1" t="b">
        <v>1</v>
      </c>
      <c r="X70" s="487" t="b">
        <v>1</v>
      </c>
    </row>
    <row r="71" spans="1:24" ht="12.75" customHeight="1" x14ac:dyDescent="0.2">
      <c r="A71" s="168">
        <f t="shared" si="5"/>
        <v>2012</v>
      </c>
      <c r="B71" s="167"/>
      <c r="C71" s="212">
        <f t="shared" si="6"/>
        <v>1975697.1394949416</v>
      </c>
      <c r="D71" s="184"/>
      <c r="E71" s="202">
        <v>1900189.83</v>
      </c>
      <c r="F71" s="183"/>
      <c r="G71" s="184">
        <f>'e7'!K32</f>
        <v>1925803.2599999993</v>
      </c>
      <c r="H71" s="167"/>
      <c r="I71" s="185">
        <f>1 / [1]!ldfsir(prldfs, prldf_ages, prldf_type, prldf_ret, Intro!$Y34, "Paid", Intro!$H34, prldf_cutoff, 3)</f>
        <v>0.86403892341914834</v>
      </c>
      <c r="J71" s="167"/>
      <c r="K71" s="185">
        <f>1 / [1]!ldfsir(prldfs, prldf_ages, prldf_type, prldf_ret, Intro!$AA34, "Paid", Intro!$H34, prldf_cutoff, 3)</f>
        <v>0.87355043655376674</v>
      </c>
      <c r="L71" s="188"/>
      <c r="M71" s="211">
        <f t="shared" si="7"/>
        <v>25613.429999999236</v>
      </c>
      <c r="N71" s="183"/>
      <c r="O71" s="194">
        <f t="shared" si="8"/>
        <v>5282.3115562324119</v>
      </c>
      <c r="P71" s="183"/>
      <c r="Q71" s="194">
        <f t="shared" si="9"/>
        <v>20331.118443766823</v>
      </c>
      <c r="R71" s="167"/>
      <c r="S71" s="183">
        <f t="shared" ca="1" si="10"/>
        <v>1961844.1484409242</v>
      </c>
      <c r="T71" s="167"/>
      <c r="U71" s="194">
        <f t="shared" ca="1" si="11"/>
        <v>-13852.99105401733</v>
      </c>
      <c r="V71" s="167"/>
      <c r="W71" s="1" t="b">
        <v>1</v>
      </c>
      <c r="X71" s="487" t="b">
        <v>1</v>
      </c>
    </row>
    <row r="72" spans="1:24" ht="12.75" customHeight="1" x14ac:dyDescent="0.2">
      <c r="A72" s="168">
        <f t="shared" si="5"/>
        <v>2013</v>
      </c>
      <c r="B72" s="167"/>
      <c r="C72" s="212">
        <f t="shared" si="6"/>
        <v>2177334.3199999994</v>
      </c>
      <c r="D72" s="184"/>
      <c r="E72" s="202">
        <v>2058441.4999999995</v>
      </c>
      <c r="F72" s="183"/>
      <c r="G72" s="184">
        <f>'e7'!K33</f>
        <v>2061366.5999999999</v>
      </c>
      <c r="H72" s="167"/>
      <c r="I72" s="185">
        <f>1 / [1]!ldfsir(prldfs, prldf_ages, prldf_type, prldf_ret, Intro!$Y35, "Paid", Intro!$H35, prldf_cutoff, 3)</f>
        <v>0.84026028708083822</v>
      </c>
      <c r="J72" s="167"/>
      <c r="K72" s="185">
        <f>1 / [1]!ldfsir(prldfs, prldf_ages, prldf_type, prldf_ret, Intro!$AA35, "Paid", Intro!$H35, prldf_cutoff, 3)</f>
        <v>0.85270339755414037</v>
      </c>
      <c r="L72" s="188"/>
      <c r="M72" s="211">
        <f t="shared" si="7"/>
        <v>2925.100000000326</v>
      </c>
      <c r="N72" s="183"/>
      <c r="O72" s="194">
        <f t="shared" si="8"/>
        <v>9261.2943062636659</v>
      </c>
      <c r="P72" s="183"/>
      <c r="Q72" s="194">
        <f t="shared" si="9"/>
        <v>-6336.19430626334</v>
      </c>
      <c r="R72" s="167"/>
      <c r="S72" s="183">
        <f t="shared" ca="1" si="10"/>
        <v>2180039.3351955777</v>
      </c>
      <c r="T72" s="167"/>
      <c r="U72" s="194">
        <f t="shared" ca="1" si="11"/>
        <v>2705.0151955783367</v>
      </c>
      <c r="V72" s="167"/>
      <c r="W72" s="1" t="b">
        <v>1</v>
      </c>
      <c r="X72" s="487" t="b">
        <v>1</v>
      </c>
    </row>
    <row r="73" spans="1:24" ht="12.75" customHeight="1" x14ac:dyDescent="0.2">
      <c r="A73" s="168">
        <f t="shared" si="5"/>
        <v>2014</v>
      </c>
      <c r="B73" s="167"/>
      <c r="C73" s="212">
        <f t="shared" si="6"/>
        <v>2342329.11</v>
      </c>
      <c r="D73" s="184"/>
      <c r="E73" s="202">
        <v>2342329.11</v>
      </c>
      <c r="F73" s="183"/>
      <c r="G73" s="184">
        <f>'e7'!K34</f>
        <v>2342502.8100000005</v>
      </c>
      <c r="H73" s="167"/>
      <c r="I73" s="185">
        <f>1 / [1]!ldfsir(prldfs, prldf_ages, prldf_type, prldf_ret, Intro!$Y36, "Paid", Intro!$H36, prldf_cutoff, 3)</f>
        <v>0.81015483913524322</v>
      </c>
      <c r="J73" s="167"/>
      <c r="K73" s="185">
        <f>1 / [1]!ldfsir(prldfs, prldf_ages, prldf_type, prldf_ret, Intro!$AA36, "Paid", Intro!$H36, prldf_cutoff, 3)</f>
        <v>0.82588559096119318</v>
      </c>
      <c r="L73" s="188"/>
      <c r="M73" s="211">
        <f t="shared" si="7"/>
        <v>173.70000000065193</v>
      </c>
      <c r="N73" s="183"/>
      <c r="O73" s="194">
        <f t="shared" si="8"/>
        <v>0</v>
      </c>
      <c r="P73" s="183"/>
      <c r="Q73" s="194">
        <f t="shared" si="9"/>
        <v>173.70000000065193</v>
      </c>
      <c r="R73" s="167"/>
      <c r="S73" s="183">
        <f t="shared" ca="1" si="10"/>
        <v>2342502.8100000005</v>
      </c>
      <c r="T73" s="167"/>
      <c r="U73" s="194">
        <f t="shared" ca="1" si="11"/>
        <v>173.70000000065193</v>
      </c>
      <c r="V73" s="167"/>
      <c r="W73" s="1" t="b">
        <v>1</v>
      </c>
      <c r="X73" s="487" t="b">
        <v>1</v>
      </c>
    </row>
    <row r="74" spans="1:24" ht="12.75" customHeight="1" x14ac:dyDescent="0.2">
      <c r="A74" s="168">
        <f t="shared" si="5"/>
        <v>2015</v>
      </c>
      <c r="B74" s="167"/>
      <c r="C74" s="212">
        <f t="shared" si="6"/>
        <v>3668986.9450358944</v>
      </c>
      <c r="D74" s="184"/>
      <c r="E74" s="202">
        <v>2759688.9699999993</v>
      </c>
      <c r="F74" s="183"/>
      <c r="G74" s="184">
        <f>'e7'!K35</f>
        <v>2810502.1600000011</v>
      </c>
      <c r="H74" s="167"/>
      <c r="I74" s="185">
        <f>1 / [1]!ldfsir(prldfs, prldf_ages, prldf_type, prldf_ret, Intro!$Y37, "Paid", Intro!$H37, prldf_cutoff, 3)</f>
        <v>0.76162988552796529</v>
      </c>
      <c r="J74" s="167"/>
      <c r="K74" s="185">
        <f>1 / [1]!ldfsir(prldfs, prldf_ages, prldf_type, prldf_ret, Intro!$AA37, "Paid", Intro!$H37, prldf_cutoff, 3)</f>
        <v>0.78763926544225582</v>
      </c>
      <c r="L74" s="188"/>
      <c r="M74" s="211">
        <f t="shared" si="7"/>
        <v>50813.190000001807</v>
      </c>
      <c r="N74" s="183"/>
      <c r="O74" s="194">
        <f t="shared" si="8"/>
        <v>99216.617571320094</v>
      </c>
      <c r="P74" s="183"/>
      <c r="Q74" s="194">
        <f t="shared" si="9"/>
        <v>-48403.427571318287</v>
      </c>
      <c r="R74" s="167"/>
      <c r="S74" s="183">
        <f t="shared" ca="1" si="10"/>
        <v>3581039.2926820084</v>
      </c>
      <c r="T74" s="167"/>
      <c r="U74" s="194">
        <f t="shared" ca="1" si="11"/>
        <v>-87947.652353886049</v>
      </c>
      <c r="V74" s="167"/>
      <c r="W74" s="1" t="b">
        <v>1</v>
      </c>
      <c r="X74" s="487" t="b">
        <v>1</v>
      </c>
    </row>
    <row r="75" spans="1:24" ht="12.75" customHeight="1" x14ac:dyDescent="0.2">
      <c r="A75" s="168">
        <f t="shared" si="5"/>
        <v>2016</v>
      </c>
      <c r="B75" s="167"/>
      <c r="C75" s="212">
        <f t="shared" si="6"/>
        <v>3005729.7628304977</v>
      </c>
      <c r="D75" s="184"/>
      <c r="E75" s="202">
        <v>2246189.3800000018</v>
      </c>
      <c r="F75" s="183"/>
      <c r="G75" s="184">
        <f>'e7'!K36</f>
        <v>2449912.0500000017</v>
      </c>
      <c r="H75" s="167"/>
      <c r="I75" s="185">
        <f>1 / [1]!ldfsir(prldfs, prldf_ages, prldf_type, prldf_ret, Intro!$Y38, "Paid", Intro!$H38, prldf_cutoff, 3)</f>
        <v>0.68200032252145615</v>
      </c>
      <c r="J75" s="167"/>
      <c r="K75" s="185">
        <f>1 / [1]!ldfsir(prldfs, prldf_ages, prldf_type, prldf_ret, Intro!$AA38, "Paid", Intro!$H38, prldf_cutoff, 3)</f>
        <v>0.72058237020538229</v>
      </c>
      <c r="L75" s="188"/>
      <c r="M75" s="211">
        <f t="shared" si="7"/>
        <v>203722.66999999993</v>
      </c>
      <c r="N75" s="183"/>
      <c r="O75" s="194">
        <f t="shared" si="8"/>
        <v>92152.996822491943</v>
      </c>
      <c r="P75" s="183"/>
      <c r="Q75" s="194">
        <f t="shared" si="9"/>
        <v>111569.67317750798</v>
      </c>
      <c r="R75" s="167"/>
      <c r="S75" s="183">
        <f t="shared" ca="1" si="10"/>
        <v>3097471.5187295564</v>
      </c>
      <c r="T75" s="167"/>
      <c r="U75" s="194">
        <f t="shared" ca="1" si="11"/>
        <v>91741.755899058655</v>
      </c>
      <c r="V75" s="167"/>
      <c r="W75" s="1" t="b">
        <v>1</v>
      </c>
      <c r="X75" s="487" t="b">
        <v>1</v>
      </c>
    </row>
    <row r="76" spans="1:24" ht="12.75" customHeight="1" x14ac:dyDescent="0.2">
      <c r="A76" s="168">
        <f t="shared" si="5"/>
        <v>2017</v>
      </c>
      <c r="B76" s="167"/>
      <c r="C76" s="212">
        <f t="shared" si="6"/>
        <v>3354912.593202048</v>
      </c>
      <c r="D76" s="184"/>
      <c r="E76" s="202">
        <v>2024291.8599999996</v>
      </c>
      <c r="F76" s="183"/>
      <c r="G76" s="184">
        <f>'e7'!K37</f>
        <v>2258070.4400000018</v>
      </c>
      <c r="H76" s="167"/>
      <c r="I76" s="185">
        <f>1 / [1]!ldfsir(prldfs, prldf_ages, prldf_type, prldf_ret, Intro!$Y39, "Paid", Intro!$H39, prldf_cutoff, 3)</f>
        <v>0.51395341172102882</v>
      </c>
      <c r="J76" s="167"/>
      <c r="K76" s="185">
        <f>1 / [1]!ldfsir(prldfs, prldf_ages, prldf_type, prldf_ret, Intro!$AA39, "Paid", Intro!$H39, prldf_cutoff, 3)</f>
        <v>0.60702504758601061</v>
      </c>
      <c r="L76" s="188"/>
      <c r="M76" s="211">
        <f t="shared" si="7"/>
        <v>233778.58000000217</v>
      </c>
      <c r="N76" s="183"/>
      <c r="O76" s="194">
        <f t="shared" si="8"/>
        <v>254796.66217489261</v>
      </c>
      <c r="P76" s="183"/>
      <c r="Q76" s="194">
        <f t="shared" si="9"/>
        <v>-21018.082174890442</v>
      </c>
      <c r="R76" s="167"/>
      <c r="S76" s="183">
        <f t="shared" ca="1" si="10"/>
        <v>3447882.2158604558</v>
      </c>
      <c r="T76" s="167"/>
      <c r="U76" s="194">
        <f t="shared" ca="1" si="11"/>
        <v>92969.622658407781</v>
      </c>
      <c r="V76" s="167"/>
      <c r="W76" s="1" t="b">
        <v>1</v>
      </c>
      <c r="X76" s="487" t="b">
        <v>1</v>
      </c>
    </row>
    <row r="77" spans="1:24" ht="12.75" customHeight="1" x14ac:dyDescent="0.2">
      <c r="A77" s="168">
        <f>A41</f>
        <v>2018</v>
      </c>
      <c r="B77" s="167"/>
      <c r="C77" s="212">
        <f>C41</f>
        <v>9312850.7121051922</v>
      </c>
      <c r="D77" s="184"/>
      <c r="E77" s="202">
        <v>2510372.1899999976</v>
      </c>
      <c r="F77" s="183"/>
      <c r="G77" s="184">
        <f>'e7'!K38</f>
        <v>4199295.1499999976</v>
      </c>
      <c r="H77" s="167"/>
      <c r="I77" s="185">
        <f>1 / [1]!ldfsir(prldfs, prldf_ages, prldf_type, prldf_ret, Intro!$Y40, "Paid", Intro!$H40, prldf_cutoff, 3)</f>
        <v>0.21976309000591962</v>
      </c>
      <c r="J77" s="167"/>
      <c r="K77" s="690">
        <f>1 / [1]!ldfsir(prldfs, prldf_ages, prldf_type, prldf_ret, Intro!$AA40, "Paid", Intro!$H40, prldf_cutoff, 3)</f>
        <v>0.40178828180986825</v>
      </c>
      <c r="L77" s="188"/>
      <c r="M77" s="211">
        <f t="shared" si="7"/>
        <v>1688922.96</v>
      </c>
      <c r="N77" s="183"/>
      <c r="O77" s="194">
        <f t="shared" si="8"/>
        <v>1586982.6739391673</v>
      </c>
      <c r="P77" s="183"/>
      <c r="Q77" s="194">
        <f t="shared" si="9"/>
        <v>101940.28606083267</v>
      </c>
      <c r="R77" s="167"/>
      <c r="S77" s="183">
        <f t="shared" ca="1" si="10"/>
        <v>9287422.3262577429</v>
      </c>
      <c r="T77" s="167"/>
      <c r="U77" s="194">
        <f t="shared" ca="1" si="11"/>
        <v>-25428.385847449303</v>
      </c>
      <c r="V77" s="167"/>
      <c r="W77" s="1" t="b">
        <v>1</v>
      </c>
      <c r="X77" s="487" t="b">
        <v>1</v>
      </c>
    </row>
    <row r="78" spans="1:24" ht="12.75" customHeight="1" x14ac:dyDescent="0.2">
      <c r="A78" s="168">
        <f>A42</f>
        <v>2019</v>
      </c>
      <c r="B78" s="167"/>
      <c r="C78" s="212">
        <f>C42</f>
        <v>9109297.8979146965</v>
      </c>
      <c r="D78" s="184"/>
      <c r="E78" s="202">
        <v>5454.99</v>
      </c>
      <c r="F78" s="183"/>
      <c r="G78" s="184">
        <f>'e7'!K39</f>
        <v>619309.30000000005</v>
      </c>
      <c r="H78" s="167"/>
      <c r="I78" s="185">
        <f>1 / [1]!ldfsir(prldfs, prldf_ages, prldf_type, prldf_ret, Intro!$Y41, "Paid", Intro!$H41, prldf_cutoff, 3)</f>
        <v>1.5063201352520119E-3</v>
      </c>
      <c r="J78" s="167"/>
      <c r="K78" s="690">
        <f>1 / [1]!ldfsir(prldfs, prldf_ages, prldf_type, prldf_ret, Intro!$AA41, "Paid", Intro!$H41, prldf_cutoff, 3)</f>
        <v>7.2079876885472044E-2</v>
      </c>
      <c r="L78" s="188"/>
      <c r="M78" s="211">
        <f t="shared" si="7"/>
        <v>613854.31000000006</v>
      </c>
      <c r="N78" s="183"/>
      <c r="O78" s="194">
        <f t="shared" si="8"/>
        <v>643459.83060587337</v>
      </c>
      <c r="P78" s="183"/>
      <c r="Q78" s="194">
        <f t="shared" si="9"/>
        <v>-29605.520605873317</v>
      </c>
      <c r="R78" s="167"/>
      <c r="S78" s="183">
        <f t="shared" ca="1" si="10"/>
        <v>8549781.2667972855</v>
      </c>
      <c r="T78" s="167"/>
      <c r="U78" s="194">
        <f t="shared" ca="1" si="11"/>
        <v>-559516.63111741096</v>
      </c>
      <c r="V78" s="167"/>
      <c r="W78" s="1" t="b">
        <v>1</v>
      </c>
      <c r="X78" s="487" t="b">
        <v>1</v>
      </c>
    </row>
    <row r="79" spans="1:24" ht="12.75" customHeight="1" x14ac:dyDescent="0.2">
      <c r="A79" s="151"/>
      <c r="B79" s="148"/>
      <c r="C79" s="186"/>
      <c r="D79" s="184"/>
      <c r="E79" s="186"/>
      <c r="F79" s="183"/>
      <c r="G79" s="186"/>
      <c r="H79" s="167"/>
      <c r="I79" s="188"/>
      <c r="J79" s="167"/>
      <c r="K79" s="189"/>
      <c r="L79" s="167"/>
      <c r="M79" s="186"/>
      <c r="N79" s="183"/>
      <c r="O79" s="186"/>
      <c r="P79" s="183"/>
      <c r="Q79" s="186"/>
      <c r="R79" s="167"/>
      <c r="S79" s="186"/>
      <c r="T79" s="167"/>
      <c r="U79" s="186"/>
      <c r="V79" s="182"/>
      <c r="W79"/>
    </row>
    <row r="80" spans="1:24" ht="12.75" customHeight="1" x14ac:dyDescent="0.2">
      <c r="A80" s="151" t="s">
        <v>78</v>
      </c>
      <c r="B80" s="148"/>
      <c r="C80" s="205">
        <f>SUM(C55:C79)</f>
        <v>61638122.908022702</v>
      </c>
      <c r="D80" s="184"/>
      <c r="E80" s="205">
        <f>SUM(E55:E79)</f>
        <v>41700845.759999998</v>
      </c>
      <c r="F80" s="183"/>
      <c r="G80" s="205">
        <f>SUM(G55:G79)</f>
        <v>44580245.780000009</v>
      </c>
      <c r="H80" s="167"/>
      <c r="I80" s="188"/>
      <c r="J80" s="167"/>
      <c r="K80" s="189"/>
      <c r="L80" s="167"/>
      <c r="M80" s="205">
        <f>SUM(M55:M79)</f>
        <v>2879400.0200000047</v>
      </c>
      <c r="N80" s="183"/>
      <c r="O80" s="205">
        <f>SUM(O55:O79)</f>
        <v>2713465.2207407821</v>
      </c>
      <c r="P80" s="183"/>
      <c r="Q80" s="205">
        <f>SUM(Q55:Q79)</f>
        <v>165934.79925922229</v>
      </c>
      <c r="R80" s="167"/>
      <c r="S80" s="205">
        <f ca="1">SUM(S55:S79)</f>
        <v>61126301.680981532</v>
      </c>
      <c r="T80" s="167"/>
      <c r="U80" s="205">
        <f ca="1">SUM(U55:U79)</f>
        <v>-511821.22704117303</v>
      </c>
      <c r="V80" s="182"/>
      <c r="W80"/>
    </row>
    <row r="81" spans="1:23" ht="12.75" customHeight="1" x14ac:dyDescent="0.2">
      <c r="A81" s="151"/>
      <c r="B81" s="148"/>
      <c r="C81" s="194"/>
      <c r="D81" s="194"/>
      <c r="E81" s="194"/>
      <c r="F81" s="194"/>
      <c r="G81" s="194"/>
      <c r="H81" s="195"/>
      <c r="I81" s="195"/>
      <c r="J81" s="195"/>
      <c r="K81" s="195"/>
      <c r="L81" s="195"/>
      <c r="M81" s="194"/>
      <c r="N81" s="194"/>
      <c r="O81" s="194"/>
      <c r="P81" s="194"/>
      <c r="Q81" s="194"/>
      <c r="R81" s="195"/>
      <c r="S81" s="195"/>
      <c r="T81" s="195"/>
      <c r="U81" s="194"/>
      <c r="V81" s="167"/>
      <c r="W81"/>
    </row>
    <row r="82" spans="1:23" ht="12.75" customHeight="1" x14ac:dyDescent="0.2">
      <c r="A82" s="168"/>
      <c r="B82" s="167"/>
      <c r="C82" s="183"/>
      <c r="D82" s="167"/>
      <c r="E82" s="196"/>
      <c r="F82" s="167"/>
      <c r="G82" s="196"/>
      <c r="H82" s="167"/>
      <c r="I82" s="167"/>
      <c r="J82" s="167"/>
      <c r="K82" s="167"/>
      <c r="L82" s="167"/>
      <c r="M82" s="196"/>
      <c r="N82" s="167"/>
      <c r="O82" s="196"/>
      <c r="P82" s="167"/>
      <c r="Q82" s="196"/>
      <c r="R82" s="167"/>
      <c r="S82" s="167"/>
      <c r="T82" s="167"/>
      <c r="U82" s="167"/>
      <c r="V82" s="167"/>
      <c r="W82"/>
    </row>
    <row r="83" spans="1:23" ht="12.75" customHeight="1" x14ac:dyDescent="0.2">
      <c r="A83" s="162" t="s">
        <v>83</v>
      </c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</row>
    <row r="84" spans="1:23" ht="12.75" customHeight="1" x14ac:dyDescent="0.2">
      <c r="A84" s="163" t="str">
        <f>"Columns (1), (2a), and (3) are from Oliver Wyman's report using data valued as of "&amp;ptxt_l&amp;"."</f>
        <v>Columns (1), (2a), and (3) are from Oliver Wyman's report using data valued as of October 31, 2018.</v>
      </c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216" t="s">
        <v>274</v>
      </c>
      <c r="O84" s="167"/>
      <c r="P84" s="167"/>
      <c r="Q84" s="167"/>
      <c r="R84" s="167"/>
      <c r="S84" s="167"/>
      <c r="T84" s="167"/>
      <c r="U84" s="167"/>
      <c r="V84" s="167"/>
    </row>
    <row r="85" spans="1:23" ht="12.75" customHeight="1" x14ac:dyDescent="0.2">
      <c r="A85" s="163" t="str">
        <f>"Column (2b) is provided by "&amp;client&amp;"."</f>
        <v>Column (2b) is provided by CLIENT XYZ.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3" t="s">
        <v>275</v>
      </c>
      <c r="O85" s="167"/>
      <c r="P85" s="167"/>
      <c r="Q85" s="167"/>
      <c r="R85" s="167"/>
      <c r="S85" s="167"/>
      <c r="T85" s="167"/>
      <c r="U85" s="167"/>
      <c r="V85" s="167"/>
    </row>
    <row r="86" spans="1:23" ht="12.75" customHeight="1" x14ac:dyDescent="0.2">
      <c r="A86" s="163" t="s">
        <v>273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217" t="s">
        <v>276</v>
      </c>
      <c r="O86" s="167"/>
      <c r="P86" s="167"/>
      <c r="Q86" s="167"/>
      <c r="R86" s="167"/>
      <c r="S86" s="167"/>
      <c r="T86" s="167"/>
      <c r="U86" s="167"/>
      <c r="V86" s="167"/>
    </row>
    <row r="87" spans="1:23" ht="12.75" customHeight="1" x14ac:dyDescent="0.2">
      <c r="A87" s="216" t="s">
        <v>261</v>
      </c>
      <c r="B87" s="167"/>
      <c r="C87" s="167"/>
      <c r="D87" s="167"/>
      <c r="E87" s="197"/>
      <c r="F87" s="167"/>
      <c r="G87" s="167"/>
      <c r="H87" s="167"/>
      <c r="I87" s="167"/>
      <c r="J87" s="167"/>
      <c r="K87" s="167"/>
      <c r="L87" s="167"/>
      <c r="M87" s="167"/>
      <c r="N87" s="218" t="s">
        <v>262</v>
      </c>
      <c r="O87" s="167"/>
      <c r="P87" s="167"/>
      <c r="Q87" s="167"/>
      <c r="R87" s="167"/>
      <c r="S87" s="167"/>
      <c r="T87" s="167"/>
      <c r="U87" s="167"/>
      <c r="V87" s="167"/>
    </row>
    <row r="88" spans="1:23" ht="12.75" customHeight="1" x14ac:dyDescent="0.2">
      <c r="B88" s="167"/>
      <c r="C88" s="167"/>
      <c r="D88" s="167"/>
      <c r="E88" s="19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</row>
    <row r="89" spans="1:23" ht="12.75" customHeight="1" x14ac:dyDescent="0.2">
      <c r="B89" s="167"/>
      <c r="C89" s="167"/>
      <c r="D89" s="167"/>
      <c r="E89" s="198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</row>
    <row r="90" spans="1:23" x14ac:dyDescent="0.2">
      <c r="B90" s="175"/>
      <c r="C90" s="175"/>
      <c r="D90" s="175"/>
      <c r="E90" s="199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67"/>
      <c r="U90" s="167"/>
      <c r="V90" s="167"/>
    </row>
    <row r="91" spans="1:23" x14ac:dyDescent="0.2">
      <c r="B91" s="175"/>
      <c r="C91" s="175"/>
      <c r="D91" s="175"/>
      <c r="E91" s="199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67"/>
      <c r="U91" s="167"/>
      <c r="V91" s="167"/>
    </row>
  </sheetData>
  <printOptions horizontalCentered="1"/>
  <pageMargins left="0.7" right="0.7" top="0.75" bottom="0.75" header="0.3" footer="0.3"/>
  <pageSetup scale="57" orientation="portrait" blackAndWhite="1" r:id="rId1"/>
  <headerFooter>
    <oddHeader xml:space="preserve">&amp;L&amp;"Arial"&amp;10  
  &amp;R&amp;"Arial"&amp;10  Exhibit 10
Sheet 1
</oddHeader>
    <oddFooter xml:space="preserve">&amp;L&amp;"Arial"&amp;10 Oliver Wyman Actuarial Consulting, Inc.
&amp;C&amp;"Arial"&amp;10 &amp;R&amp;"Arial"&amp;10 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3">
    <tabColor rgb="FFFF0000"/>
    <pageSetUpPr fitToPage="1"/>
  </sheetPr>
  <dimension ref="A1:AG91"/>
  <sheetViews>
    <sheetView zoomScale="85" zoomScaleNormal="85" zoomScaleSheetLayoutView="85" workbookViewId="0"/>
  </sheetViews>
  <sheetFormatPr defaultColWidth="9" defaultRowHeight="12.75" x14ac:dyDescent="0.2"/>
  <cols>
    <col min="1" max="1" width="9.5" style="1" customWidth="1"/>
    <col min="2" max="2" width="2.625" style="1" customWidth="1"/>
    <col min="3" max="3" width="11.625" style="1" customWidth="1"/>
    <col min="4" max="4" width="2.625" style="1" customWidth="1"/>
    <col min="5" max="5" width="11.625" style="1" customWidth="1"/>
    <col min="6" max="6" width="2.625" style="1" customWidth="1"/>
    <col min="7" max="7" width="11.625" style="1" customWidth="1"/>
    <col min="8" max="8" width="2.625" style="1" customWidth="1"/>
    <col min="9" max="9" width="9" style="1"/>
    <col min="10" max="10" width="2.625" style="1" customWidth="1"/>
    <col min="11" max="11" width="9" style="1"/>
    <col min="12" max="12" width="2.625" style="1" customWidth="1"/>
    <col min="13" max="13" width="11.625" style="1" customWidth="1"/>
    <col min="14" max="14" width="2.625" style="1" customWidth="1"/>
    <col min="15" max="15" width="11.625" style="1" customWidth="1"/>
    <col min="16" max="16" width="2.625" style="1" customWidth="1"/>
    <col min="17" max="17" width="11.625" style="1" customWidth="1"/>
    <col min="18" max="18" width="2.625" style="1" customWidth="1"/>
    <col min="19" max="19" width="11.625" style="1" customWidth="1"/>
    <col min="20" max="20" width="2.625" style="1" customWidth="1"/>
    <col min="21" max="21" width="11.625" style="1" customWidth="1"/>
    <col min="22" max="22" width="2.625" style="1" customWidth="1"/>
    <col min="23" max="24" width="5.125" style="1" bestFit="1" customWidth="1"/>
    <col min="25" max="25" width="4.625" style="1" customWidth="1"/>
    <col min="26" max="26" width="2.625" style="31" customWidth="1"/>
    <col min="27" max="27" width="6.25" style="1" customWidth="1"/>
    <col min="28" max="28" width="2.625" style="31" customWidth="1"/>
    <col min="29" max="29" width="7.125" style="1" customWidth="1"/>
    <col min="30" max="30" width="2.625" style="36" customWidth="1"/>
    <col min="31" max="31" width="7.25" style="1" customWidth="1"/>
    <col min="32" max="32" width="2.625" style="1" customWidth="1"/>
    <col min="33" max="33" width="7.125" style="1" customWidth="1"/>
    <col min="34" max="16384" width="9" style="1"/>
  </cols>
  <sheetData>
    <row r="1" spans="1:33" x14ac:dyDescent="0.2">
      <c r="A1" s="1" t="str">
        <f>[1]!getlabels()</f>
        <v>Exhibit 10, Sheet 2</v>
      </c>
    </row>
    <row r="2" spans="1:33" ht="22.5" x14ac:dyDescent="0.45">
      <c r="A2" s="78" t="str">
        <f>client</f>
        <v>CLIENT XYZ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33" ht="15" x14ac:dyDescent="0.2">
      <c r="A3" s="80" t="str">
        <f>tit</f>
        <v>Analysis of Unpaid Loss &amp; ALAE as of June 30, 2019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spans="1:33" ht="15" x14ac:dyDescent="0.2">
      <c r="A4" s="80" t="str">
        <f>cov</f>
        <v>Workers Compensation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</row>
    <row r="5" spans="1:33" ht="15" x14ac:dyDescent="0.2">
      <c r="A5" s="80" t="str">
        <f>"Data Evaluated as of "&amp;ctxt_l</f>
        <v>Data Evaluated as of April 30, 2019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</row>
    <row r="7" spans="1:33" x14ac:dyDescent="0.2">
      <c r="A7" s="628" t="str">
        <f>"Comparison of Expected Development to Actual Development - "&amp;ptxt_l&amp;" to "&amp;ctxt_l</f>
        <v>Comparison of Expected Development to Actual Development - October 31, 2018 to April 30, 2019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</row>
    <row r="8" spans="1:33" ht="12.75" customHeight="1" x14ac:dyDescent="0.2">
      <c r="A8" s="81" t="s">
        <v>278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11" spans="1:33" x14ac:dyDescent="0.2">
      <c r="A11" s="200" t="s">
        <v>277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</row>
    <row r="12" spans="1:33" x14ac:dyDescent="0.2">
      <c r="A12" s="166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N12" s="167"/>
      <c r="O12" s="167"/>
      <c r="P12" s="167"/>
      <c r="Q12" s="167"/>
      <c r="R12" s="167"/>
      <c r="S12" s="167"/>
      <c r="T12" s="167"/>
      <c r="U12" s="167"/>
      <c r="V12" s="167"/>
    </row>
    <row r="13" spans="1:33" x14ac:dyDescent="0.2">
      <c r="A13" s="167"/>
      <c r="B13" s="167"/>
      <c r="C13" s="168" t="s">
        <v>105</v>
      </c>
      <c r="D13" s="167"/>
      <c r="E13" s="168"/>
      <c r="F13" s="167"/>
      <c r="G13" s="167"/>
      <c r="H13" s="167"/>
      <c r="I13" s="167"/>
      <c r="J13" s="167"/>
      <c r="K13" s="167"/>
      <c r="L13" s="167"/>
      <c r="M13" s="168" t="s">
        <v>242</v>
      </c>
      <c r="N13" s="167"/>
      <c r="O13" s="168" t="s">
        <v>244</v>
      </c>
      <c r="P13" s="167"/>
      <c r="R13" s="167"/>
      <c r="S13" s="168" t="s">
        <v>105</v>
      </c>
      <c r="T13" s="167"/>
      <c r="U13" s="167"/>
      <c r="V13" s="167"/>
    </row>
    <row r="14" spans="1:33" x14ac:dyDescent="0.2">
      <c r="A14" s="181" t="str">
        <f>Intro!M9</f>
        <v>Policy</v>
      </c>
      <c r="B14" s="148"/>
      <c r="C14" s="168" t="s">
        <v>245</v>
      </c>
      <c r="D14" s="167"/>
      <c r="E14" s="167"/>
      <c r="F14" s="167"/>
      <c r="G14" s="167"/>
      <c r="H14" s="167"/>
      <c r="I14" s="170" t="s">
        <v>246</v>
      </c>
      <c r="J14" s="170"/>
      <c r="K14" s="170"/>
      <c r="L14" s="167"/>
      <c r="M14" s="168" t="s">
        <v>243</v>
      </c>
      <c r="N14" s="167"/>
      <c r="O14" s="168" t="s">
        <v>243</v>
      </c>
      <c r="P14" s="167"/>
      <c r="Q14" s="219" t="s">
        <v>242</v>
      </c>
      <c r="R14" s="167"/>
      <c r="S14" s="168" t="s">
        <v>245</v>
      </c>
      <c r="T14" s="167"/>
      <c r="U14" s="170" t="s">
        <v>248</v>
      </c>
      <c r="V14" s="167"/>
    </row>
    <row r="15" spans="1:33" x14ac:dyDescent="0.2">
      <c r="A15" s="181" t="str">
        <f>Intro!M10</f>
        <v>Period</v>
      </c>
      <c r="B15" s="148"/>
      <c r="C15" s="171" t="s">
        <v>249</v>
      </c>
      <c r="D15" s="167"/>
      <c r="E15" s="172" t="s">
        <v>250</v>
      </c>
      <c r="F15" s="172"/>
      <c r="G15" s="172"/>
      <c r="H15" s="167"/>
      <c r="I15" s="172" t="s">
        <v>251</v>
      </c>
      <c r="J15" s="172"/>
      <c r="K15" s="172"/>
      <c r="L15" s="167"/>
      <c r="M15" s="168" t="s">
        <v>71</v>
      </c>
      <c r="N15" s="167"/>
      <c r="O15" s="168" t="s">
        <v>71</v>
      </c>
      <c r="P15" s="167"/>
      <c r="Q15" s="174" t="s">
        <v>247</v>
      </c>
      <c r="R15" s="167"/>
      <c r="S15" s="171" t="s">
        <v>249</v>
      </c>
      <c r="T15" s="167"/>
      <c r="U15" s="174" t="s">
        <v>245</v>
      </c>
      <c r="V15" s="167"/>
      <c r="W15" s="45" t="s">
        <v>172</v>
      </c>
      <c r="X15" s="45"/>
      <c r="AF15" s="371"/>
      <c r="AG15" s="362"/>
    </row>
    <row r="16" spans="1:33" x14ac:dyDescent="0.2">
      <c r="A16" s="176" t="str">
        <f>Intro!M11</f>
        <v>Ending 9/30</v>
      </c>
      <c r="B16" s="148"/>
      <c r="C16" s="479" t="str">
        <f>ptxt</f>
        <v>10/31/18</v>
      </c>
      <c r="D16" s="167"/>
      <c r="E16" s="177" t="str">
        <f>C16</f>
        <v>10/31/18</v>
      </c>
      <c r="F16" s="178"/>
      <c r="G16" s="179" t="str">
        <f>ctxt</f>
        <v>4/30/19</v>
      </c>
      <c r="H16" s="178"/>
      <c r="I16" s="177" t="str">
        <f>E16</f>
        <v>10/31/18</v>
      </c>
      <c r="J16" s="178"/>
      <c r="K16" s="177" t="str">
        <f>G16</f>
        <v>4/30/19</v>
      </c>
      <c r="L16" s="167"/>
      <c r="M16" s="173" t="str">
        <f>pr_to_curr</f>
        <v>10/18-4/19</v>
      </c>
      <c r="N16" s="167"/>
      <c r="O16" s="180" t="str">
        <f>M16</f>
        <v>10/18-4/19</v>
      </c>
      <c r="P16" s="167"/>
      <c r="Q16" s="208" t="s">
        <v>244</v>
      </c>
      <c r="R16" s="167"/>
      <c r="S16" s="179" t="str">
        <f>ctxt</f>
        <v>4/30/19</v>
      </c>
      <c r="T16" s="167"/>
      <c r="U16" s="180" t="s">
        <v>252</v>
      </c>
      <c r="V16" s="167"/>
      <c r="W16" s="108" t="s">
        <v>661</v>
      </c>
      <c r="X16" s="108" t="s">
        <v>664</v>
      </c>
      <c r="AF16" s="370"/>
    </row>
    <row r="17" spans="1:32" x14ac:dyDescent="0.2">
      <c r="A17" s="181"/>
      <c r="B17" s="148"/>
      <c r="C17" s="201">
        <v>1</v>
      </c>
      <c r="D17" s="167"/>
      <c r="E17" s="169" t="s">
        <v>254</v>
      </c>
      <c r="F17" s="167"/>
      <c r="G17" s="169" t="s">
        <v>255</v>
      </c>
      <c r="H17" s="167"/>
      <c r="I17" s="169" t="s">
        <v>256</v>
      </c>
      <c r="J17" s="167"/>
      <c r="K17" s="169" t="s">
        <v>257</v>
      </c>
      <c r="L17" s="167"/>
      <c r="M17" s="201">
        <v>4</v>
      </c>
      <c r="N17" s="167"/>
      <c r="O17" s="201">
        <f>M17+1</f>
        <v>5</v>
      </c>
      <c r="P17" s="167"/>
      <c r="Q17" s="201">
        <f>O17+1</f>
        <v>6</v>
      </c>
      <c r="R17" s="167"/>
      <c r="S17" s="201">
        <f>Q17+1</f>
        <v>7</v>
      </c>
      <c r="T17" s="167"/>
      <c r="U17" s="201">
        <f>S17+1</f>
        <v>8</v>
      </c>
      <c r="V17" s="167"/>
      <c r="AF17" s="222"/>
    </row>
    <row r="18" spans="1:32" ht="14.25" x14ac:dyDescent="0.2">
      <c r="A18" s="148"/>
      <c r="B18" s="148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/>
      <c r="N18" s="167"/>
      <c r="O18" s="167"/>
      <c r="P18" s="167"/>
      <c r="Q18" s="167"/>
      <c r="R18" s="167"/>
      <c r="S18" s="167"/>
      <c r="T18" s="167"/>
      <c r="U18" s="167"/>
      <c r="V18" s="167"/>
      <c r="AF18" s="222"/>
    </row>
    <row r="19" spans="1:32" x14ac:dyDescent="0.2">
      <c r="A19" s="151">
        <f>Intro!C18</f>
        <v>1996</v>
      </c>
      <c r="B19" s="148"/>
      <c r="C19" s="204">
        <v>141454.19999999995</v>
      </c>
      <c r="D19" s="167"/>
      <c r="E19" s="204">
        <v>141454.19999999995</v>
      </c>
      <c r="F19" s="167"/>
      <c r="G19" s="207">
        <f>'e7'!I16 - 'e7'!O16</f>
        <v>141454.19999999995</v>
      </c>
      <c r="H19" s="167"/>
      <c r="I19" s="185">
        <f>1 / [1]!ldfsir(prxsldfs, prldf_ages, prxsldf_type, prxsldf_ret, Intro!$Y18, "Rept", Intro!$H18, prldf_cutoff, 3)</f>
        <v>0.89319289215067577</v>
      </c>
      <c r="J19" s="167"/>
      <c r="K19" s="185">
        <f>1 / [1]!ldfsir(prxsldfs, prldf_ages, prxsldf_type, prxsldf_ret, Intro!$AA18, "Rept", Intro!$H18, prldf_cutoff, 3)</f>
        <v>0.89319289215067577</v>
      </c>
      <c r="L19" s="167"/>
      <c r="M19" s="206">
        <f t="shared" ref="M19:M42" si="0">G19-E19</f>
        <v>0</v>
      </c>
      <c r="N19" s="167"/>
      <c r="O19" s="206">
        <f>IF(I19=1,0,((C19-E19)/(1-I19))*(K19-I19))</f>
        <v>0</v>
      </c>
      <c r="P19" s="183"/>
      <c r="Q19" s="206">
        <f>M19-O19</f>
        <v>0</v>
      </c>
      <c r="R19" s="167"/>
      <c r="S19" s="382">
        <f>'e2.2'!U18</f>
        <v>141454.19999999995</v>
      </c>
      <c r="T19" s="167"/>
      <c r="U19" s="207">
        <f>S19-C19</f>
        <v>0</v>
      </c>
      <c r="W19" s="1" t="b">
        <v>1</v>
      </c>
      <c r="AF19" s="253"/>
    </row>
    <row r="20" spans="1:32" x14ac:dyDescent="0.2">
      <c r="A20" s="151">
        <f>Intro!C19</f>
        <v>1997</v>
      </c>
      <c r="B20" s="148"/>
      <c r="C20" s="202">
        <v>169167</v>
      </c>
      <c r="D20" s="167"/>
      <c r="E20" s="202">
        <v>169167</v>
      </c>
      <c r="F20" s="167"/>
      <c r="G20" s="184">
        <f>'e7'!I17 - 'e7'!O17</f>
        <v>169167</v>
      </c>
      <c r="H20" s="167"/>
      <c r="I20" s="185">
        <f>1 / [1]!ldfsir(prxsldfs, prldf_ages, prxsldf_type, prxsldf_ret, Intro!$Y19, "Rept", Intro!$H19, prldf_cutoff, 3)</f>
        <v>0.8837624309161376</v>
      </c>
      <c r="J20" s="167"/>
      <c r="K20" s="185">
        <f>1 / [1]!ldfsir(prxsldfs, prldf_ages, prxsldf_type, prxsldf_ret, Intro!$AA19, "Rept", Intro!$H19, prldf_cutoff, 3)</f>
        <v>0.8837624309161376</v>
      </c>
      <c r="L20" s="167"/>
      <c r="M20" s="194">
        <f t="shared" si="0"/>
        <v>0</v>
      </c>
      <c r="N20" s="167"/>
      <c r="O20" s="183">
        <f t="shared" ref="O20:O42" si="1">IF(I20=1,0,((C20-E20)/(1-I20))*(K20-I20))</f>
        <v>0</v>
      </c>
      <c r="P20" s="183"/>
      <c r="Q20" s="183">
        <f t="shared" ref="Q20:Q42" si="2">M20-O20</f>
        <v>0</v>
      </c>
      <c r="R20" s="167"/>
      <c r="S20" s="220">
        <f>'e2.2'!U19</f>
        <v>169167</v>
      </c>
      <c r="T20" s="167"/>
      <c r="U20" s="184">
        <f>S20-C20</f>
        <v>0</v>
      </c>
      <c r="W20" s="1" t="b">
        <v>1</v>
      </c>
      <c r="AF20" s="253"/>
    </row>
    <row r="21" spans="1:32" x14ac:dyDescent="0.2">
      <c r="A21" s="151">
        <f>Intro!C20</f>
        <v>1998</v>
      </c>
      <c r="B21" s="148"/>
      <c r="C21" s="202">
        <v>161876.62629242678</v>
      </c>
      <c r="D21" s="167"/>
      <c r="E21" s="202">
        <v>149905</v>
      </c>
      <c r="F21" s="167"/>
      <c r="G21" s="184">
        <f>'e7'!I18 - 'e7'!O18</f>
        <v>149905</v>
      </c>
      <c r="H21" s="167"/>
      <c r="I21" s="185">
        <f>1 / [1]!ldfsir(prxsldfs, prldf_ages, prxsldf_type, prxsldf_ret, Intro!$Y20, "Rept", Intro!$H20, prldf_cutoff, 3)</f>
        <v>0.87363302450990532</v>
      </c>
      <c r="J21" s="167"/>
      <c r="K21" s="185">
        <f>1 / [1]!ldfsir(prxsldfs, prldf_ages, prxsldf_type, prxsldf_ret, Intro!$AA20, "Rept", Intro!$H20, prldf_cutoff, 3)</f>
        <v>0.87363302450990532</v>
      </c>
      <c r="L21" s="167"/>
      <c r="M21" s="194">
        <f t="shared" si="0"/>
        <v>0</v>
      </c>
      <c r="N21" s="167"/>
      <c r="O21" s="183">
        <f t="shared" si="1"/>
        <v>0</v>
      </c>
      <c r="P21" s="183"/>
      <c r="Q21" s="183">
        <f t="shared" si="2"/>
        <v>0</v>
      </c>
      <c r="R21" s="167"/>
      <c r="S21" s="220">
        <f>'e2.2'!U20</f>
        <v>161876.62629242678</v>
      </c>
      <c r="T21" s="167"/>
      <c r="U21" s="184">
        <f t="shared" ref="U21:U42" si="3">S21-C21</f>
        <v>0</v>
      </c>
      <c r="W21" s="1" t="b">
        <v>1</v>
      </c>
      <c r="AF21" s="253"/>
    </row>
    <row r="22" spans="1:32" x14ac:dyDescent="0.2">
      <c r="A22" s="151">
        <f>Intro!C21</f>
        <v>1999</v>
      </c>
      <c r="B22" s="148"/>
      <c r="C22" s="202">
        <v>1541697.1766595847</v>
      </c>
      <c r="D22" s="184"/>
      <c r="E22" s="202">
        <v>1418211.48</v>
      </c>
      <c r="F22" s="183"/>
      <c r="G22" s="184">
        <f>'e7'!I19 - 'e7'!O19</f>
        <v>1418211.48</v>
      </c>
      <c r="H22" s="167"/>
      <c r="I22" s="185">
        <f>1 / [1]!ldfsir(prxsldfs, prldf_ages, prxsldf_type, prxsldf_ret, Intro!$Y21, "Rept", Intro!$H21, prldf_cutoff, 3)</f>
        <v>0.86278035167864553</v>
      </c>
      <c r="J22" s="167"/>
      <c r="K22" s="185">
        <f>1 / [1]!ldfsir(prxsldfs, prldf_ages, prxsldf_type, prxsldf_ret, Intro!$AA21, "Rept", Intro!$H21, prldf_cutoff, 3)</f>
        <v>0.86278035167864553</v>
      </c>
      <c r="L22" s="167"/>
      <c r="M22" s="194">
        <f t="shared" si="0"/>
        <v>0</v>
      </c>
      <c r="N22" s="183"/>
      <c r="O22" s="183">
        <f t="shared" si="1"/>
        <v>0</v>
      </c>
      <c r="P22" s="183"/>
      <c r="Q22" s="183">
        <f t="shared" si="2"/>
        <v>0</v>
      </c>
      <c r="R22" s="167"/>
      <c r="S22" s="220">
        <f>'e2.2'!U21</f>
        <v>1541697.1766595847</v>
      </c>
      <c r="T22" s="167"/>
      <c r="U22" s="184">
        <f t="shared" si="3"/>
        <v>0</v>
      </c>
      <c r="W22" s="1" t="b">
        <v>1</v>
      </c>
      <c r="AF22" s="253"/>
    </row>
    <row r="23" spans="1:32" x14ac:dyDescent="0.2">
      <c r="A23" s="151">
        <f>Intro!C22</f>
        <v>2000</v>
      </c>
      <c r="B23" s="148"/>
      <c r="C23" s="202">
        <v>1314362.4618561231</v>
      </c>
      <c r="D23" s="184"/>
      <c r="E23" s="202">
        <v>1048199.94</v>
      </c>
      <c r="F23" s="183"/>
      <c r="G23" s="184">
        <f>'e7'!I20 - 'e7'!O20</f>
        <v>1048199.94</v>
      </c>
      <c r="H23" s="167"/>
      <c r="I23" s="185">
        <f>1 / [1]!ldfsir(prxsldfs, prldf_ages, prxsldf_type, prxsldf_ret, Intro!$Y22, "Rept", Intro!$H22, prldf_cutoff, 3)</f>
        <v>0.85118586600361767</v>
      </c>
      <c r="J23" s="167"/>
      <c r="K23" s="185">
        <f>1 / [1]!ldfsir(prxsldfs, prldf_ages, prxsldf_type, prxsldf_ret, Intro!$AA22, "Rept", Intro!$H22, prldf_cutoff, 3)</f>
        <v>0.85118586600361767</v>
      </c>
      <c r="L23" s="167"/>
      <c r="M23" s="194">
        <f t="shared" si="0"/>
        <v>0</v>
      </c>
      <c r="N23" s="183"/>
      <c r="O23" s="183">
        <f t="shared" si="1"/>
        <v>0</v>
      </c>
      <c r="P23" s="183"/>
      <c r="Q23" s="183">
        <f t="shared" si="2"/>
        <v>0</v>
      </c>
      <c r="R23" s="167"/>
      <c r="S23" s="220">
        <f>'e2.2'!U22</f>
        <v>1314362.4618561231</v>
      </c>
      <c r="T23" s="167"/>
      <c r="U23" s="184">
        <f t="shared" si="3"/>
        <v>0</v>
      </c>
      <c r="W23" s="1" t="b">
        <v>1</v>
      </c>
      <c r="AF23" s="253"/>
    </row>
    <row r="24" spans="1:32" x14ac:dyDescent="0.2">
      <c r="A24" s="151">
        <f>Intro!C23</f>
        <v>2001</v>
      </c>
      <c r="B24" s="148"/>
      <c r="C24" s="202">
        <v>289652</v>
      </c>
      <c r="D24" s="184"/>
      <c r="E24" s="202">
        <v>289652</v>
      </c>
      <c r="F24" s="183"/>
      <c r="G24" s="184">
        <f>'e7'!I21 - 'e7'!O21</f>
        <v>289652</v>
      </c>
      <c r="H24" s="167"/>
      <c r="I24" s="185">
        <f>1 / [1]!ldfsir(prxsldfs, prldf_ages, prxsldf_type, prxsldf_ret, Intro!$Y23, "Rept", Intro!$H23, prldf_cutoff, 3)</f>
        <v>0.83883877749069036</v>
      </c>
      <c r="J24" s="167"/>
      <c r="K24" s="185">
        <f>1 / [1]!ldfsir(prxsldfs, prldf_ages, prxsldf_type, prxsldf_ret, Intro!$AA23, "Rept", Intro!$H23, prldf_cutoff, 3)</f>
        <v>0.83883877749069036</v>
      </c>
      <c r="L24" s="167"/>
      <c r="M24" s="194">
        <f t="shared" si="0"/>
        <v>0</v>
      </c>
      <c r="N24" s="183"/>
      <c r="O24" s="183">
        <f t="shared" si="1"/>
        <v>0</v>
      </c>
      <c r="P24" s="183"/>
      <c r="Q24" s="183">
        <f t="shared" si="2"/>
        <v>0</v>
      </c>
      <c r="R24" s="167"/>
      <c r="S24" s="220">
        <f>'e2.2'!U23</f>
        <v>289652</v>
      </c>
      <c r="T24" s="167"/>
      <c r="U24" s="184">
        <f t="shared" si="3"/>
        <v>0</v>
      </c>
      <c r="W24" s="1" t="b">
        <v>1</v>
      </c>
      <c r="AF24" s="253"/>
    </row>
    <row r="25" spans="1:32" x14ac:dyDescent="0.2">
      <c r="A25" s="151">
        <f>Intro!C24</f>
        <v>2002</v>
      </c>
      <c r="B25" s="148"/>
      <c r="C25" s="202">
        <v>1587524.3727029616</v>
      </c>
      <c r="D25" s="184"/>
      <c r="E25" s="202">
        <v>1352212.2399999998</v>
      </c>
      <c r="F25" s="183"/>
      <c r="G25" s="184">
        <f>'e7'!I22 - 'e7'!O22</f>
        <v>1352212.2399999998</v>
      </c>
      <c r="H25" s="167"/>
      <c r="I25" s="185">
        <f>1 / [1]!ldfsir(prxsldfs, prldf_ages, prxsldf_type, prxsldf_ret, Intro!$Y24, "Rept", Intro!$H24, prldf_cutoff, 3)</f>
        <v>0.82713999223424983</v>
      </c>
      <c r="J25" s="167"/>
      <c r="K25" s="185">
        <f>1 / [1]!ldfsir(prxsldfs, prldf_ages, prxsldf_type, prxsldf_ret, Intro!$AA24, "Rept", Intro!$H24, prldf_cutoff, 3)</f>
        <v>0.82713999223424983</v>
      </c>
      <c r="L25" s="167"/>
      <c r="M25" s="194">
        <f t="shared" si="0"/>
        <v>0</v>
      </c>
      <c r="N25" s="183"/>
      <c r="O25" s="183">
        <f t="shared" si="1"/>
        <v>0</v>
      </c>
      <c r="P25" s="183"/>
      <c r="Q25" s="183">
        <f t="shared" si="2"/>
        <v>0</v>
      </c>
      <c r="R25" s="167"/>
      <c r="S25" s="220">
        <f>'e2.2'!U24</f>
        <v>1587524.3727029616</v>
      </c>
      <c r="T25" s="167"/>
      <c r="U25" s="184">
        <f t="shared" si="3"/>
        <v>0</v>
      </c>
      <c r="W25" s="1" t="b">
        <v>1</v>
      </c>
      <c r="AF25" s="253"/>
    </row>
    <row r="26" spans="1:32" x14ac:dyDescent="0.2">
      <c r="A26" s="151">
        <f>Intro!C25</f>
        <v>2003</v>
      </c>
      <c r="B26" s="148"/>
      <c r="C26" s="202">
        <v>256580.59999999986</v>
      </c>
      <c r="D26" s="184"/>
      <c r="E26" s="202">
        <v>256580.59999999986</v>
      </c>
      <c r="F26" s="183"/>
      <c r="G26" s="184">
        <f>'e7'!I23 - 'e7'!O23</f>
        <v>256580.59999999986</v>
      </c>
      <c r="H26" s="167"/>
      <c r="I26" s="185">
        <f>1 / [1]!ldfsir(prxsldfs, prldf_ages, prxsldf_type, prxsldf_ret, Intro!$Y25, "Rept", Intro!$H25, prldf_cutoff, 3)</f>
        <v>0.83562254045955875</v>
      </c>
      <c r="J26" s="167"/>
      <c r="K26" s="185">
        <f>1 / [1]!ldfsir(prxsldfs, prldf_ages, prxsldf_type, prxsldf_ret, Intro!$AA25, "Rept", Intro!$H25, prldf_cutoff, 3)</f>
        <v>0.8419981973513383</v>
      </c>
      <c r="L26" s="167"/>
      <c r="M26" s="220">
        <f t="shared" si="0"/>
        <v>0</v>
      </c>
      <c r="N26" s="183"/>
      <c r="O26" s="183">
        <f t="shared" si="1"/>
        <v>0</v>
      </c>
      <c r="P26" s="183"/>
      <c r="Q26" s="183">
        <f t="shared" si="2"/>
        <v>0</v>
      </c>
      <c r="R26" s="167"/>
      <c r="S26" s="220">
        <f>'e2.2'!U25</f>
        <v>256580.59999999986</v>
      </c>
      <c r="T26" s="167"/>
      <c r="U26" s="184">
        <f t="shared" si="3"/>
        <v>0</v>
      </c>
      <c r="W26" s="1" t="b">
        <v>1</v>
      </c>
      <c r="X26" s="651"/>
      <c r="AF26" s="253"/>
    </row>
    <row r="27" spans="1:32" x14ac:dyDescent="0.2">
      <c r="A27" s="151">
        <f>Intro!C26</f>
        <v>2004</v>
      </c>
      <c r="B27" s="148"/>
      <c r="C27" s="202">
        <v>480930.40383325907</v>
      </c>
      <c r="D27" s="184"/>
      <c r="E27" s="202">
        <v>353506.28000000026</v>
      </c>
      <c r="F27" s="183"/>
      <c r="G27" s="184">
        <f>'e7'!I24 - 'e7'!O24</f>
        <v>353506.28000000119</v>
      </c>
      <c r="H27" s="167"/>
      <c r="I27" s="185">
        <f>1 / [1]!ldfsir(prxsldfs, prldf_ages, prxsldf_type, prxsldf_ret, Intro!$Y26, "Rept", Intro!$H26, prldf_cutoff, 3)</f>
        <v>0.79011878992390505</v>
      </c>
      <c r="J27" s="167"/>
      <c r="K27" s="185">
        <f>1 / [1]!ldfsir(prxsldfs, prldf_ages, prxsldf_type, prxsldf_ret, Intro!$AA26, "Rept", Intro!$H26, prldf_cutoff, 3)</f>
        <v>0.79677723020419045</v>
      </c>
      <c r="L27" s="167"/>
      <c r="M27" s="220">
        <f t="shared" si="0"/>
        <v>9.3132257461547852E-10</v>
      </c>
      <c r="N27" s="183"/>
      <c r="O27" s="183">
        <f t="shared" si="1"/>
        <v>4042.5053700797239</v>
      </c>
      <c r="P27" s="183"/>
      <c r="Q27" s="183">
        <f t="shared" si="2"/>
        <v>-4042.5053700787926</v>
      </c>
      <c r="R27" s="167"/>
      <c r="S27" s="220">
        <f ca="1">'e2.2'!U26</f>
        <v>478098.06128173234</v>
      </c>
      <c r="T27" s="167"/>
      <c r="U27" s="184">
        <f t="shared" ca="1" si="3"/>
        <v>-2832.3425515267299</v>
      </c>
      <c r="W27" s="1" t="b">
        <v>1</v>
      </c>
      <c r="X27" s="651"/>
      <c r="AF27" s="253"/>
    </row>
    <row r="28" spans="1:32" x14ac:dyDescent="0.2">
      <c r="A28" s="151">
        <f>Intro!C27</f>
        <v>2005</v>
      </c>
      <c r="B28" s="148"/>
      <c r="C28" s="202">
        <v>0</v>
      </c>
      <c r="D28" s="184"/>
      <c r="E28" s="202">
        <v>0</v>
      </c>
      <c r="F28" s="183"/>
      <c r="G28" s="184">
        <f>'e7'!I25 - 'e7'!O25</f>
        <v>0</v>
      </c>
      <c r="H28" s="167"/>
      <c r="I28" s="185">
        <f>1 / [1]!ldfsir(prxsldfs, prldf_ages, prxsldf_type, prxsldf_ret, Intro!$Y27, "Rept", Intro!$H27, prldf_cutoff, 3)</f>
        <v>0.7767810017254958</v>
      </c>
      <c r="J28" s="167"/>
      <c r="K28" s="185">
        <f>1 / [1]!ldfsir(prxsldfs, prldf_ages, prxsldf_type, prxsldf_ret, Intro!$AA27, "Rept", Intro!$H27, prldf_cutoff, 3)</f>
        <v>0.78351379142717903</v>
      </c>
      <c r="L28" s="167"/>
      <c r="M28" s="220">
        <f t="shared" si="0"/>
        <v>0</v>
      </c>
      <c r="N28" s="183"/>
      <c r="O28" s="183">
        <f t="shared" si="1"/>
        <v>0</v>
      </c>
      <c r="P28" s="183"/>
      <c r="Q28" s="183">
        <f t="shared" si="2"/>
        <v>0</v>
      </c>
      <c r="R28" s="167"/>
      <c r="S28" s="220">
        <f>'e2.2'!U27</f>
        <v>0</v>
      </c>
      <c r="T28" s="167"/>
      <c r="U28" s="184">
        <f t="shared" si="3"/>
        <v>0</v>
      </c>
      <c r="W28" s="1" t="b">
        <v>1</v>
      </c>
      <c r="X28" s="651"/>
      <c r="AF28" s="253"/>
    </row>
    <row r="29" spans="1:32" x14ac:dyDescent="0.2">
      <c r="A29" s="151">
        <f>Intro!C28</f>
        <v>2006</v>
      </c>
      <c r="B29" s="148"/>
      <c r="C29" s="202">
        <v>310667.57999999984</v>
      </c>
      <c r="D29" s="184"/>
      <c r="E29" s="202">
        <v>310667.57999999984</v>
      </c>
      <c r="F29" s="183"/>
      <c r="G29" s="184">
        <f>'e7'!I26 - 'e7'!O26</f>
        <v>310667.57999999984</v>
      </c>
      <c r="H29" s="167"/>
      <c r="I29" s="185">
        <f>1 / [1]!ldfsir(prxsldfs, prldf_ages, prxsldf_type, prxsldf_ret, Intro!$Y28, "Rept", Intro!$H28, prldf_cutoff, 3)</f>
        <v>0.76251103067669945</v>
      </c>
      <c r="J29" s="167"/>
      <c r="K29" s="185">
        <f>1 / [1]!ldfsir(prxsldfs, prldf_ages, prxsldf_type, prxsldf_ret, Intro!$AA28, "Rept", Intro!$H28, prldf_cutoff, 3)</f>
        <v>0.76975126528870708</v>
      </c>
      <c r="L29" s="167"/>
      <c r="M29" s="220">
        <f t="shared" si="0"/>
        <v>0</v>
      </c>
      <c r="N29" s="183"/>
      <c r="O29" s="183">
        <f t="shared" si="1"/>
        <v>0</v>
      </c>
      <c r="P29" s="183"/>
      <c r="Q29" s="183">
        <f t="shared" si="2"/>
        <v>0</v>
      </c>
      <c r="R29" s="167"/>
      <c r="S29" s="220">
        <f>'e2.2'!U28</f>
        <v>310667.57999999984</v>
      </c>
      <c r="T29" s="167"/>
      <c r="U29" s="184">
        <f t="shared" si="3"/>
        <v>0</v>
      </c>
      <c r="W29" s="1" t="b">
        <v>1</v>
      </c>
      <c r="X29" s="651"/>
      <c r="AF29" s="253"/>
    </row>
    <row r="30" spans="1:32" x14ac:dyDescent="0.2">
      <c r="A30" s="151">
        <f>Intro!C29</f>
        <v>2007</v>
      </c>
      <c r="B30" s="148"/>
      <c r="C30" s="202">
        <v>0</v>
      </c>
      <c r="D30" s="184"/>
      <c r="E30" s="202">
        <v>0</v>
      </c>
      <c r="F30" s="183"/>
      <c r="G30" s="184">
        <f>'e7'!I27 - 'e7'!O27</f>
        <v>0</v>
      </c>
      <c r="H30" s="167"/>
      <c r="I30" s="185">
        <f>1 / [1]!ldfsir(prxsldfs, prldf_ages, prxsldf_type, prxsldf_ret, Intro!$Y29, "Rept", Intro!$H29, prldf_cutoff, 3)</f>
        <v>0.74702881966568357</v>
      </c>
      <c r="J30" s="167"/>
      <c r="K30" s="185">
        <f>1 / [1]!ldfsir(prxsldfs, prldf_ages, prxsldf_type, prxsldf_ret, Intro!$AA29, "Rept", Intro!$H29, prldf_cutoff, 3)</f>
        <v>0.75489044071854994</v>
      </c>
      <c r="L30" s="167"/>
      <c r="M30" s="220">
        <f t="shared" si="0"/>
        <v>0</v>
      </c>
      <c r="N30" s="183"/>
      <c r="O30" s="183">
        <f t="shared" si="1"/>
        <v>0</v>
      </c>
      <c r="P30" s="183"/>
      <c r="Q30" s="183">
        <f t="shared" si="2"/>
        <v>0</v>
      </c>
      <c r="R30" s="167"/>
      <c r="S30" s="220">
        <f>'e2.2'!U29</f>
        <v>0</v>
      </c>
      <c r="T30" s="167"/>
      <c r="U30" s="184">
        <f t="shared" si="3"/>
        <v>0</v>
      </c>
      <c r="W30" s="1" t="b">
        <v>1</v>
      </c>
      <c r="X30" s="651"/>
      <c r="AF30" s="253"/>
    </row>
    <row r="31" spans="1:32" x14ac:dyDescent="0.2">
      <c r="A31" s="151">
        <f>Intro!C30</f>
        <v>2008</v>
      </c>
      <c r="B31" s="148"/>
      <c r="C31" s="202">
        <v>0</v>
      </c>
      <c r="D31" s="184"/>
      <c r="E31" s="202">
        <v>0</v>
      </c>
      <c r="F31" s="183"/>
      <c r="G31" s="184">
        <f>'e7'!I28 - 'e7'!O28</f>
        <v>0</v>
      </c>
      <c r="H31" s="167"/>
      <c r="I31" s="185">
        <f>1 / [1]!ldfsir(prxsldfs, prldf_ages, prxsldf_type, prxsldf_ret, Intro!$Y30, "Rept", Intro!$H30, prldf_cutoff, 3)</f>
        <v>0.75577903256878387</v>
      </c>
      <c r="J31" s="167"/>
      <c r="K31" s="185">
        <f>1 / [1]!ldfsir(prxsldfs, prldf_ages, prxsldf_type, prxsldf_ret, Intro!$AA30, "Rept", Intro!$H30, prldf_cutoff, 3)</f>
        <v>0.76196239979630465</v>
      </c>
      <c r="L31" s="167"/>
      <c r="M31" s="220">
        <f t="shared" si="0"/>
        <v>0</v>
      </c>
      <c r="N31" s="183"/>
      <c r="O31" s="183">
        <f t="shared" si="1"/>
        <v>0</v>
      </c>
      <c r="P31" s="183"/>
      <c r="Q31" s="183">
        <f t="shared" si="2"/>
        <v>0</v>
      </c>
      <c r="R31" s="167"/>
      <c r="S31" s="220">
        <f>'e2.2'!U30</f>
        <v>0</v>
      </c>
      <c r="T31" s="167"/>
      <c r="U31" s="184">
        <f t="shared" si="3"/>
        <v>0</v>
      </c>
      <c r="W31" s="1" t="b">
        <v>1</v>
      </c>
      <c r="X31" s="651"/>
      <c r="AF31" s="253"/>
    </row>
    <row r="32" spans="1:32" x14ac:dyDescent="0.2">
      <c r="A32" s="151">
        <f>Intro!C31</f>
        <v>2009</v>
      </c>
      <c r="B32" s="148"/>
      <c r="C32" s="202">
        <v>83743.280000000028</v>
      </c>
      <c r="D32" s="184"/>
      <c r="E32" s="202">
        <v>83743.280000000028</v>
      </c>
      <c r="F32" s="183"/>
      <c r="G32" s="184">
        <f>'e7'!I29 - 'e7'!O29</f>
        <v>83743.280000000028</v>
      </c>
      <c r="H32" s="167"/>
      <c r="I32" s="185">
        <f>1 / [1]!ldfsir(prxsldfs, prldf_ages, prxsldf_type, prxsldf_ret, Intro!$Y31, "Rept", Intro!$H31, prldf_cutoff, 3)</f>
        <v>0.74234356905452858</v>
      </c>
      <c r="J32" s="167"/>
      <c r="K32" s="185">
        <f>1 / [1]!ldfsir(prxsldfs, prldf_ages, prxsldf_type, prxsldf_ret, Intro!$AA31, "Rept", Intro!$H31, prldf_cutoff, 3)</f>
        <v>0.74916522441147293</v>
      </c>
      <c r="L32" s="167"/>
      <c r="M32" s="220">
        <f t="shared" si="0"/>
        <v>0</v>
      </c>
      <c r="N32" s="183"/>
      <c r="O32" s="183">
        <f t="shared" si="1"/>
        <v>0</v>
      </c>
      <c r="P32" s="183"/>
      <c r="Q32" s="183">
        <f t="shared" si="2"/>
        <v>0</v>
      </c>
      <c r="R32" s="167"/>
      <c r="S32" s="220">
        <f>'e2.2'!U31</f>
        <v>83743.280000000028</v>
      </c>
      <c r="T32" s="167"/>
      <c r="U32" s="184">
        <f t="shared" si="3"/>
        <v>0</v>
      </c>
      <c r="W32" s="1" t="b">
        <v>1</v>
      </c>
      <c r="X32" s="651"/>
      <c r="AF32" s="253"/>
    </row>
    <row r="33" spans="1:32" x14ac:dyDescent="0.2">
      <c r="A33" s="151">
        <f>Intro!C32</f>
        <v>2010</v>
      </c>
      <c r="B33" s="148"/>
      <c r="C33" s="202">
        <v>0</v>
      </c>
      <c r="D33" s="184"/>
      <c r="E33" s="202">
        <v>0</v>
      </c>
      <c r="F33" s="183"/>
      <c r="G33" s="184">
        <f>'e7'!I30 - 'e7'!O30</f>
        <v>0</v>
      </c>
      <c r="H33" s="167"/>
      <c r="I33" s="185">
        <f>1 / [1]!ldfsir(prxsldfs, prldf_ages, prxsldf_type, prxsldf_ret, Intro!$Y32, "Rept", Intro!$H32, prldf_cutoff, 3)</f>
        <v>0.72849962754445052</v>
      </c>
      <c r="J33" s="167"/>
      <c r="K33" s="185">
        <f>1 / [1]!ldfsir(prxsldfs, prldf_ages, prxsldf_type, prxsldf_ret, Intro!$AA32, "Rept", Intro!$H32, prldf_cutoff, 3)</f>
        <v>0.73548376223957634</v>
      </c>
      <c r="L33" s="167"/>
      <c r="M33" s="220">
        <f t="shared" si="0"/>
        <v>0</v>
      </c>
      <c r="N33" s="183"/>
      <c r="O33" s="183">
        <f t="shared" si="1"/>
        <v>0</v>
      </c>
      <c r="P33" s="183"/>
      <c r="Q33" s="183">
        <f t="shared" si="2"/>
        <v>0</v>
      </c>
      <c r="R33" s="167"/>
      <c r="S33" s="220">
        <f>'e2.2'!U32</f>
        <v>0</v>
      </c>
      <c r="T33" s="167"/>
      <c r="U33" s="184">
        <f t="shared" si="3"/>
        <v>0</v>
      </c>
      <c r="W33" s="1" t="b">
        <v>1</v>
      </c>
      <c r="X33" s="651"/>
      <c r="AF33" s="253"/>
    </row>
    <row r="34" spans="1:32" x14ac:dyDescent="0.2">
      <c r="A34" s="151">
        <f>Intro!C33</f>
        <v>2011</v>
      </c>
      <c r="B34" s="148"/>
      <c r="C34" s="202">
        <v>0</v>
      </c>
      <c r="D34" s="184"/>
      <c r="E34" s="202">
        <v>0</v>
      </c>
      <c r="F34" s="183"/>
      <c r="G34" s="184">
        <f>'e7'!I31 - 'e7'!O31</f>
        <v>0</v>
      </c>
      <c r="H34" s="167"/>
      <c r="I34" s="185">
        <f>1 / [1]!ldfsir(prxsldfs, prldf_ages, prxsldf_type, prxsldf_ret, Intro!$Y33, "Rept", Intro!$H33, prldf_cutoff, 3)</f>
        <v>0.71281649845826289</v>
      </c>
      <c r="J34" s="167"/>
      <c r="K34" s="185">
        <f>1 / [1]!ldfsir(prxsldfs, prldf_ages, prxsldf_type, prxsldf_ret, Intro!$AA33, "Rept", Intro!$H33, prldf_cutoff, 3)</f>
        <v>0.72080228188209383</v>
      </c>
      <c r="L34" s="167"/>
      <c r="M34" s="220">
        <f t="shared" si="0"/>
        <v>0</v>
      </c>
      <c r="N34" s="183"/>
      <c r="O34" s="183">
        <f t="shared" si="1"/>
        <v>0</v>
      </c>
      <c r="P34" s="183"/>
      <c r="Q34" s="183">
        <f t="shared" si="2"/>
        <v>0</v>
      </c>
      <c r="R34" s="167"/>
      <c r="S34" s="220">
        <f>'e2.2'!U33</f>
        <v>0</v>
      </c>
      <c r="T34" s="167"/>
      <c r="U34" s="184">
        <f t="shared" si="3"/>
        <v>0</v>
      </c>
      <c r="W34" s="1" t="b">
        <v>1</v>
      </c>
      <c r="X34" s="651"/>
      <c r="AF34" s="253"/>
    </row>
    <row r="35" spans="1:32" x14ac:dyDescent="0.2">
      <c r="A35" s="151">
        <f>Intro!C34</f>
        <v>2012</v>
      </c>
      <c r="B35" s="148"/>
      <c r="C35" s="202">
        <v>40000</v>
      </c>
      <c r="D35" s="184"/>
      <c r="E35" s="202">
        <v>0</v>
      </c>
      <c r="F35" s="183"/>
      <c r="G35" s="184">
        <f>'e7'!I32 - 'e7'!O32</f>
        <v>0</v>
      </c>
      <c r="H35" s="167"/>
      <c r="I35" s="185">
        <f>1 / [1]!ldfsir(prxsldfs, prldf_ages, prxsldf_type, prxsldf_ret, Intro!$Y34, "Rept", Intro!$H34, prldf_cutoff, 3)</f>
        <v>0.69812367710221113</v>
      </c>
      <c r="J35" s="167"/>
      <c r="K35" s="185">
        <f>1 / [1]!ldfsir(prxsldfs, prldf_ages, prxsldf_type, prxsldf_ret, Intro!$AA34, "Rept", Intro!$H34, prldf_cutoff, 3)</f>
        <v>0.70546071265743249</v>
      </c>
      <c r="L35" s="167"/>
      <c r="M35" s="220">
        <f t="shared" si="0"/>
        <v>0</v>
      </c>
      <c r="N35" s="183"/>
      <c r="O35" s="183">
        <f t="shared" si="1"/>
        <v>972.19092703810077</v>
      </c>
      <c r="P35" s="183"/>
      <c r="Q35" s="183">
        <f t="shared" si="2"/>
        <v>-972.19092703810077</v>
      </c>
      <c r="R35" s="167"/>
      <c r="S35" s="220">
        <f>'e2.2'!U34</f>
        <v>35000</v>
      </c>
      <c r="T35" s="167"/>
      <c r="U35" s="184">
        <f t="shared" si="3"/>
        <v>-5000</v>
      </c>
      <c r="W35" s="1" t="b">
        <v>1</v>
      </c>
      <c r="X35" s="651"/>
      <c r="AF35" s="253"/>
    </row>
    <row r="36" spans="1:32" x14ac:dyDescent="0.2">
      <c r="A36" s="151">
        <f>Intro!C35</f>
        <v>2013</v>
      </c>
      <c r="B36" s="148"/>
      <c r="C36" s="202">
        <v>112762.23507478493</v>
      </c>
      <c r="D36" s="184"/>
      <c r="E36" s="202">
        <v>64053.230000000447</v>
      </c>
      <c r="F36" s="183"/>
      <c r="G36" s="184">
        <f>'e7'!I33 - 'e7'!O33</f>
        <v>64795.240000000689</v>
      </c>
      <c r="H36" s="167"/>
      <c r="I36" s="185">
        <f>1 / [1]!ldfsir(prxsldfs, prldf_ages, prxsldf_type, prxsldf_ret, Intro!$Y35, "Rept", Intro!$H35, prldf_cutoff, 3)</f>
        <v>0.67710111895033098</v>
      </c>
      <c r="J36" s="167"/>
      <c r="K36" s="185">
        <f>1 / [1]!ldfsir(prxsldfs, prldf_ages, prxsldf_type, prxsldf_ret, Intro!$AA35, "Rept", Intro!$H35, prldf_cutoff, 3)</f>
        <v>0.68801110814506405</v>
      </c>
      <c r="L36" s="167"/>
      <c r="M36" s="220">
        <f t="shared" si="0"/>
        <v>742.01000000024214</v>
      </c>
      <c r="N36" s="183"/>
      <c r="O36" s="183">
        <f t="shared" si="1"/>
        <v>1645.7620333789689</v>
      </c>
      <c r="P36" s="183"/>
      <c r="Q36" s="183">
        <f t="shared" si="2"/>
        <v>-903.75203337872676</v>
      </c>
      <c r="R36" s="167"/>
      <c r="S36" s="220">
        <f ca="1">'e2.2'!U35</f>
        <v>107945.99851457874</v>
      </c>
      <c r="T36" s="167"/>
      <c r="U36" s="184">
        <f t="shared" ca="1" si="3"/>
        <v>-4816.2365602061909</v>
      </c>
      <c r="W36" s="1" t="b">
        <v>1</v>
      </c>
      <c r="X36" s="651"/>
      <c r="AF36" s="253"/>
    </row>
    <row r="37" spans="1:32" x14ac:dyDescent="0.2">
      <c r="A37" s="151">
        <f>Intro!C36</f>
        <v>2014</v>
      </c>
      <c r="B37" s="148"/>
      <c r="C37" s="202">
        <v>0</v>
      </c>
      <c r="D37" s="184"/>
      <c r="E37" s="202">
        <v>0</v>
      </c>
      <c r="F37" s="183"/>
      <c r="G37" s="184">
        <f>'e7'!I34 - 'e7'!O34</f>
        <v>0</v>
      </c>
      <c r="H37" s="167"/>
      <c r="I37" s="185">
        <f>1 / [1]!ldfsir(prxsldfs, prldf_ages, prxsldf_type, prxsldf_ret, Intro!$Y36, "Rept", Intro!$H36, prldf_cutoff, 3)</f>
        <v>0.65265392347432216</v>
      </c>
      <c r="J37" s="167"/>
      <c r="K37" s="185">
        <f>1 / [1]!ldfsir(prxsldfs, prldf_ages, prxsldf_type, prxsldf_ret, Intro!$AA36, "Rept", Intro!$H36, prldf_cutoff, 3)</f>
        <v>0.66511956322330679</v>
      </c>
      <c r="L37" s="167"/>
      <c r="M37" s="220">
        <f t="shared" si="0"/>
        <v>0</v>
      </c>
      <c r="N37" s="183"/>
      <c r="O37" s="183">
        <f t="shared" si="1"/>
        <v>0</v>
      </c>
      <c r="P37" s="183"/>
      <c r="Q37" s="183">
        <f t="shared" si="2"/>
        <v>0</v>
      </c>
      <c r="R37" s="167"/>
      <c r="S37" s="220">
        <f>'e2.2'!U36</f>
        <v>0</v>
      </c>
      <c r="T37" s="167"/>
      <c r="U37" s="184">
        <f t="shared" si="3"/>
        <v>0</v>
      </c>
      <c r="W37" s="1" t="b">
        <v>1</v>
      </c>
      <c r="X37" s="651"/>
      <c r="AF37" s="253"/>
    </row>
    <row r="38" spans="1:32" x14ac:dyDescent="0.2">
      <c r="A38" s="151">
        <f>Intro!C37</f>
        <v>2015</v>
      </c>
      <c r="B38" s="148"/>
      <c r="C38" s="202">
        <v>86003.708767984863</v>
      </c>
      <c r="D38" s="184"/>
      <c r="E38" s="202">
        <v>0</v>
      </c>
      <c r="F38" s="183"/>
      <c r="G38" s="184">
        <f>'e7'!I35 - 'e7'!O35</f>
        <v>0</v>
      </c>
      <c r="H38" s="167"/>
      <c r="I38" s="185">
        <f>1 / [1]!ldfsir(prxsldfs, prldf_ages, prxsldf_type, prxsldf_ret, Intro!$Y37, "Rept", Intro!$H37, prldf_cutoff, 3)</f>
        <v>0.61913902345654115</v>
      </c>
      <c r="J38" s="167"/>
      <c r="K38" s="185">
        <f>1 / [1]!ldfsir(prxsldfs, prldf_ages, prxsldf_type, prxsldf_ret, Intro!$AA37, "Rept", Intro!$H37, prldf_cutoff, 3)</f>
        <v>0.63650075358806157</v>
      </c>
      <c r="L38" s="167"/>
      <c r="M38" s="220">
        <f t="shared" si="0"/>
        <v>0</v>
      </c>
      <c r="N38" s="183"/>
      <c r="O38" s="183">
        <f t="shared" si="1"/>
        <v>3920.5202787932485</v>
      </c>
      <c r="P38" s="183"/>
      <c r="Q38" s="183">
        <f t="shared" si="2"/>
        <v>-3920.5202787932485</v>
      </c>
      <c r="R38" s="167"/>
      <c r="S38" s="220">
        <f ca="1">'e2.2'!U37</f>
        <v>95278.348827948561</v>
      </c>
      <c r="T38" s="167"/>
      <c r="U38" s="184">
        <f t="shared" ca="1" si="3"/>
        <v>9274.6400599636981</v>
      </c>
      <c r="W38" s="1" t="b">
        <v>1</v>
      </c>
      <c r="X38" s="651"/>
      <c r="AF38" s="253"/>
    </row>
    <row r="39" spans="1:32" x14ac:dyDescent="0.2">
      <c r="A39" s="151">
        <f>Intro!C38</f>
        <v>2016</v>
      </c>
      <c r="B39" s="148"/>
      <c r="C39" s="202">
        <v>101558.97878108876</v>
      </c>
      <c r="D39" s="184"/>
      <c r="E39" s="202">
        <v>0</v>
      </c>
      <c r="F39" s="183"/>
      <c r="G39" s="184">
        <f>'e7'!I36 - 'e7'!O36</f>
        <v>0</v>
      </c>
      <c r="H39" s="167"/>
      <c r="I39" s="185">
        <f>1 / [1]!ldfsir(prxsldfs, prldf_ages, prxsldf_type, prxsldf_ret, Intro!$Y38, "Rept", Intro!$H38, prldf_cutoff, 3)</f>
        <v>0.57528648955634443</v>
      </c>
      <c r="J39" s="167"/>
      <c r="K39" s="185">
        <f>1 / [1]!ldfsir(prxsldfs, prldf_ages, prxsldf_type, prxsldf_ret, Intro!$AA38, "Rept", Intro!$H38, prldf_cutoff, 3)</f>
        <v>0.5914481361447963</v>
      </c>
      <c r="L39" s="167"/>
      <c r="M39" s="220">
        <f t="shared" si="0"/>
        <v>0</v>
      </c>
      <c r="N39" s="183"/>
      <c r="O39" s="183">
        <f t="shared" si="1"/>
        <v>3864.6294091974491</v>
      </c>
      <c r="P39" s="183"/>
      <c r="Q39" s="183">
        <f t="shared" si="2"/>
        <v>-3864.6294091974491</v>
      </c>
      <c r="R39" s="167"/>
      <c r="S39" s="220">
        <f ca="1">'e2.2'!U38</f>
        <v>101070.53576230325</v>
      </c>
      <c r="T39" s="167"/>
      <c r="U39" s="184">
        <f t="shared" ca="1" si="3"/>
        <v>-488.44301878551778</v>
      </c>
      <c r="W39" s="1" t="b">
        <v>1</v>
      </c>
      <c r="X39" s="651"/>
      <c r="AF39" s="253"/>
    </row>
    <row r="40" spans="1:32" x14ac:dyDescent="0.2">
      <c r="A40" s="151">
        <f>Intro!C39</f>
        <v>2017</v>
      </c>
      <c r="B40" s="148"/>
      <c r="C40" s="202">
        <v>164391.26954195849</v>
      </c>
      <c r="D40" s="184"/>
      <c r="E40" s="202">
        <v>0</v>
      </c>
      <c r="F40" s="183"/>
      <c r="G40" s="184">
        <f>'e7'!I37 - 'e7'!O37</f>
        <v>0</v>
      </c>
      <c r="H40" s="167"/>
      <c r="I40" s="185">
        <f>1 / [1]!ldfsir(prxsldfs, prldf_ages, prxsldf_type, prxsldf_ret, Intro!$Y39, "Rept", Intro!$H39, prldf_cutoff, 3)</f>
        <v>0.4350277749852558</v>
      </c>
      <c r="J40" s="167"/>
      <c r="K40" s="185">
        <f>1 / [1]!ldfsir(prxsldfs, prldf_ages, prxsldf_type, prxsldf_ret, Intro!$AA39, "Rept", Intro!$H39, prldf_cutoff, 3)</f>
        <v>0.5122222143360432</v>
      </c>
      <c r="L40" s="167"/>
      <c r="M40" s="220">
        <f t="shared" si="0"/>
        <v>0</v>
      </c>
      <c r="N40" s="183"/>
      <c r="O40" s="183">
        <f t="shared" si="1"/>
        <v>22461.443810135061</v>
      </c>
      <c r="P40" s="183"/>
      <c r="Q40" s="183">
        <f t="shared" si="2"/>
        <v>-22461.443810135061</v>
      </c>
      <c r="R40" s="167"/>
      <c r="S40" s="220">
        <f ca="1">'e2.2'!U39</f>
        <v>157976.96184336001</v>
      </c>
      <c r="T40" s="167"/>
      <c r="U40" s="184">
        <f t="shared" ca="1" si="3"/>
        <v>-6414.3076985984808</v>
      </c>
      <c r="W40" s="1" t="b">
        <v>1</v>
      </c>
      <c r="X40" s="651"/>
      <c r="AF40" s="253"/>
    </row>
    <row r="41" spans="1:32" x14ac:dyDescent="0.2">
      <c r="A41" s="151">
        <f>Intro!C40</f>
        <v>2018</v>
      </c>
      <c r="B41" s="148"/>
      <c r="C41" s="202">
        <v>675782.04570368212</v>
      </c>
      <c r="D41" s="184"/>
      <c r="E41" s="202">
        <v>0</v>
      </c>
      <c r="F41" s="183"/>
      <c r="G41" s="184">
        <f>'e7'!I38 - 'e7'!O38</f>
        <v>0</v>
      </c>
      <c r="H41" s="167"/>
      <c r="I41" s="185">
        <f>1 / [1]!ldfsir(prxsldfs, prldf_ages, prxsldf_type, prxsldf_ret, Intro!$Y40, "Rept", Intro!$H40, prldf_cutoff, 3)</f>
        <v>0.2925841024736287</v>
      </c>
      <c r="J41" s="167"/>
      <c r="K41" s="185">
        <f>1 / [1]!ldfsir(prxsldfs, prldf_ages, prxsldf_type, prxsldf_ret, Intro!$AA40, "Rept", Intro!$H40, prldf_cutoff, 3)</f>
        <v>0.38260518133369598</v>
      </c>
      <c r="L41" s="167"/>
      <c r="M41" s="220">
        <f t="shared" si="0"/>
        <v>0</v>
      </c>
      <c r="N41" s="183"/>
      <c r="O41" s="183">
        <f t="shared" si="1"/>
        <v>85995.563629867305</v>
      </c>
      <c r="P41" s="183"/>
      <c r="Q41" s="183">
        <f t="shared" si="2"/>
        <v>-85995.563629867305</v>
      </c>
      <c r="R41" s="167"/>
      <c r="S41" s="220">
        <f ca="1">'e2.2'!U40</f>
        <v>649880.95355622564</v>
      </c>
      <c r="T41" s="167"/>
      <c r="U41" s="184">
        <f t="shared" ca="1" si="3"/>
        <v>-25901.092147456482</v>
      </c>
      <c r="W41" s="1" t="b">
        <v>1</v>
      </c>
      <c r="X41" s="651"/>
      <c r="AF41" s="253"/>
    </row>
    <row r="42" spans="1:32" x14ac:dyDescent="0.2">
      <c r="A42" s="151">
        <f>Intro!C41</f>
        <v>2019</v>
      </c>
      <c r="B42" s="148"/>
      <c r="C42" s="202">
        <v>935402.3572680275</v>
      </c>
      <c r="D42" s="184"/>
      <c r="E42" s="202">
        <v>0</v>
      </c>
      <c r="F42" s="183"/>
      <c r="G42" s="221">
        <f>'e7'!I39 - 'e7'!O39</f>
        <v>0</v>
      </c>
      <c r="H42" s="167"/>
      <c r="I42" s="185">
        <f>1 / [1]!ldfsir(prxsldfs, prldf_ages, prxsldf_type, prxsldf_ret, Intro!$Y41, "Rept", Intro!$H41, prldf_cutoff, 3)</f>
        <v>1.1732464368480603E-2</v>
      </c>
      <c r="J42" s="167"/>
      <c r="K42" s="185">
        <f>1 / [1]!ldfsir(prxsldfs, prldf_ages, prxsldf_type, prxsldf_ret, Intro!$AA41, "Rept", Intro!$H41, prldf_cutoff, 3)</f>
        <v>0.13505370107642722</v>
      </c>
      <c r="L42" s="167"/>
      <c r="M42" s="220">
        <f t="shared" si="0"/>
        <v>0</v>
      </c>
      <c r="N42" s="183"/>
      <c r="O42" s="183">
        <f t="shared" si="1"/>
        <v>116724.44086115601</v>
      </c>
      <c r="P42" s="183"/>
      <c r="Q42" s="183">
        <f t="shared" si="2"/>
        <v>-116724.44086115601</v>
      </c>
      <c r="R42" s="167"/>
      <c r="S42" s="220">
        <f ca="1">'e2.2'!U41</f>
        <v>899578.17834159406</v>
      </c>
      <c r="T42" s="167"/>
      <c r="U42" s="184">
        <f t="shared" ca="1" si="3"/>
        <v>-35824.178926433437</v>
      </c>
      <c r="W42" s="1" t="b">
        <v>1</v>
      </c>
      <c r="X42" s="651"/>
      <c r="AF42" s="253"/>
    </row>
    <row r="43" spans="1:32" x14ac:dyDescent="0.2">
      <c r="A43" s="151"/>
      <c r="B43" s="148"/>
      <c r="C43" s="186"/>
      <c r="D43" s="184"/>
      <c r="E43" s="186"/>
      <c r="F43" s="183"/>
      <c r="G43" s="187"/>
      <c r="H43" s="167"/>
      <c r="I43" s="188"/>
      <c r="J43" s="167"/>
      <c r="K43" s="189"/>
      <c r="L43" s="167"/>
      <c r="M43" s="186"/>
      <c r="N43" s="183"/>
      <c r="O43" s="186"/>
      <c r="P43" s="183"/>
      <c r="Q43" s="186"/>
      <c r="R43" s="167"/>
      <c r="S43" s="186"/>
      <c r="T43" s="167"/>
      <c r="U43" s="186"/>
    </row>
    <row r="44" spans="1:32" x14ac:dyDescent="0.2">
      <c r="A44" s="151" t="s">
        <v>78</v>
      </c>
      <c r="B44" s="148"/>
      <c r="C44" s="205">
        <f>SUM(C19:C43)</f>
        <v>8453556.2964818813</v>
      </c>
      <c r="D44" s="184"/>
      <c r="E44" s="205">
        <f>SUM(E19:E43)</f>
        <v>5637352.8300000001</v>
      </c>
      <c r="F44" s="183"/>
      <c r="G44" s="205">
        <f>SUM(G19:G43)</f>
        <v>5638094.8400000017</v>
      </c>
      <c r="H44" s="167"/>
      <c r="I44" s="188"/>
      <c r="J44" s="167"/>
      <c r="K44" s="189"/>
      <c r="L44" s="167"/>
      <c r="M44" s="205">
        <f>SUM(M19:M43)</f>
        <v>742.01000000117347</v>
      </c>
      <c r="N44" s="183"/>
      <c r="O44" s="205">
        <f>SUM(O19:O43)</f>
        <v>239627.05631964587</v>
      </c>
      <c r="P44" s="183"/>
      <c r="Q44" s="205">
        <f>SUM(Q19:Q43)</f>
        <v>-238885.04631964469</v>
      </c>
      <c r="R44" s="167"/>
      <c r="S44" s="205">
        <f ca="1">SUM(S19:S43)</f>
        <v>8381554.3356388398</v>
      </c>
      <c r="T44" s="167"/>
      <c r="U44" s="205">
        <f ca="1">SUM(U19:U43)</f>
        <v>-72001.96084304314</v>
      </c>
    </row>
    <row r="45" spans="1:32" x14ac:dyDescent="0.2">
      <c r="A45" s="151"/>
      <c r="B45" s="148"/>
      <c r="C45" s="190"/>
      <c r="D45" s="184"/>
      <c r="E45" s="191"/>
      <c r="F45" s="183"/>
      <c r="G45" s="184"/>
      <c r="H45" s="167"/>
      <c r="I45" s="188"/>
      <c r="J45" s="167"/>
      <c r="K45" s="189"/>
      <c r="L45" s="167"/>
      <c r="M45" s="183"/>
      <c r="N45" s="183"/>
      <c r="O45" s="183"/>
      <c r="P45" s="183"/>
      <c r="Q45" s="183"/>
      <c r="R45" s="167"/>
      <c r="S45" s="167"/>
      <c r="T45" s="167"/>
      <c r="U45" s="184"/>
      <c r="V45" s="182"/>
    </row>
    <row r="46" spans="1:32" x14ac:dyDescent="0.2">
      <c r="A46" s="151"/>
      <c r="B46" s="148"/>
      <c r="C46" s="190"/>
      <c r="D46" s="184"/>
      <c r="E46" s="191"/>
      <c r="F46" s="183"/>
      <c r="G46" s="184"/>
      <c r="H46" s="167"/>
      <c r="I46" s="188"/>
      <c r="J46" s="167"/>
      <c r="K46" s="189"/>
      <c r="L46" s="167"/>
      <c r="M46" s="183"/>
      <c r="N46" s="183"/>
      <c r="O46" s="183"/>
      <c r="P46" s="183"/>
      <c r="Q46" s="183"/>
      <c r="R46" s="167"/>
      <c r="S46" s="183"/>
      <c r="T46" s="167"/>
      <c r="U46" s="184"/>
      <c r="V46" s="182"/>
    </row>
    <row r="47" spans="1:32" x14ac:dyDescent="0.2">
      <c r="A47" s="200" t="s">
        <v>258</v>
      </c>
      <c r="B47" s="148"/>
      <c r="C47" s="190"/>
      <c r="D47" s="184"/>
      <c r="E47" s="191"/>
      <c r="F47" s="183"/>
      <c r="G47" s="184"/>
      <c r="H47" s="167"/>
      <c r="I47" s="188"/>
      <c r="J47" s="167"/>
      <c r="K47" s="189"/>
      <c r="L47" s="167"/>
      <c r="M47" s="183"/>
      <c r="N47" s="183"/>
      <c r="O47" s="183"/>
      <c r="P47" s="183"/>
      <c r="Q47" s="183"/>
      <c r="R47" s="167"/>
      <c r="S47" s="167"/>
      <c r="T47" s="167"/>
      <c r="U47" s="184"/>
      <c r="V47" s="182"/>
    </row>
    <row r="48" spans="1:32" x14ac:dyDescent="0.2">
      <c r="A48" s="151"/>
      <c r="B48" s="148"/>
      <c r="C48" s="190"/>
      <c r="D48" s="184"/>
      <c r="E48" s="191"/>
      <c r="F48" s="183"/>
      <c r="G48" s="184"/>
      <c r="H48" s="167"/>
      <c r="I48" s="188"/>
      <c r="J48" s="167"/>
      <c r="K48" s="189"/>
      <c r="L48" s="167"/>
      <c r="N48" s="183"/>
      <c r="O48" s="183"/>
      <c r="P48" s="183"/>
      <c r="Q48" s="183"/>
      <c r="R48" s="167"/>
      <c r="S48" s="167"/>
      <c r="T48" s="167"/>
      <c r="U48" s="184"/>
      <c r="V48" s="182"/>
    </row>
    <row r="49" spans="1:24" ht="12.75" customHeight="1" x14ac:dyDescent="0.2">
      <c r="A49" s="167"/>
      <c r="B49" s="167"/>
      <c r="C49" s="168" t="s">
        <v>105</v>
      </c>
      <c r="D49" s="175"/>
      <c r="E49" s="168"/>
      <c r="F49" s="167"/>
      <c r="G49" s="175"/>
      <c r="H49" s="167"/>
      <c r="I49" s="167"/>
      <c r="J49" s="167"/>
      <c r="K49" s="167"/>
      <c r="L49" s="167"/>
      <c r="M49" s="168" t="s">
        <v>242</v>
      </c>
      <c r="N49" s="167"/>
      <c r="O49" s="168" t="s">
        <v>244</v>
      </c>
      <c r="P49" s="167"/>
      <c r="R49" s="167"/>
      <c r="S49" s="168" t="s">
        <v>105</v>
      </c>
      <c r="T49" s="167"/>
      <c r="U49" s="167"/>
      <c r="V49" s="167"/>
      <c r="W49"/>
    </row>
    <row r="50" spans="1:24" ht="12.75" customHeight="1" x14ac:dyDescent="0.2">
      <c r="A50" s="181" t="str">
        <f>A14</f>
        <v>Policy</v>
      </c>
      <c r="B50" s="148"/>
      <c r="C50" s="168" t="s">
        <v>245</v>
      </c>
      <c r="D50" s="175"/>
      <c r="E50" s="167"/>
      <c r="F50" s="167"/>
      <c r="G50" s="175"/>
      <c r="H50" s="167"/>
      <c r="I50" s="170" t="s">
        <v>246</v>
      </c>
      <c r="J50" s="170"/>
      <c r="K50" s="170"/>
      <c r="L50" s="167"/>
      <c r="M50" s="168" t="s">
        <v>243</v>
      </c>
      <c r="N50" s="167"/>
      <c r="O50" s="168" t="s">
        <v>243</v>
      </c>
      <c r="P50" s="167"/>
      <c r="Q50" s="169" t="s">
        <v>242</v>
      </c>
      <c r="R50" s="167"/>
      <c r="S50" s="168" t="s">
        <v>245</v>
      </c>
      <c r="T50" s="167"/>
      <c r="U50" s="170" t="s">
        <v>248</v>
      </c>
      <c r="V50" s="167"/>
      <c r="W50"/>
    </row>
    <row r="51" spans="1:24" ht="12.75" customHeight="1" x14ac:dyDescent="0.2">
      <c r="A51" s="181" t="str">
        <f>A15</f>
        <v>Period</v>
      </c>
      <c r="B51" s="148"/>
      <c r="C51" s="171" t="s">
        <v>249</v>
      </c>
      <c r="D51" s="175"/>
      <c r="E51" s="172" t="s">
        <v>259</v>
      </c>
      <c r="F51" s="172"/>
      <c r="G51" s="192"/>
      <c r="H51" s="167"/>
      <c r="I51" s="172" t="s">
        <v>260</v>
      </c>
      <c r="J51" s="172"/>
      <c r="K51" s="172"/>
      <c r="L51" s="167"/>
      <c r="M51" s="168" t="s">
        <v>75</v>
      </c>
      <c r="N51" s="167"/>
      <c r="O51" s="168" t="s">
        <v>75</v>
      </c>
      <c r="P51" s="167"/>
      <c r="Q51" s="170" t="s">
        <v>247</v>
      </c>
      <c r="R51" s="167"/>
      <c r="S51" s="171" t="s">
        <v>249</v>
      </c>
      <c r="T51" s="167"/>
      <c r="U51" s="174" t="s">
        <v>245</v>
      </c>
      <c r="V51" s="167"/>
      <c r="W51" s="45" t="s">
        <v>172</v>
      </c>
      <c r="X51" s="45"/>
    </row>
    <row r="52" spans="1:24" ht="12.75" customHeight="1" x14ac:dyDescent="0.2">
      <c r="A52" s="176" t="str">
        <f>A16</f>
        <v>Ending 9/30</v>
      </c>
      <c r="B52" s="148"/>
      <c r="C52" s="177" t="str">
        <f>C16</f>
        <v>10/31/18</v>
      </c>
      <c r="D52" s="175"/>
      <c r="E52" s="177" t="str">
        <f>E16</f>
        <v>10/31/18</v>
      </c>
      <c r="F52" s="178"/>
      <c r="G52" s="177" t="str">
        <f>G16</f>
        <v>4/30/19</v>
      </c>
      <c r="H52" s="178"/>
      <c r="I52" s="177" t="str">
        <f>I16</f>
        <v>10/31/18</v>
      </c>
      <c r="J52" s="178"/>
      <c r="K52" s="177" t="str">
        <f>K16</f>
        <v>4/30/19</v>
      </c>
      <c r="L52" s="167"/>
      <c r="M52" s="173" t="str">
        <f>M16</f>
        <v>10/18-4/19</v>
      </c>
      <c r="N52" s="167"/>
      <c r="O52" s="173" t="str">
        <f>O16</f>
        <v>10/18-4/19</v>
      </c>
      <c r="P52" s="167"/>
      <c r="Q52" s="208" t="s">
        <v>244</v>
      </c>
      <c r="R52" s="167"/>
      <c r="S52" s="179" t="str">
        <f>S16</f>
        <v>4/30/19</v>
      </c>
      <c r="T52" s="167"/>
      <c r="U52" s="180" t="s">
        <v>252</v>
      </c>
      <c r="V52" s="167"/>
      <c r="W52" s="108" t="s">
        <v>661</v>
      </c>
      <c r="X52" s="108" t="s">
        <v>505</v>
      </c>
    </row>
    <row r="53" spans="1:24" ht="12.75" customHeight="1" x14ac:dyDescent="0.2">
      <c r="A53" s="181"/>
      <c r="B53" s="148"/>
      <c r="C53" s="169" t="s">
        <v>253</v>
      </c>
      <c r="D53" s="175"/>
      <c r="E53" s="169" t="s">
        <v>254</v>
      </c>
      <c r="F53" s="167"/>
      <c r="G53" s="193" t="s">
        <v>255</v>
      </c>
      <c r="H53" s="167"/>
      <c r="I53" s="169" t="s">
        <v>256</v>
      </c>
      <c r="J53" s="167"/>
      <c r="K53" s="169" t="s">
        <v>257</v>
      </c>
      <c r="L53" s="167"/>
      <c r="M53" s="169" t="s">
        <v>232</v>
      </c>
      <c r="N53" s="167"/>
      <c r="O53" s="169" t="s">
        <v>233</v>
      </c>
      <c r="P53" s="167"/>
      <c r="Q53" s="169" t="s">
        <v>234</v>
      </c>
      <c r="R53" s="167"/>
      <c r="S53" s="169" t="s">
        <v>235</v>
      </c>
      <c r="T53" s="167"/>
      <c r="U53" s="169" t="s">
        <v>236</v>
      </c>
      <c r="V53" s="167"/>
    </row>
    <row r="54" spans="1:24" ht="12.75" customHeight="1" x14ac:dyDescent="0.2">
      <c r="A54" s="181"/>
      <c r="B54" s="148"/>
      <c r="C54" s="169"/>
      <c r="D54" s="175"/>
      <c r="E54" s="214"/>
      <c r="F54" s="167"/>
      <c r="G54" s="193"/>
      <c r="H54" s="167"/>
      <c r="I54" s="169"/>
      <c r="J54" s="167"/>
      <c r="K54" s="169"/>
      <c r="L54" s="167"/>
      <c r="M54" s="169"/>
      <c r="N54" s="167"/>
      <c r="O54" s="169"/>
      <c r="P54" s="167"/>
      <c r="Q54" s="169"/>
      <c r="R54" s="167"/>
      <c r="S54" s="167"/>
      <c r="T54" s="167"/>
      <c r="U54" s="169"/>
      <c r="V54" s="167"/>
    </row>
    <row r="55" spans="1:24" ht="12.75" customHeight="1" x14ac:dyDescent="0.2">
      <c r="A55" s="168">
        <f t="shared" ref="A55:A78" si="4">A19</f>
        <v>1996</v>
      </c>
      <c r="B55" s="148"/>
      <c r="C55" s="213">
        <f t="shared" ref="C55:C78" si="5">C19</f>
        <v>141454.19999999995</v>
      </c>
      <c r="D55" s="175"/>
      <c r="E55" s="204">
        <v>141454.19999999995</v>
      </c>
      <c r="F55" s="167"/>
      <c r="G55" s="207">
        <f>'e7'!E16-'e7'!K16</f>
        <v>141454.19999999995</v>
      </c>
      <c r="H55" s="167"/>
      <c r="I55" s="185">
        <f>1 / [1]!ldfsir(prxsldfs, prldf_ages, prxsldf_type, prxsldf_ret, Intro!$Y18, "Paid", Intro!$H18, prldf_cutoff, 3)</f>
        <v>0.86414669177181058</v>
      </c>
      <c r="J55" s="167"/>
      <c r="K55" s="185">
        <f>1 / [1]!ldfsir(prxsldfs, prldf_ages, prxsldf_type, prxsldf_ret, Intro!$AA18, "Paid", Intro!$H18, prldf_cutoff, 3)</f>
        <v>0.86414669177181058</v>
      </c>
      <c r="L55" s="167"/>
      <c r="M55" s="206">
        <f>G55-E55</f>
        <v>0</v>
      </c>
      <c r="N55" s="183"/>
      <c r="O55" s="215">
        <f>IF(I55=1,0,((C55-E55)/(1-I55))*(K55-I55))</f>
        <v>0</v>
      </c>
      <c r="P55" s="183"/>
      <c r="Q55" s="215">
        <f>M55-O55</f>
        <v>0</v>
      </c>
      <c r="R55" s="167"/>
      <c r="S55" s="206">
        <f t="shared" ref="S55:S78" si="6">S19</f>
        <v>141454.19999999995</v>
      </c>
      <c r="T55" s="167"/>
      <c r="U55" s="215">
        <f t="shared" ref="U55:U78" si="7">U19</f>
        <v>0</v>
      </c>
      <c r="V55" s="167"/>
      <c r="W55" s="1" t="b">
        <v>1</v>
      </c>
    </row>
    <row r="56" spans="1:24" ht="12.75" customHeight="1" x14ac:dyDescent="0.2">
      <c r="A56" s="168">
        <f t="shared" si="4"/>
        <v>1997</v>
      </c>
      <c r="B56" s="148"/>
      <c r="C56" s="212">
        <f t="shared" si="5"/>
        <v>169167</v>
      </c>
      <c r="D56" s="175"/>
      <c r="E56" s="202">
        <v>169167</v>
      </c>
      <c r="F56" s="167"/>
      <c r="G56" s="184">
        <f>'e7'!E17-'e7'!K17</f>
        <v>169167</v>
      </c>
      <c r="H56" s="167"/>
      <c r="I56" s="185">
        <f>1 / [1]!ldfsir(prxsldfs, prldf_ages, prxsldf_type, prxsldf_ret, Intro!$Y19, "Paid", Intro!$H19, prldf_cutoff, 3)</f>
        <v>0.85006774162167265</v>
      </c>
      <c r="J56" s="167"/>
      <c r="K56" s="185">
        <f>1 / [1]!ldfsir(prxsldfs, prldf_ages, prxsldf_type, prxsldf_ret, Intro!$AA19, "Paid", Intro!$H19, prldf_cutoff, 3)</f>
        <v>0.85006774162167265</v>
      </c>
      <c r="L56" s="167"/>
      <c r="M56" s="183">
        <f t="shared" ref="M56:M76" si="8">G56-E56</f>
        <v>0</v>
      </c>
      <c r="N56" s="183"/>
      <c r="O56" s="194">
        <f t="shared" ref="O56:O76" si="9">IF(I56=1,0,((C56-E56)/(1-I56))*(K56-I56))</f>
        <v>0</v>
      </c>
      <c r="P56" s="183"/>
      <c r="Q56" s="194">
        <f t="shared" ref="Q56:Q76" si="10">M56-O56</f>
        <v>0</v>
      </c>
      <c r="R56" s="167"/>
      <c r="S56" s="183">
        <f t="shared" si="6"/>
        <v>169167</v>
      </c>
      <c r="T56" s="167"/>
      <c r="U56" s="194">
        <f t="shared" si="7"/>
        <v>0</v>
      </c>
      <c r="V56" s="167"/>
      <c r="W56" s="1" t="b">
        <v>1</v>
      </c>
    </row>
    <row r="57" spans="1:24" ht="12.75" customHeight="1" x14ac:dyDescent="0.2">
      <c r="A57" s="168">
        <f t="shared" si="4"/>
        <v>1998</v>
      </c>
      <c r="B57" s="148"/>
      <c r="C57" s="212">
        <f t="shared" si="5"/>
        <v>161876.62629242678</v>
      </c>
      <c r="D57" s="175"/>
      <c r="E57" s="202">
        <v>149905</v>
      </c>
      <c r="F57" s="167"/>
      <c r="G57" s="184">
        <f>'e7'!E18-'e7'!K18</f>
        <v>149905</v>
      </c>
      <c r="H57" s="167"/>
      <c r="I57" s="185">
        <f>1 / [1]!ldfsir(prxsldfs, prldf_ages, prxsldf_type, prxsldf_ret, Intro!$Y20, "Paid", Intro!$H20, prldf_cutoff, 3)</f>
        <v>0.83478128602143531</v>
      </c>
      <c r="J57" s="167"/>
      <c r="K57" s="185">
        <f>1 / [1]!ldfsir(prxsldfs, prldf_ages, prxsldf_type, prxsldf_ret, Intro!$AA20, "Paid", Intro!$H20, prldf_cutoff, 3)</f>
        <v>0.83478128602143531</v>
      </c>
      <c r="L57" s="167"/>
      <c r="M57" s="183">
        <f t="shared" si="8"/>
        <v>0</v>
      </c>
      <c r="N57" s="183"/>
      <c r="O57" s="194">
        <f t="shared" si="9"/>
        <v>0</v>
      </c>
      <c r="P57" s="183"/>
      <c r="Q57" s="194">
        <f t="shared" si="10"/>
        <v>0</v>
      </c>
      <c r="R57" s="167"/>
      <c r="S57" s="183">
        <f t="shared" si="6"/>
        <v>161876.62629242678</v>
      </c>
      <c r="T57" s="167"/>
      <c r="U57" s="194">
        <f t="shared" si="7"/>
        <v>0</v>
      </c>
      <c r="V57" s="167"/>
      <c r="W57" s="1" t="b">
        <v>1</v>
      </c>
    </row>
    <row r="58" spans="1:24" ht="12.75" customHeight="1" x14ac:dyDescent="0.2">
      <c r="A58" s="168">
        <f t="shared" si="4"/>
        <v>1999</v>
      </c>
      <c r="B58" s="167"/>
      <c r="C58" s="212">
        <f t="shared" si="5"/>
        <v>1541697.1766595847</v>
      </c>
      <c r="D58" s="184"/>
      <c r="E58" s="202">
        <v>1235926.8500000001</v>
      </c>
      <c r="F58" s="183"/>
      <c r="G58" s="184">
        <f>'e7'!E19-'e7'!K19</f>
        <v>1235926.8500000001</v>
      </c>
      <c r="H58" s="167"/>
      <c r="I58" s="185">
        <f>1 / [1]!ldfsir(prxsldfs, prldf_ages, prxsldf_type, prxsldf_ret, Intro!$Y21, "Paid", Intro!$H21, prldf_cutoff, 3)</f>
        <v>0.81824193713991122</v>
      </c>
      <c r="J58" s="167"/>
      <c r="K58" s="185">
        <f>1 / [1]!ldfsir(prxsldfs, prldf_ages, prxsldf_type, prxsldf_ret, Intro!$AA21, "Paid", Intro!$H21, prldf_cutoff, 3)</f>
        <v>0.81824193713991122</v>
      </c>
      <c r="L58" s="188"/>
      <c r="M58" s="183">
        <f t="shared" si="8"/>
        <v>0</v>
      </c>
      <c r="N58" s="183"/>
      <c r="O58" s="194">
        <f t="shared" si="9"/>
        <v>0</v>
      </c>
      <c r="P58" s="183"/>
      <c r="Q58" s="194">
        <f t="shared" si="10"/>
        <v>0</v>
      </c>
      <c r="R58" s="167"/>
      <c r="S58" s="183">
        <f t="shared" si="6"/>
        <v>1541697.1766595847</v>
      </c>
      <c r="T58" s="167"/>
      <c r="U58" s="194">
        <f t="shared" si="7"/>
        <v>0</v>
      </c>
      <c r="V58" s="167"/>
      <c r="W58" s="1" t="b">
        <v>1</v>
      </c>
    </row>
    <row r="59" spans="1:24" ht="12.75" customHeight="1" x14ac:dyDescent="0.2">
      <c r="A59" s="168">
        <f t="shared" si="4"/>
        <v>2000</v>
      </c>
      <c r="B59" s="167"/>
      <c r="C59" s="212">
        <f t="shared" si="5"/>
        <v>1314362.4618561231</v>
      </c>
      <c r="D59" s="184"/>
      <c r="E59" s="202">
        <v>513125.2200000002</v>
      </c>
      <c r="F59" s="183"/>
      <c r="G59" s="184">
        <f>'e7'!E20-'e7'!K20</f>
        <v>513125.2200000002</v>
      </c>
      <c r="H59" s="167"/>
      <c r="I59" s="185">
        <f>1 / [1]!ldfsir(prxsldfs, prldf_ages, prxsldf_type, prxsldf_ret, Intro!$Y22, "Paid", Intro!$H22, prldf_cutoff, 3)</f>
        <v>0.80041840613291471</v>
      </c>
      <c r="J59" s="167"/>
      <c r="K59" s="185">
        <f>1 / [1]!ldfsir(prxsldfs, prldf_ages, prxsldf_type, prxsldf_ret, Intro!$AA22, "Paid", Intro!$H22, prldf_cutoff, 3)</f>
        <v>0.80041840613291471</v>
      </c>
      <c r="L59" s="188"/>
      <c r="M59" s="183">
        <f t="shared" si="8"/>
        <v>0</v>
      </c>
      <c r="N59" s="183"/>
      <c r="O59" s="194">
        <f t="shared" si="9"/>
        <v>0</v>
      </c>
      <c r="P59" s="183"/>
      <c r="Q59" s="194">
        <f t="shared" si="10"/>
        <v>0</v>
      </c>
      <c r="R59" s="167"/>
      <c r="S59" s="183">
        <f t="shared" si="6"/>
        <v>1314362.4618561231</v>
      </c>
      <c r="T59" s="167"/>
      <c r="U59" s="194">
        <f t="shared" si="7"/>
        <v>0</v>
      </c>
      <c r="V59" s="167"/>
      <c r="W59" s="1" t="b">
        <v>1</v>
      </c>
    </row>
    <row r="60" spans="1:24" ht="12.75" customHeight="1" x14ac:dyDescent="0.2">
      <c r="A60" s="168">
        <f t="shared" si="4"/>
        <v>2001</v>
      </c>
      <c r="B60" s="167"/>
      <c r="C60" s="212">
        <f t="shared" si="5"/>
        <v>289652</v>
      </c>
      <c r="D60" s="184"/>
      <c r="E60" s="202">
        <v>289652</v>
      </c>
      <c r="F60" s="183"/>
      <c r="G60" s="184">
        <f>'e7'!E21-'e7'!K21</f>
        <v>289652</v>
      </c>
      <c r="H60" s="167"/>
      <c r="I60" s="185">
        <f>1 / [1]!ldfsir(prxsldfs, prldf_ages, prxsldf_type, prxsldf_ret, Intro!$Y23, "Paid", Intro!$H23, prldf_cutoff, 3)</f>
        <v>0.78129869704595478</v>
      </c>
      <c r="J60" s="167"/>
      <c r="K60" s="185">
        <f>1 / [1]!ldfsir(prxsldfs, prldf_ages, prxsldf_type, prxsldf_ret, Intro!$AA23, "Paid", Intro!$H23, prldf_cutoff, 3)</f>
        <v>0.78129869704595478</v>
      </c>
      <c r="L60" s="188"/>
      <c r="M60" s="183">
        <f t="shared" si="8"/>
        <v>0</v>
      </c>
      <c r="N60" s="183"/>
      <c r="O60" s="194">
        <f t="shared" si="9"/>
        <v>0</v>
      </c>
      <c r="P60" s="183"/>
      <c r="Q60" s="194">
        <f t="shared" si="10"/>
        <v>0</v>
      </c>
      <c r="R60" s="167"/>
      <c r="S60" s="183">
        <f t="shared" si="6"/>
        <v>289652</v>
      </c>
      <c r="T60" s="167"/>
      <c r="U60" s="194">
        <f t="shared" si="7"/>
        <v>0</v>
      </c>
      <c r="V60" s="167"/>
      <c r="W60" s="1" t="b">
        <v>1</v>
      </c>
    </row>
    <row r="61" spans="1:24" ht="12.75" customHeight="1" x14ac:dyDescent="0.2">
      <c r="A61" s="168">
        <f t="shared" si="4"/>
        <v>2002</v>
      </c>
      <c r="B61" s="167"/>
      <c r="C61" s="212">
        <f t="shared" si="5"/>
        <v>1587524.3727029616</v>
      </c>
      <c r="D61" s="184"/>
      <c r="E61" s="202">
        <v>866577.4700000002</v>
      </c>
      <c r="F61" s="183"/>
      <c r="G61" s="184">
        <f>'e7'!E22-'e7'!K22</f>
        <v>866577.4700000002</v>
      </c>
      <c r="H61" s="167"/>
      <c r="I61" s="185">
        <f>1 / [1]!ldfsir(prxsldfs, prldf_ages, prxsldf_type, prxsldf_ret, Intro!$Y24, "Paid", Intro!$H24, prldf_cutoff, 3)</f>
        <v>0.76089640834158179</v>
      </c>
      <c r="J61" s="167"/>
      <c r="K61" s="185">
        <f>1 / [1]!ldfsir(prxsldfs, prldf_ages, prxsldf_type, prxsldf_ret, Intro!$AA24, "Paid", Intro!$H24, prldf_cutoff, 3)</f>
        <v>0.76089640834158179</v>
      </c>
      <c r="L61" s="188"/>
      <c r="M61" s="183">
        <f t="shared" si="8"/>
        <v>0</v>
      </c>
      <c r="N61" s="183"/>
      <c r="O61" s="194">
        <f t="shared" si="9"/>
        <v>0</v>
      </c>
      <c r="P61" s="183"/>
      <c r="Q61" s="194">
        <f t="shared" si="10"/>
        <v>0</v>
      </c>
      <c r="R61" s="167"/>
      <c r="S61" s="183">
        <f t="shared" si="6"/>
        <v>1587524.3727029616</v>
      </c>
      <c r="T61" s="167"/>
      <c r="U61" s="194">
        <f t="shared" si="7"/>
        <v>0</v>
      </c>
      <c r="V61" s="167"/>
      <c r="W61" s="1" t="b">
        <v>1</v>
      </c>
    </row>
    <row r="62" spans="1:24" ht="12.75" customHeight="1" x14ac:dyDescent="0.2">
      <c r="A62" s="168">
        <f t="shared" si="4"/>
        <v>2003</v>
      </c>
      <c r="B62" s="167"/>
      <c r="C62" s="212">
        <f t="shared" si="5"/>
        <v>256580.59999999986</v>
      </c>
      <c r="D62" s="184"/>
      <c r="E62" s="202">
        <v>256580.59999999986</v>
      </c>
      <c r="F62" s="183"/>
      <c r="G62" s="184">
        <f>'e7'!E23-'e7'!K23</f>
        <v>256580.59999999986</v>
      </c>
      <c r="H62" s="167"/>
      <c r="I62" s="185">
        <f>1 / [1]!ldfsir(prxsldfs, prldf_ages, prxsldf_type, prxsldf_ret, Intro!$Y25, "Paid", Intro!$H25, prldf_cutoff, 3)</f>
        <v>0.77629867059566138</v>
      </c>
      <c r="J62" s="167"/>
      <c r="K62" s="185">
        <f>1 / [1]!ldfsir(prxsldfs, prldf_ages, prxsldf_type, prxsldf_ret, Intro!$AA25, "Paid", Intro!$H25, prldf_cutoff, 3)</f>
        <v>0.7862029389225007</v>
      </c>
      <c r="L62" s="188"/>
      <c r="M62" s="184">
        <f t="shared" si="8"/>
        <v>0</v>
      </c>
      <c r="N62" s="183"/>
      <c r="O62" s="194">
        <f t="shared" si="9"/>
        <v>0</v>
      </c>
      <c r="P62" s="183"/>
      <c r="Q62" s="194">
        <f t="shared" si="10"/>
        <v>0</v>
      </c>
      <c r="R62" s="167"/>
      <c r="S62" s="183">
        <f t="shared" si="6"/>
        <v>256580.59999999986</v>
      </c>
      <c r="T62" s="167"/>
      <c r="U62" s="194">
        <f t="shared" si="7"/>
        <v>0</v>
      </c>
      <c r="V62" s="167"/>
      <c r="W62" s="1" t="b">
        <v>1</v>
      </c>
      <c r="X62" s="651"/>
    </row>
    <row r="63" spans="1:24" ht="12.75" customHeight="1" x14ac:dyDescent="0.2">
      <c r="A63" s="168">
        <f t="shared" si="4"/>
        <v>2004</v>
      </c>
      <c r="B63" s="167"/>
      <c r="C63" s="212">
        <f t="shared" si="5"/>
        <v>480930.40383325907</v>
      </c>
      <c r="D63" s="184"/>
      <c r="E63" s="202">
        <v>239360.8600000008</v>
      </c>
      <c r="F63" s="183"/>
      <c r="G63" s="184">
        <f>'e7'!E24-'e7'!K24</f>
        <v>239360.8600000008</v>
      </c>
      <c r="H63" s="167"/>
      <c r="I63" s="185">
        <f>1 / [1]!ldfsir(prxsldfs, prldf_ages, prxsldf_type, prxsldf_ret, Intro!$Y26, "Paid", Intro!$H26, prldf_cutoff, 3)</f>
        <v>0.7342901777752282</v>
      </c>
      <c r="J63" s="167"/>
      <c r="K63" s="185">
        <f>1 / [1]!ldfsir(prxsldfs, prldf_ages, prxsldf_type, prxsldf_ret, Intro!$AA26, "Paid", Intro!$H26, prldf_cutoff, 3)</f>
        <v>0.74536602139421648</v>
      </c>
      <c r="L63" s="188"/>
      <c r="M63" s="183">
        <f t="shared" si="8"/>
        <v>0</v>
      </c>
      <c r="N63" s="183"/>
      <c r="O63" s="194">
        <f t="shared" si="9"/>
        <v>10069.580673401473</v>
      </c>
      <c r="P63" s="183"/>
      <c r="Q63" s="194">
        <f t="shared" si="10"/>
        <v>-10069.580673401473</v>
      </c>
      <c r="R63" s="167"/>
      <c r="S63" s="183">
        <f t="shared" ca="1" si="6"/>
        <v>478098.06128173234</v>
      </c>
      <c r="T63" s="167"/>
      <c r="U63" s="194">
        <f t="shared" ca="1" si="7"/>
        <v>-2832.3425515267299</v>
      </c>
      <c r="V63" s="167"/>
      <c r="W63" s="1" t="b">
        <v>1</v>
      </c>
      <c r="X63" s="651"/>
    </row>
    <row r="64" spans="1:24" ht="12.75" customHeight="1" x14ac:dyDescent="0.2">
      <c r="A64" s="168">
        <f t="shared" si="4"/>
        <v>2005</v>
      </c>
      <c r="B64" s="167"/>
      <c r="C64" s="212">
        <f t="shared" si="5"/>
        <v>0</v>
      </c>
      <c r="D64" s="175"/>
      <c r="E64" s="202">
        <v>0</v>
      </c>
      <c r="F64" s="183"/>
      <c r="G64" s="184">
        <f>'e7'!E25-'e7'!K25</f>
        <v>0</v>
      </c>
      <c r="H64" s="167"/>
      <c r="I64" s="185">
        <f>1 / [1]!ldfsir(prxsldfs, prldf_ages, prxsldf_type, prxsldf_ret, Intro!$Y27, "Paid", Intro!$H27, prldf_cutoff, 3)</f>
        <v>0.71329863710695962</v>
      </c>
      <c r="J64" s="167"/>
      <c r="K64" s="185">
        <f>1 / [1]!ldfsir(prxsldfs, prldf_ages, prxsldf_type, prxsldf_ret, Intro!$AA27, "Paid", Intro!$H27, prldf_cutoff, 3)</f>
        <v>0.72385156682784624</v>
      </c>
      <c r="L64" s="188"/>
      <c r="M64" s="183">
        <f t="shared" si="8"/>
        <v>0</v>
      </c>
      <c r="N64" s="183"/>
      <c r="O64" s="194">
        <f t="shared" si="9"/>
        <v>0</v>
      </c>
      <c r="P64" s="183"/>
      <c r="Q64" s="194">
        <f t="shared" si="10"/>
        <v>0</v>
      </c>
      <c r="R64" s="167"/>
      <c r="S64" s="183">
        <f t="shared" si="6"/>
        <v>0</v>
      </c>
      <c r="T64" s="167"/>
      <c r="U64" s="194">
        <f t="shared" si="7"/>
        <v>0</v>
      </c>
      <c r="V64" s="167"/>
      <c r="W64" s="1" t="b">
        <v>1</v>
      </c>
      <c r="X64" s="651"/>
    </row>
    <row r="65" spans="1:24" ht="12.75" customHeight="1" x14ac:dyDescent="0.2">
      <c r="A65" s="168">
        <f t="shared" si="4"/>
        <v>2006</v>
      </c>
      <c r="B65" s="167"/>
      <c r="C65" s="212">
        <f t="shared" si="5"/>
        <v>310667.57999999984</v>
      </c>
      <c r="D65" s="184"/>
      <c r="E65" s="202">
        <v>310667.57999999984</v>
      </c>
      <c r="F65" s="183"/>
      <c r="G65" s="184">
        <f>'e7'!E26-'e7'!K26</f>
        <v>310667.57999999984</v>
      </c>
      <c r="H65" s="167"/>
      <c r="I65" s="185">
        <f>1 / [1]!ldfsir(prxsldfs, prldf_ages, prxsldf_type, prxsldf_ret, Intro!$Y28, "Paid", Intro!$H28, prldf_cutoff, 3)</f>
        <v>0.69111680030326339</v>
      </c>
      <c r="J65" s="167"/>
      <c r="K65" s="185">
        <f>1 / [1]!ldfsir(prxsldfs, prldf_ages, prxsldf_type, prxsldf_ret, Intro!$AA28, "Paid", Intro!$H28, prldf_cutoff, 3)</f>
        <v>0.70237366291255821</v>
      </c>
      <c r="L65" s="188"/>
      <c r="M65" s="183">
        <f t="shared" si="8"/>
        <v>0</v>
      </c>
      <c r="N65" s="183"/>
      <c r="O65" s="194">
        <f t="shared" si="9"/>
        <v>0</v>
      </c>
      <c r="P65" s="183"/>
      <c r="Q65" s="194">
        <f t="shared" si="10"/>
        <v>0</v>
      </c>
      <c r="R65" s="167"/>
      <c r="S65" s="183">
        <f t="shared" si="6"/>
        <v>310667.57999999984</v>
      </c>
      <c r="T65" s="167"/>
      <c r="U65" s="194">
        <f t="shared" si="7"/>
        <v>0</v>
      </c>
      <c r="V65" s="167"/>
      <c r="W65" s="1" t="b">
        <v>1</v>
      </c>
      <c r="X65" s="651"/>
    </row>
    <row r="66" spans="1:24" ht="12.75" customHeight="1" x14ac:dyDescent="0.2">
      <c r="A66" s="168">
        <f t="shared" si="4"/>
        <v>2007</v>
      </c>
      <c r="B66" s="167"/>
      <c r="C66" s="212">
        <f t="shared" si="5"/>
        <v>0</v>
      </c>
      <c r="D66" s="184"/>
      <c r="E66" s="202">
        <v>0</v>
      </c>
      <c r="F66" s="183"/>
      <c r="G66" s="184">
        <f>'e7'!E27-'e7'!K27</f>
        <v>0</v>
      </c>
      <c r="H66" s="167"/>
      <c r="I66" s="185">
        <f>1 / [1]!ldfsir(prxsldfs, prldf_ages, prxsldf_type, prxsldf_ret, Intro!$Y29, "Paid", Intro!$H29, prldf_cutoff, 3)</f>
        <v>0.66853598816082227</v>
      </c>
      <c r="J66" s="167"/>
      <c r="K66" s="185">
        <f>1 / [1]!ldfsir(prxsldfs, prldf_ages, prxsldf_type, prxsldf_ret, Intro!$AA29, "Paid", Intro!$H29, prldf_cutoff, 3)</f>
        <v>0.67993589024959211</v>
      </c>
      <c r="L66" s="188"/>
      <c r="M66" s="183">
        <f t="shared" si="8"/>
        <v>0</v>
      </c>
      <c r="N66" s="183"/>
      <c r="O66" s="194">
        <f t="shared" si="9"/>
        <v>0</v>
      </c>
      <c r="P66" s="183"/>
      <c r="Q66" s="194">
        <f t="shared" si="10"/>
        <v>0</v>
      </c>
      <c r="R66" s="167"/>
      <c r="S66" s="183">
        <f t="shared" si="6"/>
        <v>0</v>
      </c>
      <c r="T66" s="167"/>
      <c r="U66" s="194">
        <f t="shared" si="7"/>
        <v>0</v>
      </c>
      <c r="V66" s="167"/>
      <c r="W66" s="1" t="b">
        <v>1</v>
      </c>
      <c r="X66" s="651"/>
    </row>
    <row r="67" spans="1:24" ht="12.75" customHeight="1" x14ac:dyDescent="0.2">
      <c r="A67" s="168">
        <f t="shared" si="4"/>
        <v>2008</v>
      </c>
      <c r="B67" s="167"/>
      <c r="C67" s="212">
        <f t="shared" si="5"/>
        <v>0</v>
      </c>
      <c r="D67" s="184"/>
      <c r="E67" s="202">
        <v>0</v>
      </c>
      <c r="F67" s="183"/>
      <c r="G67" s="184">
        <f>'e7'!E28-'e7'!K28</f>
        <v>0</v>
      </c>
      <c r="H67" s="167"/>
      <c r="I67" s="185">
        <f>1 / [1]!ldfsir(prxsldfs, prldf_ages, prxsldf_type, prxsldf_ret, Intro!$Y30, "Paid", Intro!$H30, prldf_cutoff, 3)</f>
        <v>0.70600782735408874</v>
      </c>
      <c r="J67" s="167"/>
      <c r="K67" s="185">
        <f>1 / [1]!ldfsir(prxsldfs, prldf_ages, prxsldf_type, prxsldf_ret, Intro!$AA30, "Paid", Intro!$H30, prldf_cutoff, 3)</f>
        <v>0.71588368219757204</v>
      </c>
      <c r="L67" s="188"/>
      <c r="M67" s="183">
        <f t="shared" si="8"/>
        <v>0</v>
      </c>
      <c r="N67" s="183"/>
      <c r="O67" s="194">
        <f t="shared" si="9"/>
        <v>0</v>
      </c>
      <c r="P67" s="183"/>
      <c r="Q67" s="194">
        <f t="shared" si="10"/>
        <v>0</v>
      </c>
      <c r="R67" s="167"/>
      <c r="S67" s="183">
        <f t="shared" si="6"/>
        <v>0</v>
      </c>
      <c r="T67" s="167"/>
      <c r="U67" s="194">
        <f t="shared" si="7"/>
        <v>0</v>
      </c>
      <c r="V67" s="167"/>
      <c r="W67" s="1" t="b">
        <v>1</v>
      </c>
      <c r="X67" s="651"/>
    </row>
    <row r="68" spans="1:24" ht="12.75" customHeight="1" x14ac:dyDescent="0.2">
      <c r="A68" s="168">
        <f t="shared" si="4"/>
        <v>2009</v>
      </c>
      <c r="B68" s="167"/>
      <c r="C68" s="212">
        <f t="shared" si="5"/>
        <v>83743.280000000028</v>
      </c>
      <c r="D68" s="184"/>
      <c r="E68" s="202">
        <v>83743.280000000028</v>
      </c>
      <c r="F68" s="183"/>
      <c r="G68" s="184">
        <f>'e7'!E29-'e7'!K29</f>
        <v>83743.280000000028</v>
      </c>
      <c r="H68" s="167"/>
      <c r="I68" s="185">
        <f>1 / [1]!ldfsir(prxsldfs, prldf_ages, prxsldf_type, prxsldf_ret, Intro!$Y31, "Paid", Intro!$H31, prldf_cutoff, 3)</f>
        <v>0.68304860573506898</v>
      </c>
      <c r="J68" s="167"/>
      <c r="K68" s="185">
        <f>1 / [1]!ldfsir(prxsldfs, prldf_ages, prxsldf_type, prxsldf_ret, Intro!$AA31, "Paid", Intro!$H31, prldf_cutoff, 3)</f>
        <v>0.6948004446428907</v>
      </c>
      <c r="L68" s="188"/>
      <c r="M68" s="183">
        <f t="shared" si="8"/>
        <v>0</v>
      </c>
      <c r="N68" s="183"/>
      <c r="O68" s="194">
        <f t="shared" si="9"/>
        <v>0</v>
      </c>
      <c r="P68" s="183"/>
      <c r="Q68" s="194">
        <f t="shared" si="10"/>
        <v>0</v>
      </c>
      <c r="R68" s="167"/>
      <c r="S68" s="183">
        <f t="shared" si="6"/>
        <v>83743.280000000028</v>
      </c>
      <c r="T68" s="167"/>
      <c r="U68" s="194">
        <f t="shared" si="7"/>
        <v>0</v>
      </c>
      <c r="V68" s="167"/>
      <c r="W68" s="1" t="b">
        <v>1</v>
      </c>
      <c r="X68" s="651"/>
    </row>
    <row r="69" spans="1:24" ht="12.75" customHeight="1" x14ac:dyDescent="0.2">
      <c r="A69" s="168">
        <f t="shared" si="4"/>
        <v>2010</v>
      </c>
      <c r="B69" s="167"/>
      <c r="C69" s="212">
        <f t="shared" si="5"/>
        <v>0</v>
      </c>
      <c r="D69" s="184"/>
      <c r="E69" s="202">
        <v>0</v>
      </c>
      <c r="F69" s="183"/>
      <c r="G69" s="184">
        <f>'e7'!E30-'e7'!K30</f>
        <v>0</v>
      </c>
      <c r="H69" s="167"/>
      <c r="I69" s="185">
        <f>1 / [1]!ldfsir(prxsldfs, prldf_ages, prxsldf_type, prxsldf_ret, Intro!$Y32, "Paid", Intro!$H32, prldf_cutoff, 3)</f>
        <v>0.65777185991768827</v>
      </c>
      <c r="J69" s="167"/>
      <c r="K69" s="185">
        <f>1 / [1]!ldfsir(prxsldfs, prldf_ages, prxsldf_type, prxsldf_ret, Intro!$AA32, "Paid", Intro!$H32, prldf_cutoff, 3)</f>
        <v>0.67062277880928389</v>
      </c>
      <c r="L69" s="188"/>
      <c r="M69" s="183">
        <f t="shared" si="8"/>
        <v>0</v>
      </c>
      <c r="N69" s="183"/>
      <c r="O69" s="194">
        <f t="shared" si="9"/>
        <v>0</v>
      </c>
      <c r="P69" s="183"/>
      <c r="Q69" s="194">
        <f t="shared" si="10"/>
        <v>0</v>
      </c>
      <c r="R69" s="167"/>
      <c r="S69" s="183">
        <f t="shared" si="6"/>
        <v>0</v>
      </c>
      <c r="T69" s="167"/>
      <c r="U69" s="194">
        <f t="shared" si="7"/>
        <v>0</v>
      </c>
      <c r="V69" s="167"/>
      <c r="W69" s="1" t="b">
        <v>1</v>
      </c>
      <c r="X69" s="651"/>
    </row>
    <row r="70" spans="1:24" ht="12.75" customHeight="1" x14ac:dyDescent="0.2">
      <c r="A70" s="168">
        <f t="shared" si="4"/>
        <v>2011</v>
      </c>
      <c r="B70" s="167"/>
      <c r="C70" s="212">
        <f t="shared" si="5"/>
        <v>0</v>
      </c>
      <c r="D70" s="184"/>
      <c r="E70" s="202">
        <v>0</v>
      </c>
      <c r="F70" s="183"/>
      <c r="G70" s="184">
        <f>'e7'!E31-'e7'!K31</f>
        <v>0</v>
      </c>
      <c r="H70" s="167"/>
      <c r="I70" s="185">
        <f>1 / [1]!ldfsir(prxsldfs, prldf_ages, prxsldf_type, prxsldf_ret, Intro!$Y33, "Paid", Intro!$H33, prldf_cutoff, 3)</f>
        <v>0.62790619883802323</v>
      </c>
      <c r="J70" s="167"/>
      <c r="K70" s="185">
        <f>1 / [1]!ldfsir(prxsldfs, prldf_ages, prxsldf_type, prxsldf_ret, Intro!$AA33, "Paid", Intro!$H33, prldf_cutoff, 3)</f>
        <v>0.64319525105251008</v>
      </c>
      <c r="L70" s="188"/>
      <c r="M70" s="183">
        <f t="shared" si="8"/>
        <v>0</v>
      </c>
      <c r="N70" s="183"/>
      <c r="O70" s="194">
        <f t="shared" si="9"/>
        <v>0</v>
      </c>
      <c r="P70" s="183"/>
      <c r="Q70" s="194">
        <f t="shared" si="10"/>
        <v>0</v>
      </c>
      <c r="R70" s="167"/>
      <c r="S70" s="183">
        <f t="shared" si="6"/>
        <v>0</v>
      </c>
      <c r="T70" s="167"/>
      <c r="U70" s="194">
        <f t="shared" si="7"/>
        <v>0</v>
      </c>
      <c r="V70" s="167"/>
      <c r="W70" s="1" t="b">
        <v>1</v>
      </c>
      <c r="X70" s="651"/>
    </row>
    <row r="71" spans="1:24" ht="12.75" customHeight="1" x14ac:dyDescent="0.2">
      <c r="A71" s="168">
        <f t="shared" si="4"/>
        <v>2012</v>
      </c>
      <c r="B71" s="167"/>
      <c r="C71" s="212">
        <f t="shared" si="5"/>
        <v>40000</v>
      </c>
      <c r="D71" s="184"/>
      <c r="E71" s="202">
        <v>0</v>
      </c>
      <c r="F71" s="183"/>
      <c r="G71" s="184">
        <f>'e7'!E32-'e7'!K32</f>
        <v>0</v>
      </c>
      <c r="H71" s="167"/>
      <c r="I71" s="185">
        <f>1 / [1]!ldfsir(prxsldfs, prldf_ages, prxsldf_type, prxsldf_ret, Intro!$Y34, "Paid", Intro!$H34, prldf_cutoff, 3)</f>
        <v>0.59985750451068154</v>
      </c>
      <c r="J71" s="167"/>
      <c r="K71" s="185">
        <f>1 / [1]!ldfsir(prxsldfs, prldf_ages, prxsldf_type, prxsldf_ret, Intro!$AA34, "Paid", Intro!$H34, prldf_cutoff, 3)</f>
        <v>0.61388004354751569</v>
      </c>
      <c r="L71" s="188"/>
      <c r="M71" s="183">
        <f t="shared" si="8"/>
        <v>0</v>
      </c>
      <c r="N71" s="183"/>
      <c r="O71" s="194">
        <f t="shared" si="9"/>
        <v>1401.7545444341308</v>
      </c>
      <c r="P71" s="183"/>
      <c r="Q71" s="194">
        <f t="shared" si="10"/>
        <v>-1401.7545444341308</v>
      </c>
      <c r="R71" s="167"/>
      <c r="S71" s="183">
        <f t="shared" si="6"/>
        <v>35000</v>
      </c>
      <c r="T71" s="167"/>
      <c r="U71" s="194">
        <f t="shared" si="7"/>
        <v>-5000</v>
      </c>
      <c r="V71" s="167"/>
      <c r="W71" s="1" t="b">
        <v>1</v>
      </c>
      <c r="X71" s="651"/>
    </row>
    <row r="72" spans="1:24" ht="12.75" customHeight="1" x14ac:dyDescent="0.2">
      <c r="A72" s="168">
        <f t="shared" si="4"/>
        <v>2013</v>
      </c>
      <c r="B72" s="167"/>
      <c r="C72" s="212">
        <f t="shared" si="5"/>
        <v>112762.23507478493</v>
      </c>
      <c r="D72" s="184"/>
      <c r="E72" s="202">
        <v>64053.229999999981</v>
      </c>
      <c r="F72" s="183"/>
      <c r="G72" s="184">
        <f>'e7'!E33-'e7'!K33</f>
        <v>64795.239999999525</v>
      </c>
      <c r="H72" s="167"/>
      <c r="I72" s="185">
        <f>1 / [1]!ldfsir(prxsldfs, prldf_ages, prxsldf_type, prxsldf_ret, Intro!$Y35, "Paid", Intro!$H35, prldf_cutoff, 3)</f>
        <v>0.57363143196000066</v>
      </c>
      <c r="J72" s="167"/>
      <c r="K72" s="185">
        <f>1 / [1]!ldfsir(prxsldfs, prldf_ages, prxsldf_type, prxsldf_ret, Intro!$AA35, "Paid", Intro!$H35, prldf_cutoff, 3)</f>
        <v>0.58674943289271098</v>
      </c>
      <c r="L72" s="188"/>
      <c r="M72" s="183">
        <f t="shared" si="8"/>
        <v>742.00999999954365</v>
      </c>
      <c r="N72" s="183"/>
      <c r="O72" s="194">
        <f t="shared" si="9"/>
        <v>1498.6207283987142</v>
      </c>
      <c r="P72" s="183"/>
      <c r="Q72" s="194">
        <f t="shared" si="10"/>
        <v>-756.61072839917051</v>
      </c>
      <c r="R72" s="167"/>
      <c r="S72" s="183">
        <f t="shared" ca="1" si="6"/>
        <v>107945.99851457874</v>
      </c>
      <c r="T72" s="167"/>
      <c r="U72" s="194">
        <f t="shared" ca="1" si="7"/>
        <v>-4816.2365602061909</v>
      </c>
      <c r="V72" s="167"/>
      <c r="W72" s="1" t="b">
        <v>1</v>
      </c>
      <c r="X72" s="651"/>
    </row>
    <row r="73" spans="1:24" ht="12.75" customHeight="1" x14ac:dyDescent="0.2">
      <c r="A73" s="168">
        <f t="shared" si="4"/>
        <v>2014</v>
      </c>
      <c r="B73" s="167"/>
      <c r="C73" s="212">
        <f t="shared" si="5"/>
        <v>0</v>
      </c>
      <c r="D73" s="184"/>
      <c r="E73" s="202">
        <v>0</v>
      </c>
      <c r="F73" s="183"/>
      <c r="G73" s="184">
        <f>'e7'!E34-'e7'!K34</f>
        <v>0</v>
      </c>
      <c r="H73" s="167"/>
      <c r="I73" s="185">
        <f>1 / [1]!ldfsir(prxsldfs, prldf_ages, prxsldf_type, prxsldf_ret, Intro!$Y36, "Paid", Intro!$H36, prldf_cutoff, 3)</f>
        <v>0.54490490154751725</v>
      </c>
      <c r="J73" s="167"/>
      <c r="K73" s="185">
        <f>1 / [1]!ldfsir(prxsldfs, prldf_ages, prxsldf_type, prxsldf_ret, Intro!$AA36, "Paid", Intro!$H36, prldf_cutoff, 3)</f>
        <v>0.55948013215532677</v>
      </c>
      <c r="L73" s="188"/>
      <c r="M73" s="183">
        <f t="shared" si="8"/>
        <v>0</v>
      </c>
      <c r="N73" s="183"/>
      <c r="O73" s="194">
        <f t="shared" si="9"/>
        <v>0</v>
      </c>
      <c r="P73" s="183"/>
      <c r="Q73" s="194">
        <f t="shared" si="10"/>
        <v>0</v>
      </c>
      <c r="R73" s="167"/>
      <c r="S73" s="183">
        <f t="shared" si="6"/>
        <v>0</v>
      </c>
      <c r="T73" s="167"/>
      <c r="U73" s="194">
        <f t="shared" si="7"/>
        <v>0</v>
      </c>
      <c r="V73" s="167"/>
      <c r="W73" s="1" t="b">
        <v>1</v>
      </c>
      <c r="X73" s="651"/>
    </row>
    <row r="74" spans="1:24" ht="12.75" customHeight="1" x14ac:dyDescent="0.2">
      <c r="A74" s="168">
        <f t="shared" si="4"/>
        <v>2015</v>
      </c>
      <c r="B74" s="167"/>
      <c r="C74" s="212">
        <f t="shared" si="5"/>
        <v>86003.708767984863</v>
      </c>
      <c r="D74" s="184"/>
      <c r="E74" s="202">
        <v>0</v>
      </c>
      <c r="F74" s="183"/>
      <c r="G74" s="184">
        <f>'e7'!E35-'e7'!K35</f>
        <v>0</v>
      </c>
      <c r="H74" s="167"/>
      <c r="I74" s="185">
        <f>1 / [1]!ldfsir(prxsldfs, prldf_ages, prxsldf_type, prxsldf_ret, Intro!$Y37, "Paid", Intro!$H37, prldf_cutoff, 3)</f>
        <v>0.5114750548185989</v>
      </c>
      <c r="J74" s="167"/>
      <c r="K74" s="185">
        <f>1 / [1]!ldfsir(prxsldfs, prldf_ages, prxsldf_type, prxsldf_ret, Intro!$AA37, "Paid", Intro!$H37, prldf_cutoff, 3)</f>
        <v>0.52849762804219469</v>
      </c>
      <c r="L74" s="188"/>
      <c r="M74" s="183">
        <f t="shared" si="8"/>
        <v>0</v>
      </c>
      <c r="N74" s="183"/>
      <c r="O74" s="194">
        <f t="shared" si="9"/>
        <v>2996.7854138138428</v>
      </c>
      <c r="P74" s="183"/>
      <c r="Q74" s="194">
        <f t="shared" si="10"/>
        <v>-2996.7854138138428</v>
      </c>
      <c r="R74" s="167"/>
      <c r="S74" s="183">
        <f t="shared" ca="1" si="6"/>
        <v>95278.348827948561</v>
      </c>
      <c r="T74" s="167"/>
      <c r="U74" s="194">
        <f t="shared" ca="1" si="7"/>
        <v>9274.6400599636981</v>
      </c>
      <c r="V74" s="167"/>
      <c r="W74" s="1" t="b">
        <v>1</v>
      </c>
      <c r="X74" s="651"/>
    </row>
    <row r="75" spans="1:24" ht="12.75" customHeight="1" x14ac:dyDescent="0.2">
      <c r="A75" s="168">
        <f t="shared" si="4"/>
        <v>2016</v>
      </c>
      <c r="B75" s="167"/>
      <c r="C75" s="212">
        <f t="shared" si="5"/>
        <v>101558.97878108876</v>
      </c>
      <c r="D75" s="184"/>
      <c r="E75" s="202">
        <v>0</v>
      </c>
      <c r="F75" s="183"/>
      <c r="G75" s="184">
        <f>'e7'!E36-'e7'!K36</f>
        <v>0</v>
      </c>
      <c r="H75" s="167"/>
      <c r="I75" s="185">
        <f>1 / [1]!ldfsir(prxsldfs, prldf_ages, prxsldf_type, prxsldf_ret, Intro!$Y38, "Paid", Intro!$H38, prldf_cutoff, 3)</f>
        <v>0.4215979606432031</v>
      </c>
      <c r="J75" s="167"/>
      <c r="K75" s="185">
        <f>1 / [1]!ldfsir(prxsldfs, prldf_ages, prxsldf_type, prxsldf_ret, Intro!$AA38, "Paid", Intro!$H38, prldf_cutoff, 3)</f>
        <v>0.4674948000730742</v>
      </c>
      <c r="L75" s="188"/>
      <c r="M75" s="183">
        <f t="shared" si="8"/>
        <v>0</v>
      </c>
      <c r="N75" s="183"/>
      <c r="O75" s="194">
        <f t="shared" si="9"/>
        <v>8058.8169207715346</v>
      </c>
      <c r="P75" s="183"/>
      <c r="Q75" s="194">
        <f t="shared" si="10"/>
        <v>-8058.8169207715346</v>
      </c>
      <c r="R75" s="167"/>
      <c r="S75" s="183">
        <f t="shared" ca="1" si="6"/>
        <v>101070.53576230325</v>
      </c>
      <c r="T75" s="167"/>
      <c r="U75" s="194">
        <f t="shared" ca="1" si="7"/>
        <v>-488.44301878551778</v>
      </c>
      <c r="V75" s="167"/>
      <c r="W75" s="1" t="b">
        <v>1</v>
      </c>
      <c r="X75" s="651"/>
    </row>
    <row r="76" spans="1:24" ht="12.75" customHeight="1" x14ac:dyDescent="0.2">
      <c r="A76" s="168">
        <f t="shared" si="4"/>
        <v>2017</v>
      </c>
      <c r="B76" s="167"/>
      <c r="C76" s="212">
        <f t="shared" si="5"/>
        <v>164391.26954195849</v>
      </c>
      <c r="D76" s="184"/>
      <c r="E76" s="202">
        <v>0</v>
      </c>
      <c r="F76" s="183"/>
      <c r="G76" s="184">
        <f>'e7'!E37-'e7'!K37</f>
        <v>0</v>
      </c>
      <c r="H76" s="167"/>
      <c r="I76" s="185">
        <f>1 / [1]!ldfsir(prxsldfs, prldf_ages, prxsldf_type, prxsldf_ret, Intro!$Y39, "Paid", Intro!$H39, prldf_cutoff, 3)</f>
        <v>0.31388373465904229</v>
      </c>
      <c r="J76" s="167"/>
      <c r="K76" s="185">
        <f>1 / [1]!ldfsir(prxsldfs, prldf_ages, prxsldf_type, prxsldf_ret, Intro!$AA39, "Paid", Intro!$H39, prldf_cutoff, 3)</f>
        <v>0.36838427263887658</v>
      </c>
      <c r="L76" s="188"/>
      <c r="M76" s="183">
        <f t="shared" si="8"/>
        <v>0</v>
      </c>
      <c r="N76" s="183"/>
      <c r="O76" s="194">
        <f t="shared" si="9"/>
        <v>13058.155128813927</v>
      </c>
      <c r="P76" s="183"/>
      <c r="Q76" s="194">
        <f t="shared" si="10"/>
        <v>-13058.155128813927</v>
      </c>
      <c r="R76" s="167"/>
      <c r="S76" s="183">
        <f t="shared" ca="1" si="6"/>
        <v>157976.96184336001</v>
      </c>
      <c r="T76" s="167"/>
      <c r="U76" s="194">
        <f t="shared" ca="1" si="7"/>
        <v>-6414.3076985984808</v>
      </c>
      <c r="V76" s="167"/>
      <c r="W76" s="1" t="b">
        <v>1</v>
      </c>
      <c r="X76" s="651"/>
    </row>
    <row r="77" spans="1:24" ht="12.75" customHeight="1" x14ac:dyDescent="0.2">
      <c r="A77" s="168">
        <f t="shared" si="4"/>
        <v>2018</v>
      </c>
      <c r="B77" s="167"/>
      <c r="C77" s="212">
        <f t="shared" si="5"/>
        <v>675782.04570368212</v>
      </c>
      <c r="D77" s="184"/>
      <c r="E77" s="202">
        <v>0</v>
      </c>
      <c r="F77" s="183"/>
      <c r="G77" s="184">
        <f>'e7'!E38-'e7'!K38</f>
        <v>0</v>
      </c>
      <c r="H77" s="167"/>
      <c r="I77" s="185">
        <f>1 / [1]!ldfsir(prxsldfs, prldf_ages, prxsldf_type, prxsldf_ret, Intro!$Y40, "Paid", Intro!$H40, prldf_cutoff, 3)</f>
        <v>0.13156096844727472</v>
      </c>
      <c r="J77" s="167"/>
      <c r="K77" s="185">
        <f>1 / [1]!ldfsir(prxsldfs, prldf_ages, prxsldf_type, prxsldf_ret, Intro!$AA40, "Paid", Intro!$H40, prldf_cutoff, 3)</f>
        <v>0.24957724072340517</v>
      </c>
      <c r="L77" s="188"/>
      <c r="M77" s="183">
        <f>G77-E77</f>
        <v>0</v>
      </c>
      <c r="N77" s="183"/>
      <c r="O77" s="194">
        <f>IF(I77=1,0,((C77-E77)/(1-I77))*(K77-I77))</f>
        <v>91835.206626412604</v>
      </c>
      <c r="P77" s="183"/>
      <c r="Q77" s="194">
        <f>M77-O77</f>
        <v>-91835.206626412604</v>
      </c>
      <c r="R77" s="167"/>
      <c r="S77" s="183">
        <f t="shared" ca="1" si="6"/>
        <v>649880.95355622564</v>
      </c>
      <c r="T77" s="167"/>
      <c r="U77" s="194">
        <f t="shared" ca="1" si="7"/>
        <v>-25901.092147456482</v>
      </c>
      <c r="V77" s="167"/>
      <c r="W77" s="1" t="b">
        <v>1</v>
      </c>
      <c r="X77" s="651"/>
    </row>
    <row r="78" spans="1:24" ht="12.75" customHeight="1" x14ac:dyDescent="0.2">
      <c r="A78" s="168">
        <f t="shared" si="4"/>
        <v>2019</v>
      </c>
      <c r="B78" s="167"/>
      <c r="C78" s="212">
        <f t="shared" si="5"/>
        <v>935402.3572680275</v>
      </c>
      <c r="D78" s="184"/>
      <c r="E78" s="202">
        <v>0</v>
      </c>
      <c r="F78" s="183"/>
      <c r="G78" s="184">
        <f>'e7'!E39-'e7'!K39</f>
        <v>0</v>
      </c>
      <c r="H78" s="167"/>
      <c r="I78" s="185">
        <f>1 / [1]!ldfsir(prxsldfs, prldf_ages, prxsldf_type, prxsldf_ret, Intro!$Y41, "Paid", Intro!$H41, prldf_cutoff, 3)</f>
        <v>8.87218323421725E-4</v>
      </c>
      <c r="J78" s="188"/>
      <c r="K78" s="185">
        <f>1 / [1]!ldfsir(prxsldfs, prldf_ages, prxsldf_type, prxsldf_ret, Intro!$AA41, "Paid", Intro!$H41, prldf_cutoff, 3)</f>
        <v>4.2454844774463381E-2</v>
      </c>
      <c r="L78" s="188"/>
      <c r="M78" s="183">
        <f>G78-E78</f>
        <v>0</v>
      </c>
      <c r="N78" s="183"/>
      <c r="O78" s="194">
        <f>IF(I78=1,0,((C78-E78)/(1-I78))*(K78-I78))</f>
        <v>38916.983629309405</v>
      </c>
      <c r="P78" s="183"/>
      <c r="Q78" s="194">
        <f>M78-O78</f>
        <v>-38916.983629309405</v>
      </c>
      <c r="R78" s="167"/>
      <c r="S78" s="183">
        <f t="shared" ca="1" si="6"/>
        <v>899578.17834159406</v>
      </c>
      <c r="T78" s="167"/>
      <c r="U78" s="194">
        <f t="shared" ca="1" si="7"/>
        <v>-35824.178926433437</v>
      </c>
      <c r="V78" s="167"/>
      <c r="W78" s="1" t="b">
        <v>1</v>
      </c>
      <c r="X78" s="651"/>
    </row>
    <row r="79" spans="1:24" ht="12.75" customHeight="1" x14ac:dyDescent="0.2">
      <c r="A79" s="151"/>
      <c r="B79" s="148"/>
      <c r="C79" s="186"/>
      <c r="D79" s="184"/>
      <c r="E79" s="186"/>
      <c r="F79" s="183"/>
      <c r="G79" s="186"/>
      <c r="H79" s="167"/>
      <c r="I79" s="188"/>
      <c r="J79" s="167"/>
      <c r="K79" s="189"/>
      <c r="L79" s="167"/>
      <c r="M79" s="186"/>
      <c r="N79" s="183"/>
      <c r="O79" s="186"/>
      <c r="P79" s="183"/>
      <c r="Q79" s="186"/>
      <c r="R79" s="167"/>
      <c r="S79" s="186"/>
      <c r="T79" s="167"/>
      <c r="U79" s="186"/>
      <c r="V79" s="182"/>
      <c r="W79"/>
    </row>
    <row r="80" spans="1:24" ht="12.75" customHeight="1" x14ac:dyDescent="0.2">
      <c r="A80" s="151" t="s">
        <v>78</v>
      </c>
      <c r="B80" s="148"/>
      <c r="C80" s="205">
        <f>SUM(C55:C79)</f>
        <v>8453556.2964818813</v>
      </c>
      <c r="D80" s="184"/>
      <c r="E80" s="205">
        <f>SUM(E55:E79)</f>
        <v>4320213.290000001</v>
      </c>
      <c r="F80" s="183"/>
      <c r="G80" s="205">
        <f>SUM(G55:G79)</f>
        <v>4320955.3000000007</v>
      </c>
      <c r="H80" s="167"/>
      <c r="I80" s="188"/>
      <c r="J80" s="167"/>
      <c r="K80" s="189"/>
      <c r="L80" s="167"/>
      <c r="M80" s="205">
        <f>SUM(M55:M79)</f>
        <v>742.00999999954365</v>
      </c>
      <c r="N80" s="183"/>
      <c r="O80" s="205">
        <f>SUM(O55:O79)</f>
        <v>167835.90366535564</v>
      </c>
      <c r="P80" s="183"/>
      <c r="Q80" s="205">
        <f>SUM(Q55:Q79)</f>
        <v>-167093.8936653561</v>
      </c>
      <c r="R80" s="167"/>
      <c r="S80" s="205">
        <f ca="1">SUM(S55:S79)</f>
        <v>8381554.3356388398</v>
      </c>
      <c r="T80" s="167"/>
      <c r="U80" s="205">
        <f ca="1">SUM(U55:U79)</f>
        <v>-72001.96084304314</v>
      </c>
      <c r="V80" s="182"/>
      <c r="W80"/>
    </row>
    <row r="81" spans="1:23" ht="12.75" customHeight="1" x14ac:dyDescent="0.2">
      <c r="A81" s="151"/>
      <c r="B81" s="148"/>
      <c r="C81" s="194"/>
      <c r="D81" s="194"/>
      <c r="E81" s="194"/>
      <c r="F81" s="194"/>
      <c r="G81" s="194"/>
      <c r="H81" s="195"/>
      <c r="I81" s="195"/>
      <c r="J81" s="195"/>
      <c r="K81" s="195"/>
      <c r="L81" s="195"/>
      <c r="M81" s="194"/>
      <c r="N81" s="194"/>
      <c r="O81" s="194"/>
      <c r="P81" s="194"/>
      <c r="Q81" s="194"/>
      <c r="R81" s="195"/>
      <c r="S81" s="195"/>
      <c r="T81" s="195"/>
      <c r="U81" s="194"/>
      <c r="V81" s="167"/>
      <c r="W81"/>
    </row>
    <row r="82" spans="1:23" ht="12.75" customHeight="1" x14ac:dyDescent="0.2">
      <c r="A82" s="168"/>
      <c r="B82" s="167"/>
      <c r="C82" s="183"/>
      <c r="D82" s="167"/>
      <c r="E82" s="196"/>
      <c r="F82" s="167"/>
      <c r="G82" s="196"/>
      <c r="H82" s="167"/>
      <c r="I82" s="167"/>
      <c r="J82" s="167"/>
      <c r="K82" s="167"/>
      <c r="L82" s="167"/>
      <c r="M82" s="196"/>
      <c r="N82" s="167"/>
      <c r="O82" s="196"/>
      <c r="P82" s="167"/>
      <c r="Q82" s="196"/>
      <c r="R82" s="167"/>
      <c r="S82" s="167"/>
      <c r="T82" s="167"/>
      <c r="U82" s="167"/>
      <c r="V82" s="167"/>
      <c r="W82"/>
    </row>
    <row r="83" spans="1:23" ht="12.75" customHeight="1" x14ac:dyDescent="0.2">
      <c r="A83" s="162" t="s">
        <v>83</v>
      </c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</row>
    <row r="84" spans="1:23" ht="12.75" customHeight="1" x14ac:dyDescent="0.2">
      <c r="A84" s="163" t="str">
        <f>"Columns (1), (2a), and (3) are from Oliver Wyman's report using data valued as of "&amp;ptxt_l&amp;"."</f>
        <v>Columns (1), (2a), and (3) are from Oliver Wyman's report using data valued as of October 31, 2018.</v>
      </c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216" t="s">
        <v>274</v>
      </c>
      <c r="O84" s="167"/>
      <c r="P84" s="167"/>
      <c r="Q84" s="167"/>
      <c r="R84" s="167"/>
      <c r="S84" s="167"/>
      <c r="T84" s="167"/>
      <c r="U84" s="167"/>
      <c r="V84" s="167"/>
    </row>
    <row r="85" spans="1:23" ht="12.75" customHeight="1" x14ac:dyDescent="0.2">
      <c r="A85" s="163" t="str">
        <f>"Column (2b) is provided by "&amp;client&amp;"."</f>
        <v>Column (2b) is provided by CLIENT XYZ.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3" t="s">
        <v>662</v>
      </c>
      <c r="O85" s="167"/>
      <c r="P85" s="167"/>
      <c r="Q85" s="167"/>
      <c r="R85" s="167"/>
      <c r="S85" s="167"/>
      <c r="T85" s="167"/>
      <c r="U85" s="167"/>
      <c r="V85" s="167"/>
    </row>
    <row r="86" spans="1:23" ht="12.75" customHeight="1" x14ac:dyDescent="0.2">
      <c r="A86" s="163" t="s">
        <v>273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217" t="s">
        <v>276</v>
      </c>
      <c r="O86" s="167"/>
      <c r="P86" s="167"/>
      <c r="Q86" s="167"/>
      <c r="R86" s="167"/>
      <c r="S86" s="167"/>
      <c r="T86" s="167"/>
      <c r="U86" s="167"/>
      <c r="V86" s="167"/>
    </row>
    <row r="87" spans="1:23" ht="12.75" customHeight="1" x14ac:dyDescent="0.2">
      <c r="A87" s="216" t="s">
        <v>261</v>
      </c>
      <c r="B87" s="167"/>
      <c r="C87" s="167"/>
      <c r="D87" s="167"/>
      <c r="E87" s="197"/>
      <c r="F87" s="167"/>
      <c r="G87" s="167"/>
      <c r="H87" s="167"/>
      <c r="I87" s="167"/>
      <c r="J87" s="167"/>
      <c r="K87" s="167"/>
      <c r="L87" s="167"/>
      <c r="M87" s="167"/>
      <c r="N87" s="218" t="s">
        <v>262</v>
      </c>
      <c r="O87" s="167"/>
      <c r="P87" s="167"/>
      <c r="Q87" s="167"/>
      <c r="R87" s="167"/>
      <c r="S87" s="167"/>
      <c r="T87" s="167"/>
      <c r="U87" s="167"/>
      <c r="V87" s="167"/>
    </row>
    <row r="88" spans="1:23" ht="12.75" customHeight="1" x14ac:dyDescent="0.2">
      <c r="B88" s="167"/>
      <c r="C88" s="167"/>
      <c r="D88" s="167"/>
      <c r="E88" s="19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</row>
    <row r="89" spans="1:23" ht="12.75" customHeight="1" x14ac:dyDescent="0.2">
      <c r="B89" s="167"/>
      <c r="C89" s="167"/>
      <c r="D89" s="167"/>
      <c r="E89" s="198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</row>
    <row r="90" spans="1:23" x14ac:dyDescent="0.2">
      <c r="B90" s="175"/>
      <c r="C90" s="175"/>
      <c r="D90" s="175"/>
      <c r="E90" s="199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67"/>
      <c r="U90" s="167"/>
      <c r="V90" s="167"/>
    </row>
    <row r="91" spans="1:23" x14ac:dyDescent="0.2">
      <c r="B91" s="175"/>
      <c r="C91" s="175"/>
      <c r="D91" s="175"/>
      <c r="E91" s="199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67"/>
      <c r="U91" s="167"/>
      <c r="V91" s="167"/>
    </row>
  </sheetData>
  <printOptions horizontalCentered="1"/>
  <pageMargins left="0.7" right="0.7" top="0.75" bottom="0.75" header="0.3" footer="0.3"/>
  <pageSetup scale="57" orientation="portrait" blackAndWhite="1" r:id="rId1"/>
  <headerFooter>
    <oddHeader xml:space="preserve">&amp;L&amp;"Arial"&amp;10  
  &amp;R&amp;"Arial"&amp;10  Exhibit 10
Sheet 2
</oddHeader>
    <oddFooter xml:space="preserve">&amp;L&amp;"Arial"&amp;10 Oliver Wyman Actuarial Consulting, Inc.
&amp;C&amp;"Arial"&amp;10 &amp;R&amp;"Arial"&amp;10 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16">
    <pageSetUpPr fitToPage="1"/>
  </sheetPr>
  <dimension ref="A1"/>
  <sheetViews>
    <sheetView zoomScale="85" zoomScaleNormal="85" workbookViewId="0"/>
  </sheetViews>
  <sheetFormatPr defaultRowHeight="14.25" x14ac:dyDescent="0.2"/>
  <sheetData/>
  <printOptions horizontalCentered="1"/>
  <pageMargins left="0.7" right="0.7" top="0.75" bottom="0.75" header="0.3" footer="0.3"/>
  <pageSetup orientation="portrait" blackAndWhite="1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D332-E908-4548-9B35-3E20BF35D62E}">
  <sheetPr>
    <tabColor rgb="FFCCCCFF"/>
    <pageSetUpPr fitToPage="1"/>
  </sheetPr>
  <dimension ref="A1:AF46"/>
  <sheetViews>
    <sheetView zoomScale="85" zoomScaleNormal="85" workbookViewId="0"/>
  </sheetViews>
  <sheetFormatPr defaultColWidth="9" defaultRowHeight="12.75" x14ac:dyDescent="0.2"/>
  <cols>
    <col min="1" max="2" width="9" style="1"/>
    <col min="3" max="3" width="2.625" style="1" customWidth="1"/>
    <col min="4" max="6" width="9" style="1"/>
    <col min="7" max="7" width="2.625" style="1" customWidth="1"/>
    <col min="8" max="19" width="9" style="1"/>
    <col min="20" max="20" width="2.625" style="1" customWidth="1"/>
    <col min="21" max="16384" width="9" style="1"/>
  </cols>
  <sheetData>
    <row r="1" spans="1:32" x14ac:dyDescent="0.2">
      <c r="D1" s="46" t="s">
        <v>717</v>
      </c>
      <c r="E1" s="45"/>
      <c r="F1" s="45"/>
      <c r="H1" s="46" t="s">
        <v>718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U1" s="46" t="s">
        <v>719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x14ac:dyDescent="0.2">
      <c r="O2" s="81"/>
      <c r="P2" s="81"/>
      <c r="Q2" s="81"/>
      <c r="R2" s="81"/>
      <c r="S2" s="81"/>
    </row>
    <row r="3" spans="1:32" x14ac:dyDescent="0.2">
      <c r="A3" s="260"/>
      <c r="B3" s="598"/>
      <c r="D3" s="45" t="s">
        <v>720</v>
      </c>
      <c r="E3" s="45"/>
      <c r="F3" s="45"/>
      <c r="H3" s="45" t="s">
        <v>721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U3" s="45" t="s">
        <v>722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x14ac:dyDescent="0.2">
      <c r="A4" s="260" t="s">
        <v>723</v>
      </c>
      <c r="B4" s="598"/>
      <c r="H4" s="3" t="s">
        <v>332</v>
      </c>
      <c r="I4" s="3" t="s">
        <v>332</v>
      </c>
      <c r="J4" s="3" t="s">
        <v>332</v>
      </c>
      <c r="K4" s="3" t="s">
        <v>332</v>
      </c>
      <c r="L4" s="3" t="s">
        <v>336</v>
      </c>
      <c r="M4" s="3" t="s">
        <v>336</v>
      </c>
      <c r="N4" s="3" t="s">
        <v>336</v>
      </c>
      <c r="O4" s="3" t="s">
        <v>336</v>
      </c>
      <c r="P4" s="3" t="s">
        <v>346</v>
      </c>
      <c r="Q4" s="3" t="s">
        <v>346</v>
      </c>
      <c r="R4" s="3" t="s">
        <v>346</v>
      </c>
      <c r="S4" s="3" t="s">
        <v>346</v>
      </c>
      <c r="U4" s="3" t="s">
        <v>332</v>
      </c>
      <c r="V4" s="3" t="s">
        <v>332</v>
      </c>
      <c r="W4" s="3" t="s">
        <v>332</v>
      </c>
      <c r="X4" s="3" t="s">
        <v>332</v>
      </c>
      <c r="Y4" s="3" t="s">
        <v>336</v>
      </c>
      <c r="Z4" s="3" t="s">
        <v>336</v>
      </c>
      <c r="AA4" s="3" t="s">
        <v>336</v>
      </c>
      <c r="AB4" s="3" t="s">
        <v>336</v>
      </c>
      <c r="AC4" s="3" t="s">
        <v>346</v>
      </c>
      <c r="AD4" s="3" t="s">
        <v>346</v>
      </c>
      <c r="AE4" s="3" t="s">
        <v>346</v>
      </c>
      <c r="AF4" s="3" t="s">
        <v>346</v>
      </c>
    </row>
    <row r="5" spans="1:32" x14ac:dyDescent="0.2">
      <c r="A5" s="599" t="s">
        <v>724</v>
      </c>
      <c r="B5" s="258" t="s">
        <v>23</v>
      </c>
      <c r="D5" s="82" t="s">
        <v>332</v>
      </c>
      <c r="E5" s="82" t="s">
        <v>336</v>
      </c>
      <c r="F5" s="82" t="s">
        <v>346</v>
      </c>
      <c r="H5" s="140" t="s">
        <v>263</v>
      </c>
      <c r="I5" s="140" t="s">
        <v>264</v>
      </c>
      <c r="J5" s="140" t="s">
        <v>265</v>
      </c>
      <c r="K5" s="140" t="s">
        <v>14</v>
      </c>
      <c r="L5" s="140" t="s">
        <v>263</v>
      </c>
      <c r="M5" s="140" t="s">
        <v>264</v>
      </c>
      <c r="N5" s="140" t="s">
        <v>265</v>
      </c>
      <c r="O5" s="140" t="s">
        <v>14</v>
      </c>
      <c r="P5" s="140" t="s">
        <v>263</v>
      </c>
      <c r="Q5" s="140" t="s">
        <v>264</v>
      </c>
      <c r="R5" s="140" t="s">
        <v>265</v>
      </c>
      <c r="S5" s="140" t="s">
        <v>14</v>
      </c>
      <c r="U5" s="140" t="s">
        <v>263</v>
      </c>
      <c r="V5" s="140" t="s">
        <v>264</v>
      </c>
      <c r="W5" s="140" t="s">
        <v>265</v>
      </c>
      <c r="X5" s="140" t="s">
        <v>14</v>
      </c>
      <c r="Y5" s="140" t="s">
        <v>263</v>
      </c>
      <c r="Z5" s="140" t="s">
        <v>264</v>
      </c>
      <c r="AA5" s="140" t="s">
        <v>265</v>
      </c>
      <c r="AB5" s="140" t="s">
        <v>14</v>
      </c>
      <c r="AC5" s="140" t="s">
        <v>263</v>
      </c>
      <c r="AD5" s="140" t="s">
        <v>264</v>
      </c>
      <c r="AE5" s="140" t="s">
        <v>265</v>
      </c>
      <c r="AF5" s="140" t="s">
        <v>14</v>
      </c>
    </row>
    <row r="6" spans="1:32" x14ac:dyDescent="0.2">
      <c r="A6" s="3">
        <f>Intro!C18</f>
        <v>1996</v>
      </c>
      <c r="B6" s="110">
        <f>ROUND(Intro!F18 / 365.25, 2)</f>
        <v>96.25</v>
      </c>
      <c r="U6" s="118">
        <f>'e4.3'!$M16</f>
        <v>19.528381576792398</v>
      </c>
      <c r="V6" s="118">
        <f>'e4.4'!$M16</f>
        <v>22.386224184389999</v>
      </c>
      <c r="W6" s="118">
        <f>'e4.5'!$M16</f>
        <v>23.570919974628726</v>
      </c>
      <c r="X6" s="118">
        <f>'e4.6'!$M16</f>
        <v>23.570919974628726</v>
      </c>
      <c r="Y6" s="118">
        <f ca="1">'e4.3'!$X16</f>
        <v>13.370008982460714</v>
      </c>
      <c r="Z6" s="118">
        <f ca="1">'e4.4'!$X16</f>
        <v>13.450315872308014</v>
      </c>
      <c r="AA6" s="118">
        <f ca="1">'e4.5'!$X16</f>
        <v>13.18338325821472</v>
      </c>
      <c r="AB6" s="118">
        <f ca="1">'e4.6'!$X16</f>
        <v>13.374018598002575</v>
      </c>
      <c r="AC6" s="118">
        <f t="shared" ref="AC6:AF6" si="0">LN(U6)</f>
        <v>2.9718688728829799</v>
      </c>
      <c r="AD6" s="118">
        <f t="shared" si="0"/>
        <v>3.1084457779076842</v>
      </c>
      <c r="AE6" s="118">
        <f t="shared" si="0"/>
        <v>3.1600137477785513</v>
      </c>
      <c r="AF6" s="118">
        <f t="shared" si="0"/>
        <v>3.1600137477785513</v>
      </c>
    </row>
    <row r="7" spans="1:32" x14ac:dyDescent="0.2">
      <c r="A7" s="3">
        <f>Intro!C19</f>
        <v>1997</v>
      </c>
      <c r="B7" s="110">
        <f>ROUND(Intro!F19 / 365.25, 2)</f>
        <v>97.25</v>
      </c>
      <c r="U7" s="118">
        <f>'e4.3'!$M17</f>
        <v>28.116580846298174</v>
      </c>
      <c r="V7" s="118">
        <f>'e4.4'!$M17</f>
        <v>30.490612889684524</v>
      </c>
      <c r="W7" s="118">
        <f>'e4.5'!$M17</f>
        <v>31.67248949491594</v>
      </c>
      <c r="X7" s="118">
        <f>'e4.6'!$M17</f>
        <v>31.67248949491594</v>
      </c>
      <c r="Y7" s="118">
        <f ca="1">'e4.3'!$X17</f>
        <v>13.43017402288179</v>
      </c>
      <c r="Z7" s="118">
        <f ca="1">'e4.4'!$X17</f>
        <v>13.544468083414166</v>
      </c>
      <c r="AA7" s="118">
        <f ca="1">'e4.5'!$X17</f>
        <v>13.308625399167761</v>
      </c>
      <c r="AB7" s="118">
        <f ca="1">'e4.6'!$X17</f>
        <v>13.53450682117861</v>
      </c>
      <c r="AC7" s="118">
        <f t="shared" ref="AC7:AC29" si="1">LN(U7)</f>
        <v>3.3363594680239457</v>
      </c>
      <c r="AD7" s="118">
        <f t="shared" ref="AD7:AD29" si="2">LN(V7)</f>
        <v>3.4174188621324908</v>
      </c>
      <c r="AE7" s="118">
        <f t="shared" ref="AE7:AE29" si="3">LN(W7)</f>
        <v>3.4554484648156181</v>
      </c>
      <c r="AF7" s="118">
        <f t="shared" ref="AF7:AF29" si="4">LN(X7)</f>
        <v>3.4554484648156181</v>
      </c>
    </row>
    <row r="8" spans="1:32" x14ac:dyDescent="0.2">
      <c r="A8" s="3">
        <f>Intro!C20</f>
        <v>1998</v>
      </c>
      <c r="B8" s="110">
        <f>ROUND(Intro!F20 / 365.25, 2)</f>
        <v>98.25</v>
      </c>
      <c r="U8" s="118">
        <f ca="1">'e4.3'!$M18</f>
        <v>42.645862450309949</v>
      </c>
      <c r="V8" s="118">
        <f ca="1">'e4.4'!$M18</f>
        <v>44.281021173415738</v>
      </c>
      <c r="W8" s="118">
        <f ca="1">'e4.5'!$M18</f>
        <v>45.097047134181679</v>
      </c>
      <c r="X8" s="118">
        <f ca="1">'e4.6'!$M18</f>
        <v>45.097047134181679</v>
      </c>
      <c r="Y8" s="118">
        <f ca="1">'e4.3'!$X18</f>
        <v>13.490609805984755</v>
      </c>
      <c r="Z8" s="118">
        <f ca="1">'e4.4'!$X18</f>
        <v>13.639279359998064</v>
      </c>
      <c r="AA8" s="118">
        <f ca="1">'e4.5'!$X18</f>
        <v>13.435057340459855</v>
      </c>
      <c r="AB8" s="118">
        <f ca="1">'e4.6'!$X18</f>
        <v>13.696920903032749</v>
      </c>
      <c r="AC8" s="118">
        <f t="shared" ca="1" si="1"/>
        <v>3.7529302575156849</v>
      </c>
      <c r="AD8" s="118">
        <f t="shared" ca="1" si="2"/>
        <v>3.7905561693047747</v>
      </c>
      <c r="AE8" s="118">
        <f t="shared" ca="1" si="3"/>
        <v>3.8088167706219336</v>
      </c>
      <c r="AF8" s="118">
        <f t="shared" ca="1" si="4"/>
        <v>3.8088167706219336</v>
      </c>
    </row>
    <row r="9" spans="1:32" x14ac:dyDescent="0.2">
      <c r="A9" s="3">
        <f>Intro!C21</f>
        <v>1999</v>
      </c>
      <c r="B9" s="110">
        <f>ROUND(Intro!F21 / 365.25, 2)</f>
        <v>99.25</v>
      </c>
      <c r="U9" s="118">
        <f ca="1">'e4.3'!$M19</f>
        <v>33.775485238780774</v>
      </c>
      <c r="V9" s="118">
        <f ca="1">'e4.4'!$M19</f>
        <v>38.859061645806193</v>
      </c>
      <c r="W9" s="118">
        <f ca="1">'e4.5'!$M19</f>
        <v>43.563060111460054</v>
      </c>
      <c r="X9" s="118">
        <f ca="1">'e4.6'!$M19</f>
        <v>53.219458406360268</v>
      </c>
      <c r="Y9" s="118">
        <f ca="1">'e4.3'!$X19</f>
        <v>13.551317550111685</v>
      </c>
      <c r="Z9" s="118">
        <f ca="1">'e4.4'!$X19</f>
        <v>13.73475431551805</v>
      </c>
      <c r="AA9" s="118">
        <f ca="1">'e4.5'!$X19</f>
        <v>13.562690385194225</v>
      </c>
      <c r="AB9" s="118">
        <f ca="1">'e4.6'!$X19</f>
        <v>13.861283953869144</v>
      </c>
      <c r="AC9" s="118">
        <f t="shared" ca="1" si="1"/>
        <v>3.5197352505463408</v>
      </c>
      <c r="AD9" s="118">
        <f t="shared" ca="1" si="2"/>
        <v>3.6599412966121032</v>
      </c>
      <c r="AE9" s="118">
        <f t="shared" ca="1" si="3"/>
        <v>3.7742095460899643</v>
      </c>
      <c r="AF9" s="118">
        <f t="shared" ca="1" si="4"/>
        <v>3.9744240889919422</v>
      </c>
    </row>
    <row r="10" spans="1:32" x14ac:dyDescent="0.2">
      <c r="A10" s="3">
        <f>Intro!C22</f>
        <v>2000</v>
      </c>
      <c r="B10" s="110">
        <f>ROUND(Intro!F22 / 365.25, 2)</f>
        <v>100.25</v>
      </c>
      <c r="U10" s="118">
        <f ca="1">'e4.3'!$M20</f>
        <v>40.106465655140035</v>
      </c>
      <c r="V10" s="118">
        <f ca="1">'e4.4'!$M20</f>
        <v>43.207566120719427</v>
      </c>
      <c r="W10" s="118">
        <f ca="1">'e4.5'!$M20</f>
        <v>45.726069921488218</v>
      </c>
      <c r="X10" s="118">
        <f ca="1">'e4.6'!$M20</f>
        <v>59.413039801154852</v>
      </c>
      <c r="Y10" s="118">
        <f ca="1">'e4.3'!$X20</f>
        <v>13.612298479087185</v>
      </c>
      <c r="Z10" s="118">
        <f ca="1">'e4.4'!$X20</f>
        <v>13.830897595726677</v>
      </c>
      <c r="AA10" s="118">
        <f ca="1">'e4.5'!$X20</f>
        <v>13.691535943853568</v>
      </c>
      <c r="AB10" s="118">
        <f ca="1">'e4.6'!$X20</f>
        <v>14.027619361315573</v>
      </c>
      <c r="AC10" s="118">
        <f t="shared" ca="1" si="1"/>
        <v>3.6915375595978226</v>
      </c>
      <c r="AD10" s="118">
        <f t="shared" ca="1" si="2"/>
        <v>3.7660156215978708</v>
      </c>
      <c r="AE10" s="118">
        <f t="shared" ca="1" si="3"/>
        <v>3.8226685930515787</v>
      </c>
      <c r="AF10" s="118">
        <f t="shared" ca="1" si="4"/>
        <v>4.08451372754842</v>
      </c>
    </row>
    <row r="11" spans="1:32" x14ac:dyDescent="0.2">
      <c r="A11" s="3">
        <f>Intro!C23</f>
        <v>2001</v>
      </c>
      <c r="B11" s="110">
        <f>ROUND(Intro!F23 / 365.25, 2)</f>
        <v>101.25</v>
      </c>
      <c r="U11" s="118">
        <f ca="1">'e4.3'!$M21</f>
        <v>21.393304477418681</v>
      </c>
      <c r="V11" s="118">
        <f ca="1">'e4.4'!$M21</f>
        <v>22.964417375784741</v>
      </c>
      <c r="W11" s="118">
        <f ca="1">'e4.5'!$M21</f>
        <v>25.321086723333828</v>
      </c>
      <c r="X11" s="118">
        <f ca="1">'e4.6'!$M21</f>
        <v>25.944064409793938</v>
      </c>
      <c r="Y11" s="118">
        <f ca="1">'e4.3'!$X21</f>
        <v>13.673553822243077</v>
      </c>
      <c r="Z11" s="118">
        <f ca="1">'e4.4'!$X21</f>
        <v>13.92771387889676</v>
      </c>
      <c r="AA11" s="118">
        <f ca="1">'e4.5'!$X21</f>
        <v>13.821605535320177</v>
      </c>
      <c r="AB11" s="118">
        <f ca="1">'e4.6'!$X21</f>
        <v>14.195950793651361</v>
      </c>
      <c r="AC11" s="118">
        <f t="shared" ca="1" si="1"/>
        <v>3.0630779981852694</v>
      </c>
      <c r="AD11" s="118">
        <f t="shared" ca="1" si="2"/>
        <v>3.1339459473616453</v>
      </c>
      <c r="AE11" s="118">
        <f t="shared" ca="1" si="3"/>
        <v>3.2316375159179049</v>
      </c>
      <c r="AF11" s="118">
        <f t="shared" ca="1" si="4"/>
        <v>3.2559428516489417</v>
      </c>
    </row>
    <row r="12" spans="1:32" x14ac:dyDescent="0.2">
      <c r="A12" s="3">
        <f>Intro!C24</f>
        <v>2002</v>
      </c>
      <c r="B12" s="110">
        <f>ROUND(Intro!F24 / 365.25, 2)</f>
        <v>102.25</v>
      </c>
      <c r="U12" s="118">
        <f ca="1">'e4.3'!$M22</f>
        <v>49.535559840238527</v>
      </c>
      <c r="V12" s="118">
        <f ca="1">'e4.4'!$M22</f>
        <v>58.301851327559298</v>
      </c>
      <c r="W12" s="118">
        <f ca="1">'e4.5'!$M22</f>
        <v>67.136113702032048</v>
      </c>
      <c r="X12" s="118">
        <f ca="1">'e4.6'!$M22</f>
        <v>74.479008418659305</v>
      </c>
      <c r="Y12" s="118">
        <f ca="1">'e4.3'!$X22</f>
        <v>13.735084814443169</v>
      </c>
      <c r="Z12" s="118">
        <f ca="1">'e4.4'!$X22</f>
        <v>14.025207876049034</v>
      </c>
      <c r="AA12" s="118">
        <f ca="1">'e4.5'!$X22</f>
        <v>13.952910787905722</v>
      </c>
      <c r="AB12" s="118">
        <f ca="1">'e4.6'!$X22</f>
        <v>14.366302203175175</v>
      </c>
      <c r="AC12" s="118">
        <f t="shared" ca="1" si="1"/>
        <v>3.9026907922736847</v>
      </c>
      <c r="AD12" s="118">
        <f t="shared" ca="1" si="2"/>
        <v>4.0656338480419576</v>
      </c>
      <c r="AE12" s="118">
        <f t="shared" ca="1" si="3"/>
        <v>4.2067221063798819</v>
      </c>
      <c r="AF12" s="118">
        <f t="shared" ca="1" si="4"/>
        <v>4.3105173194894695</v>
      </c>
    </row>
    <row r="13" spans="1:32" x14ac:dyDescent="0.2">
      <c r="A13" s="3">
        <f>Intro!C25</f>
        <v>2003</v>
      </c>
      <c r="B13" s="110">
        <f>ROUND(Intro!F25 / 365.25, 2)</f>
        <v>103.25</v>
      </c>
      <c r="D13" s="600">
        <f ca="1">'e6.2'!K16</f>
        <v>0.39634047987716287</v>
      </c>
      <c r="E13" s="600">
        <f ca="1">'e6.2'!O16</f>
        <v>0.26978105179149142</v>
      </c>
      <c r="F13" s="600">
        <f ca="1">LN(D13)</f>
        <v>-0.92548163947233708</v>
      </c>
      <c r="H13" s="105">
        <f ca="1">'e5.1'!$I16</f>
        <v>35917.588406779862</v>
      </c>
      <c r="I13" s="105">
        <f ca="1">'e5.2'!$I16</f>
        <v>38807.119013877375</v>
      </c>
      <c r="J13" s="105">
        <f ca="1">'e5.3'!$I16</f>
        <v>43141.414924523619</v>
      </c>
      <c r="K13" s="105">
        <f ca="1">'e5.4'!$I16</f>
        <v>43331.563375654274</v>
      </c>
      <c r="L13" s="105">
        <f ca="1">'e5.1'!$X16</f>
        <v>51308.888722762182</v>
      </c>
      <c r="M13" s="105">
        <f ca="1">'e5.2'!$X16</f>
        <v>52826.998806907919</v>
      </c>
      <c r="N13" s="105">
        <f ca="1">'e5.3'!$X16</f>
        <v>52590.765156043788</v>
      </c>
      <c r="O13" s="105">
        <f ca="1">'e5.4'!$X16</f>
        <v>52312.647834501186</v>
      </c>
      <c r="P13" s="118">
        <f ca="1">LN(H13)</f>
        <v>10.488982382266403</v>
      </c>
      <c r="Q13" s="118">
        <f t="shared" ref="Q13:S13" ca="1" si="5">LN(I13)</f>
        <v>10.566358988520124</v>
      </c>
      <c r="R13" s="118">
        <f t="shared" ca="1" si="5"/>
        <v>10.672238717841164</v>
      </c>
      <c r="S13" s="118">
        <f t="shared" ca="1" si="5"/>
        <v>10.676636594758214</v>
      </c>
      <c r="U13" s="118">
        <f>'e4.3'!$M23</f>
        <v>18.011533642280092</v>
      </c>
      <c r="V13" s="118">
        <f>'e4.4'!$M23</f>
        <v>19.460541775863767</v>
      </c>
      <c r="W13" s="118">
        <f>'e4.5'!$M23</f>
        <v>21.634053976239276</v>
      </c>
      <c r="X13" s="118">
        <f>'e4.6'!$M23</f>
        <v>21.729407405477883</v>
      </c>
      <c r="Y13" s="118">
        <f ca="1">'e4.3'!$X23</f>
        <v>13.796892696108165</v>
      </c>
      <c r="Z13" s="118">
        <f ca="1">'e4.4'!$X23</f>
        <v>14.123384331181377</v>
      </c>
      <c r="AA13" s="118">
        <f ca="1">'e4.5'!$X23</f>
        <v>14.085463440390827</v>
      </c>
      <c r="AB13" s="118">
        <f ca="1">'e4.6'!$X23</f>
        <v>14.538697829613279</v>
      </c>
      <c r="AC13" s="118">
        <f t="shared" si="1"/>
        <v>2.8910123106029184</v>
      </c>
      <c r="AD13" s="118">
        <f t="shared" si="2"/>
        <v>2.9683889168566386</v>
      </c>
      <c r="AE13" s="118">
        <f t="shared" si="3"/>
        <v>3.0742686461776798</v>
      </c>
      <c r="AF13" s="118">
        <f t="shared" si="4"/>
        <v>3.078666523094729</v>
      </c>
    </row>
    <row r="14" spans="1:32" x14ac:dyDescent="0.2">
      <c r="A14" s="3">
        <f>Intro!C26</f>
        <v>2004</v>
      </c>
      <c r="B14" s="110">
        <f>ROUND(Intro!F26 / 365.25, 2)</f>
        <v>104.25</v>
      </c>
      <c r="D14" s="600">
        <f ca="1">'e6.2'!K17</f>
        <v>0.29372116092662248</v>
      </c>
      <c r="E14" s="600">
        <f ca="1">'e6.2'!O17</f>
        <v>0.26438543075566162</v>
      </c>
      <c r="F14" s="600">
        <f t="shared" ref="F14:F29" ca="1" si="6">LN(D14)</f>
        <v>-1.2251243939122496</v>
      </c>
      <c r="H14" s="105">
        <f ca="1">'e5.1'!$I17</f>
        <v>73828.664588124768</v>
      </c>
      <c r="I14" s="105">
        <f ca="1">'e5.2'!$I17</f>
        <v>89172.124486031549</v>
      </c>
      <c r="J14" s="105">
        <f ca="1">'e5.3'!$I17</f>
        <v>106003.01166941597</v>
      </c>
      <c r="K14" s="105">
        <f ca="1">'e5.4'!$I17</f>
        <v>105006.25717810781</v>
      </c>
      <c r="L14" s="105">
        <f ca="1">'e5.1'!$X17</f>
        <v>52591.61094083124</v>
      </c>
      <c r="M14" s="105">
        <f ca="1">'e5.2'!$X17</f>
        <v>54279.741274097869</v>
      </c>
      <c r="N14" s="105">
        <f ca="1">'e5.3'!$X17</f>
        <v>54168.488110725091</v>
      </c>
      <c r="O14" s="105">
        <f ca="1">'e5.4'!$X17</f>
        <v>54012.808889122483</v>
      </c>
      <c r="P14" s="118">
        <f t="shared" ref="P14:P29" ca="1" si="7">LN(H14)</f>
        <v>11.209502344230476</v>
      </c>
      <c r="Q14" s="118">
        <f t="shared" ref="Q14:Q29" ca="1" si="8">LN(I14)</f>
        <v>11.398323763966021</v>
      </c>
      <c r="R14" s="118">
        <f t="shared" ref="R14:R29" ca="1" si="9">LN(J14)</f>
        <v>11.571222784666213</v>
      </c>
      <c r="S14" s="118">
        <f t="shared" ref="S14:S29" ca="1" si="10">LN(K14)</f>
        <v>11.561775219536573</v>
      </c>
      <c r="U14" s="118">
        <f ca="1">'e4.3'!$M24</f>
        <v>27.741173171319758</v>
      </c>
      <c r="V14" s="118">
        <f ca="1">'e4.4'!$M24</f>
        <v>33.506489128876666</v>
      </c>
      <c r="W14" s="118">
        <f>'e4.5'!$M24</f>
        <v>39.830706945709764</v>
      </c>
      <c r="X14" s="118">
        <f ca="1">'e4.6'!$M24</f>
        <v>39.456175737446273</v>
      </c>
      <c r="Y14" s="118">
        <f ca="1">'e4.3'!$X24</f>
        <v>13.858978713240646</v>
      </c>
      <c r="Z14" s="118">
        <f ca="1">'e4.4'!$X24</f>
        <v>14.222248021499647</v>
      </c>
      <c r="AA14" s="118">
        <f ca="1">'e4.5'!$X24</f>
        <v>14.219275343074541</v>
      </c>
      <c r="AB14" s="118">
        <f ca="1">'e4.6'!$X24</f>
        <v>14.713162203568636</v>
      </c>
      <c r="AC14" s="118">
        <f t="shared" ca="1" si="1"/>
        <v>3.3229177056766193</v>
      </c>
      <c r="AD14" s="118">
        <f t="shared" ca="1" si="2"/>
        <v>3.5117391254121659</v>
      </c>
      <c r="AE14" s="118">
        <f t="shared" si="3"/>
        <v>3.6846381461123583</v>
      </c>
      <c r="AF14" s="118">
        <f t="shared" ca="1" si="4"/>
        <v>3.6751905809827172</v>
      </c>
    </row>
    <row r="15" spans="1:32" x14ac:dyDescent="0.2">
      <c r="A15" s="3">
        <f>Intro!C27</f>
        <v>2005</v>
      </c>
      <c r="B15" s="110">
        <f>ROUND(Intro!F27 / 365.25, 2)</f>
        <v>105.25</v>
      </c>
      <c r="D15" s="600">
        <f ca="1">'e6.2'!K18</f>
        <v>0.23361884431417379</v>
      </c>
      <c r="E15" s="600">
        <f ca="1">'e6.2'!O18</f>
        <v>0.25909772214054838</v>
      </c>
      <c r="F15" s="600">
        <f t="shared" ca="1" si="6"/>
        <v>-1.454064362128505</v>
      </c>
      <c r="H15" s="105">
        <f ca="1">'e5.1'!$I18</f>
        <v>29590.563587356573</v>
      </c>
      <c r="I15" s="105">
        <f ca="1">'e5.2'!$I18</f>
        <v>29590.563587356573</v>
      </c>
      <c r="J15" s="105">
        <f ca="1">'e5.3'!$I18</f>
        <v>29590.563587356573</v>
      </c>
      <c r="K15" s="105">
        <f ca="1">'e5.4'!$I18</f>
        <v>29590.563587356573</v>
      </c>
      <c r="L15" s="105">
        <f ca="1">'e5.1'!$X18</f>
        <v>53906.401214352023</v>
      </c>
      <c r="M15" s="105">
        <f ca="1">'e5.2'!$X18</f>
        <v>55772.434159135562</v>
      </c>
      <c r="N15" s="105">
        <f ca="1">'e5.3'!$X18</f>
        <v>55793.542754046852</v>
      </c>
      <c r="O15" s="105">
        <f ca="1">'e5.4'!$X18</f>
        <v>55768.225178018969</v>
      </c>
      <c r="P15" s="118">
        <f t="shared" ca="1" si="7"/>
        <v>10.295210791760914</v>
      </c>
      <c r="Q15" s="118">
        <f t="shared" ca="1" si="8"/>
        <v>10.295210791760914</v>
      </c>
      <c r="R15" s="118">
        <f t="shared" ca="1" si="9"/>
        <v>10.295210791760914</v>
      </c>
      <c r="S15" s="118">
        <f t="shared" ca="1" si="10"/>
        <v>10.295210791760914</v>
      </c>
      <c r="U15" s="118">
        <f>'e4.3'!$M25</f>
        <v>8.8128150794083577</v>
      </c>
      <c r="V15" s="118">
        <f>'e4.4'!$M25</f>
        <v>8.8128150794083577</v>
      </c>
      <c r="W15" s="118">
        <f>'e4.5'!$M25</f>
        <v>8.8128150794083577</v>
      </c>
      <c r="X15" s="118">
        <f>'e4.6'!$M25</f>
        <v>8.8128150794083577</v>
      </c>
      <c r="Y15" s="118">
        <f ca="1">'e4.3'!$X25</f>
        <v>13.921344117450229</v>
      </c>
      <c r="Z15" s="118">
        <f ca="1">'e4.4'!$X25</f>
        <v>14.321803757650141</v>
      </c>
      <c r="AA15" s="118">
        <f ca="1">'e4.5'!$X25</f>
        <v>14.354358458833747</v>
      </c>
      <c r="AB15" s="118">
        <f ca="1">'e4.6'!$X25</f>
        <v>14.889720150011463</v>
      </c>
      <c r="AC15" s="118">
        <f t="shared" si="1"/>
        <v>2.1762069211909676</v>
      </c>
      <c r="AD15" s="118">
        <f t="shared" si="2"/>
        <v>2.1762069211909676</v>
      </c>
      <c r="AE15" s="118">
        <f t="shared" si="3"/>
        <v>2.1762069211909676</v>
      </c>
      <c r="AF15" s="118">
        <f t="shared" si="4"/>
        <v>2.1762069211909676</v>
      </c>
    </row>
    <row r="16" spans="1:32" x14ac:dyDescent="0.2">
      <c r="A16" s="3">
        <f>Intro!C28</f>
        <v>2006</v>
      </c>
      <c r="B16" s="110">
        <f>ROUND(Intro!F28 / 365.25, 2)</f>
        <v>106.25</v>
      </c>
      <c r="D16" s="600">
        <f ca="1">'e6.2'!K19</f>
        <v>0.2876847966491663</v>
      </c>
      <c r="E16" s="600">
        <f ca="1">'e6.2'!O19</f>
        <v>0.25391576769773738</v>
      </c>
      <c r="F16" s="600">
        <f t="shared" ca="1" si="6"/>
        <v>-1.2458898542798809</v>
      </c>
      <c r="H16" s="105">
        <f ca="1">'e5.1'!$I19</f>
        <v>62422.007459789485</v>
      </c>
      <c r="I16" s="105">
        <f ca="1">'e5.2'!$I19</f>
        <v>70508.444132117846</v>
      </c>
      <c r="J16" s="105">
        <f ca="1">'e5.3'!$I19</f>
        <v>78370.512799885124</v>
      </c>
      <c r="K16" s="105">
        <f ca="1">'e5.4'!$I19</f>
        <v>81430.85310373058</v>
      </c>
      <c r="L16" s="105">
        <f ca="1">'e5.1'!$X19</f>
        <v>55254.061244710821</v>
      </c>
      <c r="M16" s="105">
        <f ca="1">'e5.2'!$X19</f>
        <v>57306.176098511794</v>
      </c>
      <c r="N16" s="105">
        <f ca="1">'e5.3'!$X19</f>
        <v>57467.34903666826</v>
      </c>
      <c r="O16" s="105">
        <f ca="1">'e5.4'!$X19</f>
        <v>57580.692496304575</v>
      </c>
      <c r="P16" s="118">
        <f t="shared" ca="1" si="7"/>
        <v>11.041673175829732</v>
      </c>
      <c r="Q16" s="118">
        <f t="shared" ca="1" si="8"/>
        <v>11.163487756551573</v>
      </c>
      <c r="R16" s="118">
        <f t="shared" ca="1" si="9"/>
        <v>11.269203023344184</v>
      </c>
      <c r="S16" s="118">
        <f t="shared" ca="1" si="10"/>
        <v>11.307509510934981</v>
      </c>
      <c r="U16" s="118">
        <f>'e4.3'!$M26</f>
        <v>22.358457375847664</v>
      </c>
      <c r="V16" s="118">
        <f>'e4.4'!$M26</f>
        <v>25.254875754849838</v>
      </c>
      <c r="W16" s="118">
        <f>'e4.5'!$M26</f>
        <v>28.070929488903442</v>
      </c>
      <c r="X16" s="118">
        <f>'e4.6'!$M26</f>
        <v>29.167089177186369</v>
      </c>
      <c r="Y16" s="118">
        <f ca="1">'e4.3'!$X26</f>
        <v>13.983990165978753</v>
      </c>
      <c r="Z16" s="118">
        <f ca="1">'e4.4'!$X26</f>
        <v>14.42205638395369</v>
      </c>
      <c r="AA16" s="118">
        <f ca="1">'e4.5'!$X26</f>
        <v>14.49072486419267</v>
      </c>
      <c r="AB16" s="118">
        <f ca="1">'e4.6'!$X26</f>
        <v>15.068396791811601</v>
      </c>
      <c r="AC16" s="118">
        <f t="shared" si="1"/>
        <v>3.1072046555602495</v>
      </c>
      <c r="AD16" s="118">
        <f t="shared" si="2"/>
        <v>3.2290192362820913</v>
      </c>
      <c r="AE16" s="118">
        <f t="shared" si="3"/>
        <v>3.3347345030747024</v>
      </c>
      <c r="AF16" s="118">
        <f t="shared" si="4"/>
        <v>3.3730409906654981</v>
      </c>
    </row>
    <row r="17" spans="1:32" x14ac:dyDescent="0.2">
      <c r="A17" s="3">
        <f>Intro!C29</f>
        <v>2007</v>
      </c>
      <c r="B17" s="110">
        <f>ROUND(Intro!F29 / 365.25, 2)</f>
        <v>107.25</v>
      </c>
      <c r="D17" s="600">
        <f ca="1">'e6.2'!K20</f>
        <v>0.32509721219387627</v>
      </c>
      <c r="E17" s="600">
        <f ca="1">'e6.2'!O20</f>
        <v>0.24883745234378263</v>
      </c>
      <c r="F17" s="600">
        <f t="shared" ca="1" si="6"/>
        <v>-1.1236310269355096</v>
      </c>
      <c r="H17" s="105">
        <f ca="1">'e5.1'!$I20</f>
        <v>34864.205773608715</v>
      </c>
      <c r="I17" s="105">
        <f ca="1">'e5.2'!$I20</f>
        <v>34864.205773608715</v>
      </c>
      <c r="J17" s="105">
        <f ca="1">'e5.3'!$I20</f>
        <v>34864.205773608715</v>
      </c>
      <c r="K17" s="105">
        <f ca="1">'e5.4'!$I20</f>
        <v>34864.205773608715</v>
      </c>
      <c r="L17" s="105">
        <f ca="1">'e5.1'!$X20</f>
        <v>56635.412775828583</v>
      </c>
      <c r="M17" s="105">
        <f ca="1">'e5.2'!$X20</f>
        <v>58882.09594122089</v>
      </c>
      <c r="N17" s="105">
        <f ca="1">'e5.3'!$X20</f>
        <v>59191.369507768308</v>
      </c>
      <c r="O17" s="105">
        <f ca="1">'e5.4'!$X20</f>
        <v>59452.065002434472</v>
      </c>
      <c r="P17" s="118">
        <f t="shared" ca="1" si="7"/>
        <v>10.459215959347132</v>
      </c>
      <c r="Q17" s="118">
        <f t="shared" ca="1" si="8"/>
        <v>10.459215959347132</v>
      </c>
      <c r="R17" s="118">
        <f t="shared" ca="1" si="9"/>
        <v>10.459215959347132</v>
      </c>
      <c r="S17" s="118">
        <f t="shared" ca="1" si="10"/>
        <v>10.459215959347132</v>
      </c>
      <c r="U17" s="118">
        <f>'e4.3'!$M27</f>
        <v>13.702786834911688</v>
      </c>
      <c r="V17" s="118">
        <f>'e4.4'!$M27</f>
        <v>13.702786834911688</v>
      </c>
      <c r="W17" s="118">
        <f>'e4.5'!$M27</f>
        <v>13.702786834911688</v>
      </c>
      <c r="X17" s="118">
        <f>'e4.6'!$M27</f>
        <v>13.702786834911688</v>
      </c>
      <c r="Y17" s="118">
        <f ca="1">'e4.3'!$X27</f>
        <v>14.046918121725657</v>
      </c>
      <c r="Z17" s="118">
        <f ca="1">'e4.4'!$X27</f>
        <v>14.523010778641364</v>
      </c>
      <c r="AA17" s="118">
        <f ca="1">'e4.5'!$X27</f>
        <v>14.6283867504025</v>
      </c>
      <c r="AB17" s="118">
        <f ca="1">'e4.6'!$X27</f>
        <v>15.24921755331334</v>
      </c>
      <c r="AC17" s="118">
        <f t="shared" si="1"/>
        <v>2.6175992307540121</v>
      </c>
      <c r="AD17" s="118">
        <f t="shared" si="2"/>
        <v>2.6175992307540121</v>
      </c>
      <c r="AE17" s="118">
        <f t="shared" si="3"/>
        <v>2.6175992307540121</v>
      </c>
      <c r="AF17" s="118">
        <f t="shared" si="4"/>
        <v>2.6175992307540121</v>
      </c>
    </row>
    <row r="18" spans="1:32" x14ac:dyDescent="0.2">
      <c r="A18" s="3">
        <f>Intro!C30</f>
        <v>2008</v>
      </c>
      <c r="B18" s="110">
        <f>ROUND(Intro!F30 / 365.25, 2)</f>
        <v>108.25</v>
      </c>
      <c r="D18" s="600">
        <f ca="1">'e6.2'!K21</f>
        <v>0.22630771133059627</v>
      </c>
      <c r="E18" s="600">
        <f ca="1">'e6.2'!O21</f>
        <v>0.24386070329690698</v>
      </c>
      <c r="F18" s="600">
        <f t="shared" ca="1" si="6"/>
        <v>-1.4858596512245952</v>
      </c>
      <c r="H18" s="105">
        <f ca="1">'e5.1'!$I21</f>
        <v>34079.703069689225</v>
      </c>
      <c r="I18" s="105">
        <f ca="1">'e5.2'!$I21</f>
        <v>34079.703069689225</v>
      </c>
      <c r="J18" s="105">
        <f ca="1">'e5.3'!$I21</f>
        <v>34079.703069689225</v>
      </c>
      <c r="K18" s="105">
        <f ca="1">'e5.4'!$I21</f>
        <v>34079.703069689225</v>
      </c>
      <c r="L18" s="105">
        <f ca="1">'e5.1'!$X21</f>
        <v>58051.298095224294</v>
      </c>
      <c r="M18" s="105">
        <f ca="1">'e5.2'!$X21</f>
        <v>60501.353579604453</v>
      </c>
      <c r="N18" s="105">
        <f ca="1">'e5.3'!$X21</f>
        <v>60967.110593001344</v>
      </c>
      <c r="O18" s="105">
        <f ca="1">'e5.4'!$X21</f>
        <v>61384.257115013592</v>
      </c>
      <c r="P18" s="118">
        <f t="shared" ca="1" si="7"/>
        <v>10.436457268161435</v>
      </c>
      <c r="Q18" s="118">
        <f t="shared" ca="1" si="8"/>
        <v>10.436457268161435</v>
      </c>
      <c r="R18" s="118">
        <f t="shared" ca="1" si="9"/>
        <v>10.436457268161435</v>
      </c>
      <c r="S18" s="118">
        <f t="shared" ca="1" si="10"/>
        <v>10.436457268161435</v>
      </c>
      <c r="U18" s="118">
        <f>'e4.3'!$M28</f>
        <v>9.1625193770924227</v>
      </c>
      <c r="V18" s="118">
        <f>'e4.4'!$M28</f>
        <v>9.1625193770924227</v>
      </c>
      <c r="W18" s="118">
        <f>'e4.5'!$M28</f>
        <v>9.1625193770924227</v>
      </c>
      <c r="X18" s="118">
        <f>'e4.6'!$M28</f>
        <v>9.1625193770924227</v>
      </c>
      <c r="Y18" s="118">
        <f ca="1">'e4.3'!$X28</f>
        <v>14.110129253273417</v>
      </c>
      <c r="Z18" s="118">
        <f ca="1">'e4.4'!$X28</f>
        <v>14.624671854091853</v>
      </c>
      <c r="AA18" s="118">
        <f ca="1">'e4.5'!$X28</f>
        <v>14.767356424531323</v>
      </c>
      <c r="AB18" s="118">
        <f ca="1">'e4.6'!$X28</f>
        <v>15.432208163953099</v>
      </c>
      <c r="AC18" s="118">
        <f t="shared" si="1"/>
        <v>2.2151211820364463</v>
      </c>
      <c r="AD18" s="118">
        <f t="shared" si="2"/>
        <v>2.2151211820364463</v>
      </c>
      <c r="AE18" s="118">
        <f t="shared" si="3"/>
        <v>2.2151211820364463</v>
      </c>
      <c r="AF18" s="118">
        <f t="shared" si="4"/>
        <v>2.2151211820364463</v>
      </c>
    </row>
    <row r="19" spans="1:32" x14ac:dyDescent="0.2">
      <c r="A19" s="3">
        <f>Intro!C31</f>
        <v>2009</v>
      </c>
      <c r="B19" s="110">
        <f>ROUND(Intro!F31 / 365.25, 2)</f>
        <v>109.25</v>
      </c>
      <c r="D19" s="600">
        <f ca="1">'e6.2'!K22</f>
        <v>0.27997870897391819</v>
      </c>
      <c r="E19" s="600">
        <f ca="1">'e6.2'!O22</f>
        <v>0.23898348923096882</v>
      </c>
      <c r="F19" s="600">
        <f t="shared" ca="1" si="6"/>
        <v>-1.2730417180828912</v>
      </c>
      <c r="H19" s="105">
        <f ca="1">'e5.1'!$I22</f>
        <v>54310.168739531975</v>
      </c>
      <c r="I19" s="105">
        <f ca="1">'e5.2'!$I22</f>
        <v>61015.490828502101</v>
      </c>
      <c r="J19" s="105">
        <f ca="1">'e5.3'!$I22</f>
        <v>66138.37808956379</v>
      </c>
      <c r="K19" s="105">
        <f ca="1">'e5.4'!$I22</f>
        <v>68998.427304973942</v>
      </c>
      <c r="L19" s="105">
        <f ca="1">'e5.1'!$X22</f>
        <v>59502.580547604892</v>
      </c>
      <c r="M19" s="105">
        <f ca="1">'e5.2'!$X22</f>
        <v>62165.140803043585</v>
      </c>
      <c r="N19" s="105">
        <f ca="1">'e5.3'!$X22</f>
        <v>62796.123910791386</v>
      </c>
      <c r="O19" s="105">
        <f ca="1">'e5.4'!$X22</f>
        <v>63379.245471251525</v>
      </c>
      <c r="P19" s="118">
        <f t="shared" ca="1" si="7"/>
        <v>10.902466757993905</v>
      </c>
      <c r="Q19" s="118">
        <f t="shared" ca="1" si="8"/>
        <v>11.018883058924342</v>
      </c>
      <c r="R19" s="118">
        <f t="shared" ca="1" si="9"/>
        <v>11.099504463851734</v>
      </c>
      <c r="S19" s="118">
        <f t="shared" ca="1" si="10"/>
        <v>11.141838990638103</v>
      </c>
      <c r="U19" s="118">
        <f>'e4.3'!$M29</f>
        <v>17.943860085203404</v>
      </c>
      <c r="V19" s="118">
        <f ca="1">'e4.4'!$M29</f>
        <v>20.159271382629996</v>
      </c>
      <c r="W19" s="118">
        <f ca="1">'e4.5'!$M29</f>
        <v>21.851852613331474</v>
      </c>
      <c r="X19" s="118">
        <f ca="1">'e4.6'!$M29</f>
        <v>22.796801306167328</v>
      </c>
      <c r="Y19" s="118">
        <f ca="1">'e4.3'!$X29</f>
        <v>14.173624834913149</v>
      </c>
      <c r="Z19" s="118">
        <f ca="1">'e4.4'!$X29</f>
        <v>14.727044557070494</v>
      </c>
      <c r="AA19" s="118">
        <f ca="1">'e4.5'!$X29</f>
        <v>14.907646310564372</v>
      </c>
      <c r="AB19" s="118">
        <f ca="1">'e4.6'!$X29</f>
        <v>15.617394661920535</v>
      </c>
      <c r="AC19" s="118">
        <f t="shared" si="1"/>
        <v>2.8872479998849783</v>
      </c>
      <c r="AD19" s="118">
        <f t="shared" ca="1" si="2"/>
        <v>3.0036643008154162</v>
      </c>
      <c r="AE19" s="118">
        <f t="shared" ca="1" si="3"/>
        <v>3.0842857057428081</v>
      </c>
      <c r="AF19" s="118">
        <f t="shared" ca="1" si="4"/>
        <v>3.1266202325291768</v>
      </c>
    </row>
    <row r="20" spans="1:32" x14ac:dyDescent="0.2">
      <c r="A20" s="3">
        <f>Intro!C32</f>
        <v>2010</v>
      </c>
      <c r="B20" s="110">
        <f>ROUND(Intro!F32 / 365.25, 2)</f>
        <v>110.25</v>
      </c>
      <c r="D20" s="600">
        <f ca="1">'e6.2'!K23</f>
        <v>0.26516488919882331</v>
      </c>
      <c r="E20" s="600">
        <f ca="1">'e6.2'!O23</f>
        <v>0.23420381944634944</v>
      </c>
      <c r="F20" s="600">
        <f t="shared" ca="1" si="6"/>
        <v>-1.3274034231048404</v>
      </c>
      <c r="H20" s="105">
        <f ca="1">'e5.1'!$I23</f>
        <v>38141.979398147567</v>
      </c>
      <c r="I20" s="105">
        <f ca="1">'e5.2'!$I23</f>
        <v>38141.979398147567</v>
      </c>
      <c r="J20" s="105">
        <f ca="1">'e5.3'!$I23</f>
        <v>38141.979398147567</v>
      </c>
      <c r="K20" s="105">
        <f ca="1">'e5.4'!$I23</f>
        <v>38141.979398147567</v>
      </c>
      <c r="L20" s="105">
        <f ca="1">'e5.1'!$X23</f>
        <v>60990.145061295028</v>
      </c>
      <c r="M20" s="105">
        <f ca="1">'e5.2'!$X23</f>
        <v>63874.68217512728</v>
      </c>
      <c r="N20" s="105">
        <f ca="1">'e5.3'!$X23</f>
        <v>64680.007628115127</v>
      </c>
      <c r="O20" s="105">
        <f ca="1">'e5.4'!$X23</f>
        <v>65439.070949067194</v>
      </c>
      <c r="P20" s="118">
        <f t="shared" ca="1" si="7"/>
        <v>10.549070776028708</v>
      </c>
      <c r="Q20" s="118">
        <f t="shared" ca="1" si="8"/>
        <v>10.549070776028708</v>
      </c>
      <c r="R20" s="118">
        <f t="shared" ca="1" si="9"/>
        <v>10.549070776028708</v>
      </c>
      <c r="S20" s="118">
        <f t="shared" ca="1" si="10"/>
        <v>10.549070776028708</v>
      </c>
      <c r="U20" s="118">
        <f ca="1">'e4.3'!$M30</f>
        <v>11.82002477552728</v>
      </c>
      <c r="V20" s="118">
        <f ca="1">'e4.4'!$M30</f>
        <v>11.82002477552728</v>
      </c>
      <c r="W20" s="118">
        <f ca="1">'e4.5'!$M30</f>
        <v>11.82002477552728</v>
      </c>
      <c r="X20" s="118">
        <f ca="1">'e4.6'!$M30</f>
        <v>11.82002477552728</v>
      </c>
      <c r="Y20" s="118">
        <f ca="1">'e4.3'!$X30</f>
        <v>14.237406146670256</v>
      </c>
      <c r="Z20" s="118">
        <f ca="1">'e4.4'!$X30</f>
        <v>14.830133868969986</v>
      </c>
      <c r="AA20" s="118">
        <f ca="1">'e4.5'!$X30</f>
        <v>15.049268950514733</v>
      </c>
      <c r="AB20" s="118">
        <f ca="1">'e4.6'!$X30</f>
        <v>15.804803397863582</v>
      </c>
      <c r="AC20" s="118">
        <f t="shared" ca="1" si="1"/>
        <v>2.4697951080440532</v>
      </c>
      <c r="AD20" s="118">
        <f t="shared" ca="1" si="2"/>
        <v>2.4697951080440532</v>
      </c>
      <c r="AE20" s="118">
        <f t="shared" ca="1" si="3"/>
        <v>2.4697951080440532</v>
      </c>
      <c r="AF20" s="118">
        <f t="shared" ca="1" si="4"/>
        <v>2.4697951080440532</v>
      </c>
    </row>
    <row r="21" spans="1:32" x14ac:dyDescent="0.2">
      <c r="A21" s="3">
        <f>Intro!C33</f>
        <v>2011</v>
      </c>
      <c r="B21" s="110">
        <f>ROUND(Intro!F33 / 365.25, 2)</f>
        <v>111.25</v>
      </c>
      <c r="D21" s="600">
        <f ca="1">'e6.2'!K24</f>
        <v>0.20947618009348698</v>
      </c>
      <c r="E21" s="600">
        <f ca="1">'e6.2'!O24</f>
        <v>0.22951974305742243</v>
      </c>
      <c r="F21" s="600">
        <f t="shared" ca="1" si="6"/>
        <v>-1.5631452449219185</v>
      </c>
      <c r="H21" s="105">
        <f ca="1">'e5.1'!$I24</f>
        <v>42347.642555138998</v>
      </c>
      <c r="I21" s="105">
        <f ca="1">'e5.2'!$I24</f>
        <v>42347.642555138998</v>
      </c>
      <c r="J21" s="105">
        <f ca="1">'e5.3'!$I24</f>
        <v>42347.642555138998</v>
      </c>
      <c r="K21" s="105">
        <f ca="1">'e5.4'!$I24</f>
        <v>42347.642555138998</v>
      </c>
      <c r="L21" s="105">
        <f ca="1">'e5.1'!$X24</f>
        <v>62514.898687827386</v>
      </c>
      <c r="M21" s="105">
        <f ca="1">'e5.2'!$X24</f>
        <v>65631.235934943281</v>
      </c>
      <c r="N21" s="105">
        <f ca="1">'e5.3'!$X24</f>
        <v>66620.407856958584</v>
      </c>
      <c r="O21" s="105">
        <f ca="1">'e5.4'!$X24</f>
        <v>67565.8407549119</v>
      </c>
      <c r="P21" s="118">
        <f t="shared" ca="1" si="7"/>
        <v>10.653668032772575</v>
      </c>
      <c r="Q21" s="118">
        <f t="shared" ca="1" si="8"/>
        <v>10.653668032772575</v>
      </c>
      <c r="R21" s="118">
        <f t="shared" ca="1" si="9"/>
        <v>10.653668032772575</v>
      </c>
      <c r="S21" s="118">
        <f t="shared" ca="1" si="10"/>
        <v>10.653668032772575</v>
      </c>
      <c r="U21" s="118">
        <f>'e4.3'!$M31</f>
        <v>10.459756297265731</v>
      </c>
      <c r="V21" s="118">
        <f>'e4.4'!$M31</f>
        <v>10.459756297265731</v>
      </c>
      <c r="W21" s="118">
        <f>'e4.5'!$M31</f>
        <v>10.459756297265731</v>
      </c>
      <c r="X21" s="118">
        <f>'e4.6'!$M31</f>
        <v>10.459756297265731</v>
      </c>
      <c r="Y21" s="118">
        <f ca="1">'e4.3'!$X31</f>
        <v>14.301474474330272</v>
      </c>
      <c r="Z21" s="118">
        <f ca="1">'e4.4'!$X31</f>
        <v>14.933944806052773</v>
      </c>
      <c r="AA21" s="118">
        <f ca="1">'e4.5'!$X31</f>
        <v>15.192237005544625</v>
      </c>
      <c r="AB21" s="118">
        <f ca="1">'e4.6'!$X31</f>
        <v>15.994461038637944</v>
      </c>
      <c r="AC21" s="118">
        <f t="shared" si="1"/>
        <v>2.3475351598248007</v>
      </c>
      <c r="AD21" s="118">
        <f t="shared" si="2"/>
        <v>2.3475351598248007</v>
      </c>
      <c r="AE21" s="118">
        <f t="shared" si="3"/>
        <v>2.3475351598248007</v>
      </c>
      <c r="AF21" s="118">
        <f t="shared" si="4"/>
        <v>2.3475351598248007</v>
      </c>
    </row>
    <row r="22" spans="1:32" x14ac:dyDescent="0.2">
      <c r="A22" s="3">
        <f>Intro!C34</f>
        <v>2012</v>
      </c>
      <c r="B22" s="110">
        <f>ROUND(Intro!F34 / 365.25, 2)</f>
        <v>112.25</v>
      </c>
      <c r="D22" s="600">
        <f ca="1">'e6.2'!K25</f>
        <v>0.2335648375336386</v>
      </c>
      <c r="E22" s="600">
        <f ca="1">'e6.2'!O25</f>
        <v>0.22492934819627397</v>
      </c>
      <c r="F22" s="600">
        <f t="shared" ca="1" si="6"/>
        <v>-1.4542955636146619</v>
      </c>
      <c r="H22" s="105">
        <f ca="1">'e5.1'!$I25</f>
        <v>56215.906880024406</v>
      </c>
      <c r="I22" s="105">
        <f ca="1">'e5.2'!$I25</f>
        <v>59289.941390112108</v>
      </c>
      <c r="J22" s="105">
        <f ca="1">'e5.3'!$I25</f>
        <v>59342.968485411118</v>
      </c>
      <c r="K22" s="105">
        <f ca="1">'e5.4'!$I25</f>
        <v>59342.968485411118</v>
      </c>
      <c r="L22" s="105">
        <f ca="1">'e5.1'!$X25</f>
        <v>64077.771155023074</v>
      </c>
      <c r="M22" s="105">
        <f ca="1">'e5.2'!$X25</f>
        <v>67436.094923154218</v>
      </c>
      <c r="N22" s="105">
        <f ca="1">'e5.3'!$X25</f>
        <v>68619.020092667342</v>
      </c>
      <c r="O22" s="105">
        <f ca="1">'e5.4'!$X25</f>
        <v>69761.730579446536</v>
      </c>
      <c r="P22" s="118">
        <f t="shared" ca="1" si="7"/>
        <v>10.936955036403186</v>
      </c>
      <c r="Q22" s="118">
        <f t="shared" ca="1" si="8"/>
        <v>10.990194948171865</v>
      </c>
      <c r="R22" s="118">
        <f t="shared" ca="1" si="9"/>
        <v>10.99108891762581</v>
      </c>
      <c r="S22" s="118">
        <f t="shared" ca="1" si="10"/>
        <v>10.99108891762581</v>
      </c>
      <c r="U22" s="118">
        <f>'e4.3'!$M32</f>
        <v>15.828923947761471</v>
      </c>
      <c r="V22" s="118">
        <f>'e4.4'!$M32</f>
        <v>16.694491385405399</v>
      </c>
      <c r="W22" s="118">
        <f>'e4.5'!$M32</f>
        <v>16.709422423704758</v>
      </c>
      <c r="X22" s="118">
        <f>'e4.6'!$M32</f>
        <v>16.709422423704758</v>
      </c>
      <c r="Y22" s="118">
        <f ca="1">'e4.3'!$X32</f>
        <v>14.365831109464752</v>
      </c>
      <c r="Z22" s="118">
        <f ca="1">'e4.4'!$X32</f>
        <v>15.038482419695143</v>
      </c>
      <c r="AA22" s="118">
        <f ca="1">'e4.5'!$X32</f>
        <v>15.336563257097298</v>
      </c>
      <c r="AB22" s="118">
        <f ca="1">'e4.6'!$X32</f>
        <v>16.186394571101598</v>
      </c>
      <c r="AC22" s="118">
        <f t="shared" si="1"/>
        <v>2.7618388960778364</v>
      </c>
      <c r="AD22" s="118">
        <f t="shared" si="2"/>
        <v>2.8150788078465161</v>
      </c>
      <c r="AE22" s="118">
        <f t="shared" si="3"/>
        <v>2.815972777300459</v>
      </c>
      <c r="AF22" s="118">
        <f t="shared" si="4"/>
        <v>2.815972777300459</v>
      </c>
    </row>
    <row r="23" spans="1:32" x14ac:dyDescent="0.2">
      <c r="A23" s="3">
        <f>Intro!C35</f>
        <v>2013</v>
      </c>
      <c r="B23" s="110">
        <f>ROUND(Intro!F35 / 365.25, 2)</f>
        <v>113.25</v>
      </c>
      <c r="D23" s="600">
        <f ca="1">'e6.2'!K26</f>
        <v>0.29752766628819127</v>
      </c>
      <c r="E23" s="600">
        <f ca="1">'e6.2'!O26</f>
        <v>0.2204307612323485</v>
      </c>
      <c r="F23" s="600">
        <f t="shared" ca="1" si="6"/>
        <v>-1.2122480623936123</v>
      </c>
      <c r="H23" s="105">
        <f ca="1">'e5.1'!$I26</f>
        <v>43111.736613281231</v>
      </c>
      <c r="I23" s="105">
        <f ca="1">'e5.2'!$I26</f>
        <v>45329.623033523225</v>
      </c>
      <c r="J23" s="105">
        <f ca="1">'e5.3'!$I26</f>
        <v>48656.452663886223</v>
      </c>
      <c r="K23" s="105">
        <f ca="1">'e5.4'!$I26</f>
        <v>50093.537492809439</v>
      </c>
      <c r="L23" s="105">
        <f ca="1">'e5.1'!$X26</f>
        <v>65679.715433898644</v>
      </c>
      <c r="M23" s="105">
        <f ca="1">'e5.2'!$X26</f>
        <v>69290.587533540966</v>
      </c>
      <c r="N23" s="105">
        <f ca="1">'e5.3'!$X26</f>
        <v>70677.590695447347</v>
      </c>
      <c r="O23" s="105">
        <f ca="1">'e5.4'!$X26</f>
        <v>72028.986823278552</v>
      </c>
      <c r="P23" s="118">
        <f t="shared" ca="1" si="7"/>
        <v>10.671550550234892</v>
      </c>
      <c r="Q23" s="118">
        <f t="shared" ca="1" si="8"/>
        <v>10.721716027851855</v>
      </c>
      <c r="R23" s="118">
        <f t="shared" ca="1" si="9"/>
        <v>10.792539713225692</v>
      </c>
      <c r="S23" s="118">
        <f t="shared" ca="1" si="10"/>
        <v>10.82164728659326</v>
      </c>
      <c r="U23" s="118">
        <f ca="1">'e4.3'!$M33</f>
        <v>14.377624223764064</v>
      </c>
      <c r="V23" s="118">
        <f ca="1">'e4.4'!$M33</f>
        <v>15.117282145857722</v>
      </c>
      <c r="W23" s="118">
        <f ca="1">'e4.5'!$M33</f>
        <v>16.226769028998209</v>
      </c>
      <c r="X23" s="118">
        <f ca="1">'e4.6'!$M33</f>
        <v>16.706032154797811</v>
      </c>
      <c r="Y23" s="118">
        <f ca="1">'e4.3'!$X33</f>
        <v>14.430477349457345</v>
      </c>
      <c r="Z23" s="118">
        <f ca="1">'e4.4'!$X33</f>
        <v>15.143751796633007</v>
      </c>
      <c r="AA23" s="118">
        <f ca="1">'e4.5'!$X33</f>
        <v>15.482260608039725</v>
      </c>
      <c r="AB23" s="118">
        <f ca="1">'e4.6'!$X33</f>
        <v>16.380631305954822</v>
      </c>
      <c r="AC23" s="118">
        <f t="shared" ca="1" si="1"/>
        <v>2.6656731247189636</v>
      </c>
      <c r="AD23" s="118">
        <f t="shared" ca="1" si="2"/>
        <v>2.7158386023359262</v>
      </c>
      <c r="AE23" s="118">
        <f t="shared" ca="1" si="3"/>
        <v>2.7866622877097629</v>
      </c>
      <c r="AF23" s="118">
        <f t="shared" ca="1" si="4"/>
        <v>2.8157698610773316</v>
      </c>
    </row>
    <row r="24" spans="1:32" x14ac:dyDescent="0.2">
      <c r="A24" s="3">
        <f>Intro!C36</f>
        <v>2014</v>
      </c>
      <c r="B24" s="110">
        <f>ROUND(Intro!F36 / 365.25, 2)</f>
        <v>114.25</v>
      </c>
      <c r="D24" s="600">
        <f ca="1">'e6.2'!K27</f>
        <v>0.23555674963311207</v>
      </c>
      <c r="E24" s="600">
        <f ca="1">'e6.2'!O27</f>
        <v>0.21602214600770153</v>
      </c>
      <c r="F24" s="600">
        <f t="shared" ca="1" si="6"/>
        <v>-1.4458034194679728</v>
      </c>
      <c r="H24" s="105">
        <f ca="1">'e5.1'!$I27</f>
        <v>52622.270176962418</v>
      </c>
      <c r="I24" s="105">
        <f ca="1">'e5.2'!$I27</f>
        <v>55093.235441587974</v>
      </c>
      <c r="J24" s="105">
        <f ca="1">'e5.3'!$I27</f>
        <v>56721.90622872817</v>
      </c>
      <c r="K24" s="105">
        <f ca="1">'e5.4'!$I27</f>
        <v>56721.90622872817</v>
      </c>
      <c r="L24" s="105">
        <f ca="1">'e5.1'!$X27</f>
        <v>67321.708319746103</v>
      </c>
      <c r="M24" s="105">
        <f ca="1">'e5.2'!$X27</f>
        <v>71196.078690713344</v>
      </c>
      <c r="N24" s="105">
        <f ca="1">'e5.3'!$X27</f>
        <v>72797.918416310771</v>
      </c>
      <c r="O24" s="105">
        <f ca="1">'e5.4'!$X27</f>
        <v>74369.928895035089</v>
      </c>
      <c r="P24" s="118">
        <f t="shared" ca="1" si="7"/>
        <v>10.870894696517372</v>
      </c>
      <c r="Q24" s="118">
        <f t="shared" ca="1" si="8"/>
        <v>10.916782218849097</v>
      </c>
      <c r="R24" s="118">
        <f t="shared" ca="1" si="9"/>
        <v>10.945915768341004</v>
      </c>
      <c r="S24" s="118">
        <f t="shared" ca="1" si="10"/>
        <v>10.945915768341004</v>
      </c>
      <c r="U24" s="118">
        <f>'e4.3'!$M34</f>
        <v>13.241798172813295</v>
      </c>
      <c r="V24" s="118">
        <f>'e4.4'!$M34</f>
        <v>13.863588589991616</v>
      </c>
      <c r="W24" s="118">
        <f>'e4.5'!$M34</f>
        <v>14.273425143616951</v>
      </c>
      <c r="X24" s="118">
        <f>'e4.6'!$M34</f>
        <v>14.273425143616951</v>
      </c>
      <c r="Y24" s="118">
        <f ca="1">'e4.3'!$X34</f>
        <v>14.495414497529902</v>
      </c>
      <c r="Z24" s="118">
        <f ca="1">'e4.4'!$X34</f>
        <v>15.249758059209434</v>
      </c>
      <c r="AA24" s="118">
        <f ca="1">'e4.5'!$X34</f>
        <v>15.6293420838161</v>
      </c>
      <c r="AB24" s="118">
        <f ca="1">'e4.6'!$X34</f>
        <v>16.577198881626277</v>
      </c>
      <c r="AC24" s="118">
        <f t="shared" si="1"/>
        <v>2.5833783549436156</v>
      </c>
      <c r="AD24" s="118">
        <f t="shared" si="2"/>
        <v>2.6292658772753406</v>
      </c>
      <c r="AE24" s="118">
        <f t="shared" si="3"/>
        <v>2.6583994267672484</v>
      </c>
      <c r="AF24" s="118">
        <f t="shared" si="4"/>
        <v>2.6583994267672484</v>
      </c>
    </row>
    <row r="25" spans="1:32" x14ac:dyDescent="0.2">
      <c r="A25" s="3">
        <f>Intro!C37</f>
        <v>2015</v>
      </c>
      <c r="B25" s="110">
        <f>ROUND(Intro!F37 / 365.25, 2)</f>
        <v>115.25</v>
      </c>
      <c r="D25" s="600">
        <f ca="1">'e6.2'!K28</f>
        <v>0.19297950243493192</v>
      </c>
      <c r="E25" s="600">
        <f ca="1">'e6.2'!O28</f>
        <v>0.21170170308754749</v>
      </c>
      <c r="F25" s="600">
        <f t="shared" ca="1" si="6"/>
        <v>-1.6451713007177546</v>
      </c>
      <c r="H25" s="105">
        <f ca="1">'e5.1'!$I28</f>
        <v>84297.291058933595</v>
      </c>
      <c r="I25" s="105">
        <f ca="1">'e5.2'!$I28</f>
        <v>96217.890638467565</v>
      </c>
      <c r="J25" s="105">
        <f ca="1">'e5.3'!$I28</f>
        <v>99547.080786379855</v>
      </c>
      <c r="K25" s="105">
        <f ca="1">'e5.4'!$I28</f>
        <v>99547.080786379855</v>
      </c>
      <c r="L25" s="105">
        <f ca="1">'e5.1'!$X28</f>
        <v>69004.751027739752</v>
      </c>
      <c r="M25" s="105">
        <f ca="1">'e5.2'!$X28</f>
        <v>73153.970854707979</v>
      </c>
      <c r="N25" s="105">
        <f ca="1">'e5.3'!$X28</f>
        <v>74981.855968800097</v>
      </c>
      <c r="O25" s="105">
        <f ca="1">'e5.4'!$X28</f>
        <v>76786.95158412373</v>
      </c>
      <c r="P25" s="118">
        <f t="shared" ca="1" si="7"/>
        <v>11.342105008941399</v>
      </c>
      <c r="Q25" s="118">
        <f t="shared" ca="1" si="8"/>
        <v>11.474370592735738</v>
      </c>
      <c r="R25" s="118">
        <f t="shared" ca="1" si="9"/>
        <v>11.508385984967756</v>
      </c>
      <c r="S25" s="118">
        <f t="shared" ca="1" si="10"/>
        <v>11.508385984967756</v>
      </c>
      <c r="U25" s="118">
        <f>'e4.3'!$M35</f>
        <v>17.750004723172857</v>
      </c>
      <c r="V25" s="118">
        <f>'e4.4'!$M35</f>
        <v>20.260058085289248</v>
      </c>
      <c r="W25" s="118">
        <f ca="1">'e4.5'!$M35</f>
        <v>20.96106686157923</v>
      </c>
      <c r="X25" s="118">
        <f ca="1">'e4.6'!$M35</f>
        <v>20.96106686157923</v>
      </c>
      <c r="Y25" s="118">
        <f ca="1">'e4.3'!$X35</f>
        <v>14.560643862768785</v>
      </c>
      <c r="Z25" s="118">
        <f ca="1">'e4.4'!$X35</f>
        <v>15.356506365623899</v>
      </c>
      <c r="AA25" s="118">
        <f ca="1">'e4.5'!$X35</f>
        <v>15.777820833612356</v>
      </c>
      <c r="AB25" s="118">
        <f ca="1">'e4.6'!$X35</f>
        <v>16.776125268205792</v>
      </c>
      <c r="AC25" s="118">
        <f t="shared" si="1"/>
        <v>2.8763857820156349</v>
      </c>
      <c r="AD25" s="118">
        <f t="shared" si="2"/>
        <v>3.0086513658099738</v>
      </c>
      <c r="AE25" s="118">
        <f t="shared" ca="1" si="3"/>
        <v>3.0426667580419915</v>
      </c>
      <c r="AF25" s="118">
        <f t="shared" ca="1" si="4"/>
        <v>3.0426667580419915</v>
      </c>
    </row>
    <row r="26" spans="1:32" x14ac:dyDescent="0.2">
      <c r="A26" s="3">
        <f>Intro!C38</f>
        <v>2016</v>
      </c>
      <c r="B26" s="110">
        <f>ROUND(Intro!F38 / 365.25, 2)</f>
        <v>116.25</v>
      </c>
      <c r="D26" s="600">
        <f ca="1">'e6.2'!K29</f>
        <v>0.15806021119133071</v>
      </c>
      <c r="E26" s="600">
        <f ca="1">'e6.2'!O29</f>
        <v>0.20746766902579653</v>
      </c>
      <c r="F26" s="600">
        <f t="shared" ca="1" si="6"/>
        <v>-1.8447792350596059</v>
      </c>
      <c r="H26" s="105">
        <f ca="1">'e5.1'!$I29</f>
        <v>81736.231646860979</v>
      </c>
      <c r="I26" s="105">
        <f ca="1">'e5.2'!$I29</f>
        <v>88051.663435514754</v>
      </c>
      <c r="J26" s="105">
        <f ca="1">'e5.3'!$I29</f>
        <v>90065.536213894593</v>
      </c>
      <c r="K26" s="105">
        <f ca="1">'e5.4'!$I29</f>
        <v>92812.792791784974</v>
      </c>
      <c r="L26" s="105">
        <f ca="1">'e5.1'!$X29</f>
        <v>70729.869803433248</v>
      </c>
      <c r="M26" s="105">
        <f ca="1">'e5.2'!$X29</f>
        <v>75165.705053212441</v>
      </c>
      <c r="N26" s="105">
        <f ca="1">'e5.3'!$X29</f>
        <v>77231.311647864088</v>
      </c>
      <c r="O26" s="105">
        <f ca="1">'e5.4'!$X29</f>
        <v>79282.527510607761</v>
      </c>
      <c r="P26" s="118">
        <f t="shared" ca="1" si="7"/>
        <v>11.311252654353337</v>
      </c>
      <c r="Q26" s="118">
        <f t="shared" ca="1" si="8"/>
        <v>11.385679005688148</v>
      </c>
      <c r="R26" s="118">
        <f t="shared" ca="1" si="9"/>
        <v>11.408292864472253</v>
      </c>
      <c r="S26" s="118">
        <f t="shared" ca="1" si="10"/>
        <v>11.438339762633143</v>
      </c>
      <c r="U26" s="118">
        <f ca="1">'e4.3'!$M36</f>
        <v>13.908202098212231</v>
      </c>
      <c r="V26" s="118">
        <f ca="1">'e4.4'!$M36</f>
        <v>14.982833260969583</v>
      </c>
      <c r="W26" s="118">
        <f ca="1">'e4.5'!$M36</f>
        <v>15.325512988642968</v>
      </c>
      <c r="X26" s="118">
        <f ca="1">'e4.6'!$M36</f>
        <v>15.792984988894032</v>
      </c>
      <c r="Y26" s="118">
        <f ca="1">'e4.3'!$X36</f>
        <v>14.626166760151241</v>
      </c>
      <c r="Z26" s="118">
        <f ca="1">'e4.4'!$X36</f>
        <v>15.464001910183265</v>
      </c>
      <c r="AA26" s="118">
        <f ca="1">'e4.5'!$X36</f>
        <v>15.927710131531672</v>
      </c>
      <c r="AB26" s="118">
        <f ca="1">'e4.6'!$X36</f>
        <v>16.977438771424261</v>
      </c>
      <c r="AC26" s="118">
        <f t="shared" ca="1" si="1"/>
        <v>2.632478745116559</v>
      </c>
      <c r="AD26" s="118">
        <f t="shared" ca="1" si="2"/>
        <v>2.706905096451369</v>
      </c>
      <c r="AE26" s="118">
        <f t="shared" ca="1" si="3"/>
        <v>2.7295189552354739</v>
      </c>
      <c r="AF26" s="118">
        <f t="shared" ca="1" si="4"/>
        <v>2.7595658533963641</v>
      </c>
    </row>
    <row r="27" spans="1:32" x14ac:dyDescent="0.2">
      <c r="A27" s="3">
        <f>Intro!C39</f>
        <v>2017</v>
      </c>
      <c r="B27" s="110">
        <f>ROUND(Intro!F39 / 365.25, 2)</f>
        <v>117.25</v>
      </c>
      <c r="D27" s="600">
        <f ca="1">'e6.2'!K30</f>
        <v>0.15077182853595394</v>
      </c>
      <c r="E27" s="600">
        <f ca="1">'e6.2'!O30</f>
        <v>0.20331831564528058</v>
      </c>
      <c r="F27" s="600">
        <f t="shared" ca="1" si="6"/>
        <v>-1.8919876542821383</v>
      </c>
      <c r="H27" s="105">
        <f ca="1">'e5.1'!$I30</f>
        <v>68947.111362812386</v>
      </c>
      <c r="I27" s="105">
        <f ca="1">'e5.2'!$I30</f>
        <v>70324.295561278617</v>
      </c>
      <c r="J27" s="105">
        <f ca="1">'e5.3'!$I30</f>
        <v>72157.230146281785</v>
      </c>
      <c r="K27" s="105">
        <f ca="1">'e5.4'!$I30</f>
        <v>74607.310872773625</v>
      </c>
      <c r="L27" s="105">
        <f ca="1">'e5.1'!$X30</f>
        <v>72498.116548519058</v>
      </c>
      <c r="M27" s="105">
        <f ca="1">'e5.2'!$X30</f>
        <v>77232.761942175799</v>
      </c>
      <c r="N27" s="105">
        <f ca="1">'e5.3'!$X30</f>
        <v>79548.250997300027</v>
      </c>
      <c r="O27" s="105">
        <f ca="1">'e5.4'!$X30</f>
        <v>81859.209654702499</v>
      </c>
      <c r="P27" s="118">
        <f t="shared" ca="1" si="7"/>
        <v>11.141094987678322</v>
      </c>
      <c r="Q27" s="118">
        <f t="shared" ca="1" si="8"/>
        <v>11.160872616404633</v>
      </c>
      <c r="R27" s="118">
        <f t="shared" ca="1" si="9"/>
        <v>11.186602769109014</v>
      </c>
      <c r="S27" s="118">
        <f t="shared" ca="1" si="10"/>
        <v>11.219993782365588</v>
      </c>
      <c r="U27" s="118">
        <f ca="1">'e4.3'!$M37</f>
        <v>12.855675035830613</v>
      </c>
      <c r="V27" s="118">
        <f ca="1">'e4.4'!$M37</f>
        <v>13.112460739684074</v>
      </c>
      <c r="W27" s="118">
        <f ca="1">'e4.5'!$M37</f>
        <v>13.454224316445686</v>
      </c>
      <c r="X27" s="118">
        <f ca="1">'e4.6'!$M37</f>
        <v>13.911059142571837</v>
      </c>
      <c r="Y27" s="118">
        <f ca="1">'e4.3'!$X37</f>
        <v>14.691984510571922</v>
      </c>
      <c r="Z27" s="118">
        <f ca="1">'e4.4'!$X37</f>
        <v>15.572249923554546</v>
      </c>
      <c r="AA27" s="118">
        <f ca="1">'e4.5'!$X37</f>
        <v>16.079023377781226</v>
      </c>
      <c r="AB27" s="118">
        <f ca="1">'e4.6'!$X37</f>
        <v>17.181168036681353</v>
      </c>
      <c r="AC27" s="118">
        <f t="shared" ca="1" si="1"/>
        <v>2.5537853508779187</v>
      </c>
      <c r="AD27" s="118">
        <f t="shared" ca="1" si="2"/>
        <v>2.5735629796042305</v>
      </c>
      <c r="AE27" s="118">
        <f t="shared" ca="1" si="3"/>
        <v>2.5992931323086101</v>
      </c>
      <c r="AF27" s="118">
        <f t="shared" ca="1" si="4"/>
        <v>2.632684145565185</v>
      </c>
    </row>
    <row r="28" spans="1:32" x14ac:dyDescent="0.2">
      <c r="A28" s="3">
        <f>Intro!C40</f>
        <v>2018</v>
      </c>
      <c r="B28" s="110">
        <f>ROUND(Intro!F40 / 365.25, 2)</f>
        <v>118.25</v>
      </c>
      <c r="D28" s="600">
        <f ca="1">'e6.2'!K31</f>
        <v>0.23993401679509921</v>
      </c>
      <c r="E28" s="600">
        <f ca="1">'e6.2'!O31</f>
        <v>0.19925194933237497</v>
      </c>
      <c r="F28" s="600">
        <f t="shared" ca="1" si="6"/>
        <v>-1.4273913234607523</v>
      </c>
      <c r="H28" s="105">
        <f ca="1">'e5.1'!$I31</f>
        <v>67619.921391671131</v>
      </c>
      <c r="I28" s="105">
        <f ca="1">'e5.2'!$I31</f>
        <v>70826.683124601099</v>
      </c>
      <c r="J28" s="105">
        <f ca="1">'e5.3'!$I31</f>
        <v>73047.840779285543</v>
      </c>
      <c r="K28" s="105">
        <f ca="1">'e5.4'!$I31</f>
        <v>75896.429433459154</v>
      </c>
      <c r="L28" s="105">
        <f ca="1">'e5.1'!$X31</f>
        <v>74310.569462232044</v>
      </c>
      <c r="M28" s="105">
        <f ca="1">'e5.2'!$X31</f>
        <v>79356.662895585629</v>
      </c>
      <c r="N28" s="105">
        <f ca="1">'e5.3'!$X31</f>
        <v>81934.698527219021</v>
      </c>
      <c r="O28" s="105">
        <f ca="1">'e5.4'!$X31</f>
        <v>84519.633968480324</v>
      </c>
      <c r="P28" s="118">
        <f t="shared" ca="1" si="7"/>
        <v>11.121657913760036</v>
      </c>
      <c r="Q28" s="118">
        <f t="shared" ca="1" si="8"/>
        <v>11.167991088971249</v>
      </c>
      <c r="R28" s="118">
        <f t="shared" ca="1" si="9"/>
        <v>11.198869858621332</v>
      </c>
      <c r="S28" s="118">
        <f t="shared" ca="1" si="10"/>
        <v>11.237124919239735</v>
      </c>
      <c r="U28" s="118">
        <f ca="1">'e4.3'!$M38</f>
        <v>15.952667677241907</v>
      </c>
      <c r="V28" s="118">
        <f ca="1">'e4.4'!$M38</f>
        <v>16.709196274032454</v>
      </c>
      <c r="W28" s="118">
        <f ca="1">'e4.5'!$M38</f>
        <v>17.233204424215064</v>
      </c>
      <c r="X28" s="118">
        <f ca="1">'e4.6'!$M38</f>
        <v>17.905234015701552</v>
      </c>
      <c r="Y28" s="118">
        <f ca="1">'e4.3'!$X38</f>
        <v>14.758098440869494</v>
      </c>
      <c r="Z28" s="118">
        <f ca="1">'e4.4'!$X38</f>
        <v>15.681255673019425</v>
      </c>
      <c r="AA28" s="118">
        <f ca="1">'e4.5'!$X38</f>
        <v>16.231774099870147</v>
      </c>
      <c r="AB28" s="118">
        <f ca="1">'e4.6'!$X38</f>
        <v>17.387342053121529</v>
      </c>
      <c r="AC28" s="118">
        <f t="shared" ca="1" si="1"/>
        <v>2.7696260677373705</v>
      </c>
      <c r="AD28" s="118">
        <f t="shared" ca="1" si="2"/>
        <v>2.8159592429485847</v>
      </c>
      <c r="AE28" s="118">
        <f t="shared" ca="1" si="3"/>
        <v>2.8468380125986679</v>
      </c>
      <c r="AF28" s="118">
        <f t="shared" ca="1" si="4"/>
        <v>2.8850930732170696</v>
      </c>
    </row>
    <row r="29" spans="1:32" x14ac:dyDescent="0.2">
      <c r="A29" s="3">
        <f>Intro!C41</f>
        <v>2019</v>
      </c>
      <c r="B29" s="110">
        <f>ROUND(Intro!F41 / 365.25, 2)</f>
        <v>119.25</v>
      </c>
      <c r="D29" s="600">
        <f ca="1">'e6.2'!K32</f>
        <v>0.15763105758185661</v>
      </c>
      <c r="E29" s="600">
        <f ca="1">'e6.2'!O32</f>
        <v>0.19526691034572746</v>
      </c>
      <c r="F29" s="600">
        <f t="shared" ca="1" si="6"/>
        <v>-1.8474980550985625</v>
      </c>
      <c r="H29" s="105">
        <f ca="1">'e5.1'!$I32</f>
        <v>82380.508780327829</v>
      </c>
      <c r="I29" s="105">
        <f ca="1">'e5.2'!$I32</f>
        <v>86910.60089448886</v>
      </c>
      <c r="J29" s="105">
        <f ca="1">'e5.3'!$I32</f>
        <v>90441.958905063453</v>
      </c>
      <c r="K29" s="105">
        <f ca="1">'e5.4'!$I32</f>
        <v>94062.035291400651</v>
      </c>
      <c r="L29" s="105">
        <f ca="1">'e5.1'!$X32</f>
        <v>76168.333698787843</v>
      </c>
      <c r="M29" s="105">
        <f ca="1">'e5.2'!$X32</f>
        <v>81538.971125214244</v>
      </c>
      <c r="N29" s="105">
        <f ca="1">'e5.3'!$X32</f>
        <v>84392.739483035592</v>
      </c>
      <c r="O29" s="105">
        <f ca="1">'e5.4'!$X32</f>
        <v>87266.522072455933</v>
      </c>
      <c r="P29" s="118">
        <f t="shared" ca="1" si="7"/>
        <v>11.319104143988575</v>
      </c>
      <c r="Q29" s="118">
        <f t="shared" ca="1" si="8"/>
        <v>11.372635293393209</v>
      </c>
      <c r="R29" s="118">
        <f t="shared" ca="1" si="9"/>
        <v>11.412463585877191</v>
      </c>
      <c r="S29" s="118">
        <f t="shared" ca="1" si="10"/>
        <v>11.45170979348948</v>
      </c>
      <c r="U29" s="118">
        <f ca="1">'e4.3'!$M39</f>
        <v>14.409260840582354</v>
      </c>
      <c r="V29" s="118">
        <f ca="1">'e4.4'!$M39</f>
        <v>15.201623984136997</v>
      </c>
      <c r="W29" s="118">
        <f ca="1">'e4.5'!$M39</f>
        <v>15.819297502414663</v>
      </c>
      <c r="X29" s="118">
        <f ca="1">'e4.6'!$M39</f>
        <v>16.452488844466945</v>
      </c>
      <c r="Y29" s="118">
        <f ca="1">'e4.3'!$X39</f>
        <v>14.824509883853406</v>
      </c>
      <c r="Z29" s="118">
        <f ca="1">'e4.4'!$X39</f>
        <v>15.79102446273056</v>
      </c>
      <c r="AA29" s="118">
        <f ca="1">'e4.5'!$X39</f>
        <v>16.385975953818914</v>
      </c>
      <c r="AB29" s="118">
        <f ca="1">'e4.6'!$X39</f>
        <v>17.595990157758987</v>
      </c>
      <c r="AC29" s="118">
        <f t="shared" ca="1" si="1"/>
        <v>2.6678711138021423</v>
      </c>
      <c r="AD29" s="118">
        <f t="shared" ca="1" si="2"/>
        <v>2.7214022632067754</v>
      </c>
      <c r="AE29" s="118">
        <f t="shared" ca="1" si="3"/>
        <v>2.7612305556907573</v>
      </c>
      <c r="AF29" s="118">
        <f t="shared" ca="1" si="4"/>
        <v>2.8004767633030476</v>
      </c>
    </row>
    <row r="30" spans="1:32" x14ac:dyDescent="0.2">
      <c r="A30" s="3"/>
      <c r="B30" s="110"/>
      <c r="D30" s="600"/>
      <c r="E30" s="600"/>
      <c r="F30" s="600"/>
    </row>
    <row r="31" spans="1:32" x14ac:dyDescent="0.2">
      <c r="F31" s="33" t="s">
        <v>332</v>
      </c>
      <c r="I31" s="45" t="s">
        <v>725</v>
      </c>
      <c r="J31" s="45"/>
      <c r="K31" s="45"/>
      <c r="L31" s="45"/>
      <c r="N31" s="45" t="s">
        <v>726</v>
      </c>
      <c r="O31" s="45"/>
      <c r="P31" s="45"/>
      <c r="Q31" s="45"/>
      <c r="V31" s="45" t="s">
        <v>725</v>
      </c>
      <c r="W31" s="45"/>
      <c r="X31" s="45"/>
      <c r="Y31" s="45"/>
      <c r="AA31" s="45" t="s">
        <v>726</v>
      </c>
      <c r="AB31" s="45"/>
      <c r="AC31" s="45"/>
      <c r="AD31" s="45"/>
    </row>
    <row r="32" spans="1:32" x14ac:dyDescent="0.2">
      <c r="D32" s="82" t="s">
        <v>4</v>
      </c>
      <c r="E32" s="82" t="s">
        <v>727</v>
      </c>
      <c r="F32" s="82" t="s">
        <v>353</v>
      </c>
      <c r="H32" s="82" t="s">
        <v>4</v>
      </c>
      <c r="I32" s="140" t="s">
        <v>263</v>
      </c>
      <c r="J32" s="140" t="s">
        <v>264</v>
      </c>
      <c r="K32" s="140" t="s">
        <v>265</v>
      </c>
      <c r="L32" s="140" t="s">
        <v>14</v>
      </c>
      <c r="N32" s="140" t="s">
        <v>263</v>
      </c>
      <c r="O32" s="140" t="s">
        <v>264</v>
      </c>
      <c r="P32" s="140" t="s">
        <v>265</v>
      </c>
      <c r="Q32" s="140" t="s">
        <v>14</v>
      </c>
      <c r="U32" s="82" t="s">
        <v>4</v>
      </c>
      <c r="V32" s="140" t="s">
        <v>263</v>
      </c>
      <c r="W32" s="140" t="s">
        <v>264</v>
      </c>
      <c r="X32" s="140" t="s">
        <v>265</v>
      </c>
      <c r="Y32" s="140" t="s">
        <v>14</v>
      </c>
      <c r="AA32" s="140" t="s">
        <v>263</v>
      </c>
      <c r="AB32" s="140" t="s">
        <v>264</v>
      </c>
      <c r="AC32" s="140" t="s">
        <v>265</v>
      </c>
      <c r="AD32" s="140" t="s">
        <v>14</v>
      </c>
    </row>
    <row r="33" spans="4:30" x14ac:dyDescent="0.2">
      <c r="D33" s="601" t="s">
        <v>742</v>
      </c>
      <c r="E33" s="365">
        <f ca="1">LINEST(F$13:F$29, $B$13:$B$29)</f>
        <v>-4.0160009111912059E-2</v>
      </c>
      <c r="F33" s="602">
        <f ca="1">EXP(E33)-1</f>
        <v>-3.9364283613720463E-2</v>
      </c>
      <c r="H33" s="3" t="str">
        <f>D33</f>
        <v>03-19</v>
      </c>
      <c r="I33" s="365">
        <f ca="1">LINEST(P$13:P$29, $B$13:$B$29)</f>
        <v>4.218182837477473E-2</v>
      </c>
      <c r="J33" s="365">
        <f ca="1">LINEST(Q$13:Q$29, $B$13:$B$29)</f>
        <v>4.0419589223485444E-2</v>
      </c>
      <c r="K33" s="365">
        <f ca="1">LINEST(R$13:R$29, $B$13:$B$29)</f>
        <v>3.654969062516962E-2</v>
      </c>
      <c r="L33" s="365">
        <f ca="1">LINEST(S$13:S$29, $B$13:$B$29)</f>
        <v>3.8376404476518938E-2</v>
      </c>
      <c r="N33" s="602">
        <f ca="1">EXP(I33)-1</f>
        <v>4.3084123799798979E-2</v>
      </c>
      <c r="O33" s="602">
        <f t="shared" ref="O33:Q38" ca="1" si="11">EXP(J33)-1</f>
        <v>4.1247578809773477E-2</v>
      </c>
      <c r="P33" s="602">
        <f t="shared" ca="1" si="11"/>
        <v>3.722584313782118E-2</v>
      </c>
      <c r="Q33" s="602">
        <f t="shared" ca="1" si="11"/>
        <v>3.912228955757846E-2</v>
      </c>
      <c r="U33" s="3" t="str">
        <f>H33</f>
        <v>03-19</v>
      </c>
      <c r="V33" s="365">
        <f ca="1">LINEST(AC$13:AC$29, $B$13:$B$29)</f>
        <v>-9.2586231681567183E-3</v>
      </c>
      <c r="W33" s="365">
        <f ca="1">LINEST(AD$13:AD$29, $B$13:$B$29)</f>
        <v>-1.1020862319446049E-2</v>
      </c>
      <c r="X33" s="365">
        <f ca="1">LINEST(AE$13:AE$29, $B$13:$B$29)</f>
        <v>-1.4890760917761901E-2</v>
      </c>
      <c r="Y33" s="365">
        <f ca="1">LINEST(AF$13:AF$29, $B$13:$B$29)</f>
        <v>-1.3064047066412515E-2</v>
      </c>
      <c r="AA33" s="602">
        <f ca="1">EXP(V33)-1</f>
        <v>-9.2158940891676755E-3</v>
      </c>
      <c r="AB33" s="602">
        <f t="shared" ref="AB33:AD38" ca="1" si="12">EXP(W33)-1</f>
        <v>-1.0960355100882557E-2</v>
      </c>
      <c r="AC33" s="602">
        <f t="shared" ca="1" si="12"/>
        <v>-1.4780441794781662E-2</v>
      </c>
      <c r="AD33" s="602">
        <f t="shared" ca="1" si="12"/>
        <v>-1.2979082798383224E-2</v>
      </c>
    </row>
    <row r="34" spans="4:30" x14ac:dyDescent="0.2">
      <c r="D34" s="601" t="s">
        <v>728</v>
      </c>
      <c r="E34" s="365">
        <f ca="1">LINEST(F$13:F$27, $B$13:$B$27)</f>
        <v>-4.5469594865160112E-2</v>
      </c>
      <c r="F34" s="602">
        <f t="shared" ref="F34:F38" ca="1" si="13">EXP(E34)-1</f>
        <v>-4.4451344284006988E-2</v>
      </c>
      <c r="H34" s="3" t="str">
        <f t="shared" ref="H34:H38" si="14">D34</f>
        <v>03-17</v>
      </c>
      <c r="I34" s="365">
        <f ca="1">LINEST(P$13:P$27, $B$13:$B$27)</f>
        <v>3.9699456611425127E-2</v>
      </c>
      <c r="J34" s="365">
        <f ca="1">LINEST(Q$13:Q$27, $B$13:$B$27)</f>
        <v>3.7587372282042182E-2</v>
      </c>
      <c r="K34" s="365">
        <f ca="1">LINEST(R$13:R$27, $B$13:$B$27)</f>
        <v>3.2353906832921206E-2</v>
      </c>
      <c r="L34" s="365">
        <f ca="1">LINEST(S$13:S$27, $B$13:$B$27)</f>
        <v>3.3538481751039087E-2</v>
      </c>
      <c r="N34" s="602">
        <f t="shared" ref="N34:N38" ca="1" si="15">EXP(I34)-1</f>
        <v>4.0498012397046423E-2</v>
      </c>
      <c r="O34" s="602">
        <f t="shared" ca="1" si="11"/>
        <v>3.8302711996180516E-2</v>
      </c>
      <c r="P34" s="602">
        <f t="shared" ca="1" si="11"/>
        <v>3.2882984974418106E-2</v>
      </c>
      <c r="Q34" s="602">
        <f t="shared" ca="1" si="11"/>
        <v>3.4107237217862352E-2</v>
      </c>
      <c r="U34" s="3" t="str">
        <f t="shared" ref="U34:U38" si="16">H34</f>
        <v>03-17</v>
      </c>
      <c r="V34" s="365">
        <f ca="1">LINEST(AC$13:AC$27, $B$13:$B$27)</f>
        <v>-1.5713175392361077E-2</v>
      </c>
      <c r="W34" s="365">
        <f ca="1">LINEST(AD$13:AD$27, $B$13:$B$27)</f>
        <v>-1.7825259721744098E-2</v>
      </c>
      <c r="X34" s="365">
        <f ca="1">LINEST(AE$13:AE$27, $B$13:$B$27)</f>
        <v>-2.3058725170865074E-2</v>
      </c>
      <c r="Y34" s="365">
        <f ca="1">LINEST(AF$13:AF$27, $B$13:$B$27)</f>
        <v>-2.1874150252747131E-2</v>
      </c>
      <c r="AA34" s="602">
        <f t="shared" ref="AA34:AA38" ca="1" si="17">EXP(V34)-1</f>
        <v>-1.5590367527134497E-2</v>
      </c>
      <c r="AB34" s="602">
        <f t="shared" ca="1" si="12"/>
        <v>-1.7667329554006073E-2</v>
      </c>
      <c r="AC34" s="602">
        <f t="shared" ca="1" si="12"/>
        <v>-2.2794904447979492E-2</v>
      </c>
      <c r="AD34" s="602">
        <f t="shared" ca="1" si="12"/>
        <v>-2.1636645915369068E-2</v>
      </c>
    </row>
    <row r="35" spans="4:30" x14ac:dyDescent="0.2">
      <c r="D35" s="601" t="s">
        <v>561</v>
      </c>
      <c r="E35" s="365">
        <f ca="1">LINEST(F$19:F$27, $B$19:$B$27)</f>
        <v>-6.9724519135104454E-2</v>
      </c>
      <c r="F35" s="602">
        <f t="shared" ca="1" si="13"/>
        <v>-6.7349288055324918E-2</v>
      </c>
      <c r="H35" s="3" t="str">
        <f t="shared" si="14"/>
        <v>09-17</v>
      </c>
      <c r="I35" s="365">
        <f ca="1">LINEST(P$19:P$27, $B$19:$B$27)</f>
        <v>7.5864536102723173E-2</v>
      </c>
      <c r="J35" s="365">
        <f ca="1">LINEST(Q$19:Q$27, $B$19:$B$27)</f>
        <v>7.7429588491717369E-2</v>
      </c>
      <c r="K35" s="365">
        <f ca="1">LINEST(R$19:R$27, $B$19:$B$27)</f>
        <v>7.6505370691088509E-2</v>
      </c>
      <c r="L35" s="365">
        <f ca="1">LINEST(S$19:S$27, $B$19:$B$27)</f>
        <v>7.7411481363813303E-2</v>
      </c>
      <c r="N35" s="602">
        <f t="shared" ca="1" si="15"/>
        <v>7.881642358125962E-2</v>
      </c>
      <c r="O35" s="602">
        <f t="shared" ca="1" si="11"/>
        <v>8.0506149712330943E-2</v>
      </c>
      <c r="P35" s="602">
        <f t="shared" ca="1" si="11"/>
        <v>7.9507988025528054E-2</v>
      </c>
      <c r="Q35" s="602">
        <f t="shared" ca="1" si="11"/>
        <v>8.0486585026407598E-2</v>
      </c>
      <c r="U35" s="3" t="str">
        <f t="shared" si="16"/>
        <v>09-17</v>
      </c>
      <c r="V35" s="365">
        <f ca="1">LINEST(AC$19:AC$27, $B$19:$B$27)</f>
        <v>5.573503072787701E-4</v>
      </c>
      <c r="W35" s="365">
        <f ca="1">LINEST(AD$19:AD$27, $B$19:$B$27)</f>
        <v>2.1224026962729167E-3</v>
      </c>
      <c r="X35" s="365">
        <f ca="1">LINEST(AE$19:AE$27, $B$19:$B$27)</f>
        <v>1.1981848956440101E-3</v>
      </c>
      <c r="Y35" s="365">
        <f ca="1">LINEST(AF$19:AF$27, $B$19:$B$27)</f>
        <v>2.1042955683689534E-3</v>
      </c>
      <c r="AA35" s="602">
        <f t="shared" ca="1" si="17"/>
        <v>5.5750565582113332E-4</v>
      </c>
      <c r="AB35" s="602">
        <f t="shared" ca="1" si="12"/>
        <v>2.1246565871482215E-3</v>
      </c>
      <c r="AC35" s="602">
        <f t="shared" ca="1" si="12"/>
        <v>1.1989030059471606E-3</v>
      </c>
      <c r="AD35" s="602">
        <f t="shared" ca="1" si="12"/>
        <v>2.1065111520970348E-3</v>
      </c>
    </row>
    <row r="36" spans="4:30" x14ac:dyDescent="0.2">
      <c r="D36" s="601" t="s">
        <v>562</v>
      </c>
      <c r="E36" s="365">
        <f ca="1">LINEST(F$20:F$27, $B$20:$B$27)</f>
        <v>-7.3410025444204302E-2</v>
      </c>
      <c r="F36" s="602">
        <f t="shared" ca="1" si="13"/>
        <v>-7.0780251835502628E-2</v>
      </c>
      <c r="H36" s="3" t="str">
        <f t="shared" si="14"/>
        <v>10-17</v>
      </c>
      <c r="I36" s="365">
        <f t="shared" ref="I36:L38" ca="1" si="18">LINEST(P$20:P$27, $B$20:$B$27)</f>
        <v>0.10532007920652649</v>
      </c>
      <c r="J36" s="365">
        <f t="shared" ca="1" si="18"/>
        <v>0.1141697722845024</v>
      </c>
      <c r="K36" s="365">
        <f t="shared" ca="1" si="18"/>
        <v>0.11834661151430564</v>
      </c>
      <c r="L36" s="365">
        <f t="shared" ca="1" si="18"/>
        <v>0.12257118306469739</v>
      </c>
      <c r="N36" s="602">
        <f t="shared" ca="1" si="15"/>
        <v>0.11106618262915835</v>
      </c>
      <c r="O36" s="602">
        <f t="shared" ca="1" si="11"/>
        <v>0.12094241368518066</v>
      </c>
      <c r="P36" s="602">
        <f t="shared" ca="1" si="11"/>
        <v>0.12563420153371307</v>
      </c>
      <c r="Q36" s="602">
        <f t="shared" ca="1" si="11"/>
        <v>0.13039958251681161</v>
      </c>
      <c r="U36" s="3" t="str">
        <f t="shared" si="16"/>
        <v>10-17</v>
      </c>
      <c r="V36" s="365">
        <f t="shared" ref="V36:Y38" ca="1" si="19">LINEST(AC$20:AC$27, $B$20:$B$27)</f>
        <v>2.7071375170641645E-2</v>
      </c>
      <c r="W36" s="365">
        <f t="shared" ca="1" si="19"/>
        <v>3.5921068248617523E-2</v>
      </c>
      <c r="X36" s="365">
        <f t="shared" ca="1" si="19"/>
        <v>4.0097907478420791E-2</v>
      </c>
      <c r="Y36" s="365">
        <f t="shared" ca="1" si="19"/>
        <v>4.4322479028812541E-2</v>
      </c>
      <c r="AA36" s="602">
        <f t="shared" ca="1" si="17"/>
        <v>2.7441133932704531E-2</v>
      </c>
      <c r="AB36" s="602">
        <f t="shared" ca="1" si="12"/>
        <v>3.6574024658592164E-2</v>
      </c>
      <c r="AC36" s="602">
        <f t="shared" ca="1" si="12"/>
        <v>4.0912682339506068E-2</v>
      </c>
      <c r="AD36" s="602">
        <f t="shared" ca="1" si="12"/>
        <v>4.5319394124496482E-2</v>
      </c>
    </row>
    <row r="37" spans="4:30" x14ac:dyDescent="0.2">
      <c r="D37" s="601" t="s">
        <v>563</v>
      </c>
      <c r="E37" s="365">
        <f ca="1">LINEST(F$20:F$27, $B$20:$B$27)</f>
        <v>-7.3410025444204302E-2</v>
      </c>
      <c r="F37" s="602">
        <f t="shared" ca="1" si="13"/>
        <v>-7.0780251835502628E-2</v>
      </c>
      <c r="H37" s="3" t="str">
        <f t="shared" si="14"/>
        <v>11-17</v>
      </c>
      <c r="I37" s="365">
        <f t="shared" ca="1" si="18"/>
        <v>0.10532007920652649</v>
      </c>
      <c r="J37" s="365">
        <f t="shared" ca="1" si="18"/>
        <v>0.1141697722845024</v>
      </c>
      <c r="K37" s="365">
        <f t="shared" ca="1" si="18"/>
        <v>0.11834661151430564</v>
      </c>
      <c r="L37" s="365">
        <f t="shared" ca="1" si="18"/>
        <v>0.12257118306469739</v>
      </c>
      <c r="N37" s="602">
        <f t="shared" ca="1" si="15"/>
        <v>0.11106618262915835</v>
      </c>
      <c r="O37" s="602">
        <f t="shared" ca="1" si="11"/>
        <v>0.12094241368518066</v>
      </c>
      <c r="P37" s="602">
        <f t="shared" ca="1" si="11"/>
        <v>0.12563420153371307</v>
      </c>
      <c r="Q37" s="602">
        <f t="shared" ca="1" si="11"/>
        <v>0.13039958251681161</v>
      </c>
      <c r="U37" s="3" t="str">
        <f t="shared" si="16"/>
        <v>11-17</v>
      </c>
      <c r="V37" s="365">
        <f t="shared" ca="1" si="19"/>
        <v>2.7071375170641645E-2</v>
      </c>
      <c r="W37" s="365">
        <f t="shared" ca="1" si="19"/>
        <v>3.5921068248617523E-2</v>
      </c>
      <c r="X37" s="365">
        <f t="shared" ca="1" si="19"/>
        <v>4.0097907478420791E-2</v>
      </c>
      <c r="Y37" s="365">
        <f t="shared" ca="1" si="19"/>
        <v>4.4322479028812541E-2</v>
      </c>
      <c r="AA37" s="602">
        <f t="shared" ca="1" si="17"/>
        <v>2.7441133932704531E-2</v>
      </c>
      <c r="AB37" s="602">
        <f t="shared" ca="1" si="12"/>
        <v>3.6574024658592164E-2</v>
      </c>
      <c r="AC37" s="602">
        <f t="shared" ca="1" si="12"/>
        <v>4.0912682339506068E-2</v>
      </c>
      <c r="AD37" s="602">
        <f t="shared" ca="1" si="12"/>
        <v>4.5319394124496482E-2</v>
      </c>
    </row>
    <row r="38" spans="4:30" x14ac:dyDescent="0.2">
      <c r="D38" s="601" t="s">
        <v>564</v>
      </c>
      <c r="E38" s="365">
        <f ca="1">LINEST(F$20:F$27, $B$20:$B$27)</f>
        <v>-7.3410025444204302E-2</v>
      </c>
      <c r="F38" s="602">
        <f t="shared" ca="1" si="13"/>
        <v>-7.0780251835502628E-2</v>
      </c>
      <c r="H38" s="3" t="str">
        <f t="shared" si="14"/>
        <v>14-17</v>
      </c>
      <c r="I38" s="365">
        <f t="shared" ca="1" si="18"/>
        <v>0.10532007920652649</v>
      </c>
      <c r="J38" s="365">
        <f t="shared" ca="1" si="18"/>
        <v>0.1141697722845024</v>
      </c>
      <c r="K38" s="365">
        <f t="shared" ca="1" si="18"/>
        <v>0.11834661151430564</v>
      </c>
      <c r="L38" s="365">
        <f t="shared" ca="1" si="18"/>
        <v>0.12257118306469739</v>
      </c>
      <c r="N38" s="602">
        <f t="shared" ca="1" si="15"/>
        <v>0.11106618262915835</v>
      </c>
      <c r="O38" s="602">
        <f t="shared" ca="1" si="11"/>
        <v>0.12094241368518066</v>
      </c>
      <c r="P38" s="602">
        <f t="shared" ca="1" si="11"/>
        <v>0.12563420153371307</v>
      </c>
      <c r="Q38" s="602">
        <f t="shared" ca="1" si="11"/>
        <v>0.13039958251681161</v>
      </c>
      <c r="U38" s="3" t="str">
        <f t="shared" si="16"/>
        <v>14-17</v>
      </c>
      <c r="V38" s="365">
        <f t="shared" ca="1" si="19"/>
        <v>2.7071375170641645E-2</v>
      </c>
      <c r="W38" s="365">
        <f t="shared" ca="1" si="19"/>
        <v>3.5921068248617523E-2</v>
      </c>
      <c r="X38" s="365">
        <f t="shared" ca="1" si="19"/>
        <v>4.0097907478420791E-2</v>
      </c>
      <c r="Y38" s="365">
        <f t="shared" ca="1" si="19"/>
        <v>4.4322479028812541E-2</v>
      </c>
      <c r="AA38" s="602">
        <f t="shared" ca="1" si="17"/>
        <v>2.7441133932704531E-2</v>
      </c>
      <c r="AB38" s="602">
        <f t="shared" ca="1" si="12"/>
        <v>3.6574024658592164E-2</v>
      </c>
      <c r="AC38" s="602">
        <f t="shared" ca="1" si="12"/>
        <v>4.0912682339506068E-2</v>
      </c>
      <c r="AD38" s="602">
        <f t="shared" ca="1" si="12"/>
        <v>4.5319394124496482E-2</v>
      </c>
    </row>
    <row r="40" spans="4:30" x14ac:dyDescent="0.2">
      <c r="I40" s="140" t="s">
        <v>263</v>
      </c>
      <c r="J40" s="140" t="s">
        <v>264</v>
      </c>
      <c r="K40" s="140" t="s">
        <v>265</v>
      </c>
      <c r="L40" s="140" t="s">
        <v>14</v>
      </c>
      <c r="V40" s="140" t="s">
        <v>263</v>
      </c>
      <c r="W40" s="140" t="s">
        <v>264</v>
      </c>
      <c r="X40" s="140" t="s">
        <v>265</v>
      </c>
      <c r="Y40" s="603" t="s">
        <v>266</v>
      </c>
      <c r="Z40" s="140" t="s">
        <v>14</v>
      </c>
    </row>
    <row r="41" spans="4:30" x14ac:dyDescent="0.2">
      <c r="D41" s="3" t="s">
        <v>105</v>
      </c>
      <c r="E41" s="311">
        <v>-0.02</v>
      </c>
      <c r="H41" s="3" t="s">
        <v>105</v>
      </c>
      <c r="I41" s="311">
        <f>Trend!I43</f>
        <v>2.5000000000000001E-2</v>
      </c>
      <c r="J41" s="311">
        <f>Trend!J43</f>
        <v>2.75E-2</v>
      </c>
      <c r="K41" s="311">
        <f>Trend!K43</f>
        <v>3.0000000000000002E-2</v>
      </c>
      <c r="L41" s="311">
        <v>3.2500000000000001E-2</v>
      </c>
      <c r="U41" s="3" t="s">
        <v>105</v>
      </c>
      <c r="V41" s="311">
        <f>Trend!V43</f>
        <v>4.4999999999999997E-3</v>
      </c>
      <c r="W41" s="311">
        <f>Trend!W43</f>
        <v>6.9999999999999993E-3</v>
      </c>
      <c r="X41" s="311">
        <f>Trend!X43</f>
        <v>9.4999999999999998E-3</v>
      </c>
      <c r="Y41" s="311">
        <v>1.0999999999999999E-2</v>
      </c>
      <c r="Z41" s="311">
        <v>1.2E-2</v>
      </c>
    </row>
    <row r="42" spans="4:30" x14ac:dyDescent="0.2">
      <c r="D42" s="3" t="s">
        <v>729</v>
      </c>
      <c r="E42" s="3" t="str">
        <f>TEXT(E41, "0.00%")</f>
        <v>-2.00%</v>
      </c>
      <c r="F42" s="3"/>
      <c r="H42" s="3" t="s">
        <v>729</v>
      </c>
      <c r="I42" s="3" t="str">
        <f>TEXT(I41, "0.00%")</f>
        <v>2.50%</v>
      </c>
      <c r="J42" s="3" t="str">
        <f t="shared" ref="J42:L42" si="20">TEXT(J41, "0.00%")</f>
        <v>2.75%</v>
      </c>
      <c r="K42" s="3" t="str">
        <f t="shared" si="20"/>
        <v>3.00%</v>
      </c>
      <c r="L42" s="3" t="str">
        <f t="shared" si="20"/>
        <v>3.25%</v>
      </c>
      <c r="U42" s="3" t="s">
        <v>729</v>
      </c>
      <c r="V42" s="3" t="str">
        <f t="shared" ref="V42" si="21">TEXT(V41, "0.00%")</f>
        <v>0.45%</v>
      </c>
      <c r="W42" s="3" t="str">
        <f t="shared" ref="W42" si="22">TEXT(W41, "0.00%")</f>
        <v>0.70%</v>
      </c>
      <c r="X42" s="3" t="str">
        <f t="shared" ref="X42" si="23">TEXT(X41, "0.00%")</f>
        <v>0.95%</v>
      </c>
      <c r="Y42" s="3" t="str">
        <f t="shared" ref="Y42" si="24">TEXT(Y41, "0.00%")</f>
        <v>1.10%</v>
      </c>
      <c r="Z42" s="3" t="str">
        <f t="shared" ref="Z42" si="25">TEXT(Z41, "0.00%")</f>
        <v>1.20%</v>
      </c>
    </row>
    <row r="43" spans="4:30" x14ac:dyDescent="0.2">
      <c r="D43" s="3" t="s">
        <v>18</v>
      </c>
      <c r="E43" s="310">
        <v>-0.02</v>
      </c>
      <c r="H43" s="3" t="s">
        <v>18</v>
      </c>
      <c r="I43" s="310">
        <v>2.5000000000000001E-2</v>
      </c>
      <c r="J43" s="310">
        <v>2.75E-2</v>
      </c>
      <c r="K43" s="310">
        <v>3.0000000000000002E-2</v>
      </c>
      <c r="L43" s="310">
        <v>3.5000000000000003E-2</v>
      </c>
      <c r="U43" s="3" t="s">
        <v>18</v>
      </c>
      <c r="V43" s="310">
        <v>4.4999999999999997E-3</v>
      </c>
      <c r="W43" s="310">
        <v>6.9999999999999993E-3</v>
      </c>
      <c r="X43" s="310">
        <v>9.4999999999999998E-3</v>
      </c>
      <c r="Y43" s="310">
        <v>1.2E-2</v>
      </c>
      <c r="Z43" s="310">
        <v>1.4499999999999999E-2</v>
      </c>
    </row>
    <row r="44" spans="4:30" x14ac:dyDescent="0.2">
      <c r="D44" s="3" t="s">
        <v>454</v>
      </c>
      <c r="E44" s="259">
        <f>E41-E43</f>
        <v>0</v>
      </c>
      <c r="H44" s="3" t="s">
        <v>454</v>
      </c>
      <c r="I44" s="259">
        <f t="shared" ref="I44:L44" si="26">I41-I43</f>
        <v>0</v>
      </c>
      <c r="J44" s="259">
        <f t="shared" si="26"/>
        <v>0</v>
      </c>
      <c r="K44" s="259">
        <f t="shared" si="26"/>
        <v>0</v>
      </c>
      <c r="L44" s="259">
        <f t="shared" si="26"/>
        <v>-2.5000000000000022E-3</v>
      </c>
      <c r="U44" s="3" t="s">
        <v>454</v>
      </c>
      <c r="V44" s="259">
        <f t="shared" ref="V44" si="27">V41-V43</f>
        <v>0</v>
      </c>
      <c r="W44" s="259">
        <f t="shared" ref="W44" si="28">W41-W43</f>
        <v>0</v>
      </c>
      <c r="X44" s="259">
        <f t="shared" ref="X44" si="29">X41-X43</f>
        <v>0</v>
      </c>
      <c r="Y44" s="259">
        <f t="shared" ref="Y44:Z44" si="30">Y41-Y43</f>
        <v>-1.0000000000000009E-3</v>
      </c>
      <c r="Z44" s="259">
        <f t="shared" si="30"/>
        <v>-2.4999999999999988E-3</v>
      </c>
    </row>
    <row r="46" spans="4:30" x14ac:dyDescent="0.2">
      <c r="V46" s="698">
        <f>(1+ltfreq_trnd)*(1+sevtrnd_250k)-1</f>
        <v>4.4999999999999485E-3</v>
      </c>
      <c r="W46" s="698">
        <f>(1+ltfreq_trnd)*(1+sevtrnd_350k)-1</f>
        <v>6.9500000000000117E-3</v>
      </c>
      <c r="X46" s="698">
        <f>(1+ltfreq_trnd)*(1+sevtrnd_500k)-1</f>
        <v>9.400000000000075E-3</v>
      </c>
      <c r="Y46" s="698"/>
      <c r="Z46" s="698">
        <f>(1+ltfreq_trnd)*(1+sevtrnd_unl)-1</f>
        <v>1.1849999999999916E-2</v>
      </c>
    </row>
  </sheetData>
  <printOptions horizontalCentered="1"/>
  <pageMargins left="0.7" right="0.7" top="0.75" bottom="0.75" header="0.3" footer="0.3"/>
  <pageSetup scale="26" orientation="portrait" blackAndWhite="1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6">
    <tabColor rgb="FFCCCCFF"/>
    <pageSetUpPr fitToPage="1"/>
  </sheetPr>
  <dimension ref="A1:BB145"/>
  <sheetViews>
    <sheetView tabSelected="1" zoomScale="85" zoomScaleNormal="85" workbookViewId="0">
      <selection activeCell="N23" sqref="N23"/>
    </sheetView>
  </sheetViews>
  <sheetFormatPr defaultColWidth="9" defaultRowHeight="12.75" x14ac:dyDescent="0.2"/>
  <cols>
    <col min="1" max="1" width="6.625" style="1" customWidth="1"/>
    <col min="2" max="20" width="7.625" style="1" customWidth="1"/>
    <col min="21" max="23" width="6.125" style="1" customWidth="1"/>
    <col min="24" max="42" width="8.625" style="1" customWidth="1"/>
    <col min="43" max="43" width="2.625" style="1" customWidth="1"/>
    <col min="44" max="16384" width="9" style="1"/>
  </cols>
  <sheetData>
    <row r="1" spans="1:50" ht="12.75" customHeight="1" x14ac:dyDescent="0.2">
      <c r="A1" s="133" t="s">
        <v>485</v>
      </c>
      <c r="W1" s="133" t="s">
        <v>197</v>
      </c>
      <c r="AR1" s="114">
        <v>3</v>
      </c>
      <c r="AS1" s="114">
        <f>AR1+1</f>
        <v>4</v>
      </c>
      <c r="AT1" s="114">
        <f>AS1+1</f>
        <v>5</v>
      </c>
    </row>
    <row r="2" spans="1:50" ht="12.75" customHeight="1" x14ac:dyDescent="0.2">
      <c r="W2" s="254">
        <v>1</v>
      </c>
      <c r="X2" s="254">
        <f t="shared" ref="X2:AH2" si="0">W2+1</f>
        <v>2</v>
      </c>
      <c r="Y2" s="254">
        <f t="shared" si="0"/>
        <v>3</v>
      </c>
      <c r="Z2" s="254">
        <f t="shared" si="0"/>
        <v>4</v>
      </c>
      <c r="AA2" s="254">
        <f t="shared" si="0"/>
        <v>5</v>
      </c>
      <c r="AB2" s="254">
        <f t="shared" si="0"/>
        <v>6</v>
      </c>
      <c r="AC2" s="254">
        <f t="shared" si="0"/>
        <v>7</v>
      </c>
      <c r="AD2" s="254">
        <f t="shared" si="0"/>
        <v>8</v>
      </c>
      <c r="AE2" s="254">
        <f t="shared" si="0"/>
        <v>9</v>
      </c>
      <c r="AF2" s="254">
        <f t="shared" si="0"/>
        <v>10</v>
      </c>
      <c r="AG2" s="254">
        <f t="shared" si="0"/>
        <v>11</v>
      </c>
      <c r="AH2" s="254">
        <f t="shared" si="0"/>
        <v>12</v>
      </c>
      <c r="AI2" s="254">
        <f t="shared" ref="AI2" si="1">AH2+1</f>
        <v>13</v>
      </c>
      <c r="AJ2" s="254">
        <f t="shared" ref="AJ2" si="2">AI2+1</f>
        <v>14</v>
      </c>
      <c r="AK2" s="254">
        <f t="shared" ref="AK2" si="3">AJ2+1</f>
        <v>15</v>
      </c>
      <c r="AL2" s="254">
        <f t="shared" ref="AL2" si="4">AK2+1</f>
        <v>16</v>
      </c>
      <c r="AM2" s="254">
        <f t="shared" ref="AM2" si="5">AL2+1</f>
        <v>17</v>
      </c>
      <c r="AN2" s="254">
        <f t="shared" ref="AN2" si="6">AM2+1</f>
        <v>18</v>
      </c>
      <c r="AO2" s="254">
        <f t="shared" ref="AO2" si="7">AN2+1</f>
        <v>19</v>
      </c>
      <c r="AP2" s="254">
        <f t="shared" ref="AP2" si="8">AO2+1</f>
        <v>20</v>
      </c>
      <c r="AR2" s="46" t="s">
        <v>198</v>
      </c>
      <c r="AS2" s="46"/>
      <c r="AT2" s="46"/>
    </row>
    <row r="3" spans="1:50" ht="12.75" customHeight="1" x14ac:dyDescent="0.2">
      <c r="B3" s="3" t="s">
        <v>93</v>
      </c>
      <c r="C3" s="3" t="s">
        <v>93</v>
      </c>
      <c r="D3" s="3" t="s">
        <v>93</v>
      </c>
      <c r="E3" s="3" t="s">
        <v>93</v>
      </c>
      <c r="F3" s="3" t="s">
        <v>93</v>
      </c>
      <c r="G3" s="3" t="s">
        <v>75</v>
      </c>
      <c r="H3" s="3" t="s">
        <v>75</v>
      </c>
      <c r="I3" s="3" t="s">
        <v>75</v>
      </c>
      <c r="J3" s="3" t="s">
        <v>75</v>
      </c>
      <c r="K3" s="3" t="s">
        <v>75</v>
      </c>
      <c r="L3" s="3" t="s">
        <v>663</v>
      </c>
      <c r="M3" s="3" t="s">
        <v>666</v>
      </c>
      <c r="N3" s="3" t="s">
        <v>666</v>
      </c>
      <c r="O3" s="3" t="s">
        <v>666</v>
      </c>
      <c r="P3" s="3" t="s">
        <v>666</v>
      </c>
      <c r="Q3" s="3" t="s">
        <v>667</v>
      </c>
      <c r="R3" s="3" t="s">
        <v>667</v>
      </c>
      <c r="S3" s="3" t="s">
        <v>667</v>
      </c>
      <c r="T3" s="3" t="s">
        <v>667</v>
      </c>
      <c r="X3" s="3" t="s">
        <v>93</v>
      </c>
      <c r="Y3" s="3" t="s">
        <v>93</v>
      </c>
      <c r="Z3" s="3" t="s">
        <v>93</v>
      </c>
      <c r="AA3" s="3" t="s">
        <v>93</v>
      </c>
      <c r="AB3" s="3" t="s">
        <v>93</v>
      </c>
      <c r="AC3" s="3" t="s">
        <v>75</v>
      </c>
      <c r="AD3" s="3" t="s">
        <v>75</v>
      </c>
      <c r="AE3" s="3" t="s">
        <v>75</v>
      </c>
      <c r="AF3" s="3" t="s">
        <v>75</v>
      </c>
      <c r="AG3" s="3" t="s">
        <v>75</v>
      </c>
      <c r="AH3" s="3" t="s">
        <v>665</v>
      </c>
      <c r="AI3" s="3" t="s">
        <v>666</v>
      </c>
      <c r="AJ3" s="3" t="s">
        <v>666</v>
      </c>
      <c r="AK3" s="3" t="s">
        <v>666</v>
      </c>
      <c r="AL3" s="3" t="s">
        <v>666</v>
      </c>
      <c r="AM3" s="3" t="s">
        <v>667</v>
      </c>
      <c r="AN3" s="3" t="s">
        <v>667</v>
      </c>
      <c r="AO3" s="3" t="s">
        <v>667</v>
      </c>
      <c r="AP3" s="3" t="s">
        <v>667</v>
      </c>
      <c r="AR3" s="45"/>
      <c r="AS3" s="45"/>
      <c r="AT3" s="45"/>
    </row>
    <row r="4" spans="1:50" ht="12.75" customHeight="1" x14ac:dyDescent="0.2">
      <c r="A4" s="483" t="s">
        <v>25</v>
      </c>
      <c r="B4" s="484">
        <v>10000000</v>
      </c>
      <c r="C4" s="485">
        <v>750000</v>
      </c>
      <c r="D4" s="485">
        <v>500000</v>
      </c>
      <c r="E4" s="485">
        <v>350000</v>
      </c>
      <c r="F4" s="485">
        <v>250000</v>
      </c>
      <c r="G4" s="484">
        <v>10000000</v>
      </c>
      <c r="H4" s="485">
        <v>750000</v>
      </c>
      <c r="I4" s="485">
        <v>500000</v>
      </c>
      <c r="J4" s="485">
        <v>350000</v>
      </c>
      <c r="K4" s="485">
        <v>250000</v>
      </c>
      <c r="L4" s="486">
        <v>1</v>
      </c>
      <c r="M4" s="485">
        <v>750000</v>
      </c>
      <c r="N4" s="485">
        <v>500000</v>
      </c>
      <c r="O4" s="485">
        <v>350000</v>
      </c>
      <c r="P4" s="485">
        <v>250000</v>
      </c>
      <c r="Q4" s="485">
        <v>750000</v>
      </c>
      <c r="R4" s="485">
        <v>500000</v>
      </c>
      <c r="S4" s="485">
        <v>350000</v>
      </c>
      <c r="T4" s="485">
        <v>250000</v>
      </c>
      <c r="W4" s="483" t="s">
        <v>25</v>
      </c>
      <c r="X4" s="484">
        <v>10000000</v>
      </c>
      <c r="Y4" s="485">
        <v>750000</v>
      </c>
      <c r="Z4" s="485">
        <v>500000</v>
      </c>
      <c r="AA4" s="485">
        <v>350000</v>
      </c>
      <c r="AB4" s="485">
        <v>250000</v>
      </c>
      <c r="AC4" s="484">
        <v>10000000</v>
      </c>
      <c r="AD4" s="485">
        <v>750000</v>
      </c>
      <c r="AE4" s="485">
        <v>500000</v>
      </c>
      <c r="AF4" s="485">
        <v>350000</v>
      </c>
      <c r="AG4" s="485">
        <v>250000</v>
      </c>
      <c r="AH4" s="486">
        <v>1</v>
      </c>
      <c r="AI4" s="485">
        <v>750000</v>
      </c>
      <c r="AJ4" s="485">
        <v>500000</v>
      </c>
      <c r="AK4" s="485">
        <v>350000</v>
      </c>
      <c r="AL4" s="485">
        <v>250000</v>
      </c>
      <c r="AM4" s="485">
        <v>750000</v>
      </c>
      <c r="AN4" s="485">
        <v>500000</v>
      </c>
      <c r="AO4" s="485">
        <v>350000</v>
      </c>
      <c r="AP4" s="485">
        <v>250000</v>
      </c>
      <c r="AR4" s="108" t="s">
        <v>93</v>
      </c>
      <c r="AS4" s="108" t="s">
        <v>75</v>
      </c>
      <c r="AT4" s="108" t="s">
        <v>199</v>
      </c>
    </row>
    <row r="5" spans="1:50" ht="12.75" customHeight="1" x14ac:dyDescent="0.2">
      <c r="A5" s="110">
        <f>Intro!$U$1</f>
        <v>12</v>
      </c>
      <c r="B5" s="141">
        <f ca="1">OFFSET('e8.7'!$C$62,, ROW() - ROW($A$5))</f>
        <v>2.4869155047712126</v>
      </c>
      <c r="C5" s="141">
        <f ca="1">OFFSET('e8.5'!$C$85,, ROW() - ROW($A$5))</f>
        <v>2.41663869711696</v>
      </c>
      <c r="D5" s="141">
        <f ca="1">OFFSET('e8.5'!$C$62,, ROW() - ROW($A$5))</f>
        <v>2.3935751547223241</v>
      </c>
      <c r="E5" s="141">
        <f ca="1">OFFSET('e8.3'!$C$62,, ROW() - ROW($A$5))</f>
        <v>2.3207939784376244</v>
      </c>
      <c r="F5" s="141">
        <f ca="1">OFFSET('e8.1'!$C$62,, ROW() - ROW($A$5))</f>
        <v>2.1051345910000743</v>
      </c>
      <c r="G5" s="141">
        <f ca="1">OFFSET('e8.8'!$C$62,, ROW() - ROW($A$5))</f>
        <v>5.651510490983398</v>
      </c>
      <c r="H5" s="141">
        <f ca="1">OFFSET('e8.6'!$C$85,, ROW() - ROW($A$5))</f>
        <v>5.5072393692394774</v>
      </c>
      <c r="I5" s="141">
        <f ca="1">OFFSET('e8.6'!$C$62,, ROW() - ROW($A$5))</f>
        <v>5.434006164055269</v>
      </c>
      <c r="J5" s="141">
        <f ca="1">OFFSET('e8.4'!$C$62,, ROW() - ROW($A$5))</f>
        <v>5.2218322855892874</v>
      </c>
      <c r="K5" s="141">
        <f ca="1">OFFSET('e8.2'!$C$62,, ROW() - ROW($A$5))</f>
        <v>4.9496516653317242</v>
      </c>
      <c r="L5" s="141">
        <f ca="1">OFFSET('e8.9'!$C$51,, ROW() - ROW($A$5))</f>
        <v>1.0658025</v>
      </c>
      <c r="M5" s="111">
        <f ca="1">'XS LDF'!C92</f>
        <v>3.9028434015929254</v>
      </c>
      <c r="N5" s="111">
        <f ca="1">'XS LDF'!D92</f>
        <v>3.7846011713592667</v>
      </c>
      <c r="O5" s="111">
        <f ca="1">'XS LDF'!E92</f>
        <v>4.4248219482149969</v>
      </c>
      <c r="P5" s="111">
        <f ca="1">'XS LDF'!F92</f>
        <v>8.3409290014948638</v>
      </c>
      <c r="Q5" s="111">
        <f ca="1">'XS LDF'!G92</f>
        <v>8.5898540794982008</v>
      </c>
      <c r="R5" s="111">
        <f ca="1">'XS LDF'!H92</f>
        <v>8.8293640517610399</v>
      </c>
      <c r="S5" s="111">
        <f ca="1">'XS LDF'!I92</f>
        <v>12.220581199298254</v>
      </c>
      <c r="T5" s="111">
        <f ca="1">'XS LDF'!J92</f>
        <v>14.920974111009343</v>
      </c>
      <c r="U5" s="111"/>
      <c r="V5" s="145">
        <v>1</v>
      </c>
      <c r="W5" s="89">
        <f>MIN(ages)</f>
        <v>1</v>
      </c>
      <c r="X5" s="116">
        <f t="shared" ref="X5:AB5" ca="1" si="9">IF($W5 &lt;= 12, B$5 / $AR5, 1 / ((((1 / B$6) - (1 / B$5)) * $AR5) + (1 / B$5)))</f>
        <v>54.877935525000098</v>
      </c>
      <c r="Y5" s="116">
        <f t="shared" ca="1" si="9"/>
        <v>53.327160634597178</v>
      </c>
      <c r="Z5" s="116">
        <f t="shared" ca="1" si="9"/>
        <v>52.818225131930241</v>
      </c>
      <c r="AA5" s="116">
        <f t="shared" ca="1" si="9"/>
        <v>51.212187173695362</v>
      </c>
      <c r="AB5" s="116">
        <f t="shared" ca="1" si="9"/>
        <v>46.453303352973165</v>
      </c>
      <c r="AC5" s="116">
        <f t="shared" ref="AC5:AG5" ca="1" si="10">IF($W5 &lt;= 12, G$5 / $AS5, 1 / ((((1 / G$6) - (1 / G$5)) * $AS5) + (1 / G$5)))</f>
        <v>2093.7800126065213</v>
      </c>
      <c r="AD5" s="116">
        <f t="shared" ca="1" si="10"/>
        <v>2040.3302328377888</v>
      </c>
      <c r="AE5" s="116">
        <f t="shared" ca="1" si="10"/>
        <v>2013.1986860560139</v>
      </c>
      <c r="AF5" s="116">
        <f t="shared" ca="1" si="10"/>
        <v>1934.5921919801308</v>
      </c>
      <c r="AG5" s="116">
        <f t="shared" ca="1" si="10"/>
        <v>1833.7543109528644</v>
      </c>
      <c r="AH5" s="116">
        <f ca="1">IF($W5 &lt;= 12, L$5 / $AT5, 1 / ((((1 / L$6) - (1 / L$5)) * $AS5) + (1 / L$5)))</f>
        <v>16.892262343357384</v>
      </c>
      <c r="AI5" s="116">
        <f ca="1">IF($W5 &lt;= 12, M$5 / $AR5, 1 / ((((1 / M$6) - (1 / M$5)) * $AR5) + (1 / M$5)))</f>
        <v>86.122744478402538</v>
      </c>
      <c r="AJ5" s="116">
        <f t="shared" ref="AJ5:AL5" ca="1" si="11">IF($W5 &lt;= 12, N$5 / $AR5, 1 / ((((1 / N$6) - (1 / N$5)) * $AR5) + (1 / N$5)))</f>
        <v>83.513532595390899</v>
      </c>
      <c r="AK5" s="116">
        <f t="shared" ca="1" si="11"/>
        <v>97.641071084997307</v>
      </c>
      <c r="AL5" s="116">
        <f t="shared" ca="1" si="11"/>
        <v>184.05650014424128</v>
      </c>
      <c r="AM5" s="116">
        <f ca="1">IF($W5 &lt;= 12, Q$5 / $AS5, 1 / ((((1 / Q$6) - (1 / Q$5)) * $AS5) + (1 / Q$5)))</f>
        <v>3182.3819156939003</v>
      </c>
      <c r="AN5" s="116">
        <f t="shared" ref="AN5:AP5" ca="1" si="12">IF($W5 &lt;= 12, R$5 / $AS5, 1 / ((((1 / R$6) - (1 / R$5)) * $AS5) + (1 / R$5)))</f>
        <v>3271.1159264586245</v>
      </c>
      <c r="AO5" s="116">
        <f t="shared" ca="1" si="12"/>
        <v>4527.4990992847615</v>
      </c>
      <c r="AP5" s="116">
        <f t="shared" ca="1" si="12"/>
        <v>5527.9446817083672</v>
      </c>
      <c r="AR5" s="146">
        <v>4.5317220499999998E-2</v>
      </c>
      <c r="AS5" s="146">
        <v>2.6991901999999998E-3</v>
      </c>
      <c r="AT5" s="146">
        <v>6.3094124299999998E-2</v>
      </c>
    </row>
    <row r="6" spans="1:50" ht="12.75" customHeight="1" x14ac:dyDescent="0.2">
      <c r="A6" s="3">
        <f>A5+Intro!$U$2</f>
        <v>24</v>
      </c>
      <c r="B6" s="141">
        <f ca="1">OFFSET('e8.7'!$C$62,, ROW() - ROW($A$5))</f>
        <v>1.4458811074251232</v>
      </c>
      <c r="C6" s="141">
        <f ca="1">OFFSET('e8.5'!$C$85,, ROW() - ROW($A$5))</f>
        <v>1.4050224983238135</v>
      </c>
      <c r="D6" s="141">
        <f ca="1">OFFSET('e8.5'!$C$62,, ROW() - ROW($A$5))</f>
        <v>1.391613462047864</v>
      </c>
      <c r="E6" s="141">
        <f ca="1">OFFSET('e8.3'!$C$62,, ROW() - ROW($A$5))</f>
        <v>1.3492988246730373</v>
      </c>
      <c r="F6" s="141">
        <f ca="1">OFFSET('e8.1'!$C$62,, ROW() - ROW($A$5))</f>
        <v>1.3157091193750463</v>
      </c>
      <c r="G6" s="141">
        <f ca="1">OFFSET('e8.8'!$C$62,, ROW() - ROW($A$5))</f>
        <v>2.0625950697019704</v>
      </c>
      <c r="H6" s="141">
        <f ca="1">OFFSET('e8.6'!$C$85,, ROW() - ROW($A$5))</f>
        <v>2.0099413756348459</v>
      </c>
      <c r="I6" s="141">
        <f ca="1">OFFSET('e8.6'!$C$62,, ROW() - ROW($A$5))</f>
        <v>1.9904784483718934</v>
      </c>
      <c r="J6" s="141">
        <f ca="1">OFFSET('e8.4'!$C$62,, ROW() - ROW($A$5))</f>
        <v>1.9197912814666496</v>
      </c>
      <c r="K6" s="141">
        <f ca="1">OFFSET('e8.2'!$C$62,, ROW() - ROW($A$5))</f>
        <v>1.8332043204932298</v>
      </c>
      <c r="L6" s="141">
        <f ca="1">OFFSET('e8.9'!$C$51,, ROW() - ROW($A$5))</f>
        <v>1.01505</v>
      </c>
      <c r="M6" s="111">
        <f ca="1">'XS LDF'!C93</f>
        <v>2.2690950009261233</v>
      </c>
      <c r="N6" s="111">
        <f ca="1">'XS LDF'!D93</f>
        <v>2.2003495182321</v>
      </c>
      <c r="O6" s="111">
        <f ca="1">'XS LDF'!E93</f>
        <v>2.5725709001249948</v>
      </c>
      <c r="P6" s="111">
        <f ca="1">'XS LDF'!F93</f>
        <v>2.5520845671995862</v>
      </c>
      <c r="Q6" s="111">
        <f ca="1">'XS LDF'!G93</f>
        <v>3.1349832406927738</v>
      </c>
      <c r="R6" s="111">
        <f ca="1">'XS LDF'!H93</f>
        <v>3.059266078174014</v>
      </c>
      <c r="S6" s="111">
        <f ca="1">'XS LDF'!I93</f>
        <v>4.0123165083941572</v>
      </c>
      <c r="T6" s="111">
        <f ca="1">'XS LDF'!J93</f>
        <v>4.5653892689251858</v>
      </c>
      <c r="U6" s="111"/>
      <c r="V6" s="145">
        <f t="shared" ref="V6:V37" si="13">COUNTIF(ages, W5)</f>
        <v>2</v>
      </c>
      <c r="W6" s="89">
        <f>SMALL(ages, SUM($V$5:V6))</f>
        <v>3</v>
      </c>
      <c r="X6" s="116">
        <f t="shared" ref="X6:X14" ca="1" si="14">IF($W6 &lt;= 12, B$5 / $AR6, 1 / ((((1 / B$6) - (1 / B$5)) * $AR6) + (1 / B$5)))</f>
        <v>13.205920300256759</v>
      </c>
      <c r="Y6" s="116">
        <f t="shared" ref="Y6:Y14" ca="1" si="15">IF($W6 &lt;= 12, C$5 / $AR6, 1 / ((((1 / C$6) - (1 / C$5)) * $AR6) + (1 / C$5)))</f>
        <v>12.832739177272078</v>
      </c>
      <c r="Z6" s="116">
        <f t="shared" ref="Z6:Z14" ca="1" si="16">IF($W6 &lt;= 12, D$5 / $AR6, 1 / ((((1 / D$6) - (1 / D$5)) * $AR6) + (1 / D$5)))</f>
        <v>12.710268067127476</v>
      </c>
      <c r="AA6" s="116">
        <f t="shared" ref="AA6:AA14" ca="1" si="17">IF($W6 &lt;= 12, E$5 / $AR6, 1 / ((((1 / E$6) - (1 / E$5)) * $AR6) + (1 / E$5)))</f>
        <v>12.323788344945237</v>
      </c>
      <c r="AB6" s="116">
        <f t="shared" ref="AB6:AB14" ca="1" si="18">IF($W6 &lt;= 12, F$5 / $AR6, 1 / ((((1 / F$6) - (1 / F$5)) * $AR6) + (1 / F$5)))</f>
        <v>11.178602399930798</v>
      </c>
      <c r="AC6" s="116">
        <f t="shared" ref="AC6:AC14" ca="1" si="19">IF($W6 &lt;= 12, G$5 / $AS6, 1 / ((((1 / G$6) - (1 / G$5)) * $AS6) + (1 / G$5)))</f>
        <v>79.847541550023365</v>
      </c>
      <c r="AD6" s="116">
        <f t="shared" ref="AD6:AD14" ca="1" si="20">IF($W6 &lt;= 12, H$5 / $AS6, 1 / ((((1 / H$6) - (1 / H$5)) * $AS6) + (1 / H$5)))</f>
        <v>77.809202524324832</v>
      </c>
      <c r="AE6" s="116">
        <f t="shared" ref="AE6:AE14" ca="1" si="21">IF($W6 &lt;= 12, I$5 / $AS6, 1 / ((((1 / I$6) - (1 / I$5)) * $AS6) + (1 / I$5)))</f>
        <v>76.77452490970893</v>
      </c>
      <c r="AF6" s="116">
        <f t="shared" ref="AF6:AF14" ca="1" si="22">IF($W6 &lt;= 12, J$5 / $AS6, 1 / ((((1 / J$6) - (1 / J$5)) * $AS6) + (1 / J$5)))</f>
        <v>73.776819676095499</v>
      </c>
      <c r="AG6" s="116">
        <f t="shared" ref="AG6:AG14" ca="1" si="23">IF($W6 &lt;= 12, K$5 / $AS6, 1 / ((((1 / K$6) - (1 / K$5)) * $AS6) + (1 / K$5)))</f>
        <v>69.931307326821738</v>
      </c>
      <c r="AH6" s="116">
        <f t="shared" ref="AH6:AH14" ca="1" si="24">IF($W6 &lt;= 12, L$5 / $AT6, 1 / ((((1 / L$6) - (1 / L$5)) * $AS6) + (1 / L$5)))</f>
        <v>4.6185979631957954</v>
      </c>
      <c r="AI6" s="116">
        <f t="shared" ref="AI6:AI14" ca="1" si="25">IF($W6 &lt;= 12, M$5 / $AR6, 1 / ((((1 / M$6) - (1 / M$5)) * $AR6) + (1 / M$5)))</f>
        <v>20.724724586314689</v>
      </c>
      <c r="AJ6" s="116">
        <f t="shared" ref="AJ6:AJ14" ca="1" si="26">IF($W6 &lt;= 12, N$5 / $AR6, 1 / ((((1 / N$6) - (1 / N$5)) * $AR6) + (1 / N$5)))</f>
        <v>20.096839374455044</v>
      </c>
      <c r="AK6" s="116">
        <f t="shared" ref="AK6:AK14" ca="1" si="27">IF($W6 &lt;= 12, O$5 / $AR6, 1 / ((((1 / O$6) - (1 / O$5)) * $AR6) + (1 / O$5)))</f>
        <v>23.496514408650885</v>
      </c>
      <c r="AL6" s="116">
        <f t="shared" ref="AL6:AL14" ca="1" si="28">IF($W6 &lt;= 12, P$5 / $AR6, 1 / ((((1 / P$6) - (1 / P$5)) * $AR6) + (1 / P$5)))</f>
        <v>44.291671113279236</v>
      </c>
      <c r="AM6" s="116">
        <f t="shared" ref="AM6:AM14" ca="1" si="29">IF($W6 &lt;= 12, Q$5 / $AS6, 1 / ((((1 / Q$6) - (1 / Q$5)) * $AS6) + (1 / Q$5)))</f>
        <v>121.36202022727258</v>
      </c>
      <c r="AN6" s="116">
        <f t="shared" ref="AN6:AN14" ca="1" si="30">IF($W6 &lt;= 12, R$5 / $AS6, 1 / ((((1 / R$6) - (1 / R$5)) * $AS6) + (1 / R$5)))</f>
        <v>124.74594431135833</v>
      </c>
      <c r="AO6" s="116">
        <f t="shared" ref="AO6:AO14" ca="1" si="31">IF($W6 &lt;= 12, S$5 / $AS6, 1 / ((((1 / S$6) - (1 / S$5)) * $AS6) + (1 / S$5)))</f>
        <v>172.65886113689393</v>
      </c>
      <c r="AP6" s="116">
        <f t="shared" ref="AP6:AP14" ca="1" si="32">IF($W6 &lt;= 12, T$5 / $AS6, 1 / ((((1 / T$6) - (1 / T$5)) * $AS6) + (1 / T$5)))</f>
        <v>210.81144628439503</v>
      </c>
      <c r="AR6" s="146">
        <v>0.1883182276</v>
      </c>
      <c r="AS6" s="146">
        <v>7.0778766399999998E-2</v>
      </c>
      <c r="AT6" s="146">
        <v>0.23076321180000001</v>
      </c>
    </row>
    <row r="7" spans="1:50" ht="12.75" customHeight="1" x14ac:dyDescent="0.2">
      <c r="A7" s="3">
        <f>A6+Intro!$U$2</f>
        <v>36</v>
      </c>
      <c r="B7" s="141">
        <f ca="1">OFFSET('e8.7'!$C$62,, ROW() - ROW($A$5))</f>
        <v>1.2357958183120712</v>
      </c>
      <c r="C7" s="141">
        <f ca="1">OFFSET('e8.5'!$C$85,, ROW() - ROW($A$5))</f>
        <v>1.2086497530003948</v>
      </c>
      <c r="D7" s="141">
        <f ca="1">OFFSET('e8.5'!$C$62,, ROW() - ROW($A$5))</f>
        <v>1.1996667776274685</v>
      </c>
      <c r="E7" s="141">
        <f ca="1">OFFSET('e8.3'!$C$62,, ROW() - ROW($A$5))</f>
        <v>1.1733033258026413</v>
      </c>
      <c r="F7" s="141">
        <f ca="1">OFFSET('e8.1'!$C$62,, ROW() - ROW($A$5))</f>
        <v>1.154130806469339</v>
      </c>
      <c r="G7" s="141">
        <f ca="1">OFFSET('e8.8'!$C$62,, ROW() - ROW($A$5))</f>
        <v>1.5195268376228988</v>
      </c>
      <c r="H7" s="141">
        <f ca="1">OFFSET('e8.6'!$C$85,, ROW() - ROW($A$5))</f>
        <v>1.4807365280705047</v>
      </c>
      <c r="I7" s="141">
        <f ca="1">OFFSET('e8.6'!$C$62,, ROW() - ROW($A$5))</f>
        <v>1.4663980664164522</v>
      </c>
      <c r="J7" s="141">
        <f ca="1">OFFSET('e8.4'!$C$62,, ROW() - ROW($A$5))</f>
        <v>1.4143223833287559</v>
      </c>
      <c r="K7" s="141">
        <f ca="1">OFFSET('e8.2'!$C$62,, ROW() - ROW($A$5))</f>
        <v>1.3788055372258305</v>
      </c>
      <c r="L7" s="141">
        <f ca="1">OFFSET('e8.9'!$C$51,, ROW() - ROW($A$5))</f>
        <v>1.0049999999999999</v>
      </c>
      <c r="M7" s="111">
        <f ca="1">'XS LDF'!C94</f>
        <v>1.7021595657813382</v>
      </c>
      <c r="N7" s="111">
        <f ca="1">'XS LDF'!D94</f>
        <v>1.67469841200987</v>
      </c>
      <c r="O7" s="111">
        <f ca="1">'XS LDF'!E94</f>
        <v>1.8952292584469508</v>
      </c>
      <c r="P7" s="111">
        <f ca="1">'XS LDF'!F94</f>
        <v>1.7910113974971538</v>
      </c>
      <c r="Q7" s="111">
        <f ca="1">'XS LDF'!G94</f>
        <v>2.3095619880537224</v>
      </c>
      <c r="R7" s="111">
        <f ca="1">'XS LDF'!H94</f>
        <v>2.2537806753734175</v>
      </c>
      <c r="S7" s="111">
        <f ca="1">'XS LDF'!I94</f>
        <v>2.9558989571439387</v>
      </c>
      <c r="T7" s="111">
        <f ca="1">'XS LDF'!J94</f>
        <v>2.7484614145488124</v>
      </c>
      <c r="U7" s="111"/>
      <c r="V7" s="145">
        <f t="shared" si="13"/>
        <v>2</v>
      </c>
      <c r="W7" s="89">
        <f>SMALL(ages, SUM($V$5:V7))</f>
        <v>4</v>
      </c>
      <c r="X7" s="116">
        <f t="shared" ca="1" si="14"/>
        <v>9.354193546015205</v>
      </c>
      <c r="Y7" s="116">
        <f t="shared" ca="1" si="15"/>
        <v>9.089856917234389</v>
      </c>
      <c r="Z7" s="116">
        <f t="shared" ca="1" si="16"/>
        <v>9.0031065475486294</v>
      </c>
      <c r="AA7" s="116">
        <f t="shared" ca="1" si="17"/>
        <v>8.7293500776695421</v>
      </c>
      <c r="AB7" s="116">
        <f t="shared" ca="1" si="18"/>
        <v>7.9181766999509824</v>
      </c>
      <c r="AC7" s="116">
        <f t="shared" ca="1" si="19"/>
        <v>41.537148758368758</v>
      </c>
      <c r="AD7" s="116">
        <f t="shared" ca="1" si="20"/>
        <v>40.476793114514827</v>
      </c>
      <c r="AE7" s="116">
        <f t="shared" ca="1" si="21"/>
        <v>39.938547889164582</v>
      </c>
      <c r="AF7" s="116">
        <f t="shared" ca="1" si="22"/>
        <v>38.379124445371595</v>
      </c>
      <c r="AG7" s="116">
        <f t="shared" ca="1" si="23"/>
        <v>36.378666880828305</v>
      </c>
      <c r="AH7" s="116">
        <f t="shared" ca="1" si="24"/>
        <v>3.3702973576216038</v>
      </c>
      <c r="AI7" s="116">
        <f t="shared" ca="1" si="25"/>
        <v>14.680013248639572</v>
      </c>
      <c r="AJ7" s="116">
        <f t="shared" ca="1" si="26"/>
        <v>14.235261223572323</v>
      </c>
      <c r="AK7" s="116">
        <f t="shared" ca="1" si="27"/>
        <v>16.643364372794377</v>
      </c>
      <c r="AL7" s="116">
        <f t="shared" ca="1" si="28"/>
        <v>31.373267038572791</v>
      </c>
      <c r="AM7" s="116">
        <f t="shared" ca="1" si="29"/>
        <v>63.133218505396847</v>
      </c>
      <c r="AN7" s="116">
        <f t="shared" ca="1" si="30"/>
        <v>64.893555208808536</v>
      </c>
      <c r="AO7" s="116">
        <f t="shared" ca="1" si="31"/>
        <v>89.818129153052155</v>
      </c>
      <c r="AP7" s="116">
        <f t="shared" ca="1" si="32"/>
        <v>109.66532261730252</v>
      </c>
      <c r="AR7" s="146">
        <v>0.26586102719999999</v>
      </c>
      <c r="AS7" s="146">
        <v>0.13605918219999999</v>
      </c>
      <c r="AT7" s="146">
        <v>0.31623396599999998</v>
      </c>
    </row>
    <row r="8" spans="1:50" ht="12.75" customHeight="1" x14ac:dyDescent="0.2">
      <c r="A8" s="3">
        <f>A7+Intro!$U$2</f>
        <v>48</v>
      </c>
      <c r="B8" s="141">
        <f ca="1">OFFSET('e8.7'!$C$62,, ROW() - ROW($A$5))</f>
        <v>1.1702611915834011</v>
      </c>
      <c r="C8" s="141">
        <f ca="1">OFFSET('e8.5'!$C$85,, ROW() - ROW($A$5))</f>
        <v>1.1445546903412835</v>
      </c>
      <c r="D8" s="141">
        <f ca="1">OFFSET('e8.5'!$C$62,, ROW() - ROW($A$5))</f>
        <v>1.1360480848744967</v>
      </c>
      <c r="E8" s="141">
        <f ca="1">OFFSET('e8.3'!$C$62,, ROW() - ROW($A$5))</f>
        <v>1.1110826948888652</v>
      </c>
      <c r="F8" s="141">
        <f ca="1">OFFSET('e8.1'!$C$62,, ROW() - ROW($A$5))</f>
        <v>1.0929269000656623</v>
      </c>
      <c r="G8" s="141">
        <f ca="1">OFFSET('e8.8'!$C$62,, ROW() - ROW($A$5))</f>
        <v>1.3628043386752444</v>
      </c>
      <c r="H8" s="141">
        <f ca="1">OFFSET('e8.6'!$C$85,, ROW() - ROW($A$5))</f>
        <v>1.3336420867621903</v>
      </c>
      <c r="I8" s="141">
        <f ca="1">OFFSET('e8.6'!$C$62,, ROW() - ROW($A$5))</f>
        <v>1.3209266485693822</v>
      </c>
      <c r="J8" s="141">
        <f ca="1">OFFSET('e8.4'!$C$62,, ROW() - ROW($A$5))</f>
        <v>1.2796959321620236</v>
      </c>
      <c r="K8" s="141">
        <f ca="1">OFFSET('e8.2'!$C$62,, ROW() - ROW($A$5))</f>
        <v>1.2507114140977906</v>
      </c>
      <c r="L8" s="141">
        <f ca="1">OFFSET('e8.9'!$C$51,, ROW() - ROW($A$5))</f>
        <v>1</v>
      </c>
      <c r="M8" s="111">
        <f ca="1">'XS LDF'!C95</f>
        <v>1.6118935282020226</v>
      </c>
      <c r="N8" s="111">
        <f ca="1">'XS LDF'!D95</f>
        <v>1.5858886477366265</v>
      </c>
      <c r="O8" s="111">
        <f ca="1">'XS LDF'!E95</f>
        <v>1.7947246765596121</v>
      </c>
      <c r="P8" s="111">
        <f ca="1">'XS LDF'!F95</f>
        <v>1.6960335203571544</v>
      </c>
      <c r="Q8" s="111">
        <f ca="1">'XS LDF'!G95</f>
        <v>1.9074363355174908</v>
      </c>
      <c r="R8" s="111">
        <f ca="1">'XS LDF'!H95</f>
        <v>1.9062227485191241</v>
      </c>
      <c r="S8" s="111">
        <f ca="1">'XS LDF'!I95</f>
        <v>2.3670391670371442</v>
      </c>
      <c r="T8" s="111">
        <f ca="1">'XS LDF'!J95</f>
        <v>2.2438459576281917</v>
      </c>
      <c r="U8" s="111"/>
      <c r="V8" s="145">
        <f t="shared" si="13"/>
        <v>1</v>
      </c>
      <c r="W8" s="89">
        <f>SMALL(ages, SUM($V$5:V8))</f>
        <v>7</v>
      </c>
      <c r="X8" s="116">
        <f t="shared" ca="1" si="14"/>
        <v>4.767388216917368</v>
      </c>
      <c r="Y8" s="116">
        <f t="shared" ca="1" si="15"/>
        <v>4.6326683906544028</v>
      </c>
      <c r="Z8" s="116">
        <f t="shared" ca="1" si="16"/>
        <v>4.5884558470269194</v>
      </c>
      <c r="AA8" s="116">
        <f t="shared" ca="1" si="17"/>
        <v>4.4489351751072741</v>
      </c>
      <c r="AB8" s="116">
        <f t="shared" ca="1" si="18"/>
        <v>4.0355186273536834</v>
      </c>
      <c r="AC8" s="116">
        <f t="shared" ca="1" si="19"/>
        <v>14.428805368630927</v>
      </c>
      <c r="AD8" s="116">
        <f t="shared" ca="1" si="20"/>
        <v>14.06046845422933</v>
      </c>
      <c r="AE8" s="116">
        <f t="shared" ca="1" si="21"/>
        <v>13.873497614166341</v>
      </c>
      <c r="AF8" s="116">
        <f t="shared" ca="1" si="22"/>
        <v>13.331798965357764</v>
      </c>
      <c r="AG8" s="116">
        <f t="shared" ca="1" si="23"/>
        <v>12.636897805557163</v>
      </c>
      <c r="AH8" s="116">
        <f t="shared" ca="1" si="24"/>
        <v>1.8611883679622339</v>
      </c>
      <c r="AI8" s="116">
        <f t="shared" ca="1" si="25"/>
        <v>7.4817055945531736</v>
      </c>
      <c r="AJ8" s="116">
        <f t="shared" ca="1" si="26"/>
        <v>7.2550366087848639</v>
      </c>
      <c r="AK8" s="116">
        <f t="shared" ca="1" si="27"/>
        <v>8.4823324223949363</v>
      </c>
      <c r="AL8" s="116">
        <f t="shared" ca="1" si="28"/>
        <v>15.989464283600238</v>
      </c>
      <c r="AM8" s="116">
        <f t="shared" ca="1" si="29"/>
        <v>21.930656035366106</v>
      </c>
      <c r="AN8" s="116">
        <f t="shared" ca="1" si="30"/>
        <v>22.542146145689753</v>
      </c>
      <c r="AO8" s="116">
        <f t="shared" ca="1" si="31"/>
        <v>31.200223001893885</v>
      </c>
      <c r="AP8" s="116">
        <f t="shared" ca="1" si="32"/>
        <v>38.094564577314017</v>
      </c>
      <c r="AR8" s="146">
        <v>0.52165156089999998</v>
      </c>
      <c r="AS8" s="146">
        <v>0.39168249529999999</v>
      </c>
      <c r="AT8" s="146">
        <v>0.57264622880000005</v>
      </c>
    </row>
    <row r="9" spans="1:50" ht="12.75" customHeight="1" x14ac:dyDescent="0.2">
      <c r="A9" s="3">
        <f>A8+Intro!$U$2</f>
        <v>60</v>
      </c>
      <c r="B9" s="141">
        <f ca="1">OFFSET('e8.7'!$C$62,, ROW() - ROW($A$5))</f>
        <v>1.1339740228521331</v>
      </c>
      <c r="C9" s="141">
        <f ca="1">OFFSET('e8.5'!$C$85,, ROW() - ROW($A$5))</f>
        <v>1.1102787705643591</v>
      </c>
      <c r="D9" s="141">
        <f ca="1">OFFSET('e8.5'!$C$62,, ROW() - ROW($A$5))</f>
        <v>1.1029593057033951</v>
      </c>
      <c r="E9" s="141">
        <f ca="1">OFFSET('e8.3'!$C$62,, ROW() - ROW($A$5))</f>
        <v>1.0808197421097909</v>
      </c>
      <c r="F9" s="141">
        <f ca="1">OFFSET('e8.1'!$C$62,, ROW() - ROW($A$5))</f>
        <v>1.0662701464055235</v>
      </c>
      <c r="G9" s="141">
        <f ca="1">OFFSET('e8.8'!$C$62,, ROW() - ROW($A$5))</f>
        <v>1.2777862161278597</v>
      </c>
      <c r="H9" s="141">
        <f ca="1">OFFSET('e8.6'!$C$85,, ROW() - ROW($A$5))</f>
        <v>1.2504432421819645</v>
      </c>
      <c r="I9" s="141">
        <f ca="1">OFFSET('e8.6'!$C$62,, ROW() - ROW($A$5))</f>
        <v>1.2385210526249602</v>
      </c>
      <c r="J9" s="141">
        <f ca="1">OFFSET('e8.4'!$C$62,, ROW() - ROW($A$5))</f>
        <v>1.2015924245652811</v>
      </c>
      <c r="K9" s="141">
        <f ca="1">OFFSET('e8.2'!$C$62,, ROW() - ROW($A$5))</f>
        <v>1.176551962892372</v>
      </c>
      <c r="L9" s="141">
        <f ca="1">OFFSET('e8.9'!$C$51,, ROW() - ROW($A$5))</f>
        <v>1</v>
      </c>
      <c r="M9" s="111">
        <f ca="1">'XS LDF'!C96</f>
        <v>1.530298008205907</v>
      </c>
      <c r="N9" s="111">
        <f ca="1">'XS LDF'!D96</f>
        <v>1.4997923380409726</v>
      </c>
      <c r="O9" s="111">
        <f ca="1">'XS LDF'!E96</f>
        <v>1.6707409764068137</v>
      </c>
      <c r="P9" s="111">
        <f ca="1">'XS LDF'!F96</f>
        <v>1.570996537405569</v>
      </c>
      <c r="Q9" s="111">
        <f ca="1">'XS LDF'!G96</f>
        <v>1.7884415161423481</v>
      </c>
      <c r="R9" s="111">
        <f ca="1">'XS LDF'!H96</f>
        <v>1.7873036383893803</v>
      </c>
      <c r="S9" s="111">
        <f ca="1">'XS LDF'!I96</f>
        <v>2.1814232117206727</v>
      </c>
      <c r="T9" s="111">
        <f ca="1">'XS LDF'!J96</f>
        <v>2.0508992511424622</v>
      </c>
      <c r="U9" s="111"/>
      <c r="V9" s="145">
        <f t="shared" si="13"/>
        <v>3</v>
      </c>
      <c r="W9" s="89">
        <f>SMALL(ages, SUM($V$5:V9))</f>
        <v>9</v>
      </c>
      <c r="X9" s="116">
        <f t="shared" ca="1" si="14"/>
        <v>3.517816376324459</v>
      </c>
      <c r="Y9" s="116">
        <f t="shared" ca="1" si="15"/>
        <v>3.4184077296021904</v>
      </c>
      <c r="Z9" s="116">
        <f t="shared" ca="1" si="16"/>
        <v>3.3857836589507158</v>
      </c>
      <c r="AA9" s="116">
        <f t="shared" ca="1" si="17"/>
        <v>3.2828325078837528</v>
      </c>
      <c r="AB9" s="116">
        <f t="shared" ca="1" si="18"/>
        <v>2.9777758530113112</v>
      </c>
      <c r="AC9" s="116">
        <f t="shared" ca="1" si="19"/>
        <v>9.250868833200462</v>
      </c>
      <c r="AD9" s="116">
        <f t="shared" ca="1" si="20"/>
        <v>9.0147136980731322</v>
      </c>
      <c r="AE9" s="116">
        <f t="shared" ca="1" si="21"/>
        <v>8.8948394137601472</v>
      </c>
      <c r="AF9" s="116">
        <f t="shared" ca="1" si="22"/>
        <v>8.5475353217564756</v>
      </c>
      <c r="AG9" s="116">
        <f t="shared" ca="1" si="23"/>
        <v>8.1020071358035324</v>
      </c>
      <c r="AH9" s="116">
        <f t="shared" ca="1" si="24"/>
        <v>1.4333244707208002</v>
      </c>
      <c r="AI9" s="116">
        <f t="shared" ca="1" si="25"/>
        <v>5.5206887431491225</v>
      </c>
      <c r="AJ9" s="116">
        <f t="shared" ca="1" si="26"/>
        <v>5.3534315713268095</v>
      </c>
      <c r="AK9" s="116">
        <f t="shared" ca="1" si="27"/>
        <v>6.2590430120715359</v>
      </c>
      <c r="AL9" s="116">
        <f t="shared" ca="1" si="28"/>
        <v>11.7984935873073</v>
      </c>
      <c r="AM9" s="116">
        <f t="shared" ca="1" si="29"/>
        <v>14.060597341639648</v>
      </c>
      <c r="AN9" s="116">
        <f t="shared" ca="1" si="30"/>
        <v>14.45264745659245</v>
      </c>
      <c r="AO9" s="116">
        <f t="shared" ca="1" si="31"/>
        <v>20.003677586823724</v>
      </c>
      <c r="AP9" s="116">
        <f t="shared" ca="1" si="32"/>
        <v>24.423908366577034</v>
      </c>
      <c r="AR9" s="146">
        <v>0.70694864049999995</v>
      </c>
      <c r="AS9" s="146">
        <v>0.61091672500000005</v>
      </c>
      <c r="AT9" s="146">
        <v>0.74358773730000005</v>
      </c>
    </row>
    <row r="10" spans="1:50" ht="12.75" customHeight="1" x14ac:dyDescent="0.2">
      <c r="A10" s="3">
        <f>A9+Intro!$U$2</f>
        <v>72</v>
      </c>
      <c r="B10" s="141">
        <f ca="1">OFFSET('e8.7'!$C$62,, ROW() - ROW($A$5))</f>
        <v>1.1150765729240411</v>
      </c>
      <c r="C10" s="141">
        <f ca="1">OFFSET('e8.5'!$C$85,, ROW() - ROW($A$5))</f>
        <v>1.093095495943573</v>
      </c>
      <c r="D10" s="141">
        <f ca="1">OFFSET('e8.5'!$C$62,, ROW() - ROW($A$5))</f>
        <v>1.0862221843651068</v>
      </c>
      <c r="E10" s="141">
        <f ca="1">OFFSET('e8.3'!$C$62,, ROW() - ROW($A$5))</f>
        <v>1.066210257639908</v>
      </c>
      <c r="F10" s="141">
        <f ca="1">OFFSET('e8.1'!$C$62,, ROW() - ROW($A$5))</f>
        <v>1.0532850010578596</v>
      </c>
      <c r="G10" s="141">
        <f ca="1">OFFSET('e8.8'!$C$62,, ROW() - ROW($A$5))</f>
        <v>1.2298231146562659</v>
      </c>
      <c r="H10" s="141">
        <f ca="1">OFFSET('e8.6'!$C$85,, ROW() - ROW($A$5))</f>
        <v>1.2041560653149772</v>
      </c>
      <c r="I10" s="141">
        <f ca="1">OFFSET('e8.6'!$C$62,, ROW() - ROW($A$5))</f>
        <v>1.193180204841001</v>
      </c>
      <c r="J10" s="141">
        <f ca="1">OFFSET('e8.4'!$C$62,, ROW() - ROW($A$5))</f>
        <v>1.159838247649885</v>
      </c>
      <c r="K10" s="141">
        <f ca="1">OFFSET('e8.2'!$C$62,, ROW() - ROW($A$5))</f>
        <v>1.136765181538524</v>
      </c>
      <c r="L10" s="141">
        <f ca="1">OFFSET('e8.9'!$C$51,, ROW() - ROW($A$5))</f>
        <v>1</v>
      </c>
      <c r="M10" s="111">
        <f ca="1">'XS LDF'!C97</f>
        <v>1.4719493067955673</v>
      </c>
      <c r="N10" s="111">
        <f ca="1">'XS LDF'!D97</f>
        <v>1.4476957586363961</v>
      </c>
      <c r="O10" s="111">
        <f ca="1">'XS LDF'!E97</f>
        <v>1.5916126536657231</v>
      </c>
      <c r="P10" s="111">
        <f ca="1">'XS LDF'!F97</f>
        <v>1.5008148780390713</v>
      </c>
      <c r="Q10" s="111">
        <f ca="1">'XS LDF'!G97</f>
        <v>1.7041417993187589</v>
      </c>
      <c r="R10" s="111">
        <f ca="1">'XS LDF'!H97</f>
        <v>1.6989960707902234</v>
      </c>
      <c r="S10" s="111">
        <f ca="1">'XS LDF'!I97</f>
        <v>2.0300256099924709</v>
      </c>
      <c r="T10" s="111">
        <f ca="1">'XS LDF'!J97</f>
        <v>1.91753921548521</v>
      </c>
      <c r="U10" s="111"/>
      <c r="V10" s="145">
        <f t="shared" si="13"/>
        <v>2</v>
      </c>
      <c r="W10" s="89">
        <f>SMALL(ages, SUM($V$5:V10))</f>
        <v>12</v>
      </c>
      <c r="X10" s="116">
        <f t="shared" ca="1" si="14"/>
        <v>2.4869155047712126</v>
      </c>
      <c r="Y10" s="116">
        <f t="shared" ca="1" si="15"/>
        <v>2.41663869711696</v>
      </c>
      <c r="Z10" s="116">
        <f t="shared" ca="1" si="16"/>
        <v>2.3935751547223241</v>
      </c>
      <c r="AA10" s="116">
        <f t="shared" ca="1" si="17"/>
        <v>2.3207939784376244</v>
      </c>
      <c r="AB10" s="116">
        <f t="shared" ca="1" si="18"/>
        <v>2.1051345910000743</v>
      </c>
      <c r="AC10" s="116">
        <f t="shared" ca="1" si="19"/>
        <v>5.651510490983398</v>
      </c>
      <c r="AD10" s="116">
        <f t="shared" ca="1" si="20"/>
        <v>5.5072393692394774</v>
      </c>
      <c r="AE10" s="116">
        <f t="shared" ca="1" si="21"/>
        <v>5.434006164055269</v>
      </c>
      <c r="AF10" s="116">
        <f t="shared" ca="1" si="22"/>
        <v>5.2218322855892874</v>
      </c>
      <c r="AG10" s="116">
        <f t="shared" ca="1" si="23"/>
        <v>4.9496516653317242</v>
      </c>
      <c r="AH10" s="116">
        <f t="shared" ca="1" si="24"/>
        <v>1.0658025</v>
      </c>
      <c r="AI10" s="116">
        <f t="shared" ca="1" si="25"/>
        <v>3.9028434015929254</v>
      </c>
      <c r="AJ10" s="116">
        <f t="shared" ca="1" si="26"/>
        <v>3.7846011713592667</v>
      </c>
      <c r="AK10" s="116">
        <f t="shared" ca="1" si="27"/>
        <v>4.4248219482149969</v>
      </c>
      <c r="AL10" s="116">
        <f t="shared" ca="1" si="28"/>
        <v>8.3409290014948638</v>
      </c>
      <c r="AM10" s="116">
        <f t="shared" ca="1" si="29"/>
        <v>8.5898540794982008</v>
      </c>
      <c r="AN10" s="116">
        <f t="shared" ca="1" si="30"/>
        <v>8.8293640517610399</v>
      </c>
      <c r="AO10" s="116">
        <f t="shared" ca="1" si="31"/>
        <v>12.220581199298254</v>
      </c>
      <c r="AP10" s="116">
        <f t="shared" ca="1" si="32"/>
        <v>14.920974111009343</v>
      </c>
      <c r="AR10" s="146">
        <v>1</v>
      </c>
      <c r="AS10" s="146">
        <v>1</v>
      </c>
      <c r="AT10" s="146">
        <v>1</v>
      </c>
    </row>
    <row r="11" spans="1:50" ht="12.75" customHeight="1" x14ac:dyDescent="0.2">
      <c r="A11" s="3">
        <f>A10+Intro!$U$2</f>
        <v>84</v>
      </c>
      <c r="B11" s="141">
        <f ca="1">OFFSET('e8.7'!$C$62,, ROW() - ROW($A$5))</f>
        <v>1.1003309549504574</v>
      </c>
      <c r="C11" s="141">
        <f ca="1">OFFSET('e8.5'!$C$85,, ROW() - ROW($A$5))</f>
        <v>1.0798162572509113</v>
      </c>
      <c r="D11" s="141">
        <f ca="1">OFFSET('e8.5'!$C$62,, ROW() - ROW($A$5))</f>
        <v>1.0733336713056336</v>
      </c>
      <c r="E11" s="141">
        <f ca="1">OFFSET('e8.3'!$C$62,, ROW() - ROW($A$5))</f>
        <v>1.0551842810144474</v>
      </c>
      <c r="F11" s="141">
        <f ca="1">OFFSET('e8.1'!$C$62,, ROW() - ROW($A$5))</f>
        <v>1.0434348508271418</v>
      </c>
      <c r="G11" s="141">
        <f ca="1">OFFSET('e8.8'!$C$62,, ROW() - ROW($A$5))</f>
        <v>1.1939075671784933</v>
      </c>
      <c r="H11" s="141">
        <f ca="1">OFFSET('e8.6'!$C$85,, ROW() - ROW($A$5))</f>
        <v>1.1697401608927429</v>
      </c>
      <c r="I11" s="141">
        <f ca="1">OFFSET('e8.6'!$C$62,, ROW() - ROW($A$5))</f>
        <v>1.1595667728558359</v>
      </c>
      <c r="J11" s="141">
        <f ca="1">OFFSET('e8.4'!$C$62,, ROW() - ROW($A$5))</f>
        <v>1.1282984609713769</v>
      </c>
      <c r="K11" s="141">
        <f ca="1">OFFSET('e8.2'!$C$62,, ROW() - ROW($A$5))</f>
        <v>1.1065572971283932</v>
      </c>
      <c r="L11" s="141">
        <f ca="1">OFFSET('e8.9'!$C$51,, ROW() - ROW($A$5))</f>
        <v>1</v>
      </c>
      <c r="M11" s="111">
        <f ca="1">'XS LDF'!C98</f>
        <v>1.4244685634473315</v>
      </c>
      <c r="N11" s="111">
        <f ca="1">'XS LDF'!D98</f>
        <v>1.4051249414354707</v>
      </c>
      <c r="O11" s="111">
        <f ca="1">'XS LDF'!E98</f>
        <v>1.5271868619673998</v>
      </c>
      <c r="P11" s="111">
        <f ca="1">'XS LDF'!F98</f>
        <v>1.4456940039216988</v>
      </c>
      <c r="Q11" s="111">
        <f ca="1">'XS LDF'!G98</f>
        <v>1.6350001781938572</v>
      </c>
      <c r="R11" s="111">
        <f ca="1">'XS LDF'!H98</f>
        <v>1.6272422747232049</v>
      </c>
      <c r="S11" s="111">
        <f ca="1">'XS LDF'!I98</f>
        <v>1.9252449891088008</v>
      </c>
      <c r="T11" s="111">
        <f ca="1">'XS LDF'!J98</f>
        <v>1.8250945020318241</v>
      </c>
      <c r="U11" s="111"/>
      <c r="V11" s="145">
        <f t="shared" si="13"/>
        <v>1</v>
      </c>
      <c r="W11" s="89">
        <f>SMALL(ages, SUM($V$5:V11))</f>
        <v>13</v>
      </c>
      <c r="X11" s="116">
        <f t="shared" ca="1" si="14"/>
        <v>2.2005755532150775</v>
      </c>
      <c r="Y11" s="116">
        <f t="shared" ca="1" si="15"/>
        <v>2.1383903182984718</v>
      </c>
      <c r="Z11" s="116">
        <f t="shared" ca="1" si="16"/>
        <v>2.1179822797194361</v>
      </c>
      <c r="AA11" s="116">
        <f t="shared" ca="1" si="17"/>
        <v>2.0535810256522686</v>
      </c>
      <c r="AB11" s="116">
        <f t="shared" ca="1" si="18"/>
        <v>1.899197511411038</v>
      </c>
      <c r="AC11" s="116">
        <f t="shared" ca="1" si="19"/>
        <v>4.5700531205390398</v>
      </c>
      <c r="AD11" s="116">
        <f t="shared" ca="1" si="20"/>
        <v>4.4533893204485357</v>
      </c>
      <c r="AE11" s="116">
        <f t="shared" ca="1" si="21"/>
        <v>4.3990076452749731</v>
      </c>
      <c r="AF11" s="116">
        <f t="shared" ca="1" si="22"/>
        <v>4.2319050551002393</v>
      </c>
      <c r="AG11" s="116">
        <f t="shared" ca="1" si="23"/>
        <v>4.020184913362348</v>
      </c>
      <c r="AH11" s="116">
        <f t="shared" ca="1" si="24"/>
        <v>1.0586039928486293</v>
      </c>
      <c r="AI11" s="116">
        <f t="shared" ca="1" si="25"/>
        <v>3.4534755045335905</v>
      </c>
      <c r="AJ11" s="116">
        <f t="shared" ca="1" si="26"/>
        <v>3.3488475182949533</v>
      </c>
      <c r="AK11" s="116">
        <f t="shared" ca="1" si="27"/>
        <v>3.9153541758416979</v>
      </c>
      <c r="AL11" s="116">
        <f t="shared" ca="1" si="28"/>
        <v>5.9158450622168104</v>
      </c>
      <c r="AM11" s="116">
        <f t="shared" ca="1" si="29"/>
        <v>6.9461234308272415</v>
      </c>
      <c r="AN11" s="116">
        <f t="shared" ca="1" si="30"/>
        <v>7.0268933749727536</v>
      </c>
      <c r="AO11" s="116">
        <f t="shared" ca="1" si="31"/>
        <v>9.560592056966728</v>
      </c>
      <c r="AP11" s="116">
        <f t="shared" ca="1" si="32"/>
        <v>11.403233929651361</v>
      </c>
      <c r="AR11" s="146">
        <v>0.18072289159999999</v>
      </c>
      <c r="AS11" s="146">
        <v>0.13600000000000001</v>
      </c>
      <c r="AT11" s="146">
        <v>0.46218613400000003</v>
      </c>
    </row>
    <row r="12" spans="1:50" ht="12.75" customHeight="1" x14ac:dyDescent="0.2">
      <c r="A12" s="3">
        <f>A11+Intro!$U$2</f>
        <v>96</v>
      </c>
      <c r="B12" s="141">
        <f ca="1">OFFSET('e8.7'!$C$62,, ROW() - ROW($A$5))</f>
        <v>1.0891114362687133</v>
      </c>
      <c r="C12" s="141">
        <f ca="1">OFFSET('e8.5'!$C$85,, ROW() - ROW($A$5))</f>
        <v>1.0694562818710107</v>
      </c>
      <c r="D12" s="141">
        <f ca="1">OFFSET('e8.5'!$C$62,, ROW() - ROW($A$5))</f>
        <v>1.0632416770195516</v>
      </c>
      <c r="E12" s="141">
        <f ca="1">OFFSET('e8.3'!$C$62,, ROW() - ROW($A$5))</f>
        <v>1.0465497675415243</v>
      </c>
      <c r="F12" s="141">
        <f ca="1">OFFSET('e8.1'!$C$62,, ROW() - ROW($A$5))</f>
        <v>1.0357071892816252</v>
      </c>
      <c r="G12" s="141">
        <f ca="1">OFFSET('e8.8'!$C$62,, ROW() - ROW($A$5))</f>
        <v>1.1667797963088078</v>
      </c>
      <c r="H12" s="141">
        <f ca="1">OFFSET('e8.6'!$C$85,, ROW() - ROW($A$5))</f>
        <v>1.1444512919380498</v>
      </c>
      <c r="I12" s="141">
        <f ca="1">OFFSET('e8.6'!$C$62,, ROW() - ROW($A$5))</f>
        <v>1.1350710315519414</v>
      </c>
      <c r="J12" s="141">
        <f ca="1">OFFSET('e8.4'!$C$62,, ROW() - ROW($A$5))</f>
        <v>1.1071119961474762</v>
      </c>
      <c r="K12" s="141">
        <f ca="1">OFFSET('e8.2'!$C$62,, ROW() - ROW($A$5))</f>
        <v>1.0877471895850084</v>
      </c>
      <c r="L12" s="141">
        <f ca="1">OFFSET('e8.9'!$C$51,, ROW() - ROW($A$5))</f>
        <v>1</v>
      </c>
      <c r="M12" s="111">
        <f ca="1">'XS LDF'!C99</f>
        <v>1.3949326522642256</v>
      </c>
      <c r="N12" s="111">
        <f ca="1">'XS LDF'!D99</f>
        <v>1.3776431683455403</v>
      </c>
      <c r="O12" s="111">
        <f ca="1">'XS LDF'!E99</f>
        <v>1.4831460207154668</v>
      </c>
      <c r="P12" s="111">
        <f ca="1">'XS LDF'!F99</f>
        <v>1.4069435499253851</v>
      </c>
      <c r="Q12" s="111">
        <f ca="1">'XS LDF'!G99</f>
        <v>1.5656459866073511</v>
      </c>
      <c r="R12" s="111">
        <f ca="1">'XS LDF'!H99</f>
        <v>1.5581914875637943</v>
      </c>
      <c r="S12" s="111">
        <f ca="1">'XS LDF'!I99</f>
        <v>1.8008056863741764</v>
      </c>
      <c r="T12" s="111">
        <f ca="1">'XS LDF'!J99</f>
        <v>1.7116178666774542</v>
      </c>
      <c r="U12" s="111"/>
      <c r="V12" s="145">
        <f t="shared" si="13"/>
        <v>2</v>
      </c>
      <c r="W12" s="89">
        <f>SMALL(ages, SUM($V$5:V12))</f>
        <v>15</v>
      </c>
      <c r="X12" s="116">
        <f t="shared" ca="1" si="14"/>
        <v>1.9744976745003535</v>
      </c>
      <c r="Y12" s="116">
        <f t="shared" ca="1" si="15"/>
        <v>1.918701089124448</v>
      </c>
      <c r="Z12" s="116">
        <f t="shared" ca="1" si="16"/>
        <v>1.9003896866113434</v>
      </c>
      <c r="AA12" s="116">
        <f t="shared" ca="1" si="17"/>
        <v>1.8426047465738402</v>
      </c>
      <c r="AB12" s="116">
        <f t="shared" ca="1" si="18"/>
        <v>1.730818930661431</v>
      </c>
      <c r="AC12" s="116">
        <f t="shared" ca="1" si="19"/>
        <v>3.452695737508491</v>
      </c>
      <c r="AD12" s="116">
        <f t="shared" ca="1" si="20"/>
        <v>3.3645557105395012</v>
      </c>
      <c r="AE12" s="116">
        <f t="shared" ca="1" si="21"/>
        <v>3.3272549039635977</v>
      </c>
      <c r="AF12" s="116">
        <f t="shared" ca="1" si="22"/>
        <v>3.2045217521658445</v>
      </c>
      <c r="AG12" s="116">
        <f t="shared" ca="1" si="23"/>
        <v>3.051196933381656</v>
      </c>
      <c r="AH12" s="116">
        <f t="shared" ca="1" si="24"/>
        <v>1.0466488264754983</v>
      </c>
      <c r="AI12" s="116">
        <f t="shared" ca="1" si="25"/>
        <v>3.0986799533799307</v>
      </c>
      <c r="AJ12" s="116">
        <f t="shared" ca="1" si="26"/>
        <v>3.0048010064771367</v>
      </c>
      <c r="AK12" s="116">
        <f t="shared" ca="1" si="27"/>
        <v>3.5131071522401345</v>
      </c>
      <c r="AL12" s="116">
        <f t="shared" ca="1" si="28"/>
        <v>4.589021988528704</v>
      </c>
      <c r="AM12" s="116">
        <f t="shared" ca="1" si="29"/>
        <v>5.2478275698896661</v>
      </c>
      <c r="AN12" s="116">
        <f t="shared" ca="1" si="30"/>
        <v>5.223503577571412</v>
      </c>
      <c r="AO12" s="116">
        <f t="shared" ca="1" si="31"/>
        <v>6.9881779349418576</v>
      </c>
      <c r="AP12" s="116">
        <f t="shared" ca="1" si="32"/>
        <v>8.1526878620737104</v>
      </c>
      <c r="AR12" s="146">
        <v>0.36044176709999998</v>
      </c>
      <c r="AS12" s="146">
        <v>0.36599999999999999</v>
      </c>
      <c r="AT12" s="146">
        <v>0.64347482710000004</v>
      </c>
    </row>
    <row r="13" spans="1:50" ht="12.75" customHeight="1" x14ac:dyDescent="0.2">
      <c r="A13" s="3">
        <f>A12+Intro!$U$2</f>
        <v>108</v>
      </c>
      <c r="B13" s="141">
        <f ca="1">OFFSET('e8.7'!$C$62,, ROW() - ROW($A$5))</f>
        <v>1.0795376815111859</v>
      </c>
      <c r="C13" s="141">
        <f ca="1">OFFSET('e8.5'!$C$85,, ROW() - ROW($A$5))</f>
        <v>1.0605578041539341</v>
      </c>
      <c r="D13" s="141">
        <f ca="1">OFFSET('e8.5'!$C$62,, ROW() - ROW($A$5))</f>
        <v>1.054976895486524</v>
      </c>
      <c r="E13" s="141">
        <f ca="1">OFFSET('e8.3'!$C$62,, ROW() - ROW($A$5))</f>
        <v>1.0394790717079503</v>
      </c>
      <c r="F13" s="141">
        <f ca="1">OFFSET('e8.1'!$C$62,, ROW() - ROW($A$5))</f>
        <v>1.029395341732499</v>
      </c>
      <c r="G13" s="141">
        <f ca="1">OFFSET('e8.8'!$C$62,, ROW() - ROW($A$5))</f>
        <v>1.1452425027155566</v>
      </c>
      <c r="H13" s="141">
        <f ca="1">OFFSET('e8.6'!$C$85,, ROW() - ROW($A$5))</f>
        <v>1.1249551521169083</v>
      </c>
      <c r="I13" s="141">
        <f ca="1">OFFSET('e8.6'!$C$62,, ROW() - ROW($A$5))</f>
        <v>1.1164991745068662</v>
      </c>
      <c r="J13" s="141">
        <f ca="1">OFFSET('e8.4'!$C$62,, ROW() - ROW($A$5))</f>
        <v>1.0910165581226421</v>
      </c>
      <c r="K13" s="141">
        <f ca="1">OFFSET('e8.2'!$C$62,, ROW() - ROW($A$5))</f>
        <v>1.07318884174554</v>
      </c>
      <c r="L13" s="141">
        <f ca="1">OFFSET('e8.9'!$C$51,, ROW() - ROW($A$5))</f>
        <v>1</v>
      </c>
      <c r="M13" s="111">
        <f ca="1">'XS LDF'!C100</f>
        <v>1.3713023522876744</v>
      </c>
      <c r="N13" s="111">
        <f ca="1">'XS LDF'!D100</f>
        <v>1.3492243362354575</v>
      </c>
      <c r="O13" s="111">
        <f ca="1">'XS LDF'!E100</f>
        <v>1.4427525777349233</v>
      </c>
      <c r="P13" s="111">
        <f ca="1">'XS LDF'!F100</f>
        <v>1.3724187822989169</v>
      </c>
      <c r="Q13" s="111">
        <f ca="1">'XS LDF'!G100</f>
        <v>1.4979968363110652</v>
      </c>
      <c r="R13" s="111">
        <f ca="1">'XS LDF'!H100</f>
        <v>1.4902147807008526</v>
      </c>
      <c r="S13" s="111">
        <f ca="1">'XS LDF'!I100</f>
        <v>1.6958739715636746</v>
      </c>
      <c r="T13" s="111">
        <f ca="1">'XS LDF'!J100</f>
        <v>1.6224908885244669</v>
      </c>
      <c r="U13" s="111"/>
      <c r="V13" s="145">
        <f t="shared" si="13"/>
        <v>2</v>
      </c>
      <c r="W13" s="89">
        <f>SMALL(ages, SUM($V$5:V13))</f>
        <v>16</v>
      </c>
      <c r="X13" s="116">
        <f t="shared" ca="1" si="14"/>
        <v>1.885748098850901</v>
      </c>
      <c r="Y13" s="116">
        <f t="shared" ca="1" si="15"/>
        <v>1.8324594542736863</v>
      </c>
      <c r="Z13" s="116">
        <f t="shared" ca="1" si="16"/>
        <v>1.8149711113283757</v>
      </c>
      <c r="AA13" s="116">
        <f t="shared" ca="1" si="17"/>
        <v>1.7597834845080453</v>
      </c>
      <c r="AB13" s="116">
        <f t="shared" ca="1" si="18"/>
        <v>1.6632667401818166</v>
      </c>
      <c r="AC13" s="116">
        <f t="shared" ca="1" si="19"/>
        <v>3.1604111859745436</v>
      </c>
      <c r="AD13" s="116">
        <f t="shared" ca="1" si="20"/>
        <v>3.0797325660374439</v>
      </c>
      <c r="AE13" s="116">
        <f t="shared" ca="1" si="21"/>
        <v>3.0464969608257428</v>
      </c>
      <c r="AF13" s="116">
        <f t="shared" ca="1" si="22"/>
        <v>2.9349986991553809</v>
      </c>
      <c r="AG13" s="116">
        <f t="shared" ca="1" si="23"/>
        <v>2.7962553897134179</v>
      </c>
      <c r="AH13" s="116">
        <f t="shared" ca="1" si="24"/>
        <v>1.0421967437539725</v>
      </c>
      <c r="AI13" s="116">
        <f t="shared" ca="1" si="25"/>
        <v>2.9594007156844371</v>
      </c>
      <c r="AJ13" s="116">
        <f t="shared" ca="1" si="26"/>
        <v>2.8697414327537163</v>
      </c>
      <c r="AK13" s="116">
        <f t="shared" ca="1" si="27"/>
        <v>3.3552002714172597</v>
      </c>
      <c r="AL13" s="116">
        <f t="shared" ca="1" si="28"/>
        <v>4.1614567132072429</v>
      </c>
      <c r="AM13" s="116">
        <f t="shared" ca="1" si="29"/>
        <v>4.8035779040040936</v>
      </c>
      <c r="AN13" s="116">
        <f t="shared" ca="1" si="30"/>
        <v>4.761290391215633</v>
      </c>
      <c r="AO13" s="116">
        <f t="shared" ca="1" si="31"/>
        <v>6.342645655899064</v>
      </c>
      <c r="AP13" s="116">
        <f t="shared" ca="1" si="32"/>
        <v>7.3591834638988711</v>
      </c>
      <c r="AR13" s="146">
        <v>0.44277108430000001</v>
      </c>
      <c r="AS13" s="146">
        <v>0.45300000000000001</v>
      </c>
      <c r="AT13" s="146">
        <v>0.71085250150000001</v>
      </c>
    </row>
    <row r="14" spans="1:50" ht="12.75" customHeight="1" x14ac:dyDescent="0.2">
      <c r="A14" s="3">
        <f>A13+Intro!$U$2</f>
        <v>120</v>
      </c>
      <c r="B14" s="141">
        <f ca="1">OFFSET('e8.7'!$C$62,, ROW() - ROW($A$5))</f>
        <v>1.0713180738329968</v>
      </c>
      <c r="C14" s="141">
        <f ca="1">OFFSET('e8.5'!$C$85,, ROW() - ROW($A$5))</f>
        <v>1.0528969745071488</v>
      </c>
      <c r="D14" s="141">
        <f ca="1">OFFSET('e8.5'!$C$62,, ROW() - ROW($A$5))</f>
        <v>1.0478713563393183</v>
      </c>
      <c r="E14" s="141">
        <f ca="1">OFFSET('e8.3'!$C$62,, ROW() - ROW($A$5))</f>
        <v>1.0340681759501187</v>
      </c>
      <c r="F14" s="141">
        <f ca="1">OFFSET('e8.1'!$C$62,, ROW() - ROW($A$5))</f>
        <v>1.025064778787234</v>
      </c>
      <c r="G14" s="141">
        <f ca="1">OFFSET('e8.8'!$C$62,, ROW() - ROW($A$5))</f>
        <v>1.1278423204031798</v>
      </c>
      <c r="H14" s="141">
        <f ca="1">OFFSET('e8.6'!$C$85,, ROW() - ROW($A$5))</f>
        <v>1.109159234097715</v>
      </c>
      <c r="I14" s="141">
        <f ca="1">OFFSET('e8.6'!$C$62,, ROW() - ROW($A$5))</f>
        <v>1.101456019362653</v>
      </c>
      <c r="J14" s="141">
        <f ca="1">OFFSET('e8.4'!$C$62,, ROW() - ROW($A$5))</f>
        <v>1.0781966214433019</v>
      </c>
      <c r="K14" s="141">
        <f ca="1">OFFSET('e8.2'!$C$62,, ROW() - ROW($A$5))</f>
        <v>1.0617521688289118</v>
      </c>
      <c r="L14" s="141">
        <f ca="1">OFFSET('e8.9'!$C$51,, ROW() - ROW($A$5))</f>
        <v>1</v>
      </c>
      <c r="M14" s="111">
        <f ca="1">'XS LDF'!C101</f>
        <v>1.3516372321341903</v>
      </c>
      <c r="N14" s="111">
        <f ca="1">'XS LDF'!D101</f>
        <v>1.325306128318628</v>
      </c>
      <c r="O14" s="111">
        <f ca="1">'XS LDF'!E101</f>
        <v>1.4010105026338666</v>
      </c>
      <c r="P14" s="111">
        <f ca="1">'XS LDF'!F101</f>
        <v>1.3352835750540846</v>
      </c>
      <c r="Q14" s="111">
        <f ca="1">'XS LDF'!G101</f>
        <v>1.4458609720606512</v>
      </c>
      <c r="R14" s="111">
        <f ca="1">'XS LDF'!H101</f>
        <v>1.4374945772348235</v>
      </c>
      <c r="S14" s="111">
        <f ca="1">'XS LDF'!I101</f>
        <v>1.6130428023895695</v>
      </c>
      <c r="T14" s="111">
        <f ca="1">'XS LDF'!J101</f>
        <v>1.5507394330188722</v>
      </c>
      <c r="U14" s="111"/>
      <c r="V14" s="145">
        <f t="shared" si="13"/>
        <v>1</v>
      </c>
      <c r="W14" s="89">
        <f>SMALL(ages, SUM($V$5:V14))</f>
        <v>19</v>
      </c>
      <c r="X14" s="116">
        <f t="shared" ca="1" si="14"/>
        <v>1.6828141765317581</v>
      </c>
      <c r="Y14" s="116">
        <f t="shared" ca="1" si="15"/>
        <v>1.635260165156992</v>
      </c>
      <c r="Z14" s="116">
        <f t="shared" ca="1" si="16"/>
        <v>1.619653822268273</v>
      </c>
      <c r="AA14" s="116">
        <f t="shared" ca="1" si="17"/>
        <v>1.5704051867591144</v>
      </c>
      <c r="AB14" s="116">
        <f t="shared" ca="1" si="18"/>
        <v>1.5056111249551818</v>
      </c>
      <c r="AC14" s="116">
        <f t="shared" ca="1" si="19"/>
        <v>2.5804098746134518</v>
      </c>
      <c r="AD14" s="116">
        <f t="shared" ca="1" si="20"/>
        <v>2.5145374626691552</v>
      </c>
      <c r="AE14" s="116">
        <f t="shared" ca="1" si="21"/>
        <v>2.4888729842878132</v>
      </c>
      <c r="AF14" s="116">
        <f t="shared" ca="1" si="22"/>
        <v>2.3992098643632316</v>
      </c>
      <c r="AG14" s="116">
        <f t="shared" ca="1" si="23"/>
        <v>2.2885387762769192</v>
      </c>
      <c r="AH14" s="116">
        <f t="shared" ca="1" si="24"/>
        <v>1.0305574356990912</v>
      </c>
      <c r="AI14" s="116">
        <f t="shared" ca="1" si="25"/>
        <v>2.6409261562701238</v>
      </c>
      <c r="AJ14" s="116">
        <f t="shared" ca="1" si="26"/>
        <v>2.5609155162140933</v>
      </c>
      <c r="AK14" s="116">
        <f t="shared" ca="1" si="27"/>
        <v>2.9941319231793049</v>
      </c>
      <c r="AL14" s="116">
        <f t="shared" ca="1" si="28"/>
        <v>3.329240325584764</v>
      </c>
      <c r="AM14" s="116">
        <f t="shared" ca="1" si="29"/>
        <v>3.9220212584917076</v>
      </c>
      <c r="AN14" s="116">
        <f t="shared" ca="1" si="30"/>
        <v>3.855455817778966</v>
      </c>
      <c r="AO14" s="116">
        <f t="shared" ca="1" si="31"/>
        <v>5.0933845874187069</v>
      </c>
      <c r="AP14" s="116">
        <f t="shared" ca="1" si="32"/>
        <v>5.8479131137986222</v>
      </c>
      <c r="AR14" s="146">
        <v>0.66365461849999996</v>
      </c>
      <c r="AS14" s="146">
        <v>0.68400000000000005</v>
      </c>
      <c r="AT14" s="146">
        <v>0.86572058890000003</v>
      </c>
      <c r="AV14" s="1" t="s">
        <v>835</v>
      </c>
      <c r="AW14" s="1" t="s">
        <v>837</v>
      </c>
      <c r="AX14" s="1" t="s">
        <v>836</v>
      </c>
    </row>
    <row r="15" spans="1:50" ht="12.75" customHeight="1" x14ac:dyDescent="0.2">
      <c r="A15" s="3">
        <f>A14+Intro!$U$2</f>
        <v>132</v>
      </c>
      <c r="B15" s="141">
        <f ca="1">OFFSET('e8.7'!$C$62,, ROW() - ROW($A$5))</f>
        <v>1.0642421690438046</v>
      </c>
      <c r="C15" s="141">
        <f ca="1">OFFSET('e8.5'!$C$85,, ROW() - ROW($A$5))</f>
        <v>1.0467324738808523</v>
      </c>
      <c r="D15" s="141">
        <f ca="1">OFFSET('e8.5'!$C$62,, ROW() - ROW($A$5))</f>
        <v>1.0419027713837967</v>
      </c>
      <c r="E15" s="141">
        <f ca="1">OFFSET('e8.3'!$C$62,, ROW() - ROW($A$5))</f>
        <v>1.0295011625595312</v>
      </c>
      <c r="F15" s="141">
        <f ca="1">OFFSET('e8.1'!$C$62,, ROW() - ROW($A$5))</f>
        <v>1.0213958279801438</v>
      </c>
      <c r="G15" s="141">
        <f ca="1">OFFSET('e8.8'!$C$62,, ROW() - ROW($A$5))</f>
        <v>1.1128756119641841</v>
      </c>
      <c r="H15" s="141">
        <f ca="1">OFFSET('e8.6'!$C$85,, ROW() - ROW($A$5))</f>
        <v>1.0955980792810889</v>
      </c>
      <c r="I15" s="141">
        <f ca="1">OFFSET('e8.6'!$C$62,, ROW() - ROW($A$5))</f>
        <v>1.0885653001146909</v>
      </c>
      <c r="J15" s="141">
        <f ca="1">OFFSET('e8.4'!$C$62,, ROW() - ROW($A$5))</f>
        <v>1.0672619216078643</v>
      </c>
      <c r="K15" s="141">
        <f ca="1">OFFSET('e8.2'!$C$62,, ROW() - ROW($A$5))</f>
        <v>1.0520394827066555</v>
      </c>
      <c r="L15" s="141">
        <f ca="1">OFFSET('e8.9'!$C$51,, ROW() - ROW($A$5))</f>
        <v>1</v>
      </c>
      <c r="M15" s="111">
        <f ca="1">'XS LDF'!C102</f>
        <v>1.3254886102372845</v>
      </c>
      <c r="N15" s="111">
        <f ca="1">'XS LDF'!D102</f>
        <v>1.3028457058306455</v>
      </c>
      <c r="O15" s="111">
        <f ca="1">'XS LDF'!E102</f>
        <v>1.3651980935815871</v>
      </c>
      <c r="P15" s="111">
        <f ca="1">'XS LDF'!F102</f>
        <v>1.3038693210471111</v>
      </c>
      <c r="Q15" s="111">
        <f ca="1">'XS LDF'!G102</f>
        <v>1.4014680929213934</v>
      </c>
      <c r="R15" s="111">
        <f ca="1">'XS LDF'!H102</f>
        <v>1.3925103793111555</v>
      </c>
      <c r="S15" s="111">
        <f ca="1">'XS LDF'!I102</f>
        <v>1.543945698068766</v>
      </c>
      <c r="T15" s="111">
        <f ca="1">'XS LDF'!J102</f>
        <v>1.490481110462603</v>
      </c>
      <c r="U15" s="111"/>
      <c r="V15" s="145">
        <f t="shared" si="13"/>
        <v>3</v>
      </c>
      <c r="W15" s="89">
        <f>SMALL(ages, SUM($V$5:V15))</f>
        <v>21</v>
      </c>
      <c r="X15" s="116">
        <f t="shared" ref="X15" ca="1" si="33">IF($W15 &lt;= 12, B$5 / $AR15, 1 / ((((1 / B$6) - (1 / B$5)) * $AR15) + (1 / B$5)))</f>
        <v>1.5771239829909314</v>
      </c>
      <c r="Y15" s="116">
        <f t="shared" ref="Y15" ca="1" si="34">IF($W15 &lt;= 12, C$5 / $AR15, 1 / ((((1 / C$6) - (1 / C$5)) * $AR15) + (1 / C$5)))</f>
        <v>1.5325566309490457</v>
      </c>
      <c r="Z15" s="116">
        <f t="shared" ref="Z15" ca="1" si="35">IF($W15 &lt;= 12, D$5 / $AR15, 1 / ((((1 / D$6) - (1 / D$5)) * $AR15) + (1 / D$5)))</f>
        <v>1.5179304541555356</v>
      </c>
      <c r="AA15" s="116">
        <f t="shared" ref="AA15" ca="1" si="36">IF($W15 &lt;= 12, E$5 / $AR15, 1 / ((((1 / E$6) - (1 / E$5)) * $AR15) + (1 / E$5)))</f>
        <v>1.4717749099045647</v>
      </c>
      <c r="AB15" s="116">
        <f t="shared" ref="AB15" ca="1" si="37">IF($W15 &lt;= 12, F$5 / $AR15, 1 / ((((1 / F$6) - (1 / F$5)) * $AR15) + (1 / F$5)))</f>
        <v>1.4216938246654633</v>
      </c>
      <c r="AC15" s="116">
        <f t="shared" ref="AC15" ca="1" si="38">IF($W15 &lt;= 12, G$5 / $AS15, 1 / ((((1 / G$6) - (1 / G$5)) * $AS15) + (1 / G$5)))</f>
        <v>2.3338111856653088</v>
      </c>
      <c r="AD15" s="116">
        <f t="shared" ref="AD15" ca="1" si="39">IF($W15 &lt;= 12, H$5 / $AS15, 1 / ((((1 / H$6) - (1 / H$5)) * $AS15) + (1 / H$5)))</f>
        <v>2.2742339172108617</v>
      </c>
      <c r="AE15" s="116">
        <f t="shared" ref="AE15" ca="1" si="40">IF($W15 &lt;= 12, I$5 / $AS15, 1 / ((((1 / I$6) - (1 / I$5)) * $AS15) + (1 / I$5)))</f>
        <v>2.2515884843666303</v>
      </c>
      <c r="AF15" s="116">
        <f t="shared" ref="AF15" ca="1" si="41">IF($W15 &lt;= 12, J$5 / $AS15, 1 / ((((1 / J$6) - (1 / J$5)) * $AS15) + (1 / J$5)))</f>
        <v>2.1710233846058133</v>
      </c>
      <c r="AG15" s="116">
        <f t="shared" ref="AG15" ca="1" si="42">IF($W15 &lt;= 12, K$5 / $AS15, 1 / ((((1 / K$6) - (1 / K$5)) * $AS15) + (1 / K$5)))</f>
        <v>2.0719375718245723</v>
      </c>
      <c r="AH15" s="116">
        <f t="shared" ref="AH15" ca="1" si="43">IF($W15 &lt;= 12, L$5 / $AT15, 1 / ((((1 / L$6) - (1 / L$5)) * $AS15) + (1 / L$5)))</f>
        <v>1.0239731949848681</v>
      </c>
      <c r="AI15" s="116">
        <f t="shared" ref="AI15" ca="1" si="44">IF($W15 &lt;= 12, M$5 / $AR15, 1 / ((((1 / M$6) - (1 / M$5)) * $AR15) + (1 / M$5)))</f>
        <v>2.4750611424879847</v>
      </c>
      <c r="AJ15" s="116">
        <f t="shared" ref="AJ15" ca="1" si="45">IF($W15 &lt;= 12, N$5 / $AR15, 1 / ((((1 / N$6) - (1 / N$5)) * $AR15) + (1 / N$5)))</f>
        <v>2.4000756205648832</v>
      </c>
      <c r="AK15" s="116">
        <f t="shared" ref="AK15" ca="1" si="46">IF($W15 &lt;= 12, O$5 / $AR15, 1 / ((((1 / O$6) - (1 / O$5)) * $AR15) + (1 / O$5)))</f>
        <v>2.8060836009933188</v>
      </c>
      <c r="AL15" s="116">
        <f t="shared" ref="AL15" ca="1" si="47">IF($W15 &lt;= 12, P$5 / $AR15, 1 / ((((1 / P$6) - (1 / P$5)) * $AR15) + (1 / P$5)))</f>
        <v>2.960550433012572</v>
      </c>
      <c r="AM15" s="116">
        <f t="shared" ref="AM15" ca="1" si="48">IF($W15 &lt;= 12, Q$5 / $AS15, 1 / ((((1 / Q$6) - (1 / Q$5)) * $AS15) + (1 / Q$5)))</f>
        <v>3.5472105317595122</v>
      </c>
      <c r="AN15" s="116">
        <f t="shared" ref="AN15" ca="1" si="49">IF($W15 &lt;= 12, R$5 / $AS15, 1 / ((((1 / R$6) - (1 / R$5)) * $AS15) + (1 / R$5)))</f>
        <v>3.4748306295190567</v>
      </c>
      <c r="AO15" s="116">
        <f t="shared" ref="AO15" ca="1" si="50">IF($W15 &lt;= 12, S$5 / $AS15, 1 / ((((1 / S$6) - (1 / S$5)) * $AS15) + (1 / S$5)))</f>
        <v>4.5746123613433625</v>
      </c>
      <c r="AP15" s="116">
        <f t="shared" ref="AP15" ca="1" si="51">IF($W15 &lt;= 12, T$5 / $AS15, 1 / ((((1 / T$6) - (1 / T$5)) * $AS15) + (1 / T$5)))</f>
        <v>5.229584457512372</v>
      </c>
      <c r="AR15" s="146">
        <v>0.80120481929999998</v>
      </c>
      <c r="AS15" s="146">
        <v>0.81699999999999995</v>
      </c>
      <c r="AT15" s="146">
        <v>0.93362796250000002</v>
      </c>
    </row>
    <row r="16" spans="1:50" ht="12.75" customHeight="1" x14ac:dyDescent="0.2">
      <c r="A16" s="3">
        <f>A15+Intro!$U$2</f>
        <v>144</v>
      </c>
      <c r="B16" s="141">
        <f ca="1">OFFSET('e8.7'!$C$62,, ROW() - ROW($A$5))</f>
        <v>1.0581022012406023</v>
      </c>
      <c r="C16" s="141">
        <f ca="1">OFFSET('e8.5'!$C$85,, ROW() - ROW($A$5))</f>
        <v>1.0414204171974331</v>
      </c>
      <c r="D16" s="141">
        <f ca="1">OFFSET('e8.5'!$C$62,, ROW() - ROW($A$5))</f>
        <v>1.0367564432994758</v>
      </c>
      <c r="E16" s="141">
        <f ca="1">OFFSET('e8.3'!$C$62,, ROW() - ROW($A$5))</f>
        <v>1.0255846420055563</v>
      </c>
      <c r="F16" s="141">
        <f ca="1">OFFSET('e8.1'!$C$62,, ROW() - ROW($A$5))</f>
        <v>1.0182694150462284</v>
      </c>
      <c r="G16" s="141">
        <f ca="1">OFFSET('e8.8'!$C$62,, ROW() - ROW($A$5))</f>
        <v>1.1005785394175442</v>
      </c>
      <c r="H16" s="141">
        <f ca="1">OFFSET('e8.6'!$C$85,, ROW() - ROW($A$5))</f>
        <v>1.0844148280936732</v>
      </c>
      <c r="I16" s="141">
        <f ca="1">OFFSET('e8.6'!$C$62,, ROW() - ROW($A$5))</f>
        <v>1.0779402696522655</v>
      </c>
      <c r="J16" s="141">
        <f ca="1">OFFSET('e8.4'!$C$62,, ROW() - ROW($A$5))</f>
        <v>1.0582202007056973</v>
      </c>
      <c r="K16" s="141">
        <f ca="1">OFFSET('e8.2'!$C$62,, ROW() - ROW($A$5))</f>
        <v>1.0439913756352999</v>
      </c>
      <c r="L16" s="120">
        <f t="shared" ref="L16:L27" ca="1" si="52">L15</f>
        <v>1</v>
      </c>
      <c r="M16" s="111">
        <f ca="1">'XS LDF'!C103</f>
        <v>1.3023996663121495</v>
      </c>
      <c r="N16" s="111">
        <f ca="1">'XS LDF'!D103</f>
        <v>1.2831509829959857</v>
      </c>
      <c r="O16" s="111">
        <f ca="1">'XS LDF'!E103</f>
        <v>1.3345177387268177</v>
      </c>
      <c r="P16" s="111">
        <f ca="1">'XS LDF'!F103</f>
        <v>1.2769451312125082</v>
      </c>
      <c r="Q16" s="111">
        <f ca="1">'XS LDF'!G103</f>
        <v>1.3665556747193925</v>
      </c>
      <c r="R16" s="111">
        <f ca="1">'XS LDF'!H103</f>
        <v>1.3568040358242033</v>
      </c>
      <c r="S16" s="111">
        <f ca="1">'XS LDF'!I103</f>
        <v>1.4902683112786557</v>
      </c>
      <c r="T16" s="111">
        <f ca="1">'XS LDF'!J103</f>
        <v>1.4433192765531482</v>
      </c>
      <c r="U16" s="111"/>
      <c r="V16" s="145">
        <f t="shared" si="13"/>
        <v>2</v>
      </c>
      <c r="W16" s="3">
        <f>SMALL(ages, SUM($V$5:V16))</f>
        <v>24</v>
      </c>
      <c r="X16" s="118">
        <f ca="1">[1]!ldf(B$5:B$27, $A$5:$A$27, $W16, $A$27, 3)</f>
        <v>1.4458811074251232</v>
      </c>
      <c r="Y16" s="118">
        <f ca="1">[1]!ldf(C$5:C$27, $A$5:$A$27, $W16, $A$27, 3)</f>
        <v>1.4050224983238135</v>
      </c>
      <c r="Z16" s="118">
        <f ca="1">[1]!ldf(D$5:D$27, $A$5:$A$27, $W16, $A$27, 3)</f>
        <v>1.391613462047864</v>
      </c>
      <c r="AA16" s="118">
        <f ca="1">[1]!ldf(E$5:E$27, $A$5:$A$27, $W16, $A$27, 3)</f>
        <v>1.3492988246730373</v>
      </c>
      <c r="AB16" s="118">
        <f ca="1">[1]!ldf(F$5:F$27, $A$5:$A$27, $W16, $A$27, 3)</f>
        <v>1.3157091193750463</v>
      </c>
      <c r="AC16" s="118">
        <f ca="1">[1]!ldf(G$5:G$27, $A$5:$A$27, $W16, $A$27, 3)</f>
        <v>2.0625950697019704</v>
      </c>
      <c r="AD16" s="118">
        <f ca="1">[1]!ldf(H$5:H$27, $A$5:$A$27, $W16, $A$27, 3)</f>
        <v>2.0099413756348459</v>
      </c>
      <c r="AE16" s="118">
        <f ca="1">[1]!ldf(I$5:I$27, $A$5:$A$27, $W16, $A$27, 3)</f>
        <v>1.9904784483718934</v>
      </c>
      <c r="AF16" s="118">
        <f ca="1">[1]!ldf(J$5:J$27, $A$5:$A$27, $W16, $A$27, 3)</f>
        <v>1.9197912814666496</v>
      </c>
      <c r="AG16" s="118">
        <f ca="1">[1]!ldf(K$5:K$27, $A$5:$A$27, $W16, $A$27, 3)</f>
        <v>1.8332043204932298</v>
      </c>
      <c r="AH16" s="118">
        <f ca="1">[1]!ldf(L$5:L$27, $A$5:$A$27, $W16, $A$27, 3)</f>
        <v>1.01505</v>
      </c>
      <c r="AI16" s="118">
        <f ca="1">[1]!ldf(M$5:M$27, $A$5:$A$27, $W16, $A$27, 3)</f>
        <v>2.2690950009261233</v>
      </c>
      <c r="AJ16" s="118">
        <f ca="1">[1]!ldf(N$5:N$27, $A$5:$A$27, $W16, $A$27, 3)</f>
        <v>2.2003495182321</v>
      </c>
      <c r="AK16" s="118">
        <f ca="1">[1]!ldf(O$5:O$27, $A$5:$A$27, $W16, $A$27, 3)</f>
        <v>2.5725709001249948</v>
      </c>
      <c r="AL16" s="118">
        <f ca="1">[1]!ldf(P$5:P$27, $A$5:$A$27, $W16, $A$27, 3)</f>
        <v>2.5520845671995862</v>
      </c>
      <c r="AM16" s="118">
        <f ca="1">[1]!ldf(Q$5:Q$27, $A$5:$A$27, $W16, $A$27, 3)</f>
        <v>3.1349832406927738</v>
      </c>
      <c r="AN16" s="118">
        <f ca="1">[1]!ldf(R$5:R$27, $A$5:$A$27, $W16, $A$27, 3)</f>
        <v>3.059266078174014</v>
      </c>
      <c r="AO16" s="118">
        <f ca="1">[1]!ldf(S$5:S$27, $A$5:$A$27, $W16, $A$27, 3)</f>
        <v>4.0123165083941572</v>
      </c>
      <c r="AP16" s="118">
        <f ca="1">[1]!ldf(T$5:T$27, $A$5:$A$27, $W16, $A$27, 3)</f>
        <v>4.5653892689251858</v>
      </c>
      <c r="AU16" s="1">
        <f>W16</f>
        <v>24</v>
      </c>
      <c r="AV16" s="109">
        <f ca="1">X16</f>
        <v>1.4458811074251232</v>
      </c>
      <c r="AW16" s="109">
        <f ca="1">AV16</f>
        <v>1.4458811074251232</v>
      </c>
      <c r="AX16" s="109">
        <f ca="1">AW16</f>
        <v>1.4458811074251232</v>
      </c>
    </row>
    <row r="17" spans="1:54" ht="12.75" customHeight="1" x14ac:dyDescent="0.2">
      <c r="A17" s="3">
        <f>A16+Intro!$U$2</f>
        <v>156</v>
      </c>
      <c r="B17" s="141">
        <f ca="1">OFFSET('e8.7'!$C$62,, ROW() - ROW($A$5))</f>
        <v>1.0527462978919129</v>
      </c>
      <c r="C17" s="141">
        <f ca="1">OFFSET('e8.5'!$C$85,, ROW() - ROW($A$5))</f>
        <v>1.0368521258966024</v>
      </c>
      <c r="D17" s="141">
        <f ca="1">OFFSET('e8.5'!$C$62,, ROW() - ROW($A$5))</f>
        <v>1.0323691729109858</v>
      </c>
      <c r="E17" s="141">
        <f ca="1">OFFSET('e8.3'!$C$62,, ROW() - ROW($A$5))</f>
        <v>1.0222421114269495</v>
      </c>
      <c r="F17" s="141">
        <f ca="1">OFFSET('e8.1'!$C$62,, ROW() - ROW($A$5))</f>
        <v>1.0156002546631411</v>
      </c>
      <c r="G17" s="141">
        <f ca="1">OFFSET('e8.8'!$C$62,, ROW() - ROW($A$5))</f>
        <v>1.0895613121543342</v>
      </c>
      <c r="H17" s="141">
        <f ca="1">OFFSET('e8.6'!$C$85,, ROW() - ROW($A$5))</f>
        <v>1.074439550968018</v>
      </c>
      <c r="I17" s="141">
        <f ca="1">OFFSET('e8.6'!$C$62,, ROW() - ROW($A$5))</f>
        <v>1.0684911415976914</v>
      </c>
      <c r="J17" s="141">
        <f ca="1">OFFSET('e8.4'!$C$62,, ROW() - ROW($A$5))</f>
        <v>1.0502497944461588</v>
      </c>
      <c r="K17" s="141">
        <f ca="1">OFFSET('e8.2'!$C$62,, ROW() - ROW($A$5))</f>
        <v>1.0369514434454634</v>
      </c>
      <c r="L17" s="120">
        <f t="shared" ca="1" si="52"/>
        <v>1</v>
      </c>
      <c r="M17" s="111">
        <f ca="1">'XS LDF'!C104</f>
        <v>1.2812304928295237</v>
      </c>
      <c r="N17" s="111">
        <f ca="1">'XS LDF'!D104</f>
        <v>1.2647819298867411</v>
      </c>
      <c r="O17" s="111">
        <f ca="1">'XS LDF'!E104</f>
        <v>1.3076592762744612</v>
      </c>
      <c r="P17" s="111">
        <f ca="1">'XS LDF'!F104</f>
        <v>1.2536281988904341</v>
      </c>
      <c r="Q17" s="111">
        <f ca="1">'XS LDF'!G104</f>
        <v>1.3348822959907982</v>
      </c>
      <c r="R17" s="111">
        <f ca="1">'XS LDF'!H104</f>
        <v>1.3244021916291246</v>
      </c>
      <c r="S17" s="111">
        <f ca="1">'XS LDF'!I104</f>
        <v>1.4422154872786084</v>
      </c>
      <c r="T17" s="111">
        <f ca="1">'XS LDF'!J104</f>
        <v>1.4009600490289225</v>
      </c>
      <c r="U17" s="111"/>
      <c r="V17" s="145">
        <f t="shared" si="13"/>
        <v>1</v>
      </c>
      <c r="W17" s="3">
        <f>SMALL(ages, SUM($V$5:V17))</f>
        <v>25</v>
      </c>
      <c r="X17" s="118">
        <f ca="1">[1]!ldf(B$5:B$27, $A$5:$A$27, $W17, $A$27, 3)</f>
        <v>1.421993946222446</v>
      </c>
      <c r="Y17" s="118">
        <f ca="1">[1]!ldf(C$5:C$27, $A$5:$A$27, $W17, $A$27, 3)</f>
        <v>1.3824835968249032</v>
      </c>
      <c r="Z17" s="118">
        <f ca="1">[1]!ldf(D$5:D$27, $A$5:$A$27, $W17, $A$27, 3)</f>
        <v>1.3694992773949051</v>
      </c>
      <c r="AA17" s="118">
        <f ca="1">[1]!ldf(E$5:E$27, $A$5:$A$27, $W17, $A$27, 3)</f>
        <v>1.3288343553606012</v>
      </c>
      <c r="AB17" s="118">
        <f ca="1">[1]!ldf(F$5:F$27, $A$5:$A$27, $W17, $A$27, 3)</f>
        <v>1.2968339154461352</v>
      </c>
      <c r="AC17" s="118">
        <f ca="1">[1]!ldf(G$5:G$27, $A$5:$A$27, $W17, $A$27, 3)</f>
        <v>1.9969673014451739</v>
      </c>
      <c r="AD17" s="118">
        <f ca="1">[1]!ldf(H$5:H$27, $A$5:$A$27, $W17, $A$27, 3)</f>
        <v>1.9452739300848396</v>
      </c>
      <c r="AE17" s="118">
        <f ca="1">[1]!ldf(I$5:I$27, $A$5:$A$27, $W17, $A$27, 3)</f>
        <v>1.9261504242630429</v>
      </c>
      <c r="AF17" s="118">
        <f ca="1">[1]!ldf(J$5:J$27, $A$5:$A$27, $W17, $A$27, 3)</f>
        <v>1.8566099616728209</v>
      </c>
      <c r="AG17" s="118">
        <f ca="1">[1]!ldf(K$5:K$27, $A$5:$A$27, $W17, $A$27, 3)</f>
        <v>1.7768364422391132</v>
      </c>
      <c r="AH17" s="118">
        <f ca="1">[1]!ldf(L$5:L$27, $A$5:$A$27, $W17, $A$27, 3)</f>
        <v>1.0137262615863785</v>
      </c>
      <c r="AI17" s="118">
        <f ca="1">[1]!ldf(M$5:M$27, $A$5:$A$27, $W17, $A$27, 3)</f>
        <v>2.2042813742784801</v>
      </c>
      <c r="AJ17" s="118">
        <f ca="1">[1]!ldf(N$5:N$27, $A$5:$A$27, $W17, $A$27, 3)</f>
        <v>2.1408056024459894</v>
      </c>
      <c r="AK17" s="118">
        <f ca="1">[1]!ldf(O$5:O$27, $A$5:$A$27, $W17, $A$27, 3)</f>
        <v>2.4958778310860783</v>
      </c>
      <c r="AL17" s="118">
        <f ca="1">[1]!ldf(P$5:P$27, $A$5:$A$27, $W17, $A$27, 3)</f>
        <v>2.4609946299619008</v>
      </c>
      <c r="AM17" s="118">
        <f ca="1">[1]!ldf(Q$5:Q$27, $A$5:$A$27, $W17, $A$27, 3)</f>
        <v>3.0446127220194339</v>
      </c>
      <c r="AN17" s="118">
        <f ca="1">[1]!ldf(R$5:R$27, $A$5:$A$27, $W17, $A$27, 3)</f>
        <v>2.9707766498764467</v>
      </c>
      <c r="AO17" s="118">
        <f ca="1">[1]!ldf(S$5:S$27, $A$5:$A$27, $W17, $A$27, 3)</f>
        <v>3.8997305011829413</v>
      </c>
      <c r="AP17" s="118">
        <f ca="1">[1]!ldf(T$5:T$27, $A$5:$A$27, $W17, $A$27, 3)</f>
        <v>4.3400940910105561</v>
      </c>
      <c r="AU17" s="1">
        <f>W17</f>
        <v>25</v>
      </c>
      <c r="AV17" s="713">
        <f ca="1">1/((($AU$22 - $AU17) * (1/$AV$16) + ($AU17 - $AU$16) * (1/$AV$22)) / ($AU$22 - $AU$16))</f>
        <v>1.4256839185785932</v>
      </c>
      <c r="AW17" s="713">
        <f ca="1">IF($AU17&lt;12,AV17,1/(1-EXP((($AU$22-$AU17)*LOG(1-(1/AW$16))+($AU17-$AU$16)*LOG(1-(1/AW$22)))/($AU$22-$AU$16))))</f>
        <v>2.4367265249351377</v>
      </c>
      <c r="AY17" s="1">
        <f ca="1">1 / (1 - EXP(1/AV17))</f>
        <v>-0.98366165422750418</v>
      </c>
      <c r="BA17" s="1">
        <f ca="1">FORECAST(AU17, $AV$16:$AV$22, $AU$16:$AU$22)</f>
        <v>1.424169642106746</v>
      </c>
      <c r="BB17" s="714">
        <f ca="1">(EXP(1/LOG(BA17)))</f>
        <v>673.19795089153092</v>
      </c>
    </row>
    <row r="18" spans="1:54" ht="12.75" customHeight="1" x14ac:dyDescent="0.2">
      <c r="A18" s="3">
        <f>A17+Intro!$U$2</f>
        <v>168</v>
      </c>
      <c r="B18" s="141">
        <f ca="1">OFFSET('e8.7'!$C$62,, ROW() - ROW($A$5))</f>
        <v>1.0480086612313348</v>
      </c>
      <c r="C18" s="141">
        <f ca="1">OFFSET('e8.5'!$C$85,, ROW() - ROW($A$5))</f>
        <v>1.0328558570312276</v>
      </c>
      <c r="D18" s="141">
        <f ca="1">OFFSET('e8.5'!$C$62,, ROW() - ROW($A$5))</f>
        <v>1.0285515565868109</v>
      </c>
      <c r="E18" s="141">
        <f ca="1">OFFSET('e8.3'!$C$62,, ROW() - ROW($A$5))</f>
        <v>1.0193432304460288</v>
      </c>
      <c r="F18" s="141">
        <f ca="1">OFFSET('e8.1'!$C$62,, ROW() - ROW($A$5))</f>
        <v>1.0132952749353585</v>
      </c>
      <c r="G18" s="141">
        <f ca="1">OFFSET('e8.8'!$C$62,, ROW() - ROW($A$5))</f>
        <v>1.0794810726603137</v>
      </c>
      <c r="H18" s="141">
        <f ca="1">OFFSET('e8.6'!$C$85,, ROW() - ROW($A$5))</f>
        <v>1.0653722879780265</v>
      </c>
      <c r="I18" s="141">
        <f ca="1">OFFSET('e8.6'!$C$62,, ROW() - ROW($A$5))</f>
        <v>1.0599337411777912</v>
      </c>
      <c r="J18" s="141">
        <f ca="1">OFFSET('e8.4'!$C$62,, ROW() - ROW($A$5))</f>
        <v>1.0431209822576364</v>
      </c>
      <c r="K18" s="141">
        <f ca="1">OFFSET('e8.2'!$C$62,, ROW() - ROW($A$5))</f>
        <v>1.0307237485396585</v>
      </c>
      <c r="L18" s="120">
        <f t="shared" ca="1" si="52"/>
        <v>1</v>
      </c>
      <c r="M18" s="111">
        <f ca="1">'XS LDF'!C105</f>
        <v>1.261899148457295</v>
      </c>
      <c r="N18" s="111">
        <f ca="1">'XS LDF'!D105</f>
        <v>1.2478867162522616</v>
      </c>
      <c r="O18" s="111">
        <f ca="1">'XS LDF'!E105</f>
        <v>1.2838660017367782</v>
      </c>
      <c r="P18" s="111">
        <f ca="1">'XS LDF'!F105</f>
        <v>1.2330776681435891</v>
      </c>
      <c r="Q18" s="111">
        <f ca="1">'XS LDF'!G105</f>
        <v>1.305180289663624</v>
      </c>
      <c r="R18" s="111">
        <f ca="1">'XS LDF'!H105</f>
        <v>1.2940794200817243</v>
      </c>
      <c r="S18" s="111">
        <f ca="1">'XS LDF'!I105</f>
        <v>1.3977663242926563</v>
      </c>
      <c r="T18" s="111">
        <f ca="1">'XS LDF'!J105</f>
        <v>1.3616796546495449</v>
      </c>
      <c r="U18" s="111"/>
      <c r="V18" s="145">
        <f t="shared" si="13"/>
        <v>2</v>
      </c>
      <c r="W18" s="3">
        <f>SMALL(ages, SUM($V$5:V18))</f>
        <v>27</v>
      </c>
      <c r="X18" s="118">
        <f ca="1">[1]!ldf(B$5:B$27, $A$5:$A$27, $W18, $A$27, 3)</f>
        <v>1.3784592244863101</v>
      </c>
      <c r="Y18" s="118">
        <f ca="1">[1]!ldf(C$5:C$27, $A$5:$A$27, $W18, $A$27, 3)</f>
        <v>1.3415273417590048</v>
      </c>
      <c r="Z18" s="118">
        <f ca="1">[1]!ldf(D$5:D$27, $A$5:$A$27, $W18, $A$27, 3)</f>
        <v>1.3293627083380053</v>
      </c>
      <c r="AA18" s="118">
        <f ca="1">[1]!ldf(E$5:E$27, $A$5:$A$27, $W18, $A$27, 3)</f>
        <v>1.2917984660915576</v>
      </c>
      <c r="AB18" s="118">
        <f ca="1">[1]!ldf(F$5:F$27, $A$5:$A$27, $W18, $A$27, 3)</f>
        <v>1.2627209937912198</v>
      </c>
      <c r="AC18" s="118">
        <f ca="1">[1]!ldf(G$5:G$27, $A$5:$A$27, $W18, $A$27, 3)</f>
        <v>1.8799164743958685</v>
      </c>
      <c r="AD18" s="118">
        <f ca="1">[1]!ldf(H$5:H$27, $A$5:$A$27, $W18, $A$27, 3)</f>
        <v>1.8303760193483058</v>
      </c>
      <c r="AE18" s="118">
        <f ca="1">[1]!ldf(I$5:I$27, $A$5:$A$27, $W18, $A$27, 3)</f>
        <v>1.8120317350985122</v>
      </c>
      <c r="AF18" s="118">
        <f ca="1">[1]!ldf(J$5:J$27, $A$5:$A$27, $W18, $A$27, 3)</f>
        <v>1.745230484950592</v>
      </c>
      <c r="AG18" s="118">
        <f ca="1">[1]!ldf(K$5:K$27, $A$5:$A$27, $W18, $A$27, 3)</f>
        <v>1.6771866316809476</v>
      </c>
      <c r="AH18" s="118">
        <f ca="1">[1]!ldf(L$5:L$27, $A$5:$A$27, $W18, $A$27, 3)</f>
        <v>1.01141974049836</v>
      </c>
      <c r="AI18" s="118">
        <f ca="1">[1]!ldf(M$5:M$27, $A$5:$A$27, $W18, $A$27, 3)</f>
        <v>2.0864854650557398</v>
      </c>
      <c r="AJ18" s="118">
        <f ca="1">[1]!ldf(N$5:N$27, $A$5:$A$27, $W18, $A$27, 3)</f>
        <v>2.0322510478254143</v>
      </c>
      <c r="AK18" s="118">
        <f ca="1">[1]!ldf(O$5:O$27, $A$5:$A$27, $W18, $A$27, 3)</f>
        <v>2.3560515402111739</v>
      </c>
      <c r="AL18" s="118">
        <f ca="1">[1]!ldf(P$5:P$27, $A$5:$A$27, $W18, $A$27, 3)</f>
        <v>2.2980266534450582</v>
      </c>
      <c r="AM18" s="118">
        <f ca="1">[1]!ldf(Q$5:Q$27, $A$5:$A$27, $W18, $A$27, 3)</f>
        <v>2.8780144484417756</v>
      </c>
      <c r="AN18" s="118">
        <f ca="1">[1]!ldf(R$5:R$27, $A$5:$A$27, $W18, $A$27, 3)</f>
        <v>2.8078283153551853</v>
      </c>
      <c r="AO18" s="118">
        <f ca="1">[1]!ldf(S$5:S$27, $A$5:$A$27, $W18, $A$27, 3)</f>
        <v>3.6903525018801893</v>
      </c>
      <c r="AP18" s="118">
        <f ca="1">[1]!ldf(T$5:T$27, $A$5:$A$27, $W18, $A$27, 3)</f>
        <v>3.9419841141751761</v>
      </c>
      <c r="AU18" s="1">
        <f t="shared" ref="AU18:AU21" si="53">W18</f>
        <v>27</v>
      </c>
      <c r="AV18" s="713">
        <f t="shared" ref="AV18:AV21" ca="1" si="54">1/((($AU$22 - $AU18) * (1/$AV$16) + ($AU18 - $AU$16) * (1/$AV$22)) / ($AU$22 - $AU$16))</f>
        <v>1.3869363140768571</v>
      </c>
      <c r="AW18" s="713">
        <f t="shared" ref="AW18:AW21" ca="1" si="55">IF($AU18&lt;12,AV18,1/(1-EXP(((($AU$22-$AU18)*LOG(1-(1/AW$16))+($AU18-$AU$16)*LOG(1-(1/AW$22)))/($AU$22-$AU$16)))))</f>
        <v>2.3227534907806269</v>
      </c>
    </row>
    <row r="19" spans="1:54" ht="12.75" customHeight="1" x14ac:dyDescent="0.2">
      <c r="A19" s="3">
        <f>A18+Intro!$U$2</f>
        <v>180</v>
      </c>
      <c r="B19" s="141">
        <f ca="1">OFFSET('e8.7'!$C$62,, ROW() - ROW($A$5))</f>
        <v>1.043781142943822</v>
      </c>
      <c r="C19" s="141">
        <f ca="1">OFFSET('e8.5'!$C$85,, ROW() - ROW($A$5))</f>
        <v>1.0293366129409076</v>
      </c>
      <c r="D19" s="141">
        <f ca="1">OFFSET('e8.5'!$C$62,, ROW() - ROW($A$5))</f>
        <v>1.0252080228384921</v>
      </c>
      <c r="E19" s="141">
        <f ca="1">OFFSET('e8.3'!$C$62,, ROW() - ROW($A$5))</f>
        <v>1.0168149677284335</v>
      </c>
      <c r="F19" s="141">
        <f ca="1">OFFSET('e8.1'!$C$62,, ROW() - ROW($A$5))</f>
        <v>1.0112955211351899</v>
      </c>
      <c r="G19" s="141">
        <f ca="1">OFFSET('e8.8'!$C$62,, ROW() - ROW($A$5))</f>
        <v>1.0705223107673811</v>
      </c>
      <c r="H19" s="141">
        <f ca="1">OFFSET('e8.6'!$C$85,, ROW() - ROW($A$5))</f>
        <v>1.0573383587239282</v>
      </c>
      <c r="I19" s="141">
        <f ca="1">OFFSET('e8.6'!$C$62,, ROW() - ROW($A$5))</f>
        <v>1.0523745046768311</v>
      </c>
      <c r="J19" s="141">
        <f ca="1">OFFSET('e8.4'!$C$62,, ROW() - ROW($A$5))</f>
        <v>1.0368727679774741</v>
      </c>
      <c r="K19" s="141">
        <f ca="1">OFFSET('e8.2'!$C$62,, ROW() - ROW($A$5))</f>
        <v>1.0253049450151908</v>
      </c>
      <c r="L19" s="120">
        <f t="shared" ca="1" si="52"/>
        <v>1</v>
      </c>
      <c r="M19" s="111">
        <f ca="1">'XS LDF'!C106</f>
        <v>1.2439908908004151</v>
      </c>
      <c r="N19" s="111">
        <f ca="1">'XS LDF'!D106</f>
        <v>1.2321650363790204</v>
      </c>
      <c r="O19" s="111">
        <f ca="1">'XS LDF'!E106</f>
        <v>1.2625086804036485</v>
      </c>
      <c r="P19" s="111">
        <f ca="1">'XS LDF'!F106</f>
        <v>1.2147341019797366</v>
      </c>
      <c r="Q19" s="111">
        <f ca="1">'XS LDF'!G106</f>
        <v>1.2787214404372913</v>
      </c>
      <c r="R19" s="111">
        <f ca="1">'XS LDF'!H106</f>
        <v>1.2669860081771773</v>
      </c>
      <c r="S19" s="111">
        <f ca="1">'XS LDF'!I106</f>
        <v>1.3585388525613293</v>
      </c>
      <c r="T19" s="111">
        <f ca="1">'XS LDF'!J106</f>
        <v>1.3268944899139183</v>
      </c>
      <c r="U19" s="111"/>
      <c r="V19" s="145">
        <f t="shared" si="13"/>
        <v>2</v>
      </c>
      <c r="W19" s="3">
        <f>SMALL(ages, SUM($V$5:V19))</f>
        <v>28</v>
      </c>
      <c r="X19" s="118">
        <f ca="1">[1]!ldf(B$5:B$27, $A$5:$A$27, $W19, $A$27, 3)</f>
        <v>1.3586139418432936</v>
      </c>
      <c r="Y19" s="118">
        <f ca="1">[1]!ldf(C$5:C$27, $A$5:$A$27, $W19, $A$27, 3)</f>
        <v>1.3229131966075842</v>
      </c>
      <c r="Z19" s="118">
        <f ca="1">[1]!ldf(D$5:D$27, $A$5:$A$27, $W19, $A$27, 3)</f>
        <v>1.3111430881986548</v>
      </c>
      <c r="AA19" s="118">
        <f ca="1">[1]!ldf(E$5:E$27, $A$5:$A$27, $W19, $A$27, 3)</f>
        <v>1.2750356008151928</v>
      </c>
      <c r="AB19" s="118">
        <f ca="1">[1]!ldf(F$5:F$27, $A$5:$A$27, $W19, $A$27, 3)</f>
        <v>1.2473033034535368</v>
      </c>
      <c r="AC19" s="118">
        <f ca="1">[1]!ldf(G$5:G$27, $A$5:$A$27, $W19, $A$27, 3)</f>
        <v>1.8276557546890355</v>
      </c>
      <c r="AD19" s="118">
        <f ca="1">[1]!ldf(H$5:H$27, $A$5:$A$27, $W19, $A$27, 3)</f>
        <v>1.7792690233153172</v>
      </c>
      <c r="AE19" s="118">
        <f ca="1">[1]!ldf(I$5:I$27, $A$5:$A$27, $W19, $A$27, 3)</f>
        <v>1.7613482803162528</v>
      </c>
      <c r="AF19" s="118">
        <f ca="1">[1]!ldf(J$5:J$27, $A$5:$A$27, $W19, $A$27, 3)</f>
        <v>1.6960696643490982</v>
      </c>
      <c r="AG19" s="118">
        <f ca="1">[1]!ldf(K$5:K$27, $A$5:$A$27, $W19, $A$27, 3)</f>
        <v>1.6330841880742941</v>
      </c>
      <c r="AH19" s="118">
        <f ca="1">[1]!ldf(L$5:L$27, $A$5:$A$27, $W19, $A$27, 3)</f>
        <v>1.0104169422658527</v>
      </c>
      <c r="AI19" s="118">
        <f ca="1">[1]!ldf(M$5:M$27, $A$5:$A$27, $W19, $A$27, 3)</f>
        <v>2.0329112315031006</v>
      </c>
      <c r="AJ19" s="118">
        <f ca="1">[1]!ldf(N$5:N$27, $A$5:$A$27, $W19, $A$27, 3)</f>
        <v>1.9827300288107459</v>
      </c>
      <c r="AK19" s="118">
        <f ca="1">[1]!ldf(O$5:O$27, $A$5:$A$27, $W19, $A$27, 3)</f>
        <v>2.2922592907280825</v>
      </c>
      <c r="AL19" s="118">
        <f ca="1">[1]!ldf(P$5:P$27, $A$5:$A$27, $W19, $A$27, 3)</f>
        <v>2.2250371555144675</v>
      </c>
      <c r="AM19" s="118">
        <f ca="1">[1]!ldf(Q$5:Q$27, $A$5:$A$27, $W19, $A$27, 3)</f>
        <v>2.8011773867402554</v>
      </c>
      <c r="AN19" s="118">
        <f ca="1">[1]!ldf(R$5:R$27, $A$5:$A$27, $W19, $A$27, 3)</f>
        <v>2.7327569671660399</v>
      </c>
      <c r="AO19" s="118">
        <f ca="1">[1]!ldf(S$5:S$27, $A$5:$A$27, $W19, $A$27, 3)</f>
        <v>3.5929521235745749</v>
      </c>
      <c r="AP19" s="118">
        <f ca="1">[1]!ldf(T$5:T$27, $A$5:$A$27, $W19, $A$27, 3)</f>
        <v>3.7658347007177553</v>
      </c>
      <c r="AU19" s="1">
        <f t="shared" si="53"/>
        <v>28</v>
      </c>
      <c r="AV19" s="713">
        <f t="shared" ca="1" si="54"/>
        <v>1.3683417420427035</v>
      </c>
      <c r="AW19" s="713">
        <f t="shared" ca="1" si="55"/>
        <v>2.2710107438037594</v>
      </c>
    </row>
    <row r="20" spans="1:54" ht="12.75" customHeight="1" x14ac:dyDescent="0.2">
      <c r="A20" s="3">
        <f>A19+Intro!$U$2</f>
        <v>192</v>
      </c>
      <c r="B20" s="141">
        <f ca="1">OFFSET('e8.7'!$C$62,, ROW() - ROW($A$5))</f>
        <v>1.0400191248388062</v>
      </c>
      <c r="C20" s="141">
        <f ca="1">OFFSET('e8.5'!$C$85,, ROW() - ROW($A$5))</f>
        <v>1.0264193514236082</v>
      </c>
      <c r="D20" s="141">
        <f ca="1">OFFSET('e8.5'!$C$62,, ROW() - ROW($A$5))</f>
        <v>1.022626168019215</v>
      </c>
      <c r="E20" s="141">
        <f ca="1">OFFSET('e8.3'!$C$62,, ROW() - ROW($A$5))</f>
        <v>1.0147477867925956</v>
      </c>
      <c r="F20" s="141">
        <f ca="1">OFFSET('e8.1'!$C$62,, ROW() - ROW($A$5))</f>
        <v>1.0095626261415263</v>
      </c>
      <c r="G20" s="141">
        <f ca="1">OFFSET('e8.8'!$C$62,, ROW() - ROW($A$5))</f>
        <v>1.0625179723927809</v>
      </c>
      <c r="H20" s="141">
        <f ca="1">OFFSET('e8.6'!$C$85,, ROW() - ROW($A$5))</f>
        <v>1.0503910462700761</v>
      </c>
      <c r="I20" s="141">
        <f ca="1">OFFSET('e8.6'!$C$62,, ROW() - ROW($A$5))</f>
        <v>1.0458530870462686</v>
      </c>
      <c r="J20" s="141">
        <f ca="1">OFFSET('e8.4'!$C$62,, ROW() - ROW($A$5))</f>
        <v>1.0317337421869763</v>
      </c>
      <c r="K20" s="141">
        <f ca="1">OFFSET('e8.2'!$C$62,, ROW() - ROW($A$5))</f>
        <v>1.0212354336313814</v>
      </c>
      <c r="L20" s="120">
        <f t="shared" ca="1" si="52"/>
        <v>1</v>
      </c>
      <c r="M20" s="111">
        <f ca="1">'XS LDF'!C107</f>
        <v>1.2241803451920497</v>
      </c>
      <c r="N20" s="111">
        <f ca="1">'XS LDF'!D107</f>
        <v>1.2132794903287611</v>
      </c>
      <c r="O20" s="111">
        <f ca="1">'XS LDF'!E107</f>
        <v>1.2420961885176558</v>
      </c>
      <c r="P20" s="111">
        <f ca="1">'XS LDF'!F107</f>
        <v>1.1984117964076881</v>
      </c>
      <c r="Q20" s="111">
        <f ca="1">'XS LDF'!G107</f>
        <v>1.2511321022752919</v>
      </c>
      <c r="R20" s="111">
        <f ca="1">'XS LDF'!H107</f>
        <v>1.2402174577430047</v>
      </c>
      <c r="S20" s="111">
        <f ca="1">'XS LDF'!I107</f>
        <v>1.3197639511680914</v>
      </c>
      <c r="T20" s="111">
        <f ca="1">'XS LDF'!J107</f>
        <v>1.2911899564315186</v>
      </c>
      <c r="U20" s="111"/>
      <c r="V20" s="145">
        <f t="shared" si="13"/>
        <v>1</v>
      </c>
      <c r="W20" s="3">
        <f>SMALL(ages, SUM($V$5:V20))</f>
        <v>31</v>
      </c>
      <c r="X20" s="118">
        <f ca="1">[1]!ldf(B$5:B$27, $A$5:$A$27, $W20, $A$27, 3)</f>
        <v>1.3057465534677726</v>
      </c>
      <c r="Y20" s="118">
        <f ca="1">[1]!ldf(C$5:C$27, $A$5:$A$27, $W20, $A$27, 3)</f>
        <v>1.2735149656149896</v>
      </c>
      <c r="Z20" s="118">
        <f ca="1">[1]!ldf(D$5:D$27, $A$5:$A$27, $W20, $A$27, 3)</f>
        <v>1.2628662455340094</v>
      </c>
      <c r="AA20" s="118">
        <f ca="1">[1]!ldf(E$5:E$27, $A$5:$A$27, $W20, $A$27, 3)</f>
        <v>1.2307869762358423</v>
      </c>
      <c r="AB20" s="118">
        <f ca="1">[1]!ldf(F$5:F$27, $A$5:$A$27, $W20, $A$27, 3)</f>
        <v>1.2066840632692555</v>
      </c>
      <c r="AC20" s="118">
        <f ca="1">[1]!ldf(G$5:G$27, $A$5:$A$27, $W20, $A$27, 3)</f>
        <v>1.6917904381167888</v>
      </c>
      <c r="AD20" s="118">
        <f ca="1">[1]!ldf(H$5:H$27, $A$5:$A$27, $W20, $A$27, 3)</f>
        <v>1.6470076758647596</v>
      </c>
      <c r="AE20" s="118">
        <f ca="1">[1]!ldf(I$5:I$27, $A$5:$A$27, $W20, $A$27, 3)</f>
        <v>1.6304239073857805</v>
      </c>
      <c r="AF20" s="118">
        <f ca="1">[1]!ldf(J$5:J$27, $A$5:$A$27, $W20, $A$27, 3)</f>
        <v>1.5700284958451791</v>
      </c>
      <c r="AG20" s="118">
        <f ca="1">[1]!ldf(K$5:K$27, $A$5:$A$27, $W20, $A$27, 3)</f>
        <v>1.5196616633140005</v>
      </c>
      <c r="AH20" s="118">
        <f ca="1">[1]!ldf(L$5:L$27, $A$5:$A$27, $W20, $A$27, 3)</f>
        <v>1.0079085915292225</v>
      </c>
      <c r="AI20" s="118">
        <f ca="1">[1]!ldf(M$5:M$27, $A$5:$A$27, $W20, $A$27, 3)</f>
        <v>1.8904657797438222</v>
      </c>
      <c r="AJ20" s="118">
        <f ca="1">[1]!ldf(N$5:N$27, $A$5:$A$27, $W20, $A$27, 3)</f>
        <v>1.8505767055036</v>
      </c>
      <c r="AK20" s="118">
        <f ca="1">[1]!ldf(O$5:O$27, $A$5:$A$27, $W20, $A$27, 3)</f>
        <v>2.1219886577590579</v>
      </c>
      <c r="AL20" s="118">
        <f ca="1">[1]!ldf(P$5:P$27, $A$5:$A$27, $W20, $A$27, 3)</f>
        <v>2.034524952507641</v>
      </c>
      <c r="AM20" s="118">
        <f ca="1">[1]!ldf(Q$5:Q$27, $A$5:$A$27, $W20, $A$27, 3)</f>
        <v>2.5933314444079443</v>
      </c>
      <c r="AN20" s="118">
        <f ca="1">[1]!ldf(R$5:R$27, $A$5:$A$27, $W20, $A$27, 3)</f>
        <v>2.5299610775931844</v>
      </c>
      <c r="AO20" s="118">
        <f ca="1">[1]!ldf(S$5:S$27, $A$5:$A$27, $W20, $A$27, 3)</f>
        <v>3.3266763082315305</v>
      </c>
      <c r="AP20" s="118">
        <f ca="1">[1]!ldf(T$5:T$27, $A$5:$A$27, $W20, $A$27, 3)</f>
        <v>3.3127063873272244</v>
      </c>
      <c r="AU20" s="1">
        <f t="shared" si="53"/>
        <v>31</v>
      </c>
      <c r="AV20" s="713">
        <f t="shared" ca="1" si="54"/>
        <v>1.3154339112283153</v>
      </c>
      <c r="AW20" s="713">
        <f t="shared" ca="1" si="55"/>
        <v>2.1332988381281868</v>
      </c>
    </row>
    <row r="21" spans="1:54" ht="12.75" customHeight="1" x14ac:dyDescent="0.2">
      <c r="A21" s="3">
        <f>A20+Intro!$U$2</f>
        <v>204</v>
      </c>
      <c r="B21" s="141">
        <f ca="1">OFFSET('e8.7'!$C$62,, ROW() - ROW($A$5))</f>
        <v>1.0362486146364904</v>
      </c>
      <c r="C21" s="141">
        <f ca="1">OFFSET('e8.5'!$C$85,, ROW() - ROW($A$5))</f>
        <v>1.0230758096585728</v>
      </c>
      <c r="D21" s="141">
        <f ca="1">OFFSET('e8.5'!$C$62,, ROW() - ROW($A$5))</f>
        <v>1.0199212009725269</v>
      </c>
      <c r="E21" s="141">
        <f ca="1">OFFSET('e8.3'!$C$62,, ROW() - ROW($A$5))</f>
        <v>1.0127868633190751</v>
      </c>
      <c r="F21" s="141">
        <f ca="1">OFFSET('e8.1'!$C$62,, ROW() - ROW($A$5))</f>
        <v>1.0081183337586399</v>
      </c>
      <c r="G21" s="141">
        <f ca="1">OFFSET('e8.8'!$C$62,, ROW() - ROW($A$5))</f>
        <v>1.0554455069753375</v>
      </c>
      <c r="H21" s="141">
        <f ca="1">OFFSET('e8.6'!$C$85,, ROW() - ROW($A$5))</f>
        <v>1.0443081105504144</v>
      </c>
      <c r="I21" s="141">
        <f ca="1">OFFSET('e8.6'!$C$62,, ROW() - ROW($A$5))</f>
        <v>1.040159108374157</v>
      </c>
      <c r="J21" s="141">
        <f ca="1">OFFSET('e8.4'!$C$62,, ROW() - ROW($A$5))</f>
        <v>1.0273203611294961</v>
      </c>
      <c r="K21" s="141">
        <f ca="1">OFFSET('e8.2'!$C$62,, ROW() - ROW($A$5))</f>
        <v>1.017826056254413</v>
      </c>
      <c r="L21" s="120">
        <f t="shared" ca="1" si="52"/>
        <v>1</v>
      </c>
      <c r="M21" s="111">
        <f ca="1">'XS LDF'!C108</f>
        <v>1.2125807894405078</v>
      </c>
      <c r="N21" s="111">
        <f ca="1">'XS LDF'!D108</f>
        <v>1.1961874779847395</v>
      </c>
      <c r="O21" s="111">
        <f ca="1">'XS LDF'!E108</f>
        <v>1.2210310790764891</v>
      </c>
      <c r="P21" s="111">
        <f ca="1">'XS LDF'!F108</f>
        <v>1.180572236704641</v>
      </c>
      <c r="Q21" s="111">
        <f ca="1">'XS LDF'!G108</f>
        <v>1.2262070964230729</v>
      </c>
      <c r="R21" s="111">
        <f ca="1">'XS LDF'!H108</f>
        <v>1.2161590440941854</v>
      </c>
      <c r="S21" s="111">
        <f ca="1">'XS LDF'!I108</f>
        <v>1.2853206687487206</v>
      </c>
      <c r="T21" s="111">
        <f ca="1">'XS LDF'!J108</f>
        <v>1.2593728777244793</v>
      </c>
      <c r="U21" s="111"/>
      <c r="V21" s="145">
        <f t="shared" si="13"/>
        <v>3</v>
      </c>
      <c r="W21" s="3">
        <f>SMALL(ages, SUM($V$5:V21))</f>
        <v>33</v>
      </c>
      <c r="X21" s="118">
        <f ca="1">[1]!ldf(B$5:B$27, $A$5:$A$27, $W21, $A$27, 3)</f>
        <v>1.2753409689656321</v>
      </c>
      <c r="Y21" s="118">
        <f ca="1">[1]!ldf(C$5:C$27, $A$5:$A$27, $W21, $A$27, 3)</f>
        <v>1.2452435276852949</v>
      </c>
      <c r="Z21" s="118">
        <f ca="1">[1]!ldf(D$5:D$27, $A$5:$A$27, $W21, $A$27, 3)</f>
        <v>1.2352909781775283</v>
      </c>
      <c r="AA21" s="118">
        <f ca="1">[1]!ldf(E$5:E$27, $A$5:$A$27, $W21, $A$27, 3)</f>
        <v>1.205636707417534</v>
      </c>
      <c r="AB21" s="118">
        <f ca="1">[1]!ldf(F$5:F$27, $A$5:$A$27, $W21, $A$27, 3)</f>
        <v>1.183656461036604</v>
      </c>
      <c r="AC21" s="118">
        <f ca="1">[1]!ldf(G$5:G$27, $A$5:$A$27, $W21, $A$27, 3)</f>
        <v>1.6158621075110984</v>
      </c>
      <c r="AD21" s="118">
        <f ca="1">[1]!ldf(H$5:H$27, $A$5:$A$27, $W21, $A$27, 3)</f>
        <v>1.5735079504767688</v>
      </c>
      <c r="AE21" s="118">
        <f ca="1">[1]!ldf(I$5:I$27, $A$5:$A$27, $W21, $A$27, 3)</f>
        <v>1.5578320403081001</v>
      </c>
      <c r="AF21" s="118">
        <f ca="1">[1]!ldf(J$5:J$27, $A$5:$A$27, $W21, $A$27, 3)</f>
        <v>1.5007896640088081</v>
      </c>
      <c r="AG21" s="118">
        <f ca="1">[1]!ldf(K$5:K$27, $A$5:$A$27, $W21, $A$27, 3)</f>
        <v>1.4571305302559794</v>
      </c>
      <c r="AH21" s="118">
        <f ca="1">[1]!ldf(L$5:L$27, $A$5:$A$27, $W21, $A$27, 3)</f>
        <v>1.0065828296491073</v>
      </c>
      <c r="AI21" s="118">
        <f ca="1">[1]!ldf(M$5:M$27, $A$5:$A$27, $W21, $A$27, 3)</f>
        <v>1.808637916320077</v>
      </c>
      <c r="AJ21" s="118">
        <f ca="1">[1]!ldf(N$5:N$27, $A$5:$A$27, $W21, $A$27, 3)</f>
        <v>1.774322953990356</v>
      </c>
      <c r="AK21" s="118">
        <f ca="1">[1]!ldf(O$5:O$27, $A$5:$A$27, $W21, $A$27, 3)</f>
        <v>2.0237048273097109</v>
      </c>
      <c r="AL21" s="118">
        <f ca="1">[1]!ldf(P$5:P$27, $A$5:$A$27, $W21, $A$27, 3)</f>
        <v>1.9275037377936586</v>
      </c>
      <c r="AM21" s="118">
        <f ca="1">[1]!ldf(Q$5:Q$27, $A$5:$A$27, $W21, $A$27, 3)</f>
        <v>2.4713853171777549</v>
      </c>
      <c r="AN21" s="118">
        <f ca="1">[1]!ldf(R$5:R$27, $A$5:$A$27, $W21, $A$27, 3)</f>
        <v>2.4111735042041853</v>
      </c>
      <c r="AO21" s="118">
        <f ca="1">[1]!ldf(S$5:S$27, $A$5:$A$27, $W21, $A$27, 3)</f>
        <v>3.1684201096131943</v>
      </c>
      <c r="AP21" s="118">
        <f ca="1">[1]!ldf(T$5:T$27, $A$5:$A$27, $W21, $A$27, 3)</f>
        <v>3.0625842779673755</v>
      </c>
      <c r="AU21" s="1">
        <f t="shared" si="53"/>
        <v>33</v>
      </c>
      <c r="AV21" s="713">
        <f t="shared" ca="1" si="54"/>
        <v>1.2823779223282687</v>
      </c>
      <c r="AW21" s="713">
        <f t="shared" ca="1" si="55"/>
        <v>2.0538058699886994</v>
      </c>
    </row>
    <row r="22" spans="1:54" ht="12.75" customHeight="1" x14ac:dyDescent="0.2">
      <c r="A22" s="114">
        <f>A21+Intro!$U$2</f>
        <v>216</v>
      </c>
      <c r="B22" s="120">
        <f t="shared" ref="B22:K27" ca="1" si="56">B21^B$41</f>
        <v>1.0328389383972381</v>
      </c>
      <c r="C22" s="120">
        <f t="shared" ca="1" si="56"/>
        <v>1.0204419547243728</v>
      </c>
      <c r="D22" s="120">
        <f t="shared" ca="1" si="56"/>
        <v>1.0175423818501279</v>
      </c>
      <c r="E22" s="120">
        <f t="shared" ca="1" si="56"/>
        <v>1.0110880947112384</v>
      </c>
      <c r="F22" s="120">
        <f t="shared" ca="1" si="56"/>
        <v>1.006892924437552</v>
      </c>
      <c r="G22" s="120">
        <f t="shared" ca="1" si="56"/>
        <v>1.0491915416179076</v>
      </c>
      <c r="H22" s="120">
        <f t="shared" ca="1" si="56"/>
        <v>1.0389565132340761</v>
      </c>
      <c r="I22" s="120">
        <f t="shared" ca="1" si="56"/>
        <v>1.0351840473707106</v>
      </c>
      <c r="J22" s="120">
        <f t="shared" ca="1" si="56"/>
        <v>1.0235277539195837</v>
      </c>
      <c r="K22" s="120">
        <f t="shared" ca="1" si="56"/>
        <v>1.0149680649568718</v>
      </c>
      <c r="L22" s="120">
        <f t="shared" ca="1" si="52"/>
        <v>1</v>
      </c>
      <c r="M22" s="111">
        <f ca="1">'XS LDF'!C109</f>
        <v>1.1949536111355157</v>
      </c>
      <c r="N22" s="111">
        <f ca="1">'XS LDF'!D109</f>
        <v>1.1801568345957334</v>
      </c>
      <c r="O22" s="111">
        <f ca="1">'XS LDF'!E109</f>
        <v>1.2017205060643137</v>
      </c>
      <c r="P22" s="111">
        <f ca="1">'XS LDF'!F109</f>
        <v>1.1642786475622215</v>
      </c>
      <c r="Q22" s="111">
        <f ca="1">'XS LDF'!G109</f>
        <v>1.20407971470723</v>
      </c>
      <c r="R22" s="111">
        <f ca="1">'XS LDF'!H109</f>
        <v>1.1945361254163707</v>
      </c>
      <c r="S22" s="111">
        <f ca="1">'XS LDF'!I109</f>
        <v>1.2547130137485596</v>
      </c>
      <c r="T22" s="111">
        <f ca="1">'XS LDF'!J109</f>
        <v>1.2310481496398054</v>
      </c>
      <c r="U22" s="111"/>
      <c r="V22" s="145">
        <f t="shared" si="13"/>
        <v>2</v>
      </c>
      <c r="W22" s="3">
        <f>SMALL(ages, SUM($V$5:V22))</f>
        <v>36</v>
      </c>
      <c r="X22" s="118">
        <f ca="1">[1]!ldf(B$5:B$27, $A$5:$A$27, $W22, $A$27, 3)</f>
        <v>1.2357958183120712</v>
      </c>
      <c r="Y22" s="118">
        <f ca="1">[1]!ldf(C$5:C$27, $A$5:$A$27, $W22, $A$27, 3)</f>
        <v>1.2086497530003948</v>
      </c>
      <c r="Z22" s="118">
        <f ca="1">[1]!ldf(D$5:D$27, $A$5:$A$27, $W22, $A$27, 3)</f>
        <v>1.1996667776274685</v>
      </c>
      <c r="AA22" s="118">
        <f ca="1">[1]!ldf(E$5:E$27, $A$5:$A$27, $W22, $A$27, 3)</f>
        <v>1.1733033258026413</v>
      </c>
      <c r="AB22" s="118">
        <f ca="1">[1]!ldf(F$5:F$27, $A$5:$A$27, $W22, $A$27, 3)</f>
        <v>1.154130806469339</v>
      </c>
      <c r="AC22" s="118">
        <f ca="1">[1]!ldf(G$5:G$27, $A$5:$A$27, $W22, $A$27, 3)</f>
        <v>1.5195268376228988</v>
      </c>
      <c r="AD22" s="118">
        <f ca="1">[1]!ldf(H$5:H$27, $A$5:$A$27, $W22, $A$27, 3)</f>
        <v>1.4807365280705047</v>
      </c>
      <c r="AE22" s="118">
        <f ca="1">[1]!ldf(I$5:I$27, $A$5:$A$27, $W22, $A$27, 3)</f>
        <v>1.4663980664164522</v>
      </c>
      <c r="AF22" s="118">
        <f ca="1">[1]!ldf(J$5:J$27, $A$5:$A$27, $W22, $A$27, 3)</f>
        <v>1.4143223833287559</v>
      </c>
      <c r="AG22" s="118">
        <f ca="1">[1]!ldf(K$5:K$27, $A$5:$A$27, $W22, $A$27, 3)</f>
        <v>1.3788055372258305</v>
      </c>
      <c r="AH22" s="118">
        <f ca="1">[1]!ldf(L$5:L$27, $A$5:$A$27, $W22, $A$27, 3)</f>
        <v>1.0049999999999999</v>
      </c>
      <c r="AI22" s="118">
        <f ca="1">[1]!ldf(M$5:M$27, $A$5:$A$27, $W22, $A$27, 3)</f>
        <v>1.7021595657813382</v>
      </c>
      <c r="AJ22" s="118">
        <f ca="1">[1]!ldf(N$5:N$27, $A$5:$A$27, $W22, $A$27, 3)</f>
        <v>1.67469841200987</v>
      </c>
      <c r="AK22" s="118">
        <f ca="1">[1]!ldf(O$5:O$27, $A$5:$A$27, $W22, $A$27, 3)</f>
        <v>1.8952292584469508</v>
      </c>
      <c r="AL22" s="118">
        <f ca="1">[1]!ldf(P$5:P$27, $A$5:$A$27, $W22, $A$27, 3)</f>
        <v>1.7910113974971538</v>
      </c>
      <c r="AM22" s="118">
        <f ca="1">[1]!ldf(Q$5:Q$27, $A$5:$A$27, $W22, $A$27, 3)</f>
        <v>2.3095619880537224</v>
      </c>
      <c r="AN22" s="118">
        <f ca="1">[1]!ldf(R$5:R$27, $A$5:$A$27, $W22, $A$27, 3)</f>
        <v>2.2537806753734175</v>
      </c>
      <c r="AO22" s="118">
        <f ca="1">[1]!ldf(S$5:S$27, $A$5:$A$27, $W22, $A$27, 3)</f>
        <v>2.9558989571439387</v>
      </c>
      <c r="AP22" s="118">
        <f ca="1">[1]!ldf(T$5:T$27, $A$5:$A$27, $W22, $A$27, 3)</f>
        <v>2.7484614145488124</v>
      </c>
      <c r="AU22" s="1">
        <f>W22</f>
        <v>36</v>
      </c>
      <c r="AV22" s="109">
        <f ca="1">X22</f>
        <v>1.2357958183120712</v>
      </c>
      <c r="AW22" s="109">
        <f ca="1">AV22</f>
        <v>1.2357958183120712</v>
      </c>
      <c r="AX22" s="109">
        <f ca="1">AW22</f>
        <v>1.2357958183120712</v>
      </c>
    </row>
    <row r="23" spans="1:54" ht="12.75" customHeight="1" x14ac:dyDescent="0.2">
      <c r="A23" s="114">
        <f>A22+Intro!$U$2</f>
        <v>228</v>
      </c>
      <c r="B23" s="120">
        <f t="shared" ca="1" si="56"/>
        <v>1.0297545758654452</v>
      </c>
      <c r="C23" s="120">
        <f t="shared" ca="1" si="56"/>
        <v>1.0181113812394516</v>
      </c>
      <c r="D23" s="120">
        <f t="shared" ca="1" si="56"/>
        <v>1.0154497685582162</v>
      </c>
      <c r="E23" s="120">
        <f t="shared" ca="1" si="56"/>
        <v>1.009616082303268</v>
      </c>
      <c r="F23" s="120">
        <f t="shared" ca="1" si="56"/>
        <v>1.0058530192748556</v>
      </c>
      <c r="G23" s="120">
        <f t="shared" ca="1" si="56"/>
        <v>1.0436575054959856</v>
      </c>
      <c r="H23" s="120">
        <f t="shared" ca="1" si="56"/>
        <v>1.0342618513365587</v>
      </c>
      <c r="I23" s="120">
        <f t="shared" ca="1" si="56"/>
        <v>1.0308344191659142</v>
      </c>
      <c r="J23" s="120">
        <f t="shared" ca="1" si="56"/>
        <v>1.0202668179869283</v>
      </c>
      <c r="K23" s="120">
        <f t="shared" ca="1" si="56"/>
        <v>1.0125711121723564</v>
      </c>
      <c r="L23" s="120">
        <f t="shared" ca="1" si="52"/>
        <v>1</v>
      </c>
      <c r="M23" s="111">
        <f ca="1">'XS LDF'!C110</f>
        <v>1.1783537526169625</v>
      </c>
      <c r="N23" s="111">
        <f ca="1">'XS LDF'!D110</f>
        <v>1.1651757024742571</v>
      </c>
      <c r="O23" s="111">
        <f ca="1">'XS LDF'!E110</f>
        <v>1.1840415788990739</v>
      </c>
      <c r="P23" s="111">
        <f ca="1">'XS LDF'!F110</f>
        <v>1.1494150868405915</v>
      </c>
      <c r="Q23" s="111">
        <f ca="1">'XS LDF'!G110</f>
        <v>1.1841211714262698</v>
      </c>
      <c r="R23" s="111">
        <f ca="1">'XS LDF'!H110</f>
        <v>1.1750997856771843</v>
      </c>
      <c r="S23" s="111">
        <f ca="1">'XS LDF'!I110</f>
        <v>1.2274982526013927</v>
      </c>
      <c r="T23" s="111">
        <f ca="1">'XS LDF'!J110</f>
        <v>1.2058455285571568</v>
      </c>
      <c r="U23" s="111"/>
      <c r="V23" s="145">
        <f t="shared" si="13"/>
        <v>1</v>
      </c>
      <c r="W23" s="3">
        <f>SMALL(ages, SUM($V$5:V23))</f>
        <v>37</v>
      </c>
      <c r="X23" s="118">
        <f ca="1">[1]!ldf(B$5:B$27, $A$5:$A$27, $W23, $A$27, 3)</f>
        <v>1.2294046444600664</v>
      </c>
      <c r="Y23" s="118">
        <f ca="1">[1]!ldf(C$5:C$27, $A$5:$A$27, $W23, $A$27, 3)</f>
        <v>1.2022862739014473</v>
      </c>
      <c r="Z23" s="118">
        <f ca="1">[1]!ldf(D$5:D$27, $A$5:$A$27, $W23, $A$27, 3)</f>
        <v>1.193305296959229</v>
      </c>
      <c r="AA23" s="118">
        <f ca="1">[1]!ldf(E$5:E$27, $A$5:$A$27, $W23, $A$27, 3)</f>
        <v>1.1669175022903415</v>
      </c>
      <c r="AB23" s="118">
        <f ca="1">[1]!ldf(F$5:F$27, $A$5:$A$27, $W23, $A$27, 3)</f>
        <v>1.1476854219077528</v>
      </c>
      <c r="AC23" s="118">
        <f ca="1">[1]!ldf(G$5:G$27, $A$5:$A$27, $W23, $A$27, 3)</f>
        <v>1.5038422726119731</v>
      </c>
      <c r="AD23" s="118">
        <f ca="1">[1]!ldf(H$5:H$27, $A$5:$A$27, $W23, $A$27, 3)</f>
        <v>1.4659882768243455</v>
      </c>
      <c r="AE23" s="118">
        <f ca="1">[1]!ldf(I$5:I$27, $A$5:$A$27, $W23, $A$27, 3)</f>
        <v>1.4517585818589416</v>
      </c>
      <c r="AF23" s="118">
        <f ca="1">[1]!ldf(J$5:J$27, $A$5:$A$27, $W23, $A$27, 3)</f>
        <v>1.4006742619598558</v>
      </c>
      <c r="AG23" s="118">
        <f ca="1">[1]!ldf(K$5:K$27, $A$5:$A$27, $W23, $A$27, 3)</f>
        <v>1.3657155767636975</v>
      </c>
      <c r="AH23" s="118">
        <f ca="1">[1]!ldf(L$5:L$27, $A$5:$A$27, $W23, $A$27, 3)</f>
        <v>1.0045814244064972</v>
      </c>
      <c r="AI23" s="118">
        <f ca="1">[1]!ldf(M$5:M$27, $A$5:$A$27, $W23, $A$27, 3)</f>
        <v>1.6940613537817111</v>
      </c>
      <c r="AJ23" s="118">
        <f ca="1">[1]!ldf(N$5:N$27, $A$5:$A$27, $W23, $A$27, 3)</f>
        <v>1.666717960484964</v>
      </c>
      <c r="AK23" s="118">
        <f ca="1">[1]!ldf(O$5:O$27, $A$5:$A$27, $W23, $A$27, 3)</f>
        <v>1.8862891037883653</v>
      </c>
      <c r="AL23" s="118">
        <f ca="1">[1]!ldf(P$5:P$27, $A$5:$A$27, $W23, $A$27, 3)</f>
        <v>1.7825282925427888</v>
      </c>
      <c r="AM23" s="118">
        <f ca="1">[1]!ldf(Q$5:Q$27, $A$5:$A$27, $W23, $A$27, 3)</f>
        <v>2.2685780172146268</v>
      </c>
      <c r="AN23" s="118">
        <f ca="1">[1]!ldf(R$5:R$27, $A$5:$A$27, $W23, $A$27, 3)</f>
        <v>2.2191599512054485</v>
      </c>
      <c r="AO23" s="118">
        <f ca="1">[1]!ldf(S$5:S$27, $A$5:$A$27, $W23, $A$27, 3)</f>
        <v>2.8958580213070375</v>
      </c>
      <c r="AP23" s="118">
        <f ca="1">[1]!ldf(T$5:T$27, $A$5:$A$27, $W23, $A$27, 3)</f>
        <v>2.6975629306577256</v>
      </c>
    </row>
    <row r="24" spans="1:54" ht="12.75" customHeight="1" x14ac:dyDescent="0.2">
      <c r="A24" s="114">
        <f>A23+Intro!$U$2</f>
        <v>240</v>
      </c>
      <c r="B24" s="120">
        <f t="shared" ca="1" si="56"/>
        <v>1.0269636772703599</v>
      </c>
      <c r="C24" s="120">
        <f t="shared" ca="1" si="56"/>
        <v>1.016048600317633</v>
      </c>
      <c r="D24" s="120">
        <f t="shared" ca="1" si="56"/>
        <v>1.0136084476379914</v>
      </c>
      <c r="E24" s="120">
        <f t="shared" ca="1" si="56"/>
        <v>1.0083402938113044</v>
      </c>
      <c r="F24" s="120">
        <f t="shared" ca="1" si="56"/>
        <v>1.0049703870618625</v>
      </c>
      <c r="G24" s="120">
        <f t="shared" ca="1" si="56"/>
        <v>1.0387574935652251</v>
      </c>
      <c r="H24" s="120">
        <f t="shared" ca="1" si="56"/>
        <v>1.0301411229719022</v>
      </c>
      <c r="I24" s="120">
        <f t="shared" ca="1" si="56"/>
        <v>1.0270295126331288</v>
      </c>
      <c r="J24" s="120">
        <f t="shared" ca="1" si="56"/>
        <v>1.0174616945843427</v>
      </c>
      <c r="K24" s="120">
        <f t="shared" ca="1" si="56"/>
        <v>1.0105599969786636</v>
      </c>
      <c r="L24" s="120">
        <f t="shared" ca="1" si="52"/>
        <v>1</v>
      </c>
      <c r="M24" s="111">
        <f ca="1">'XS LDF'!C111</f>
        <v>1.1627837537193579</v>
      </c>
      <c r="N24" s="111">
        <f ca="1">'XS LDF'!D111</f>
        <v>1.1512166724839508</v>
      </c>
      <c r="O24" s="111">
        <f ca="1">'XS LDF'!E111</f>
        <v>1.1678726395601655</v>
      </c>
      <c r="P24" s="111">
        <f ca="1">'XS LDF'!F111</f>
        <v>1.1358685504336772</v>
      </c>
      <c r="Q24" s="111">
        <f ca="1">'XS LDF'!G111</f>
        <v>1.1661202068351308</v>
      </c>
      <c r="R24" s="111">
        <f ca="1">'XS LDF'!H111</f>
        <v>1.1576255352304228</v>
      </c>
      <c r="S24" s="111">
        <f ca="1">'XS LDF'!I111</f>
        <v>1.20328391482096</v>
      </c>
      <c r="T24" s="111">
        <f ca="1">'XS LDF'!J111</f>
        <v>1.1834251867805186</v>
      </c>
      <c r="U24" s="111"/>
      <c r="V24" s="145">
        <f t="shared" si="13"/>
        <v>2</v>
      </c>
      <c r="W24" s="3">
        <f>SMALL(ages, SUM($V$5:V24))</f>
        <v>39</v>
      </c>
      <c r="X24" s="118">
        <f ca="1">[1]!ldf(B$5:B$27, $A$5:$A$27, $W24, $A$27, 3)</f>
        <v>1.2171811197792872</v>
      </c>
      <c r="Y24" s="118">
        <f ca="1">[1]!ldf(C$5:C$27, $A$5:$A$27, $W24, $A$27, 3)</f>
        <v>1.190179704566374</v>
      </c>
      <c r="Z24" s="118">
        <f ca="1">[1]!ldf(D$5:D$27, $A$5:$A$27, $W24, $A$27, 3)</f>
        <v>1.1812281512367448</v>
      </c>
      <c r="AA24" s="118">
        <f ca="1">[1]!ldf(E$5:E$27, $A$5:$A$27, $W24, $A$27, 3)</f>
        <v>1.1548880670407229</v>
      </c>
      <c r="AB24" s="118">
        <f ca="1">[1]!ldf(F$5:F$27, $A$5:$A$27, $W24, $A$27, 3)</f>
        <v>1.1356378919471908</v>
      </c>
      <c r="AC24" s="118">
        <f ca="1">[1]!ldf(G$5:G$27, $A$5:$A$27, $W24, $A$27, 3)</f>
        <v>1.4740851688807908</v>
      </c>
      <c r="AD24" s="118">
        <f ca="1">[1]!ldf(H$5:H$27, $A$5:$A$27, $W24, $A$27, 3)</f>
        <v>1.4380224336020782</v>
      </c>
      <c r="AE24" s="118">
        <f ca="1">[1]!ldf(I$5:I$27, $A$5:$A$27, $W24, $A$27, 3)</f>
        <v>1.4240298193204906</v>
      </c>
      <c r="AF24" s="118">
        <f ca="1">[1]!ldf(J$5:J$27, $A$5:$A$27, $W24, $A$27, 3)</f>
        <v>1.3748797761679004</v>
      </c>
      <c r="AG24" s="118">
        <f ca="1">[1]!ldf(K$5:K$27, $A$5:$A$27, $W24, $A$27, 3)</f>
        <v>1.341035188455642</v>
      </c>
      <c r="AH24" s="118">
        <f ca="1">[1]!ldf(L$5:L$27, $A$5:$A$27, $W24, $A$27, 3)</f>
        <v>1.0037453183520599</v>
      </c>
      <c r="AI24" s="118">
        <f ca="1">[1]!ldf(M$5:M$27, $A$5:$A$27, $W24, $A$27, 3)</f>
        <v>1.6781949438186607</v>
      </c>
      <c r="AJ24" s="118">
        <f ca="1">[1]!ldf(N$5:N$27, $A$5:$A$27, $W24, $A$27, 3)</f>
        <v>1.6510894556247775</v>
      </c>
      <c r="AK24" s="118">
        <f ca="1">[1]!ldf(O$5:O$27, $A$5:$A$27, $W24, $A$27, 3)</f>
        <v>1.8687306640689048</v>
      </c>
      <c r="AL24" s="118">
        <f ca="1">[1]!ldf(P$5:P$27, $A$5:$A$27, $W24, $A$27, 3)</f>
        <v>1.7658867697504623</v>
      </c>
      <c r="AM24" s="118">
        <f ca="1">[1]!ldf(Q$5:Q$27, $A$5:$A$27, $W24, $A$27, 3)</f>
        <v>2.1912772725992928</v>
      </c>
      <c r="AN24" s="118">
        <f ca="1">[1]!ldf(R$5:R$27, $A$5:$A$27, $W24, $A$27, 3)</f>
        <v>2.1533979906725031</v>
      </c>
      <c r="AO24" s="118">
        <f ca="1">[1]!ldf(S$5:S$27, $A$5:$A$27, $W24, $A$27, 3)</f>
        <v>2.7826314279187492</v>
      </c>
      <c r="AP24" s="118">
        <f ca="1">[1]!ldf(T$5:T$27, $A$5:$A$27, $W24, $A$27, 3)</f>
        <v>2.6012551972169637</v>
      </c>
    </row>
    <row r="25" spans="1:54" ht="12.75" customHeight="1" x14ac:dyDescent="0.2">
      <c r="A25" s="114">
        <f>A24+Intro!$U$2</f>
        <v>252</v>
      </c>
      <c r="B25" s="120">
        <f t="shared" ca="1" si="56"/>
        <v>1.0244376539174258</v>
      </c>
      <c r="C25" s="120">
        <f t="shared" ca="1" si="56"/>
        <v>1.0142223963608517</v>
      </c>
      <c r="D25" s="120">
        <f t="shared" ca="1" si="56"/>
        <v>1.0119878710024888</v>
      </c>
      <c r="E25" s="120">
        <f t="shared" ca="1" si="56"/>
        <v>1.0072343731580029</v>
      </c>
      <c r="F25" s="120">
        <f t="shared" ca="1" si="56"/>
        <v>1.0042211344885716</v>
      </c>
      <c r="G25" s="120">
        <f t="shared" ca="1" si="56"/>
        <v>1.0344164781552081</v>
      </c>
      <c r="H25" s="120">
        <f t="shared" ca="1" si="56"/>
        <v>1.026522336619065</v>
      </c>
      <c r="I25" s="120">
        <f t="shared" ca="1" si="56"/>
        <v>1.0236995068988863</v>
      </c>
      <c r="J25" s="120">
        <f t="shared" ca="1" si="56"/>
        <v>1.0150476860123816</v>
      </c>
      <c r="K25" s="120">
        <f t="shared" ca="1" si="56"/>
        <v>1.0088720265477598</v>
      </c>
      <c r="L25" s="120">
        <f t="shared" ca="1" si="52"/>
        <v>1</v>
      </c>
      <c r="M25" s="111">
        <f ca="1">'XS LDF'!C112</f>
        <v>1.1482274643782167</v>
      </c>
      <c r="N25" s="111">
        <f ca="1">'XS LDF'!D112</f>
        <v>1.1382416784131202</v>
      </c>
      <c r="O25" s="111">
        <f ca="1">'XS LDF'!E112</f>
        <v>1.1530959698073873</v>
      </c>
      <c r="P25" s="111">
        <f ca="1">'XS LDF'!F112</f>
        <v>1.1235309737333468</v>
      </c>
      <c r="Q25" s="111">
        <f ca="1">'XS LDF'!G112</f>
        <v>1.1498845990486457</v>
      </c>
      <c r="R25" s="111">
        <f ca="1">'XS LDF'!H112</f>
        <v>1.1419115952078924</v>
      </c>
      <c r="S25" s="111">
        <f ca="1">'XS LDF'!I112</f>
        <v>1.1817235716538297</v>
      </c>
      <c r="T25" s="111">
        <f ca="1">'XS LDF'!J112</f>
        <v>1.1634794023678035</v>
      </c>
      <c r="U25" s="111"/>
      <c r="V25" s="145">
        <f t="shared" si="13"/>
        <v>2</v>
      </c>
      <c r="W25" s="3">
        <f>SMALL(ages, SUM($V$5:V25))</f>
        <v>40</v>
      </c>
      <c r="X25" s="118">
        <f ca="1">[1]!ldf(B$5:B$27, $A$5:$A$27, $W25, $A$27, 3)</f>
        <v>1.2113364020739272</v>
      </c>
      <c r="Y25" s="118">
        <f ca="1">[1]!ldf(C$5:C$27, $A$5:$A$27, $W25, $A$27, 3)</f>
        <v>1.1844214442839498</v>
      </c>
      <c r="Z25" s="118">
        <f ca="1">[1]!ldf(D$5:D$27, $A$5:$A$27, $W25, $A$27, 3)</f>
        <v>1.1754960949271931</v>
      </c>
      <c r="AA25" s="118">
        <f ca="1">[1]!ldf(E$5:E$27, $A$5:$A$27, $W25, $A$27, 3)</f>
        <v>1.1492231061929084</v>
      </c>
      <c r="AB25" s="118">
        <f ca="1">[1]!ldf(F$5:F$27, $A$5:$A$27, $W25, $A$27, 3)</f>
        <v>1.1300086644117568</v>
      </c>
      <c r="AC25" s="118">
        <f ca="1">[1]!ldf(G$5:G$27, $A$5:$A$27, $W25, $A$27, 3)</f>
        <v>1.4599684733459093</v>
      </c>
      <c r="AD25" s="118">
        <f ca="1">[1]!ldf(H$5:H$27, $A$5:$A$27, $W25, $A$27, 3)</f>
        <v>1.4247626969991425</v>
      </c>
      <c r="AE25" s="118">
        <f ca="1">[1]!ldf(I$5:I$27, $A$5:$A$27, $W25, $A$27, 3)</f>
        <v>1.4108970779472239</v>
      </c>
      <c r="AF25" s="118">
        <f ca="1">[1]!ldf(J$5:J$27, $A$5:$A$27, $W25, $A$27, 3)</f>
        <v>1.3626899944943371</v>
      </c>
      <c r="AG25" s="118">
        <f ca="1">[1]!ldf(K$5:K$27, $A$5:$A$27, $W25, $A$27, 3)</f>
        <v>1.329399902029474</v>
      </c>
      <c r="AH25" s="118">
        <f ca="1">[1]!ldf(L$5:L$27, $A$5:$A$27, $W25, $A$27, 3)</f>
        <v>1.0033277870216304</v>
      </c>
      <c r="AI25" s="118">
        <f ca="1">[1]!ldf(M$5:M$27, $A$5:$A$27, $W25, $A$27, 3)</f>
        <v>1.6704230903205646</v>
      </c>
      <c r="AJ25" s="118">
        <f ca="1">[1]!ldf(N$5:N$27, $A$5:$A$27, $W25, $A$27, 3)</f>
        <v>1.6434376460087139</v>
      </c>
      <c r="AK25" s="118">
        <f ca="1">[1]!ldf(O$5:O$27, $A$5:$A$27, $W25, $A$27, 3)</f>
        <v>1.8601091989671716</v>
      </c>
      <c r="AL25" s="118">
        <f ca="1">[1]!ldf(P$5:P$27, $A$5:$A$27, $W25, $A$27, 3)</f>
        <v>1.7577249568302722</v>
      </c>
      <c r="AM25" s="118">
        <f ca="1">[1]!ldf(Q$5:Q$27, $A$5:$A$27, $W25, $A$27, 3)</f>
        <v>2.1548141245950898</v>
      </c>
      <c r="AN25" s="118">
        <f ca="1">[1]!ldf(R$5:R$27, $A$5:$A$27, $W25, $A$27, 3)</f>
        <v>2.1221604289860561</v>
      </c>
      <c r="AO25" s="118">
        <f ca="1">[1]!ldf(S$5:S$27, $A$5:$A$27, $W25, $A$27, 3)</f>
        <v>2.7292297416247653</v>
      </c>
      <c r="AP25" s="118">
        <f ca="1">[1]!ldf(T$5:T$27, $A$5:$A$27, $W25, $A$27, 3)</f>
        <v>2.5556824910562339</v>
      </c>
    </row>
    <row r="26" spans="1:54" ht="12.75" customHeight="1" x14ac:dyDescent="0.2">
      <c r="A26" s="114">
        <f>A25+Intro!$U$2</f>
        <v>264</v>
      </c>
      <c r="B26" s="120">
        <f t="shared" ca="1" si="56"/>
        <v>1.0221508195129687</v>
      </c>
      <c r="C26" s="120">
        <f t="shared" ca="1" si="56"/>
        <v>1.0126052871216198</v>
      </c>
      <c r="D26" s="120">
        <f t="shared" ca="1" si="56"/>
        <v>1.0105612866750462</v>
      </c>
      <c r="E26" s="120">
        <f t="shared" ca="1" si="56"/>
        <v>1.0062755533012646</v>
      </c>
      <c r="F26" s="120">
        <f t="shared" ca="1" si="56"/>
        <v>1.0035850281083103</v>
      </c>
      <c r="G26" s="120">
        <f t="shared" ca="1" si="56"/>
        <v>1.0305688044855743</v>
      </c>
      <c r="H26" s="120">
        <f t="shared" ca="1" si="56"/>
        <v>1.0233429363847919</v>
      </c>
      <c r="I26" s="120">
        <f t="shared" ca="1" si="56"/>
        <v>1.0207838955342863</v>
      </c>
      <c r="J26" s="120">
        <f t="shared" ca="1" si="56"/>
        <v>1.0129695284662579</v>
      </c>
      <c r="K26" s="120">
        <f t="shared" ca="1" si="56"/>
        <v>1.0074548655134308</v>
      </c>
      <c r="L26" s="120">
        <f t="shared" ca="1" si="52"/>
        <v>1</v>
      </c>
      <c r="M26" s="111">
        <f ca="1">'XS LDF'!C113</f>
        <v>1.1346555251502488</v>
      </c>
      <c r="N26" s="111">
        <f ca="1">'XS LDF'!D113</f>
        <v>1.1262057247073525</v>
      </c>
      <c r="O26" s="111">
        <f ca="1">'XS LDF'!E113</f>
        <v>1.1395994613883182</v>
      </c>
      <c r="P26" s="111">
        <f ca="1">'XS LDF'!F113</f>
        <v>1.1123003942668241</v>
      </c>
      <c r="Q26" s="111">
        <f ca="1">'XS LDF'!G113</f>
        <v>1.1352401779217562</v>
      </c>
      <c r="R26" s="111">
        <f ca="1">'XS LDF'!H113</f>
        <v>1.1277770032641119</v>
      </c>
      <c r="S26" s="111">
        <f ca="1">'XS LDF'!I113</f>
        <v>1.1625121840197787</v>
      </c>
      <c r="T26" s="111">
        <f ca="1">'XS LDF'!J113</f>
        <v>1.1457319993899402</v>
      </c>
      <c r="U26" s="111"/>
      <c r="V26" s="145">
        <f t="shared" si="13"/>
        <v>1</v>
      </c>
      <c r="W26" s="3">
        <f>SMALL(ages, SUM($V$5:V26))</f>
        <v>43</v>
      </c>
      <c r="X26" s="118">
        <f ca="1">[1]!ldf(B$5:B$27, $A$5:$A$27, $W26, $A$27, 3)</f>
        <v>1.1948011989909957</v>
      </c>
      <c r="Y26" s="118">
        <f ca="1">[1]!ldf(C$5:C$27, $A$5:$A$27, $W26, $A$27, 3)</f>
        <v>1.1682424205003876</v>
      </c>
      <c r="Z26" s="118">
        <f ca="1">[1]!ldf(D$5:D$27, $A$5:$A$27, $W26, $A$27, 3)</f>
        <v>1.1594351103897929</v>
      </c>
      <c r="AA26" s="118">
        <f ca="1">[1]!ldf(E$5:E$27, $A$5:$A$27, $W26, $A$27, 3)</f>
        <v>1.1335100462057903</v>
      </c>
      <c r="AB26" s="118">
        <f ca="1">[1]!ldf(F$5:F$27, $A$5:$A$27, $W26, $A$27, 3)</f>
        <v>1.114551899305904</v>
      </c>
      <c r="AC26" s="118">
        <f ca="1">[1]!ldf(G$5:G$27, $A$5:$A$27, $W26, $A$27, 3)</f>
        <v>1.4204232607089999</v>
      </c>
      <c r="AD26" s="118">
        <f ca="1">[1]!ldf(H$5:H$27, $A$5:$A$27, $W26, $A$27, 3)</f>
        <v>1.3876448101933256</v>
      </c>
      <c r="AE26" s="118">
        <f ca="1">[1]!ldf(I$5:I$27, $A$5:$A$27, $W26, $A$27, 3)</f>
        <v>1.3741871342703802</v>
      </c>
      <c r="AF26" s="118">
        <f ca="1">[1]!ldf(J$5:J$27, $A$5:$A$27, $W26, $A$27, 3)</f>
        <v>1.3287130868116672</v>
      </c>
      <c r="AG26" s="118">
        <f ca="1">[1]!ldf(K$5:K$27, $A$5:$A$27, $W26, $A$27, 3)</f>
        <v>1.2970691265442551</v>
      </c>
      <c r="AH26" s="118">
        <f ca="1">[1]!ldf(L$5:L$27, $A$5:$A$27, $W26, $A$27, 3)</f>
        <v>1.0020772746157043</v>
      </c>
      <c r="AI26" s="118">
        <f ca="1">[1]!ldf(M$5:M$27, $A$5:$A$27, $W26, $A$27, 3)</f>
        <v>1.6477317676279923</v>
      </c>
      <c r="AJ26" s="118">
        <f ca="1">[1]!ldf(N$5:N$27, $A$5:$A$27, $W26, $A$27, 3)</f>
        <v>1.6211102525613383</v>
      </c>
      <c r="AK26" s="118">
        <f ca="1">[1]!ldf(O$5:O$27, $A$5:$A$27, $W26, $A$27, 3)</f>
        <v>1.8348573361726819</v>
      </c>
      <c r="AL26" s="118">
        <f ca="1">[1]!ldf(P$5:P$27, $A$5:$A$27, $W26, $A$27, 3)</f>
        <v>1.7338556124851845</v>
      </c>
      <c r="AM26" s="118">
        <f ca="1">[1]!ldf(Q$5:Q$27, $A$5:$A$27, $W26, $A$27, 3)</f>
        <v>2.0533797118293182</v>
      </c>
      <c r="AN26" s="118">
        <f ca="1">[1]!ldf(R$5:R$27, $A$5:$A$27, $W26, $A$27, 3)</f>
        <v>2.0344927027462649</v>
      </c>
      <c r="AO26" s="118">
        <f ca="1">[1]!ldf(S$5:S$27, $A$5:$A$27, $W26, $A$27, 3)</f>
        <v>2.5806992003895797</v>
      </c>
      <c r="AP26" s="118">
        <f ca="1">[1]!ldf(T$5:T$27, $A$5:$A$27, $W26, $A$27, 3)</f>
        <v>2.4283974551752388</v>
      </c>
    </row>
    <row r="27" spans="1:54" ht="12.75" customHeight="1" x14ac:dyDescent="0.2">
      <c r="A27" s="114">
        <f>A26+Intro!$U$2</f>
        <v>276</v>
      </c>
      <c r="B27" s="120">
        <f t="shared" ca="1" si="56"/>
        <v>1.0200800751209926</v>
      </c>
      <c r="C27" s="120">
        <f t="shared" ca="1" si="56"/>
        <v>1.0111730572345954</v>
      </c>
      <c r="D27" s="120">
        <f t="shared" ca="1" si="56"/>
        <v>1.0093052488431837</v>
      </c>
      <c r="E27" s="120">
        <f t="shared" ca="1" si="56"/>
        <v>1.0054441554846649</v>
      </c>
      <c r="F27" s="120">
        <f t="shared" ca="1" si="56"/>
        <v>1.0030449254430454</v>
      </c>
      <c r="G27" s="120">
        <f t="shared" ca="1" si="56"/>
        <v>1.0271569192014118</v>
      </c>
      <c r="H27" s="120">
        <f t="shared" ca="1" si="56"/>
        <v>1.0205484766729909</v>
      </c>
      <c r="I27" s="120">
        <f t="shared" ca="1" si="56"/>
        <v>1.0182301619613063</v>
      </c>
      <c r="J27" s="120">
        <f t="shared" ca="1" si="56"/>
        <v>1.0111799531458665</v>
      </c>
      <c r="K27" s="120">
        <f t="shared" ca="1" si="56"/>
        <v>1.0062647751953069</v>
      </c>
      <c r="L27" s="120">
        <f t="shared" ca="1" si="52"/>
        <v>1</v>
      </c>
      <c r="M27" s="111">
        <f ca="1">'XS LDF'!C114</f>
        <v>1.1220295895658776</v>
      </c>
      <c r="N27" s="111">
        <f ca="1">'XS LDF'!D114</f>
        <v>1.1150596901134664</v>
      </c>
      <c r="O27" s="111">
        <f ca="1">'XS LDF'!E114</f>
        <v>1.1272775592779578</v>
      </c>
      <c r="P27" s="111">
        <f ca="1">'XS LDF'!F114</f>
        <v>1.1020815367999535</v>
      </c>
      <c r="Q27" s="111">
        <f ca="1">'XS LDF'!G114</f>
        <v>1.1220295895658776</v>
      </c>
      <c r="R27" s="111">
        <f ca="1">'XS LDF'!H114</f>
        <v>1.1150596901134664</v>
      </c>
      <c r="S27" s="111">
        <f ca="1">'XS LDF'!I114</f>
        <v>1.1453814732844192</v>
      </c>
      <c r="T27" s="111">
        <f ca="1">'XS LDF'!J114</f>
        <v>1.1299365610544283</v>
      </c>
      <c r="U27" s="111"/>
      <c r="V27" s="145">
        <f t="shared" si="13"/>
        <v>3</v>
      </c>
      <c r="W27" s="3">
        <f>SMALL(ages, SUM($V$5:V27))</f>
        <v>45</v>
      </c>
      <c r="X27" s="118">
        <f ca="1">[1]!ldf(B$5:B$27, $A$5:$A$27, $W27, $A$27, 3)</f>
        <v>1.1845568518467033</v>
      </c>
      <c r="Y27" s="118">
        <f ca="1">[1]!ldf(C$5:C$27, $A$5:$A$27, $W27, $A$27, 3)</f>
        <v>1.1583050528208987</v>
      </c>
      <c r="Z27" s="118">
        <f ca="1">[1]!ldf(D$5:D$27, $A$5:$A$27, $W27, $A$27, 3)</f>
        <v>1.1496045023618753</v>
      </c>
      <c r="AA27" s="118">
        <f ca="1">[1]!ldf(E$5:E$27, $A$5:$A$27, $W27, $A$27, 3)</f>
        <v>1.1240145073599361</v>
      </c>
      <c r="AB27" s="118">
        <f ca="1">[1]!ldf(F$5:F$27, $A$5:$A$27, $W27, $A$27, 3)</f>
        <v>1.1053300410326603</v>
      </c>
      <c r="AC27" s="118">
        <f ca="1">[1]!ldf(G$5:G$27, $A$5:$A$27, $W27, $A$27, 3)</f>
        <v>1.3962142214268722</v>
      </c>
      <c r="AD27" s="118">
        <f ca="1">[1]!ldf(H$5:H$27, $A$5:$A$27, $W27, $A$27, 3)</f>
        <v>1.3649428274847333</v>
      </c>
      <c r="AE27" s="118">
        <f ca="1">[1]!ldf(I$5:I$27, $A$5:$A$27, $W27, $A$27, 3)</f>
        <v>1.3517747210773883</v>
      </c>
      <c r="AF27" s="118">
        <f ca="1">[1]!ldf(J$5:J$27, $A$5:$A$27, $W27, $A$27, 3)</f>
        <v>1.3080439983236785</v>
      </c>
      <c r="AG27" s="118">
        <f ca="1">[1]!ldf(K$5:K$27, $A$5:$A$27, $W27, $A$27, 3)</f>
        <v>1.2774782548243035</v>
      </c>
      <c r="AH27" s="118">
        <f ca="1">[1]!ldf(L$5:L$27, $A$5:$A$27, $W27, $A$27, 3)</f>
        <v>1.0012453300124533</v>
      </c>
      <c r="AI27" s="118">
        <f ca="1">[1]!ldf(M$5:M$27, $A$5:$A$27, $W27, $A$27, 3)</f>
        <v>1.6331074753214982</v>
      </c>
      <c r="AJ27" s="118">
        <f ca="1">[1]!ldf(N$5:N$27, $A$5:$A$27, $W27, $A$27, 3)</f>
        <v>1.6067313041934197</v>
      </c>
      <c r="AK27" s="118">
        <f ca="1">[1]!ldf(O$5:O$27, $A$5:$A$27, $W27, $A$27, 3)</f>
        <v>1.8185183436861811</v>
      </c>
      <c r="AL27" s="118">
        <f ca="1">[1]!ldf(P$5:P$27, $A$5:$A$27, $W27, $A$27, 3)</f>
        <v>1.7184403258270227</v>
      </c>
      <c r="AM27" s="118">
        <f ca="1">[1]!ldf(Q$5:Q$27, $A$5:$A$27, $W27, $A$27, 3)</f>
        <v>1.9917956873773006</v>
      </c>
      <c r="AN27" s="118">
        <f ca="1">[1]!ldf(R$5:R$27, $A$5:$A$27, $W27, $A$27, 3)</f>
        <v>1.9806866024245318</v>
      </c>
      <c r="AO27" s="118">
        <f ca="1">[1]!ldf(S$5:S$27, $A$5:$A$27, $W27, $A$27, 3)</f>
        <v>2.4905360798693019</v>
      </c>
      <c r="AP27" s="118">
        <f ca="1">[1]!ldf(T$5:T$27, $A$5:$A$27, $W27, $A$27, 3)</f>
        <v>2.3507345865107565</v>
      </c>
    </row>
    <row r="28" spans="1:54" ht="12.75" customHeight="1" x14ac:dyDescent="0.2">
      <c r="A28" s="3"/>
      <c r="V28" s="145">
        <f t="shared" si="13"/>
        <v>2</v>
      </c>
      <c r="W28" s="3">
        <f>SMALL(ages, SUM($V$5:V28))</f>
        <v>48</v>
      </c>
      <c r="X28" s="118">
        <f ca="1">[1]!ldf(B$5:B$27, $A$5:$A$27, $W28, $A$27, 3)</f>
        <v>1.1702611915834011</v>
      </c>
      <c r="Y28" s="118">
        <f ca="1">[1]!ldf(C$5:C$27, $A$5:$A$27, $W28, $A$27, 3)</f>
        <v>1.1445546903412835</v>
      </c>
      <c r="Z28" s="118">
        <f ca="1">[1]!ldf(D$5:D$27, $A$5:$A$27, $W28, $A$27, 3)</f>
        <v>1.1360480848744967</v>
      </c>
      <c r="AA28" s="118">
        <f ca="1">[1]!ldf(E$5:E$27, $A$5:$A$27, $W28, $A$27, 3)</f>
        <v>1.1110826948888652</v>
      </c>
      <c r="AB28" s="118">
        <f ca="1">[1]!ldf(F$5:F$27, $A$5:$A$27, $W28, $A$27, 3)</f>
        <v>1.0929269000656623</v>
      </c>
      <c r="AC28" s="118">
        <f ca="1">[1]!ldf(G$5:G$27, $A$5:$A$27, $W28, $A$27, 3)</f>
        <v>1.3628043386752444</v>
      </c>
      <c r="AD28" s="118">
        <f ca="1">[1]!ldf(H$5:H$27, $A$5:$A$27, $W28, $A$27, 3)</f>
        <v>1.3336420867621903</v>
      </c>
      <c r="AE28" s="118">
        <f ca="1">[1]!ldf(I$5:I$27, $A$5:$A$27, $W28, $A$27, 3)</f>
        <v>1.3209266485693822</v>
      </c>
      <c r="AF28" s="118">
        <f ca="1">[1]!ldf(J$5:J$27, $A$5:$A$27, $W28, $A$27, 3)</f>
        <v>1.2796959321620236</v>
      </c>
      <c r="AG28" s="118">
        <f ca="1">[1]!ldf(K$5:K$27, $A$5:$A$27, $W28, $A$27, 3)</f>
        <v>1.2507114140977906</v>
      </c>
      <c r="AH28" s="118">
        <f ca="1">[1]!ldf(L$5:L$27, $A$5:$A$27, $W28, $A$27, 3)</f>
        <v>1</v>
      </c>
      <c r="AI28" s="118">
        <f ca="1">[1]!ldf(M$5:M$27, $A$5:$A$27, $W28, $A$27, 3)</f>
        <v>1.6118935282020224</v>
      </c>
      <c r="AJ28" s="118">
        <f ca="1">[1]!ldf(N$5:N$27, $A$5:$A$27, $W28, $A$27, 3)</f>
        <v>1.5858886477366265</v>
      </c>
      <c r="AK28" s="118">
        <f ca="1">[1]!ldf(O$5:O$27, $A$5:$A$27, $W28, $A$27, 3)</f>
        <v>1.7947246765596121</v>
      </c>
      <c r="AL28" s="118">
        <f ca="1">[1]!ldf(P$5:P$27, $A$5:$A$27, $W28, $A$27, 3)</f>
        <v>1.6960335203571544</v>
      </c>
      <c r="AM28" s="118">
        <f ca="1">[1]!ldf(Q$5:Q$27, $A$5:$A$27, $W28, $A$27, 3)</f>
        <v>1.9074363355174908</v>
      </c>
      <c r="AN28" s="118">
        <f ca="1">[1]!ldf(R$5:R$27, $A$5:$A$27, $W28, $A$27, 3)</f>
        <v>1.9062227485191243</v>
      </c>
      <c r="AO28" s="118">
        <f ca="1">[1]!ldf(S$5:S$27, $A$5:$A$27, $W28, $A$27, 3)</f>
        <v>2.3670391670371442</v>
      </c>
      <c r="AP28" s="118">
        <f ca="1">[1]!ldf(T$5:T$27, $A$5:$A$27, $W28, $A$27, 3)</f>
        <v>2.2438459576281917</v>
      </c>
    </row>
    <row r="29" spans="1:54" ht="12.75" customHeight="1" x14ac:dyDescent="0.2">
      <c r="V29" s="145">
        <f t="shared" si="13"/>
        <v>1</v>
      </c>
      <c r="W29" s="3">
        <f>SMALL(ages, SUM($V$5:V29))</f>
        <v>49</v>
      </c>
      <c r="X29" s="118">
        <f ca="1">[1]!ldf(B$5:B$27, $A$5:$A$27, $W29, $A$27, 3)</f>
        <v>1.1668698829810962</v>
      </c>
      <c r="Y29" s="118">
        <f ca="1">[1]!ldf(C$5:C$27, $A$5:$A$27, $W29, $A$27, 3)</f>
        <v>1.1413083518533058</v>
      </c>
      <c r="Z29" s="118">
        <f ca="1">[1]!ldf(D$5:D$27, $A$5:$A$27, $W29, $A$27, 3)</f>
        <v>1.1329037702446605</v>
      </c>
      <c r="AA29" s="118">
        <f ca="1">[1]!ldf(E$5:E$27, $A$5:$A$27, $W29, $A$27, 3)</f>
        <v>1.1081585449128708</v>
      </c>
      <c r="AB29" s="118">
        <f ca="1">[1]!ldf(F$5:F$27, $A$5:$A$27, $W29, $A$27, 3)</f>
        <v>1.0903305531195697</v>
      </c>
      <c r="AC29" s="118">
        <f ca="1">[1]!ldf(G$5:G$27, $A$5:$A$27, $W29, $A$27, 3)</f>
        <v>1.3547056704588667</v>
      </c>
      <c r="AD29" s="118">
        <f ca="1">[1]!ldf(H$5:H$27, $A$5:$A$27, $W29, $A$27, 3)</f>
        <v>1.3256473711072583</v>
      </c>
      <c r="AE29" s="118">
        <f ca="1">[1]!ldf(I$5:I$27, $A$5:$A$27, $W29, $A$27, 3)</f>
        <v>1.3129736884035157</v>
      </c>
      <c r="AF29" s="118">
        <f ca="1">[1]!ldf(J$5:J$27, $A$5:$A$27, $W29, $A$27, 3)</f>
        <v>1.2720589721566835</v>
      </c>
      <c r="AG29" s="118">
        <f ca="1">[1]!ldf(K$5:K$27, $A$5:$A$27, $W29, $A$27, 3)</f>
        <v>1.2433896900222829</v>
      </c>
      <c r="AH29" s="118">
        <f ca="1">[1]!ldf(L$5:L$27, $A$5:$A$27, $W29, $A$27, 3)</f>
        <v>1</v>
      </c>
      <c r="AI29" s="118">
        <f ca="1">[1]!ldf(M$5:M$27, $A$5:$A$27, $W29, $A$27, 3)</f>
        <v>1.6045582218539156</v>
      </c>
      <c r="AJ29" s="118">
        <f ca="1">[1]!ldf(N$5:N$27, $A$5:$A$27, $W29, $A$27, 3)</f>
        <v>1.5780871203035067</v>
      </c>
      <c r="AK29" s="118">
        <f ca="1">[1]!ldf(O$5:O$27, $A$5:$A$27, $W29, $A$27, 3)</f>
        <v>1.7834021422829378</v>
      </c>
      <c r="AL29" s="118">
        <f ca="1">[1]!ldf(P$5:P$27, $A$5:$A$27, $W29, $A$27, 3)</f>
        <v>1.6844557006561041</v>
      </c>
      <c r="AM29" s="118">
        <f ca="1">[1]!ldf(Q$5:Q$27, $A$5:$A$27, $W29, $A$27, 3)</f>
        <v>1.896727156790851</v>
      </c>
      <c r="AN29" s="118">
        <f ca="1">[1]!ldf(R$5:R$27, $A$5:$A$27, $W29, $A$27, 3)</f>
        <v>1.8955198588046975</v>
      </c>
      <c r="AO29" s="118">
        <f ca="1">[1]!ldf(S$5:S$27, $A$5:$A$27, $W29, $A$27, 3)</f>
        <v>2.3502456039665027</v>
      </c>
      <c r="AP29" s="118">
        <f ca="1">[1]!ldf(T$5:T$27, $A$5:$A$27, $W29, $A$27, 3)</f>
        <v>2.2261796634124473</v>
      </c>
    </row>
    <row r="30" spans="1:54" ht="12.75" customHeight="1" x14ac:dyDescent="0.2">
      <c r="B30" s="144">
        <f t="shared" ref="B30:K30" ca="1" si="57">LN(B13) / LN(B12)</f>
        <v>0.89656669775729447</v>
      </c>
      <c r="C30" s="144">
        <f t="shared" ca="1" si="57"/>
        <v>0.8755722224591419</v>
      </c>
      <c r="D30" s="144">
        <f t="shared" ca="1" si="57"/>
        <v>0.87274540608943274</v>
      </c>
      <c r="E30" s="144">
        <f t="shared" ca="1" si="57"/>
        <v>0.85100441766913038</v>
      </c>
      <c r="F30" s="144">
        <f t="shared" ca="1" si="57"/>
        <v>0.82576663129423256</v>
      </c>
      <c r="G30" s="144">
        <f t="shared" ca="1" si="57"/>
        <v>0.87921218350373931</v>
      </c>
      <c r="H30" s="144">
        <f t="shared" ca="1" si="57"/>
        <v>0.87265449172368648</v>
      </c>
      <c r="I30" s="144">
        <f t="shared" ca="1" si="57"/>
        <v>0.86978847853393892</v>
      </c>
      <c r="J30" s="144">
        <f t="shared" ca="1" si="57"/>
        <v>0.85607624484418465</v>
      </c>
      <c r="K30" s="144">
        <f t="shared" ca="1" si="57"/>
        <v>0.83979888945882608</v>
      </c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5">
        <f t="shared" si="13"/>
        <v>2</v>
      </c>
      <c r="W30" s="3">
        <f>SMALL(ages, SUM($V$5:V30))</f>
        <v>51</v>
      </c>
      <c r="X30" s="118">
        <f ca="1">[1]!ldf(B$5:B$27, $A$5:$A$27, $W30, $A$27, 3)</f>
        <v>1.1603020220630973</v>
      </c>
      <c r="Y30" s="118">
        <f ca="1">[1]!ldf(C$5:C$27, $A$5:$A$27, $W30, $A$27, 3)</f>
        <v>1.135045295999586</v>
      </c>
      <c r="Z30" s="118">
        <f ca="1">[1]!ldf(D$5:D$27, $A$5:$A$27, $W30, $A$27, 3)</f>
        <v>1.1268433180166413</v>
      </c>
      <c r="AA30" s="118">
        <f ca="1">[1]!ldf(E$5:E$27, $A$5:$A$27, $W30, $A$27, 3)</f>
        <v>1.1025495431619881</v>
      </c>
      <c r="AB30" s="118">
        <f ca="1">[1]!ldf(F$5:F$27, $A$5:$A$27, $W30, $A$27, 3)</f>
        <v>1.0853617646953615</v>
      </c>
      <c r="AC30" s="118">
        <f ca="1">[1]!ldf(G$5:G$27, $A$5:$A$27, $W30, $A$27, 3)</f>
        <v>1.3391104577308259</v>
      </c>
      <c r="AD30" s="118">
        <f ca="1">[1]!ldf(H$5:H$27, $A$5:$A$27, $W30, $A$27, 3)</f>
        <v>1.3102914891839834</v>
      </c>
      <c r="AE30" s="118">
        <f ca="1">[1]!ldf(I$5:I$27, $A$5:$A$27, $W30, $A$27, 3)</f>
        <v>1.2977174425291145</v>
      </c>
      <c r="AF30" s="118">
        <f ca="1">[1]!ldf(J$5:J$27, $A$5:$A$27, $W30, $A$27, 3)</f>
        <v>1.2574649936938354</v>
      </c>
      <c r="AG30" s="118">
        <f ca="1">[1]!ldf(K$5:K$27, $A$5:$A$27, $W30, $A$27, 3)</f>
        <v>1.2294378026550923</v>
      </c>
      <c r="AH30" s="118">
        <f ca="1">[1]!ldf(L$5:L$27, $A$5:$A$27, $W30, $A$27, 3)</f>
        <v>1</v>
      </c>
      <c r="AI30" s="118">
        <f ca="1">[1]!ldf(M$5:M$27, $A$5:$A$27, $W30, $A$27, 3)</f>
        <v>1.5901948104806563</v>
      </c>
      <c r="AJ30" s="118">
        <f ca="1">[1]!ldf(N$5:N$27, $A$5:$A$27, $W30, $A$27, 3)</f>
        <v>1.5628453713546344</v>
      </c>
      <c r="AK30" s="118">
        <f ca="1">[1]!ldf(O$5:O$27, $A$5:$A$27, $W30, $A$27, 3)</f>
        <v>1.7613314475497666</v>
      </c>
      <c r="AL30" s="118">
        <f ca="1">[1]!ldf(P$5:P$27, $A$5:$A$27, $W30, $A$27, 3)</f>
        <v>1.6619774769714419</v>
      </c>
      <c r="AM30" s="118">
        <f ca="1">[1]!ldf(Q$5:Q$27, $A$5:$A$27, $W30, $A$27, 3)</f>
        <v>1.8757642554368463</v>
      </c>
      <c r="AN30" s="118">
        <f ca="1">[1]!ldf(R$5:R$27, $A$5:$A$27, $W30, $A$27, 3)</f>
        <v>1.8745695609024808</v>
      </c>
      <c r="AO30" s="118">
        <f ca="1">[1]!ldf(S$5:S$27, $A$5:$A$27, $W30, $A$27, 3)</f>
        <v>2.3174229487303375</v>
      </c>
      <c r="AP30" s="118">
        <f ca="1">[1]!ldf(T$5:T$27, $A$5:$A$27, $W30, $A$27, 3)</f>
        <v>2.1917698563067325</v>
      </c>
    </row>
    <row r="31" spans="1:54" ht="12.75" customHeight="1" x14ac:dyDescent="0.2">
      <c r="B31" s="144">
        <f t="shared" ref="B31:K31" ca="1" si="58">LN(B14) / LN(B13)</f>
        <v>0.90013256980478651</v>
      </c>
      <c r="C31" s="144">
        <f t="shared" ca="1" si="58"/>
        <v>0.87669679989038896</v>
      </c>
      <c r="D31" s="144">
        <f t="shared" ca="1" si="58"/>
        <v>0.87372602755600248</v>
      </c>
      <c r="E31" s="144">
        <f t="shared" ca="1" si="58"/>
        <v>0.8652110517529642</v>
      </c>
      <c r="F31" s="144">
        <f t="shared" ca="1" si="58"/>
        <v>0.8544859081351297</v>
      </c>
      <c r="G31" s="144">
        <f t="shared" ca="1" si="58"/>
        <v>0.88710767953949543</v>
      </c>
      <c r="H31" s="144">
        <f t="shared" ca="1" si="58"/>
        <v>0.8799005623011894</v>
      </c>
      <c r="I31" s="144">
        <f t="shared" ca="1" si="58"/>
        <v>0.87690259432683426</v>
      </c>
      <c r="J31" s="144">
        <f t="shared" ca="1" si="58"/>
        <v>0.86430893112825302</v>
      </c>
      <c r="K31" s="144">
        <f t="shared" ca="1" si="58"/>
        <v>0.84831890677457289</v>
      </c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5">
        <f t="shared" si="13"/>
        <v>2</v>
      </c>
      <c r="W31" s="3">
        <f>SMALL(ages, SUM($V$5:V31))</f>
        <v>52</v>
      </c>
      <c r="X31" s="118">
        <f ca="1">[1]!ldf(B$5:B$27, $A$5:$A$27, $W31, $A$27, 3)</f>
        <v>1.1571221012989157</v>
      </c>
      <c r="Y31" s="118">
        <f ca="1">[1]!ldf(C$5:C$27, $A$5:$A$27, $W31, $A$27, 3)</f>
        <v>1.132024600226228</v>
      </c>
      <c r="Z31" s="118">
        <f ca="1">[1]!ldf(D$5:D$27, $A$5:$A$27, $W31, $A$27, 3)</f>
        <v>1.1239231402811418</v>
      </c>
      <c r="AA31" s="118">
        <f ca="1">[1]!ldf(E$5:E$27, $A$5:$A$27, $W31, $A$27, 3)</f>
        <v>1.0998599721999553</v>
      </c>
      <c r="AB31" s="118">
        <f ca="1">[1]!ldf(F$5:F$27, $A$5:$A$27, $W31, $A$27, 3)</f>
        <v>1.0829847154428816</v>
      </c>
      <c r="AC31" s="118">
        <f ca="1">[1]!ldf(G$5:G$27, $A$5:$A$27, $W31, $A$27, 3)</f>
        <v>1.331602226110739</v>
      </c>
      <c r="AD31" s="118">
        <f ca="1">[1]!ldf(H$5:H$27, $A$5:$A$27, $W31, $A$27, 3)</f>
        <v>1.3029172948880647</v>
      </c>
      <c r="AE31" s="118">
        <f ca="1">[1]!ldf(I$5:I$27, $A$5:$A$27, $W31, $A$27, 3)</f>
        <v>1.2904004244122269</v>
      </c>
      <c r="AF31" s="118">
        <f ca="1">[1]!ldf(J$5:J$27, $A$5:$A$27, $W31, $A$27, 3)</f>
        <v>1.2504924683531997</v>
      </c>
      <c r="AG31" s="118">
        <f ca="1">[1]!ldf(K$5:K$27, $A$5:$A$27, $W31, $A$27, 3)</f>
        <v>1.2227910411320373</v>
      </c>
      <c r="AH31" s="118">
        <f ca="1">[1]!ldf(L$5:L$27, $A$5:$A$27, $W31, $A$27, 3)</f>
        <v>1</v>
      </c>
      <c r="AI31" s="118">
        <f ca="1">[1]!ldf(M$5:M$27, $A$5:$A$27, $W31, $A$27, 3)</f>
        <v>1.5831632313656472</v>
      </c>
      <c r="AJ31" s="118">
        <f ca="1">[1]!ldf(N$5:N$27, $A$5:$A$27, $W31, $A$27, 3)</f>
        <v>1.5554006429473783</v>
      </c>
      <c r="AK31" s="118">
        <f ca="1">[1]!ldf(O$5:O$27, $A$5:$A$27, $W31, $A$27, 3)</f>
        <v>1.7505753323713342</v>
      </c>
      <c r="AL31" s="118">
        <f ca="1">[1]!ldf(P$5:P$27, $A$5:$A$27, $W31, $A$27, 3)</f>
        <v>1.651066316970784</v>
      </c>
      <c r="AM31" s="118">
        <f ca="1">[1]!ldf(Q$5:Q$27, $A$5:$A$27, $W31, $A$27, 3)</f>
        <v>1.8655052172628983</v>
      </c>
      <c r="AN31" s="118">
        <f ca="1">[1]!ldf(R$5:R$27, $A$5:$A$27, $W31, $A$27, 3)</f>
        <v>1.8643168336821376</v>
      </c>
      <c r="AO31" s="118">
        <f ca="1">[1]!ldf(S$5:S$27, $A$5:$A$27, $W31, $A$27, 3)</f>
        <v>2.3013842271198235</v>
      </c>
      <c r="AP31" s="118">
        <f ca="1">[1]!ldf(T$5:T$27, $A$5:$A$27, $W31, $A$27, 3)</f>
        <v>2.1750130278999773</v>
      </c>
    </row>
    <row r="32" spans="1:54" ht="12.75" customHeight="1" x14ac:dyDescent="0.2">
      <c r="B32" s="144">
        <f t="shared" ref="B32:K32" ca="1" si="59">LN(B15) / LN(B14)</f>
        <v>0.90380616843682804</v>
      </c>
      <c r="C32" s="144">
        <f t="shared" ca="1" si="59"/>
        <v>0.88608086651231588</v>
      </c>
      <c r="D32" s="144">
        <f t="shared" ca="1" si="59"/>
        <v>0.8778422494222845</v>
      </c>
      <c r="E32" s="144">
        <f t="shared" ca="1" si="59"/>
        <v>0.86787349821616477</v>
      </c>
      <c r="F32" s="144">
        <f t="shared" ca="1" si="59"/>
        <v>0.85515889474825035</v>
      </c>
      <c r="G32" s="144">
        <f t="shared" ca="1" si="59"/>
        <v>0.88895807321884657</v>
      </c>
      <c r="H32" s="144">
        <f t="shared" ca="1" si="59"/>
        <v>0.88125863554291717</v>
      </c>
      <c r="I32" s="144">
        <f t="shared" ca="1" si="59"/>
        <v>0.87817440465003527</v>
      </c>
      <c r="J32" s="144">
        <f t="shared" ca="1" si="59"/>
        <v>0.86461078813469439</v>
      </c>
      <c r="K32" s="144">
        <f t="shared" ca="1" si="59"/>
        <v>0.84663206824882087</v>
      </c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5">
        <f t="shared" si="13"/>
        <v>1</v>
      </c>
      <c r="W32" s="3">
        <f>SMALL(ages, SUM($V$5:V32))</f>
        <v>55</v>
      </c>
      <c r="X32" s="118">
        <f ca="1">[1]!ldf(B$5:B$27, $A$5:$A$27, $W32, $A$27, 3)</f>
        <v>1.1479791177350513</v>
      </c>
      <c r="Y32" s="118">
        <f ca="1">[1]!ldf(C$5:C$27, $A$5:$A$27, $W32, $A$27, 3)</f>
        <v>1.1233831968010415</v>
      </c>
      <c r="Z32" s="118">
        <f ca="1">[1]!ldf(D$5:D$27, $A$5:$A$27, $W32, $A$27, 3)</f>
        <v>1.1155798265124286</v>
      </c>
      <c r="AA32" s="118">
        <f ca="1">[1]!ldf(E$5:E$27, $A$5:$A$27, $W32, $A$27, 3)</f>
        <v>1.092224287399681</v>
      </c>
      <c r="AB32" s="118">
        <f ca="1">[1]!ldf(F$5:F$27, $A$5:$A$27, $W32, $A$27, 3)</f>
        <v>1.076256935322756</v>
      </c>
      <c r="AC32" s="118">
        <f ca="1">[1]!ldf(G$5:G$27, $A$5:$A$27, $W32, $A$27, 3)</f>
        <v>1.3101691136996707</v>
      </c>
      <c r="AD32" s="118">
        <f ca="1">[1]!ldf(H$5:H$27, $A$5:$A$27, $W32, $A$27, 3)</f>
        <v>1.2819364779322626</v>
      </c>
      <c r="AE32" s="118">
        <f ca="1">[1]!ldf(I$5:I$27, $A$5:$A$27, $W32, $A$27, 3)</f>
        <v>1.2696167444604285</v>
      </c>
      <c r="AF32" s="118">
        <f ca="1">[1]!ldf(J$5:J$27, $A$5:$A$27, $W32, $A$27, 3)</f>
        <v>1.2307861768494088</v>
      </c>
      <c r="AG32" s="118">
        <f ca="1">[1]!ldf(K$5:K$27, $A$5:$A$27, $W32, $A$27, 3)</f>
        <v>1.2040751389319559</v>
      </c>
      <c r="AH32" s="118">
        <f ca="1">[1]!ldf(L$5:L$27, $A$5:$A$27, $W32, $A$27, 3)</f>
        <v>1</v>
      </c>
      <c r="AI32" s="118">
        <f ca="1">[1]!ldf(M$5:M$27, $A$5:$A$27, $W32, $A$27, 3)</f>
        <v>1.5626488977008939</v>
      </c>
      <c r="AJ32" s="118">
        <f ca="1">[1]!ldf(N$5:N$27, $A$5:$A$27, $W32, $A$27, 3)</f>
        <v>1.5337450606236416</v>
      </c>
      <c r="AK32" s="118">
        <f ca="1">[1]!ldf(O$5:O$27, $A$5:$A$27, $W32, $A$27, 3)</f>
        <v>1.7193782616501665</v>
      </c>
      <c r="AL32" s="118">
        <f ca="1">[1]!ldf(P$5:P$27, $A$5:$A$27, $W32, $A$27, 3)</f>
        <v>1.6195833176598697</v>
      </c>
      <c r="AM32" s="118">
        <f ca="1">[1]!ldf(Q$5:Q$27, $A$5:$A$27, $W32, $A$27, 3)</f>
        <v>1.8355870293483298</v>
      </c>
      <c r="AN32" s="118">
        <f ca="1">[1]!ldf(R$5:R$27, $A$5:$A$27, $W32, $A$27, 3)</f>
        <v>1.8344175960978333</v>
      </c>
      <c r="AO32" s="118">
        <f ca="1">[1]!ldf(S$5:S$27, $A$5:$A$27, $W32, $A$27, 3)</f>
        <v>2.2547029820640572</v>
      </c>
      <c r="AP32" s="118">
        <f ca="1">[1]!ldf(T$5:T$27, $A$5:$A$27, $W32, $A$27, 3)</f>
        <v>2.1264585484398579</v>
      </c>
    </row>
    <row r="33" spans="1:42" ht="12.75" customHeight="1" x14ac:dyDescent="0.2">
      <c r="B33" s="144">
        <f t="shared" ref="B33:K33" ca="1" si="60">LN(B16) / LN(B15)</f>
        <v>0.90707092126259858</v>
      </c>
      <c r="C33" s="144">
        <f t="shared" ca="1" si="60"/>
        <v>0.88860436738686233</v>
      </c>
      <c r="D33" s="144">
        <f t="shared" ca="1" si="60"/>
        <v>0.87937248052378136</v>
      </c>
      <c r="E33" s="144">
        <f t="shared" ca="1" si="60"/>
        <v>0.86890366254796869</v>
      </c>
      <c r="F33" s="144">
        <f t="shared" ca="1" si="60"/>
        <v>0.85519157454323502</v>
      </c>
      <c r="G33" s="144">
        <f t="shared" ca="1" si="60"/>
        <v>0.89610472045206024</v>
      </c>
      <c r="H33" s="144">
        <f t="shared" ca="1" si="60"/>
        <v>0.88762489392739552</v>
      </c>
      <c r="I33" s="144">
        <f t="shared" ca="1" si="60"/>
        <v>0.88441597858513388</v>
      </c>
      <c r="J33" s="144">
        <f t="shared" ca="1" si="60"/>
        <v>0.86930193098836206</v>
      </c>
      <c r="K33" s="144">
        <f t="shared" ca="1" si="60"/>
        <v>0.84862372229149585</v>
      </c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5">
        <f t="shared" si="13"/>
        <v>3</v>
      </c>
      <c r="W33" s="3">
        <f>SMALL(ages, SUM($V$5:V33))</f>
        <v>57</v>
      </c>
      <c r="X33" s="118">
        <f ca="1">[1]!ldf(B$5:B$27, $A$5:$A$27, $W33, $A$27, 3)</f>
        <v>1.1421992483591044</v>
      </c>
      <c r="Y33" s="118">
        <f ca="1">[1]!ldf(C$5:C$27, $A$5:$A$27, $W33, $A$27, 3)</f>
        <v>1.1179550560869</v>
      </c>
      <c r="Z33" s="118">
        <f ca="1">[1]!ldf(D$5:D$27, $A$5:$A$27, $W33, $A$27, 3)</f>
        <v>1.1103472862449153</v>
      </c>
      <c r="AA33" s="118">
        <f ca="1">[1]!ldf(E$5:E$27, $A$5:$A$27, $W33, $A$27, 3)</f>
        <v>1.0874738859143376</v>
      </c>
      <c r="AB33" s="118">
        <f ca="1">[1]!ldf(F$5:F$27, $A$5:$A$27, $W33, $A$27, 3)</f>
        <v>1.0720876600422493</v>
      </c>
      <c r="AC33" s="118">
        <f ca="1">[1]!ldf(G$5:G$27, $A$5:$A$27, $W33, $A$27, 3)</f>
        <v>1.2967388095399057</v>
      </c>
      <c r="AD33" s="118">
        <f ca="1">[1]!ldf(H$5:H$27, $A$5:$A$27, $W33, $A$27, 3)</f>
        <v>1.2688440729758563</v>
      </c>
      <c r="AE33" s="118">
        <f ca="1">[1]!ldf(I$5:I$27, $A$5:$A$27, $W33, $A$27, 3)</f>
        <v>1.2566742615481075</v>
      </c>
      <c r="AF33" s="118">
        <f ca="1">[1]!ldf(J$5:J$27, $A$5:$A$27, $W33, $A$27, 3)</f>
        <v>1.2185915561305589</v>
      </c>
      <c r="AG33" s="118">
        <f ca="1">[1]!ldf(K$5:K$27, $A$5:$A$27, $W33, $A$27, 3)</f>
        <v>1.1925475285581599</v>
      </c>
      <c r="AH33" s="118">
        <f ca="1">[1]!ldf(L$5:L$27, $A$5:$A$27, $W33, $A$27, 3)</f>
        <v>1</v>
      </c>
      <c r="AI33" s="118">
        <f ca="1">[1]!ldf(M$5:M$27, $A$5:$A$27, $W33, $A$27, 3)</f>
        <v>1.5494402691265139</v>
      </c>
      <c r="AJ33" s="118">
        <f ca="1">[1]!ldf(N$5:N$27, $A$5:$A$27, $W33, $A$27, 3)</f>
        <v>1.5198528188478682</v>
      </c>
      <c r="AK33" s="118">
        <f ca="1">[1]!ldf(O$5:O$27, $A$5:$A$27, $W33, $A$27, 3)</f>
        <v>1.6994367713678553</v>
      </c>
      <c r="AL33" s="118">
        <f ca="1">[1]!ldf(P$5:P$27, $A$5:$A$27, $W33, $A$27, 3)</f>
        <v>1.5995884874939323</v>
      </c>
      <c r="AM33" s="118">
        <f ca="1">[1]!ldf(Q$5:Q$27, $A$5:$A$27, $W33, $A$27, 3)</f>
        <v>1.8163328053687831</v>
      </c>
      <c r="AN33" s="118">
        <f ca="1">[1]!ldf(R$5:R$27, $A$5:$A$27, $W33, $A$27, 3)</f>
        <v>1.8151760053405275</v>
      </c>
      <c r="AO33" s="118">
        <f ca="1">[1]!ldf(S$5:S$27, $A$5:$A$27, $W33, $A$27, 3)</f>
        <v>2.2247337281957158</v>
      </c>
      <c r="AP33" s="118">
        <f ca="1">[1]!ldf(T$5:T$27, $A$5:$A$27, $W33, $A$27, 3)</f>
        <v>2.0954585649432778</v>
      </c>
    </row>
    <row r="34" spans="1:42" ht="12.75" customHeight="1" x14ac:dyDescent="0.2">
      <c r="B34" s="144">
        <f t="shared" ref="B34:K34" ca="1" si="61">LN(B17) / LN(B16)</f>
        <v>0.91014638909915702</v>
      </c>
      <c r="C34" s="144">
        <f t="shared" ca="1" si="61"/>
        <v>0.89167957237346274</v>
      </c>
      <c r="D34" s="144">
        <f t="shared" ca="1" si="61"/>
        <v>0.88251926386790835</v>
      </c>
      <c r="E34" s="144">
        <f t="shared" ca="1" si="61"/>
        <v>0.87077976796136902</v>
      </c>
      <c r="F34" s="144">
        <f t="shared" ca="1" si="61"/>
        <v>0.85502456049534425</v>
      </c>
      <c r="G34" s="144">
        <f t="shared" ca="1" si="61"/>
        <v>0.8950202578065104</v>
      </c>
      <c r="H34" s="144">
        <f t="shared" ca="1" si="61"/>
        <v>0.88596648057850735</v>
      </c>
      <c r="I34" s="144">
        <f t="shared" ca="1" si="61"/>
        <v>0.88268733813906486</v>
      </c>
      <c r="J34" s="144">
        <f t="shared" ca="1" si="61"/>
        <v>0.86639664371732394</v>
      </c>
      <c r="K34" s="144">
        <f t="shared" ca="1" si="61"/>
        <v>0.8428355082301523</v>
      </c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>
        <f t="shared" si="13"/>
        <v>2</v>
      </c>
      <c r="W34" s="3">
        <f>SMALL(ages, SUM($V$5:V34))</f>
        <v>60</v>
      </c>
      <c r="X34" s="118">
        <f ca="1">[1]!ldf(B$5:B$27, $A$5:$A$27, $W34, $A$27, 3)</f>
        <v>1.1339740228521331</v>
      </c>
      <c r="Y34" s="118">
        <f ca="1">[1]!ldf(C$5:C$27, $A$5:$A$27, $W34, $A$27, 3)</f>
        <v>1.1102787705643591</v>
      </c>
      <c r="Z34" s="118">
        <f ca="1">[1]!ldf(D$5:D$27, $A$5:$A$27, $W34, $A$27, 3)</f>
        <v>1.1029593057033951</v>
      </c>
      <c r="AA34" s="118">
        <f ca="1">[1]!ldf(E$5:E$27, $A$5:$A$27, $W34, $A$27, 3)</f>
        <v>1.0808197421097909</v>
      </c>
      <c r="AB34" s="118">
        <f ca="1">[1]!ldf(F$5:F$27, $A$5:$A$27, $W34, $A$27, 3)</f>
        <v>1.0662701464055235</v>
      </c>
      <c r="AC34" s="118">
        <f ca="1">[1]!ldf(G$5:G$27, $A$5:$A$27, $W34, $A$27, 3)</f>
        <v>1.2777862161278597</v>
      </c>
      <c r="AD34" s="118">
        <f ca="1">[1]!ldf(H$5:H$27, $A$5:$A$27, $W34, $A$27, 3)</f>
        <v>1.2504432421819645</v>
      </c>
      <c r="AE34" s="118">
        <f ca="1">[1]!ldf(I$5:I$27, $A$5:$A$27, $W34, $A$27, 3)</f>
        <v>1.2385210526249602</v>
      </c>
      <c r="AF34" s="118">
        <f ca="1">[1]!ldf(J$5:J$27, $A$5:$A$27, $W34, $A$27, 3)</f>
        <v>1.2015924245652811</v>
      </c>
      <c r="AG34" s="118">
        <f ca="1">[1]!ldf(K$5:K$27, $A$5:$A$27, $W34, $A$27, 3)</f>
        <v>1.176551962892372</v>
      </c>
      <c r="AH34" s="118">
        <f ca="1">[1]!ldf(L$5:L$27, $A$5:$A$27, $W34, $A$27, 3)</f>
        <v>1</v>
      </c>
      <c r="AI34" s="118">
        <f ca="1">[1]!ldf(M$5:M$27, $A$5:$A$27, $W34, $A$27, 3)</f>
        <v>1.5302980082059072</v>
      </c>
      <c r="AJ34" s="118">
        <f ca="1">[1]!ldf(N$5:N$27, $A$5:$A$27, $W34, $A$27, 3)</f>
        <v>1.4997923380409723</v>
      </c>
      <c r="AK34" s="118">
        <f ca="1">[1]!ldf(O$5:O$27, $A$5:$A$27, $W34, $A$27, 3)</f>
        <v>1.6707409764068137</v>
      </c>
      <c r="AL34" s="118">
        <f ca="1">[1]!ldf(P$5:P$27, $A$5:$A$27, $W34, $A$27, 3)</f>
        <v>1.570996537405569</v>
      </c>
      <c r="AM34" s="118">
        <f ca="1">[1]!ldf(Q$5:Q$27, $A$5:$A$27, $W34, $A$27, 3)</f>
        <v>1.7884415161423484</v>
      </c>
      <c r="AN34" s="118">
        <f ca="1">[1]!ldf(R$5:R$27, $A$5:$A$27, $W34, $A$27, 3)</f>
        <v>1.7873036383893806</v>
      </c>
      <c r="AO34" s="118">
        <f ca="1">[1]!ldf(S$5:S$27, $A$5:$A$27, $W34, $A$27, 3)</f>
        <v>2.1814232117206727</v>
      </c>
      <c r="AP34" s="118">
        <f ca="1">[1]!ldf(T$5:T$27, $A$5:$A$27, $W34, $A$27, 3)</f>
        <v>2.0508992511424622</v>
      </c>
    </row>
    <row r="35" spans="1:42" ht="12.75" customHeight="1" x14ac:dyDescent="0.2">
      <c r="B35" s="144">
        <f t="shared" ref="B35:K35" ca="1" si="62">LN(B18) / LN(B17)</f>
        <v>0.91225249543850084</v>
      </c>
      <c r="C35" s="144">
        <f t="shared" ca="1" si="62"/>
        <v>0.89329230860374476</v>
      </c>
      <c r="D35" s="144">
        <f t="shared" ca="1" si="62"/>
        <v>0.88370373716538686</v>
      </c>
      <c r="E35" s="144">
        <f t="shared" ca="1" si="62"/>
        <v>0.87090697955996299</v>
      </c>
      <c r="F35" s="144">
        <f t="shared" ca="1" si="62"/>
        <v>0.85321838691783092</v>
      </c>
      <c r="G35" s="144">
        <f t="shared" ca="1" si="62"/>
        <v>0.89163863889056383</v>
      </c>
      <c r="H35" s="144">
        <f t="shared" ca="1" si="62"/>
        <v>0.88196419914399071</v>
      </c>
      <c r="I35" s="144">
        <f t="shared" ca="1" si="62"/>
        <v>0.8786202233078142</v>
      </c>
      <c r="J35" s="144">
        <f t="shared" ca="1" si="62"/>
        <v>0.86108210304972355</v>
      </c>
      <c r="K35" s="144">
        <f t="shared" ca="1" si="62"/>
        <v>0.83398476405696109</v>
      </c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5">
        <f t="shared" si="13"/>
        <v>1</v>
      </c>
      <c r="W35" s="3">
        <f>SMALL(ages, SUM($V$5:V35))</f>
        <v>61</v>
      </c>
      <c r="X35" s="118">
        <f ca="1">[1]!ldf(B$5:B$27, $A$5:$A$27, $W35, $A$27, 3)</f>
        <v>1.1322807306703713</v>
      </c>
      <c r="Y35" s="118">
        <f ca="1">[1]!ldf(C$5:C$27, $A$5:$A$27, $W35, $A$27, 3)</f>
        <v>1.1087275469724067</v>
      </c>
      <c r="Z35" s="118">
        <f ca="1">[1]!ldf(D$5:D$27, $A$5:$A$27, $W35, $A$27, 3)</f>
        <v>1.1014430647616846</v>
      </c>
      <c r="AA35" s="118">
        <f ca="1">[1]!ldf(E$5:E$27, $A$5:$A$27, $W35, $A$27, 3)</f>
        <v>1.0794837962260269</v>
      </c>
      <c r="AB35" s="118">
        <f ca="1">[1]!ldf(F$5:F$27, $A$5:$A$27, $W35, $A$27, 3)</f>
        <v>1.0650732627673554</v>
      </c>
      <c r="AC35" s="118">
        <f ca="1">[1]!ldf(G$5:G$27, $A$5:$A$27, $W35, $A$27, 3)</f>
        <v>1.273395651711795</v>
      </c>
      <c r="AD35" s="118">
        <f ca="1">[1]!ldf(H$5:H$27, $A$5:$A$27, $W35, $A$27, 3)</f>
        <v>1.2461785999633557</v>
      </c>
      <c r="AE35" s="118">
        <f ca="1">[1]!ldf(I$5:I$27, $A$5:$A$27, $W35, $A$27, 3)</f>
        <v>1.234331947047798</v>
      </c>
      <c r="AF35" s="118">
        <f ca="1">[1]!ldf(J$5:J$27, $A$5:$A$27, $W35, $A$27, 3)</f>
        <v>1.1976999182712704</v>
      </c>
      <c r="AG35" s="118">
        <f ca="1">[1]!ldf(K$5:K$27, $A$5:$A$27, $W35, $A$27, 3)</f>
        <v>1.1728055136165962</v>
      </c>
      <c r="AH35" s="118">
        <f ca="1">[1]!ldf(L$5:L$27, $A$5:$A$27, $W35, $A$27, 3)</f>
        <v>1</v>
      </c>
      <c r="AI35" s="118">
        <f ca="1">[1]!ldf(M$5:M$27, $A$5:$A$27, $W35, $A$27, 3)</f>
        <v>1.5251286402205506</v>
      </c>
      <c r="AJ35" s="118">
        <f ca="1">[1]!ldf(N$5:N$27, $A$5:$A$27, $W35, $A$27, 3)</f>
        <v>1.4951936711846827</v>
      </c>
      <c r="AK35" s="118">
        <f ca="1">[1]!ldf(O$5:O$27, $A$5:$A$27, $W35, $A$27, 3)</f>
        <v>1.6636889355446098</v>
      </c>
      <c r="AL35" s="118">
        <f ca="1">[1]!ldf(P$5:P$27, $A$5:$A$27, $W35, $A$27, 3)</f>
        <v>1.5647291178757219</v>
      </c>
      <c r="AM35" s="118">
        <f ca="1">[1]!ldf(Q$5:Q$27, $A$5:$A$27, $W35, $A$27, 3)</f>
        <v>1.7809718247087214</v>
      </c>
      <c r="AN35" s="118">
        <f ca="1">[1]!ldf(R$5:R$27, $A$5:$A$27, $W35, $A$27, 3)</f>
        <v>1.7794541472086183</v>
      </c>
      <c r="AO35" s="118">
        <f ca="1">[1]!ldf(S$5:S$27, $A$5:$A$27, $W35, $A$27, 3)</f>
        <v>2.1678026656708682</v>
      </c>
      <c r="AP35" s="118">
        <f ca="1">[1]!ldf(T$5:T$27, $A$5:$A$27, $W35, $A$27, 3)</f>
        <v>2.0389185920629234</v>
      </c>
    </row>
    <row r="36" spans="1:42" ht="12.75" customHeight="1" x14ac:dyDescent="0.2">
      <c r="B36" s="144">
        <f t="shared" ref="B36:K36" ca="1" si="63">LN(B19) / LN(B18)</f>
        <v>0.9138013092827767</v>
      </c>
      <c r="C36" s="144">
        <f t="shared" ca="1" si="63"/>
        <v>0.89442123442752886</v>
      </c>
      <c r="D36" s="144">
        <f t="shared" ca="1" si="63"/>
        <v>0.88433976461708386</v>
      </c>
      <c r="E36" s="144">
        <f t="shared" ca="1" si="63"/>
        <v>0.87037798756198903</v>
      </c>
      <c r="F36" s="144">
        <f t="shared" ca="1" si="63"/>
        <v>0.8504304275352419</v>
      </c>
      <c r="G36" s="144">
        <f t="shared" ca="1" si="63"/>
        <v>0.8910340029950945</v>
      </c>
      <c r="H36" s="144">
        <f t="shared" ca="1" si="63"/>
        <v>0.88046396469062405</v>
      </c>
      <c r="I36" s="144">
        <f t="shared" ca="1" si="63"/>
        <v>0.87703492900677016</v>
      </c>
      <c r="J36" s="144">
        <f t="shared" ca="1" si="63"/>
        <v>0.85768976570445221</v>
      </c>
      <c r="K36" s="144">
        <f t="shared" ca="1" si="63"/>
        <v>0.82581179465515997</v>
      </c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5">
        <f t="shared" si="13"/>
        <v>2</v>
      </c>
      <c r="W36" s="3">
        <f>SMALL(ages, SUM($V$5:V36))</f>
        <v>63</v>
      </c>
      <c r="X36" s="118">
        <f ca="1">[1]!ldf(B$5:B$27, $A$5:$A$27, $W36, $A$27, 3)</f>
        <v>1.1289616433768586</v>
      </c>
      <c r="Y36" s="118">
        <f ca="1">[1]!ldf(C$5:C$27, $A$5:$A$27, $W36, $A$27, 3)</f>
        <v>1.105693303389214</v>
      </c>
      <c r="Z36" s="118">
        <f ca="1">[1]!ldf(D$5:D$27, $A$5:$A$27, $W36, $A$27, 3)</f>
        <v>1.0984801715052357</v>
      </c>
      <c r="AA36" s="118">
        <f ca="1">[1]!ldf(E$5:E$27, $A$5:$A$27, $W36, $A$27, 3)</f>
        <v>1.0768801037068676</v>
      </c>
      <c r="AB36" s="118">
        <f ca="1">[1]!ldf(F$5:F$27, $A$5:$A$27, $W36, $A$27, 3)</f>
        <v>1.0627458324913825</v>
      </c>
      <c r="AC36" s="118">
        <f ca="1">[1]!ldf(G$5:G$27, $A$5:$A$27, $W36, $A$27, 3)</f>
        <v>1.2648422508605073</v>
      </c>
      <c r="AD36" s="118">
        <f ca="1">[1]!ldf(H$5:H$27, $A$5:$A$27, $W36, $A$27, 3)</f>
        <v>1.2378858280881841</v>
      </c>
      <c r="AE36" s="118">
        <f ca="1">[1]!ldf(I$5:I$27, $A$5:$A$27, $W36, $A$27, 3)</f>
        <v>1.2261925336335726</v>
      </c>
      <c r="AF36" s="118">
        <f ca="1">[1]!ldf(J$5:J$27, $A$5:$A$27, $W36, $A$27, 3)</f>
        <v>1.1901561589546661</v>
      </c>
      <c r="AG36" s="118">
        <f ca="1">[1]!ldf(K$5:K$27, $A$5:$A$27, $W36, $A$27, 3)</f>
        <v>1.1655656772278762</v>
      </c>
      <c r="AH36" s="118">
        <f ca="1">[1]!ldf(L$5:L$27, $A$5:$A$27, $W36, $A$27, 3)</f>
        <v>1</v>
      </c>
      <c r="AI36" s="118">
        <f ca="1">[1]!ldf(M$5:M$27, $A$5:$A$27, $W36, $A$27, 3)</f>
        <v>1.5149642105542112</v>
      </c>
      <c r="AJ36" s="118">
        <f ca="1">[1]!ldf(N$5:N$27, $A$5:$A$27, $W36, $A$27, 3)</f>
        <v>1.4861420616695651</v>
      </c>
      <c r="AK36" s="118">
        <f ca="1">[1]!ldf(O$5:O$27, $A$5:$A$27, $W36, $A$27, 3)</f>
        <v>1.6498460749670441</v>
      </c>
      <c r="AL36" s="118">
        <f ca="1">[1]!ldf(P$5:P$27, $A$5:$A$27, $W36, $A$27, 3)</f>
        <v>1.552433449507332</v>
      </c>
      <c r="AM36" s="118">
        <f ca="1">[1]!ldf(Q$5:Q$27, $A$5:$A$27, $W36, $A$27, 3)</f>
        <v>1.7662851852742829</v>
      </c>
      <c r="AN36" s="118">
        <f ca="1">[1]!ldf(R$5:R$27, $A$5:$A$27, $W36, $A$27, 3)</f>
        <v>1.764034528882932</v>
      </c>
      <c r="AO36" s="118">
        <f ca="1">[1]!ldf(S$5:S$27, $A$5:$A$27, $W36, $A$27, 3)</f>
        <v>2.1411383700122353</v>
      </c>
      <c r="AP36" s="118">
        <f ca="1">[1]!ldf(T$5:T$27, $A$5:$A$27, $W36, $A$27, 3)</f>
        <v>2.0154549662761179</v>
      </c>
    </row>
    <row r="37" spans="1:42" ht="12.75" customHeight="1" x14ac:dyDescent="0.2">
      <c r="B37" s="144">
        <f t="shared" ref="B37:K37" ca="1" si="64">LN(B20) / LN(B19)</f>
        <v>0.91573521586692463</v>
      </c>
      <c r="C37" s="144">
        <f t="shared" ca="1" si="64"/>
        <v>0.90184374968509151</v>
      </c>
      <c r="D37" s="144">
        <f t="shared" ca="1" si="64"/>
        <v>0.89871487146732554</v>
      </c>
      <c r="E37" s="144">
        <f t="shared" ca="1" si="64"/>
        <v>0.87795827056590736</v>
      </c>
      <c r="F37" s="144">
        <f t="shared" ca="1" si="64"/>
        <v>0.84731317234411363</v>
      </c>
      <c r="G37" s="144">
        <f t="shared" ca="1" si="64"/>
        <v>0.88986793662947028</v>
      </c>
      <c r="H37" s="144">
        <f t="shared" ca="1" si="64"/>
        <v>0.88176350889087829</v>
      </c>
      <c r="I37" s="144">
        <f t="shared" ca="1" si="64"/>
        <v>0.87823199236422722</v>
      </c>
      <c r="J37" s="144">
        <f t="shared" ca="1" si="64"/>
        <v>0.86278091536671553</v>
      </c>
      <c r="K37" s="144">
        <f t="shared" ca="1" si="64"/>
        <v>0.84085795053085899</v>
      </c>
      <c r="V37" s="145">
        <f t="shared" si="13"/>
        <v>2</v>
      </c>
      <c r="W37" s="3">
        <f>SMALL(ages, SUM($V$5:V37))</f>
        <v>64</v>
      </c>
      <c r="X37" s="118">
        <f ca="1">[1]!ldf(B$5:B$27, $A$5:$A$27, $W37, $A$27, 3)</f>
        <v>1.1273351918205037</v>
      </c>
      <c r="Y37" s="118">
        <f ca="1">[1]!ldf(C$5:C$27, $A$5:$A$27, $W37, $A$27, 3)</f>
        <v>1.1042095605262641</v>
      </c>
      <c r="Z37" s="118">
        <f ca="1">[1]!ldf(D$5:D$27, $A$5:$A$27, $W37, $A$27, 3)</f>
        <v>1.0970327523744847</v>
      </c>
      <c r="AA37" s="118">
        <f ca="1">[1]!ldf(E$5:E$27, $A$5:$A$27, $W37, $A$27, 3)</f>
        <v>1.0756115319036372</v>
      </c>
      <c r="AB37" s="118">
        <f ca="1">[1]!ldf(F$5:F$27, $A$5:$A$27, $W37, $A$27, 3)</f>
        <v>1.0616144224291313</v>
      </c>
      <c r="AC37" s="118">
        <f ca="1">[1]!ldf(G$5:G$27, $A$5:$A$27, $W37, $A$27, 3)</f>
        <v>1.2606763837950543</v>
      </c>
      <c r="AD37" s="118">
        <f ca="1">[1]!ldf(H$5:H$27, $A$5:$A$27, $W37, $A$27, 3)</f>
        <v>1.2338543586274417</v>
      </c>
      <c r="AE37" s="118">
        <f ca="1">[1]!ldf(I$5:I$27, $A$5:$A$27, $W37, $A$27, 3)</f>
        <v>1.2222387721752728</v>
      </c>
      <c r="AF37" s="118">
        <f ca="1">[1]!ldf(J$5:J$27, $A$5:$A$27, $W37, $A$27, 3)</f>
        <v>1.1865011584717926</v>
      </c>
      <c r="AG37" s="118">
        <f ca="1">[1]!ldf(K$5:K$27, $A$5:$A$27, $W37, $A$27, 3)</f>
        <v>1.1620680464277653</v>
      </c>
      <c r="AH37" s="118">
        <f ca="1">[1]!ldf(L$5:L$27, $A$5:$A$27, $W37, $A$27, 3)</f>
        <v>1</v>
      </c>
      <c r="AI37" s="118">
        <f ca="1">[1]!ldf(M$5:M$27, $A$5:$A$27, $W37, $A$27, 3)</f>
        <v>1.5099675730218094</v>
      </c>
      <c r="AJ37" s="118">
        <f ca="1">[1]!ldf(N$5:N$27, $A$5:$A$27, $W37, $A$27, 3)</f>
        <v>1.4816878849674371</v>
      </c>
      <c r="AK37" s="118">
        <f ca="1">[1]!ldf(O$5:O$27, $A$5:$A$27, $W37, $A$27, 3)</f>
        <v>1.6430526298696049</v>
      </c>
      <c r="AL37" s="118">
        <f ca="1">[1]!ldf(P$5:P$27, $A$5:$A$27, $W37, $A$27, 3)</f>
        <v>1.5464027443226021</v>
      </c>
      <c r="AM37" s="118">
        <f ca="1">[1]!ldf(Q$5:Q$27, $A$5:$A$27, $W37, $A$27, 3)</f>
        <v>1.7590659005293068</v>
      </c>
      <c r="AN37" s="118">
        <f ca="1">[1]!ldf(R$5:R$27, $A$5:$A$27, $W37, $A$27, 3)</f>
        <v>1.7564616854424318</v>
      </c>
      <c r="AO37" s="118">
        <f ca="1">[1]!ldf(S$5:S$27, $A$5:$A$27, $W37, $A$27, 3)</f>
        <v>2.1280878742404838</v>
      </c>
      <c r="AP37" s="118">
        <f ca="1">[1]!ldf(T$5:T$27, $A$5:$A$27, $W37, $A$27, 3)</f>
        <v>2.0039663028907473</v>
      </c>
    </row>
    <row r="38" spans="1:42" ht="12.75" customHeight="1" x14ac:dyDescent="0.2">
      <c r="B38" s="119">
        <f t="shared" ref="B38:K38" ca="1" si="65">LN(B21) / LN(B20)</f>
        <v>0.9074389708686087</v>
      </c>
      <c r="C38" s="119">
        <f t="shared" ca="1" si="65"/>
        <v>0.87487537048985542</v>
      </c>
      <c r="D38" s="119">
        <f t="shared" ca="1" si="65"/>
        <v>0.88162047508864927</v>
      </c>
      <c r="E38" s="119">
        <f t="shared" ca="1" si="65"/>
        <v>0.86787695447943525</v>
      </c>
      <c r="F38" s="119">
        <f t="shared" ca="1" si="65"/>
        <v>0.84957369450167497</v>
      </c>
      <c r="G38" s="119">
        <f t="shared" ca="1" si="65"/>
        <v>0.8898679366294705</v>
      </c>
      <c r="H38" s="119">
        <f t="shared" ca="1" si="65"/>
        <v>0.88186226204992846</v>
      </c>
      <c r="I38" s="119">
        <f t="shared" ca="1" si="65"/>
        <v>0.87823199236422922</v>
      </c>
      <c r="J38" s="119">
        <f t="shared" ca="1" si="65"/>
        <v>0.8627809153667132</v>
      </c>
      <c r="K38" s="119">
        <f t="shared" ca="1" si="65"/>
        <v>0.84085795053085721</v>
      </c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45">
        <f t="shared" ref="V38:V69" si="66">COUNTIF(ages, W37)</f>
        <v>1</v>
      </c>
      <c r="W38" s="3">
        <f>SMALL(ages, SUM($V$5:V38))</f>
        <v>67</v>
      </c>
      <c r="X38" s="118">
        <f ca="1">[1]!ldf(B$5:B$27, $A$5:$A$27, $W38, $A$27, 3)</f>
        <v>1.1225843808494822</v>
      </c>
      <c r="Y38" s="118">
        <f ca="1">[1]!ldf(C$5:C$27, $A$5:$A$27, $W38, $A$27, 3)</f>
        <v>1.0998876454045126</v>
      </c>
      <c r="Z38" s="118">
        <f ca="1">[1]!ldf(D$5:D$27, $A$5:$A$27, $W38, $A$27, 3)</f>
        <v>1.0928221522207482</v>
      </c>
      <c r="AA38" s="118">
        <f ca="1">[1]!ldf(E$5:E$27, $A$5:$A$27, $W38, $A$27, 3)</f>
        <v>1.0719341354975076</v>
      </c>
      <c r="AB38" s="118">
        <f ca="1">[1]!ldf(F$5:F$27, $A$5:$A$27, $W38, $A$27, 3)</f>
        <v>1.0583444233328505</v>
      </c>
      <c r="AC38" s="118">
        <f ca="1">[1]!ldf(G$5:G$27, $A$5:$A$27, $W38, $A$27, 3)</f>
        <v>1.2486046784573577</v>
      </c>
      <c r="AD38" s="118">
        <f ca="1">[1]!ldf(H$5:H$27, $A$5:$A$27, $W38, $A$27, 3)</f>
        <v>1.2222004450613455</v>
      </c>
      <c r="AE38" s="118">
        <f ca="1">[1]!ldf(I$5:I$27, $A$5:$A$27, $W38, $A$27, 3)</f>
        <v>1.2108214635833114</v>
      </c>
      <c r="AF38" s="118">
        <f ca="1">[1]!ldf(J$5:J$27, $A$5:$A$27, $W38, $A$27, 3)</f>
        <v>1.1759822465608001</v>
      </c>
      <c r="AG38" s="118">
        <f ca="1">[1]!ldf(K$5:K$27, $A$5:$A$27, $W38, $A$27, 3)</f>
        <v>1.1520401229664605</v>
      </c>
      <c r="AH38" s="118">
        <f ca="1">[1]!ldf(L$5:L$27, $A$5:$A$27, $W38, $A$27, 3)</f>
        <v>1</v>
      </c>
      <c r="AI38" s="118">
        <f ca="1">[1]!ldf(M$5:M$27, $A$5:$A$27, $W38, $A$27, 3)</f>
        <v>1.4953107839772801</v>
      </c>
      <c r="AJ38" s="118">
        <f ca="1">[1]!ldf(N$5:N$27, $A$5:$A$27, $W38, $A$27, 3)</f>
        <v>1.4686046604686986</v>
      </c>
      <c r="AK38" s="118">
        <f ca="1">[1]!ldf(O$5:O$27, $A$5:$A$27, $W38, $A$27, 3)</f>
        <v>1.6231689821829931</v>
      </c>
      <c r="AL38" s="118">
        <f ca="1">[1]!ldf(P$5:P$27, $A$5:$A$27, $W38, $A$27, 3)</f>
        <v>1.5287648834652727</v>
      </c>
      <c r="AM38" s="118">
        <f ca="1">[1]!ldf(Q$5:Q$27, $A$5:$A$27, $W38, $A$27, 3)</f>
        <v>1.7378905746282687</v>
      </c>
      <c r="AN38" s="118">
        <f ca="1">[1]!ldf(R$5:R$27, $A$5:$A$27, $W38, $A$27, 3)</f>
        <v>1.7342752198568099</v>
      </c>
      <c r="AO38" s="118">
        <f ca="1">[1]!ldf(S$5:S$27, $A$5:$A$27, $W38, $A$27, 3)</f>
        <v>2.0900240013057001</v>
      </c>
      <c r="AP38" s="118">
        <f ca="1">[1]!ldf(T$5:T$27, $A$5:$A$27, $W38, $A$27, 3)</f>
        <v>1.9704399586735768</v>
      </c>
    </row>
    <row r="39" spans="1:42" ht="12.75" customHeight="1" x14ac:dyDescent="0.2"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45">
        <f t="shared" si="66"/>
        <v>3</v>
      </c>
      <c r="W39" s="3">
        <f>SMALL(ages, SUM($V$5:V39))</f>
        <v>69</v>
      </c>
      <c r="X39" s="118">
        <f ca="1">[1]!ldf(B$5:B$27, $A$5:$A$27, $W39, $A$27, 3)</f>
        <v>1.1195212108643036</v>
      </c>
      <c r="Y39" s="118">
        <f ca="1">[1]!ldf(C$5:C$27, $A$5:$A$27, $W39, $A$27, 3)</f>
        <v>1.0971107517932766</v>
      </c>
      <c r="Z39" s="118">
        <f ca="1">[1]!ldf(D$5:D$27, $A$5:$A$27, $W39, $A$27, 3)</f>
        <v>1.0901212248845469</v>
      </c>
      <c r="AA39" s="118">
        <f ca="1">[1]!ldf(E$5:E$27, $A$5:$A$27, $W39, $A$27, 3)</f>
        <v>1.0695856453402519</v>
      </c>
      <c r="AB39" s="118">
        <f ca="1">[1]!ldf(F$5:F$27, $A$5:$A$27, $W39, $A$27, 3)</f>
        <v>1.0562639665840527</v>
      </c>
      <c r="AC39" s="118">
        <f ca="1">[1]!ldf(G$5:G$27, $A$5:$A$27, $W39, $A$27, 3)</f>
        <v>1.2408979320980471</v>
      </c>
      <c r="AD39" s="118">
        <f ca="1">[1]!ldf(H$5:H$27, $A$5:$A$27, $W39, $A$27, 3)</f>
        <v>1.2147830555099446</v>
      </c>
      <c r="AE39" s="118">
        <f ca="1">[1]!ldf(I$5:I$27, $A$5:$A$27, $W39, $A$27, 3)</f>
        <v>1.2035642261179751</v>
      </c>
      <c r="AF39" s="118">
        <f ca="1">[1]!ldf(J$5:J$27, $A$5:$A$27, $W39, $A$27, 3)</f>
        <v>1.1693244739434678</v>
      </c>
      <c r="AG39" s="118">
        <f ca="1">[1]!ldf(K$5:K$27, $A$5:$A$27, $W39, $A$27, 3)</f>
        <v>1.145723310753481</v>
      </c>
      <c r="AH39" s="118">
        <f ca="1">[1]!ldf(L$5:L$27, $A$5:$A$27, $W39, $A$27, 3)</f>
        <v>1</v>
      </c>
      <c r="AI39" s="118">
        <f ca="1">[1]!ldf(M$5:M$27, $A$5:$A$27, $W39, $A$27, 3)</f>
        <v>1.4858097873178391</v>
      </c>
      <c r="AJ39" s="118">
        <f ca="1">[1]!ldf(N$5:N$27, $A$5:$A$27, $W39, $A$27, 3)</f>
        <v>1.4601094421160781</v>
      </c>
      <c r="AK39" s="118">
        <f ca="1">[1]!ldf(O$5:O$27, $A$5:$A$27, $W39, $A$27, 3)</f>
        <v>1.610314869666966</v>
      </c>
      <c r="AL39" s="118">
        <f ca="1">[1]!ldf(P$5:P$27, $A$5:$A$27, $W39, $A$27, 3)</f>
        <v>1.517373407070989</v>
      </c>
      <c r="AM39" s="118">
        <f ca="1">[1]!ldf(Q$5:Q$27, $A$5:$A$27, $W39, $A$27, 3)</f>
        <v>1.7241648304792045</v>
      </c>
      <c r="AN39" s="118">
        <f ca="1">[1]!ldf(R$5:R$27, $A$5:$A$27, $W39, $A$27, 3)</f>
        <v>1.7199149232727211</v>
      </c>
      <c r="AO39" s="118">
        <f ca="1">[1]!ldf(S$5:S$27, $A$5:$A$27, $W39, $A$27, 3)</f>
        <v>2.0655232873744556</v>
      </c>
      <c r="AP39" s="118">
        <f ca="1">[1]!ldf(T$5:T$27, $A$5:$A$27, $W39, $A$27, 3)</f>
        <v>1.9488457601218601</v>
      </c>
    </row>
    <row r="40" spans="1:42" ht="12.75" customHeight="1" x14ac:dyDescent="0.2">
      <c r="A40" s="3" t="s">
        <v>121</v>
      </c>
      <c r="B40" s="118">
        <f t="shared" ref="B40:K40" ca="1" si="67">AVERAGE(B30:B38)</f>
        <v>0.90743897086860847</v>
      </c>
      <c r="C40" s="118">
        <f t="shared" ca="1" si="67"/>
        <v>0.88700738798093237</v>
      </c>
      <c r="D40" s="118">
        <f t="shared" ca="1" si="67"/>
        <v>0.8816204750886506</v>
      </c>
      <c r="E40" s="118">
        <f t="shared" ca="1" si="67"/>
        <v>0.86787695447943225</v>
      </c>
      <c r="F40" s="118">
        <f t="shared" ca="1" si="67"/>
        <v>0.84957369450167275</v>
      </c>
      <c r="G40" s="118">
        <f t="shared" ca="1" si="67"/>
        <v>0.88986793662947228</v>
      </c>
      <c r="H40" s="118">
        <f t="shared" ca="1" si="67"/>
        <v>0.88149544431656857</v>
      </c>
      <c r="I40" s="118">
        <f t="shared" ca="1" si="67"/>
        <v>0.87823199236422766</v>
      </c>
      <c r="J40" s="118">
        <f t="shared" ca="1" si="67"/>
        <v>0.86278091536671353</v>
      </c>
      <c r="K40" s="118">
        <f t="shared" ca="1" si="67"/>
        <v>0.8408579505308561</v>
      </c>
      <c r="V40" s="145">
        <f t="shared" si="66"/>
        <v>2</v>
      </c>
      <c r="W40" s="3">
        <f>SMALL(ages, SUM($V$5:V40))</f>
        <v>72</v>
      </c>
      <c r="X40" s="118">
        <f ca="1">[1]!ldf(B$5:B$27, $A$5:$A$27, $W40, $A$27, 3)</f>
        <v>1.1150765729240411</v>
      </c>
      <c r="Y40" s="118">
        <f ca="1">[1]!ldf(C$5:C$27, $A$5:$A$27, $W40, $A$27, 3)</f>
        <v>1.093095495943573</v>
      </c>
      <c r="Z40" s="118">
        <f ca="1">[1]!ldf(D$5:D$27, $A$5:$A$27, $W40, $A$27, 3)</f>
        <v>1.0862221843651068</v>
      </c>
      <c r="AA40" s="118">
        <f ca="1">[1]!ldf(E$5:E$27, $A$5:$A$27, $W40, $A$27, 3)</f>
        <v>1.066210257639908</v>
      </c>
      <c r="AB40" s="118">
        <f ca="1">[1]!ldf(F$5:F$27, $A$5:$A$27, $W40, $A$27, 3)</f>
        <v>1.0532850010578596</v>
      </c>
      <c r="AC40" s="118">
        <f ca="1">[1]!ldf(G$5:G$27, $A$5:$A$27, $W40, $A$27, 3)</f>
        <v>1.2298231146562659</v>
      </c>
      <c r="AD40" s="118">
        <f ca="1">[1]!ldf(H$5:H$27, $A$5:$A$27, $W40, $A$27, 3)</f>
        <v>1.2041560653149772</v>
      </c>
      <c r="AE40" s="118">
        <f ca="1">[1]!ldf(I$5:I$27, $A$5:$A$27, $W40, $A$27, 3)</f>
        <v>1.193180204841001</v>
      </c>
      <c r="AF40" s="118">
        <f ca="1">[1]!ldf(J$5:J$27, $A$5:$A$27, $W40, $A$27, 3)</f>
        <v>1.159838247649885</v>
      </c>
      <c r="AG40" s="118">
        <f ca="1">[1]!ldf(K$5:K$27, $A$5:$A$27, $W40, $A$27, 3)</f>
        <v>1.136765181538524</v>
      </c>
      <c r="AH40" s="118">
        <f ca="1">[1]!ldf(L$5:L$27, $A$5:$A$27, $W40, $A$27, 3)</f>
        <v>1</v>
      </c>
      <c r="AI40" s="118">
        <f ca="1">[1]!ldf(M$5:M$27, $A$5:$A$27, $W40, $A$27, 3)</f>
        <v>1.4719493067955673</v>
      </c>
      <c r="AJ40" s="118">
        <f ca="1">[1]!ldf(N$5:N$27, $A$5:$A$27, $W40, $A$27, 3)</f>
        <v>1.4476957586363961</v>
      </c>
      <c r="AK40" s="118">
        <f ca="1">[1]!ldf(O$5:O$27, $A$5:$A$27, $W40, $A$27, 3)</f>
        <v>1.5916126536657231</v>
      </c>
      <c r="AL40" s="118">
        <f ca="1">[1]!ldf(P$5:P$27, $A$5:$A$27, $W40, $A$27, 3)</f>
        <v>1.5008148780390715</v>
      </c>
      <c r="AM40" s="118">
        <f ca="1">[1]!ldf(Q$5:Q$27, $A$5:$A$27, $W40, $A$27, 3)</f>
        <v>1.7041417993187591</v>
      </c>
      <c r="AN40" s="118">
        <f ca="1">[1]!ldf(R$5:R$27, $A$5:$A$27, $W40, $A$27, 3)</f>
        <v>1.6989960707902234</v>
      </c>
      <c r="AO40" s="118">
        <f ca="1">[1]!ldf(S$5:S$27, $A$5:$A$27, $W40, $A$27, 3)</f>
        <v>2.0300256099924709</v>
      </c>
      <c r="AP40" s="118">
        <f ca="1">[1]!ldf(T$5:T$27, $A$5:$A$27, $W40, $A$27, 3)</f>
        <v>1.91753921548521</v>
      </c>
    </row>
    <row r="41" spans="1:42" ht="12.75" customHeight="1" x14ac:dyDescent="0.2">
      <c r="A41" s="3" t="s">
        <v>486</v>
      </c>
      <c r="B41" s="120">
        <f t="shared" ref="B41:K41" ca="1" si="68">B40</f>
        <v>0.90743897086860847</v>
      </c>
      <c r="C41" s="120">
        <f t="shared" ca="1" si="68"/>
        <v>0.88700738798093237</v>
      </c>
      <c r="D41" s="120">
        <f t="shared" ca="1" si="68"/>
        <v>0.8816204750886506</v>
      </c>
      <c r="E41" s="120">
        <f t="shared" ca="1" si="68"/>
        <v>0.86787695447943225</v>
      </c>
      <c r="F41" s="120">
        <f t="shared" ca="1" si="68"/>
        <v>0.84957369450167275</v>
      </c>
      <c r="G41" s="120">
        <f t="shared" ca="1" si="68"/>
        <v>0.88986793662947228</v>
      </c>
      <c r="H41" s="120">
        <f t="shared" ca="1" si="68"/>
        <v>0.88149544431656857</v>
      </c>
      <c r="I41" s="120">
        <f t="shared" ca="1" si="68"/>
        <v>0.87823199236422766</v>
      </c>
      <c r="J41" s="120">
        <f t="shared" ca="1" si="68"/>
        <v>0.86278091536671353</v>
      </c>
      <c r="K41" s="120">
        <f t="shared" ca="1" si="68"/>
        <v>0.8408579505308561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145">
        <f t="shared" si="66"/>
        <v>1</v>
      </c>
      <c r="W41" s="3">
        <f>SMALL(ages, SUM($V$5:V41))</f>
        <v>73</v>
      </c>
      <c r="X41" s="118">
        <f ca="1">[1]!ldf(B$5:B$27, $A$5:$A$27, $W41, $A$27, 3)</f>
        <v>1.1137651113621356</v>
      </c>
      <c r="Y41" s="118">
        <f ca="1">[1]!ldf(C$5:C$27, $A$5:$A$27, $W41, $A$27, 3)</f>
        <v>1.0919058562608248</v>
      </c>
      <c r="Z41" s="118">
        <f ca="1">[1]!ldf(D$5:D$27, $A$5:$A$27, $W41, $A$27, 3)</f>
        <v>1.0850634935649213</v>
      </c>
      <c r="AA41" s="118">
        <f ca="1">[1]!ldf(E$5:E$27, $A$5:$A$27, $W41, $A$27, 3)</f>
        <v>1.0652103977864833</v>
      </c>
      <c r="AB41" s="118">
        <f ca="1">[1]!ldf(F$5:F$27, $A$5:$A$27, $W41, $A$27, 3)</f>
        <v>1.0523831383706141</v>
      </c>
      <c r="AC41" s="118">
        <f ca="1">[1]!ldf(G$5:G$27, $A$5:$A$27, $W41, $A$27, 3)</f>
        <v>1.2265700175951328</v>
      </c>
      <c r="AD41" s="118">
        <f ca="1">[1]!ldf(H$5:H$27, $A$5:$A$27, $W41, $A$27, 3)</f>
        <v>1.2010187698334924</v>
      </c>
      <c r="AE41" s="118">
        <f ca="1">[1]!ldf(I$5:I$27, $A$5:$A$27, $W41, $A$27, 3)</f>
        <v>1.1901074171601231</v>
      </c>
      <c r="AF41" s="118">
        <f ca="1">[1]!ldf(J$5:J$27, $A$5:$A$27, $W41, $A$27, 3)</f>
        <v>1.1569188723308887</v>
      </c>
      <c r="AG41" s="118">
        <f ca="1">[1]!ldf(K$5:K$27, $A$5:$A$27, $W41, $A$27, 3)</f>
        <v>1.1339326054312948</v>
      </c>
      <c r="AH41" s="118">
        <f ca="1">[1]!ldf(L$5:L$27, $A$5:$A$27, $W41, $A$27, 3)</f>
        <v>1</v>
      </c>
      <c r="AI41" s="118">
        <f ca="1">[1]!ldf(M$5:M$27, $A$5:$A$27, $W41, $A$27, 3)</f>
        <v>1.4677679231030318</v>
      </c>
      <c r="AJ41" s="118">
        <f ca="1">[1]!ldf(N$5:N$27, $A$5:$A$27, $W41, $A$27, 3)</f>
        <v>1.4439593824983772</v>
      </c>
      <c r="AK41" s="118">
        <f ca="1">[1]!ldf(O$5:O$27, $A$5:$A$27, $W41, $A$27, 3)</f>
        <v>1.5859055090799348</v>
      </c>
      <c r="AL41" s="118">
        <f ca="1">[1]!ldf(P$5:P$27, $A$5:$A$27, $W41, $A$27, 3)</f>
        <v>1.4959327873091304</v>
      </c>
      <c r="AM41" s="118">
        <f ca="1">[1]!ldf(Q$5:Q$27, $A$5:$A$27, $W41, $A$27, 3)</f>
        <v>1.698050267958751</v>
      </c>
      <c r="AN41" s="118">
        <f ca="1">[1]!ldf(R$5:R$27, $A$5:$A$27, $W41, $A$27, 3)</f>
        <v>1.6926579304911473</v>
      </c>
      <c r="AO41" s="118">
        <f ca="1">[1]!ldf(S$5:S$27, $A$5:$A$27, $W41, $A$27, 3)</f>
        <v>2.0207585887396942</v>
      </c>
      <c r="AP41" s="118">
        <f ca="1">[1]!ldf(T$5:T$27, $A$5:$A$27, $W41, $A$27, 3)</f>
        <v>1.9093722870760053</v>
      </c>
    </row>
    <row r="42" spans="1:42" ht="12.75" customHeight="1" x14ac:dyDescent="0.2">
      <c r="V42" s="145">
        <f t="shared" si="66"/>
        <v>2</v>
      </c>
      <c r="W42" s="3">
        <f>SMALL(ages, SUM($V$5:V42))</f>
        <v>75</v>
      </c>
      <c r="X42" s="118">
        <f ca="1">[1]!ldf(B$5:B$27, $A$5:$A$27, $W42, $A$27, 3)</f>
        <v>1.1111890442962908</v>
      </c>
      <c r="Y42" s="118">
        <f ca="1">[1]!ldf(C$5:C$27, $A$5:$A$27, $W42, $A$27, 3)</f>
        <v>1.0895738232876928</v>
      </c>
      <c r="Z42" s="118">
        <f ca="1">[1]!ldf(D$5:D$27, $A$5:$A$27, $W42, $A$27, 3)</f>
        <v>1.0827943649132838</v>
      </c>
      <c r="AA42" s="118">
        <f ca="1">[1]!ldf(E$5:E$27, $A$5:$A$27, $W42, $A$27, 3)</f>
        <v>1.0632570711391229</v>
      </c>
      <c r="AB42" s="118">
        <f ca="1">[1]!ldf(F$5:F$27, $A$5:$A$27, $W42, $A$27, 3)</f>
        <v>1.050626032942003</v>
      </c>
      <c r="AC42" s="118">
        <f ca="1">[1]!ldf(G$5:G$27, $A$5:$A$27, $W42, $A$27, 3)</f>
        <v>1.2202132213153327</v>
      </c>
      <c r="AD42" s="118">
        <f ca="1">[1]!ldf(H$5:H$27, $A$5:$A$27, $W42, $A$27, 3)</f>
        <v>1.1948993783389117</v>
      </c>
      <c r="AE42" s="118">
        <f ca="1">[1]!ldf(I$5:I$27, $A$5:$A$27, $W42, $A$27, 3)</f>
        <v>1.1841186377267463</v>
      </c>
      <c r="AF42" s="118">
        <f ca="1">[1]!ldf(J$5:J$27, $A$5:$A$27, $W42, $A$27, 3)</f>
        <v>1.1512492403617074</v>
      </c>
      <c r="AG42" s="118">
        <f ca="1">[1]!ldf(K$5:K$27, $A$5:$A$27, $W42, $A$27, 3)</f>
        <v>1.1284519184443003</v>
      </c>
      <c r="AH42" s="118">
        <f ca="1">[1]!ldf(L$5:L$27, $A$5:$A$27, $W42, $A$27, 3)</f>
        <v>1</v>
      </c>
      <c r="AI42" s="118">
        <f ca="1">[1]!ldf(M$5:M$27, $A$5:$A$27, $W42, $A$27, 3)</f>
        <v>1.4595321879003269</v>
      </c>
      <c r="AJ42" s="118">
        <f ca="1">[1]!ldf(N$5:N$27, $A$5:$A$27, $W42, $A$27, 3)</f>
        <v>1.4365931472072959</v>
      </c>
      <c r="AK42" s="118">
        <f ca="1">[1]!ldf(O$5:O$27, $A$5:$A$27, $W42, $A$27, 3)</f>
        <v>1.5746833620934919</v>
      </c>
      <c r="AL42" s="118">
        <f ca="1">[1]!ldf(P$5:P$27, $A$5:$A$27, $W42, $A$27, 3)</f>
        <v>1.4863324750289209</v>
      </c>
      <c r="AM42" s="118">
        <f ca="1">[1]!ldf(Q$5:Q$27, $A$5:$A$27, $W42, $A$27, 3)</f>
        <v>1.6860538517676473</v>
      </c>
      <c r="AN42" s="118">
        <f ca="1">[1]!ldf(R$5:R$27, $A$5:$A$27, $W42, $A$27, 3)</f>
        <v>1.6801850192890257</v>
      </c>
      <c r="AO42" s="118">
        <f ca="1">[1]!ldf(S$5:S$27, $A$5:$A$27, $W42, $A$27, 3)</f>
        <v>2.0025284974829782</v>
      </c>
      <c r="AP42" s="118">
        <f ca="1">[1]!ldf(T$5:T$27, $A$5:$A$27, $W42, $A$27, 3)</f>
        <v>1.8933012114191428</v>
      </c>
    </row>
    <row r="43" spans="1:42" ht="12.75" customHeight="1" x14ac:dyDescent="0.2">
      <c r="V43" s="145">
        <f t="shared" si="66"/>
        <v>2</v>
      </c>
      <c r="W43" s="3">
        <f>SMALL(ages, SUM($V$5:V43))</f>
        <v>76</v>
      </c>
      <c r="X43" s="118">
        <f ca="1">[1]!ldf(B$5:B$27, $A$5:$A$27, $W43, $A$27, 3)</f>
        <v>1.1099240341486714</v>
      </c>
      <c r="Y43" s="118">
        <f ca="1">[1]!ldf(C$5:C$27, $A$5:$A$27, $W43, $A$27, 3)</f>
        <v>1.0884309819556932</v>
      </c>
      <c r="Z43" s="118">
        <f ca="1">[1]!ldf(D$5:D$27, $A$5:$A$27, $W43, $A$27, 3)</f>
        <v>1.0816834491980232</v>
      </c>
      <c r="AA43" s="118">
        <f ca="1">[1]!ldf(E$5:E$27, $A$5:$A$27, $W43, $A$27, 3)</f>
        <v>1.0623030988643321</v>
      </c>
      <c r="AB43" s="118">
        <f ca="1">[1]!ldf(F$5:F$27, $A$5:$A$27, $W43, $A$27, 3)</f>
        <v>1.0497702292505613</v>
      </c>
      <c r="AC43" s="118">
        <f ca="1">[1]!ldf(G$5:G$27, $A$5:$A$27, $W43, $A$27, 3)</f>
        <v>1.2171077850307599</v>
      </c>
      <c r="AD43" s="118">
        <f ca="1">[1]!ldf(H$5:H$27, $A$5:$A$27, $W43, $A$27, 3)</f>
        <v>1.1919153553070652</v>
      </c>
      <c r="AE43" s="118">
        <f ca="1">[1]!ldf(I$5:I$27, $A$5:$A$27, $W43, $A$27, 3)</f>
        <v>1.181200645803274</v>
      </c>
      <c r="AF43" s="118">
        <f ca="1">[1]!ldf(J$5:J$27, $A$5:$A$27, $W43, $A$27, 3)</f>
        <v>1.1484965669609764</v>
      </c>
      <c r="AG43" s="118">
        <f ca="1">[1]!ldf(K$5:K$27, $A$5:$A$27, $W43, $A$27, 3)</f>
        <v>1.1258008749001525</v>
      </c>
      <c r="AH43" s="118">
        <f ca="1">[1]!ldf(L$5:L$27, $A$5:$A$27, $W43, $A$27, 3)</f>
        <v>1</v>
      </c>
      <c r="AI43" s="118">
        <f ca="1">[1]!ldf(M$5:M$27, $A$5:$A$27, $W43, $A$27, 3)</f>
        <v>1.4554768084929113</v>
      </c>
      <c r="AJ43" s="118">
        <f ca="1">[1]!ldf(N$5:N$27, $A$5:$A$27, $W43, $A$27, 3)</f>
        <v>1.4329624818165412</v>
      </c>
      <c r="AK43" s="118">
        <f ca="1">[1]!ldf(O$5:O$27, $A$5:$A$27, $W43, $A$27, 3)</f>
        <v>1.5691666149166617</v>
      </c>
      <c r="AL43" s="118">
        <f ca="1">[1]!ldf(P$5:P$27, $A$5:$A$27, $W43, $A$27, 3)</f>
        <v>1.4816127835939432</v>
      </c>
      <c r="AM43" s="118">
        <f ca="1">[1]!ldf(Q$5:Q$27, $A$5:$A$27, $W43, $A$27, 3)</f>
        <v>1.680147411153726</v>
      </c>
      <c r="AN43" s="118">
        <f ca="1">[1]!ldf(R$5:R$27, $A$5:$A$27, $W43, $A$27, 3)</f>
        <v>1.6740484739477033</v>
      </c>
      <c r="AO43" s="118">
        <f ca="1">[1]!ldf(S$5:S$27, $A$5:$A$27, $W43, $A$27, 3)</f>
        <v>1.9935626802959909</v>
      </c>
      <c r="AP43" s="118">
        <f ca="1">[1]!ldf(T$5:T$27, $A$5:$A$27, $W43, $A$27, 3)</f>
        <v>1.8853947414808712</v>
      </c>
    </row>
    <row r="44" spans="1:42" ht="12.75" customHeight="1" x14ac:dyDescent="0.2">
      <c r="V44" s="145">
        <f t="shared" si="66"/>
        <v>1</v>
      </c>
      <c r="W44" s="3">
        <f>SMALL(ages, SUM($V$5:V44))</f>
        <v>79</v>
      </c>
      <c r="X44" s="118">
        <f ca="1">[1]!ldf(B$5:B$27, $A$5:$A$27, $W44, $A$27, 3)</f>
        <v>1.1062187312594194</v>
      </c>
      <c r="Y44" s="118">
        <f ca="1">[1]!ldf(C$5:C$27, $A$5:$A$27, $W44, $A$27, 3)</f>
        <v>1.085092544468899</v>
      </c>
      <c r="Z44" s="118">
        <f ca="1">[1]!ldf(D$5:D$27, $A$5:$A$27, $W44, $A$27, 3)</f>
        <v>1.0784425114522491</v>
      </c>
      <c r="AA44" s="118">
        <f ca="1">[1]!ldf(E$5:E$27, $A$5:$A$27, $W44, $A$27, 3)</f>
        <v>1.0595290073165606</v>
      </c>
      <c r="AB44" s="118">
        <f ca="1">[1]!ldf(F$5:F$27, $A$5:$A$27, $W44, $A$27, 3)</f>
        <v>1.0472905621991944</v>
      </c>
      <c r="AC44" s="118">
        <f ca="1">[1]!ldf(G$5:G$27, $A$5:$A$27, $W44, $A$27, 3)</f>
        <v>1.208073272411448</v>
      </c>
      <c r="AD44" s="118">
        <f ca="1">[1]!ldf(H$5:H$27, $A$5:$A$27, $W44, $A$27, 3)</f>
        <v>1.1832548516129522</v>
      </c>
      <c r="AE44" s="118">
        <f ca="1">[1]!ldf(I$5:I$27, $A$5:$A$27, $W44, $A$27, 3)</f>
        <v>1.1727407242287986</v>
      </c>
      <c r="AF44" s="118">
        <f ca="1">[1]!ldf(J$5:J$27, $A$5:$A$27, $W44, $A$27, 3)</f>
        <v>1.140553236703123</v>
      </c>
      <c r="AG44" s="118">
        <f ca="1">[1]!ldf(K$5:K$27, $A$5:$A$27, $W44, $A$27, 3)</f>
        <v>1.1181881757125443</v>
      </c>
      <c r="AH44" s="118">
        <f ca="1">[1]!ldf(L$5:L$27, $A$5:$A$27, $W44, $A$27, 3)</f>
        <v>1</v>
      </c>
      <c r="AI44" s="118">
        <f ca="1">[1]!ldf(M$5:M$27, $A$5:$A$27, $W44, $A$27, 3)</f>
        <v>1.4435546129069643</v>
      </c>
      <c r="AJ44" s="118">
        <f ca="1">[1]!ldf(N$5:N$27, $A$5:$A$27, $W44, $A$27, 3)</f>
        <v>1.4222755725751506</v>
      </c>
      <c r="AK44" s="118">
        <f ca="1">[1]!ldf(O$5:O$27, $A$5:$A$27, $W44, $A$27, 3)</f>
        <v>1.5529835099098801</v>
      </c>
      <c r="AL44" s="118">
        <f ca="1">[1]!ldf(P$5:P$27, $A$5:$A$27, $W44, $A$27, 3)</f>
        <v>1.4677669980219195</v>
      </c>
      <c r="AM44" s="118">
        <f ca="1">[1]!ldf(Q$5:Q$27, $A$5:$A$27, $W44, $A$27, 3)</f>
        <v>1.6627860703289574</v>
      </c>
      <c r="AN44" s="118">
        <f ca="1">[1]!ldf(R$5:R$27, $A$5:$A$27, $W44, $A$27, 3)</f>
        <v>1.6560281256446194</v>
      </c>
      <c r="AO44" s="118">
        <f ca="1">[1]!ldf(S$5:S$27, $A$5:$A$27, $W44, $A$27, 3)</f>
        <v>1.9672461283489513</v>
      </c>
      <c r="AP44" s="118">
        <f ca="1">[1]!ldf(T$5:T$27, $A$5:$A$27, $W44, $A$27, 3)</f>
        <v>1.8621780554017611</v>
      </c>
    </row>
    <row r="45" spans="1:42" ht="12.75" customHeight="1" x14ac:dyDescent="0.2">
      <c r="V45" s="145">
        <f t="shared" si="66"/>
        <v>3</v>
      </c>
      <c r="W45" s="3">
        <f>SMALL(ages, SUM($V$5:V45))</f>
        <v>81</v>
      </c>
      <c r="X45" s="118">
        <f ca="1">[1]!ldf(B$5:B$27, $A$5:$A$27, $W45, $A$27, 3)</f>
        <v>1.1038213877707321</v>
      </c>
      <c r="Y45" s="118">
        <f ca="1">[1]!ldf(C$5:C$27, $A$5:$A$27, $W45, $A$27, 3)</f>
        <v>1.0829398814492823</v>
      </c>
      <c r="Z45" s="118">
        <f ca="1">[1]!ldf(D$5:D$27, $A$5:$A$27, $W45, $A$27, 3)</f>
        <v>1.0763561488400799</v>
      </c>
      <c r="AA45" s="118">
        <f ca="1">[1]!ldf(E$5:E$27, $A$5:$A$27, $W45, $A$27, 3)</f>
        <v>1.0577504378534994</v>
      </c>
      <c r="AB45" s="118">
        <f ca="1">[1]!ldf(F$5:F$27, $A$5:$A$27, $W45, $A$27, 3)</f>
        <v>1.0457079648259651</v>
      </c>
      <c r="AC45" s="118">
        <f ca="1">[1]!ldf(G$5:G$27, $A$5:$A$27, $W45, $A$27, 3)</f>
        <v>1.2022770564636736</v>
      </c>
      <c r="AD45" s="118">
        <f ca="1">[1]!ldf(H$5:H$27, $A$5:$A$27, $W45, $A$27, 3)</f>
        <v>1.177715279278881</v>
      </c>
      <c r="AE45" s="118">
        <f ca="1">[1]!ldf(I$5:I$27, $A$5:$A$27, $W45, $A$27, 3)</f>
        <v>1.1673366288114906</v>
      </c>
      <c r="AF45" s="118">
        <f ca="1">[1]!ldf(J$5:J$27, $A$5:$A$27, $W45, $A$27, 3)</f>
        <v>1.1355089180166862</v>
      </c>
      <c r="AG45" s="118">
        <f ca="1">[1]!ldf(K$5:K$27, $A$5:$A$27, $W45, $A$27, 3)</f>
        <v>1.1133835060281283</v>
      </c>
      <c r="AH45" s="118">
        <f ca="1">[1]!ldf(L$5:L$27, $A$5:$A$27, $W45, $A$27, 3)</f>
        <v>1</v>
      </c>
      <c r="AI45" s="118">
        <f ca="1">[1]!ldf(M$5:M$27, $A$5:$A$27, $W45, $A$27, 3)</f>
        <v>1.4358049047266115</v>
      </c>
      <c r="AJ45" s="118">
        <f ca="1">[1]!ldf(N$5:N$27, $A$5:$A$27, $W45, $A$27, 3)</f>
        <v>1.4153180437851418</v>
      </c>
      <c r="AK45" s="118">
        <f ca="1">[1]!ldf(O$5:O$27, $A$5:$A$27, $W45, $A$27, 3)</f>
        <v>1.5424925221485621</v>
      </c>
      <c r="AL45" s="118">
        <f ca="1">[1]!ldf(P$5:P$27, $A$5:$A$27, $W45, $A$27, 3)</f>
        <v>1.4587906357484421</v>
      </c>
      <c r="AM45" s="118">
        <f ca="1">[1]!ldf(Q$5:Q$27, $A$5:$A$27, $W45, $A$27, 3)</f>
        <v>1.6515028132001621</v>
      </c>
      <c r="AN45" s="118">
        <f ca="1">[1]!ldf(R$5:R$27, $A$5:$A$27, $W45, $A$27, 3)</f>
        <v>1.6443306088606431</v>
      </c>
      <c r="AO45" s="118">
        <f ca="1">[1]!ldf(S$5:S$27, $A$5:$A$27, $W45, $A$27, 3)</f>
        <v>1.9501729297062134</v>
      </c>
      <c r="AP45" s="118">
        <f ca="1">[1]!ldf(T$5:T$27, $A$5:$A$27, $W45, $A$27, 3)</f>
        <v>1.8471082687633147</v>
      </c>
    </row>
    <row r="46" spans="1:42" ht="12.75" customHeight="1" x14ac:dyDescent="0.2">
      <c r="V46" s="145">
        <f t="shared" si="66"/>
        <v>2</v>
      </c>
      <c r="W46" s="3">
        <f>SMALL(ages, SUM($V$5:V46))</f>
        <v>84</v>
      </c>
      <c r="X46" s="118">
        <f ca="1">[1]!ldf(B$5:B$27, $A$5:$A$27, $W46, $A$27, 3)</f>
        <v>1.1003309549504574</v>
      </c>
      <c r="Y46" s="118">
        <f ca="1">[1]!ldf(C$5:C$27, $A$5:$A$27, $W46, $A$27, 3)</f>
        <v>1.0798162572509113</v>
      </c>
      <c r="Z46" s="118">
        <f ca="1">[1]!ldf(D$5:D$27, $A$5:$A$27, $W46, $A$27, 3)</f>
        <v>1.0733336713056336</v>
      </c>
      <c r="AA46" s="118">
        <f ca="1">[1]!ldf(E$5:E$27, $A$5:$A$27, $W46, $A$27, 3)</f>
        <v>1.0551842810144474</v>
      </c>
      <c r="AB46" s="118">
        <f ca="1">[1]!ldf(F$5:F$27, $A$5:$A$27, $W46, $A$27, 3)</f>
        <v>1.0434348508271418</v>
      </c>
      <c r="AC46" s="118">
        <f ca="1">[1]!ldf(G$5:G$27, $A$5:$A$27, $W46, $A$27, 3)</f>
        <v>1.1939075671784933</v>
      </c>
      <c r="AD46" s="118">
        <f ca="1">[1]!ldf(H$5:H$27, $A$5:$A$27, $W46, $A$27, 3)</f>
        <v>1.1697401608927429</v>
      </c>
      <c r="AE46" s="118">
        <f ca="1">[1]!ldf(I$5:I$27, $A$5:$A$27, $W46, $A$27, 3)</f>
        <v>1.1595667728558359</v>
      </c>
      <c r="AF46" s="118">
        <f ca="1">[1]!ldf(J$5:J$27, $A$5:$A$27, $W46, $A$27, 3)</f>
        <v>1.1282984609713769</v>
      </c>
      <c r="AG46" s="118">
        <f ca="1">[1]!ldf(K$5:K$27, $A$5:$A$27, $W46, $A$27, 3)</f>
        <v>1.1065572971283932</v>
      </c>
      <c r="AH46" s="118">
        <f ca="1">[1]!ldf(L$5:L$27, $A$5:$A$27, $W46, $A$27, 3)</f>
        <v>1</v>
      </c>
      <c r="AI46" s="118">
        <f ca="1">[1]!ldf(M$5:M$27, $A$5:$A$27, $W46, $A$27, 3)</f>
        <v>1.4244685634473315</v>
      </c>
      <c r="AJ46" s="118">
        <f ca="1">[1]!ldf(N$5:N$27, $A$5:$A$27, $W46, $A$27, 3)</f>
        <v>1.4051249414354707</v>
      </c>
      <c r="AK46" s="118">
        <f ca="1">[1]!ldf(O$5:O$27, $A$5:$A$27, $W46, $A$27, 3)</f>
        <v>1.5271868619673998</v>
      </c>
      <c r="AL46" s="118">
        <f ca="1">[1]!ldf(P$5:P$27, $A$5:$A$27, $W46, $A$27, 3)</f>
        <v>1.4456940039216988</v>
      </c>
      <c r="AM46" s="118">
        <f ca="1">[1]!ldf(Q$5:Q$27, $A$5:$A$27, $W46, $A$27, 3)</f>
        <v>1.6350001781938572</v>
      </c>
      <c r="AN46" s="118">
        <f ca="1">[1]!ldf(R$5:R$27, $A$5:$A$27, $W46, $A$27, 3)</f>
        <v>1.6272422747232049</v>
      </c>
      <c r="AO46" s="118">
        <f ca="1">[1]!ldf(S$5:S$27, $A$5:$A$27, $W46, $A$27, 3)</f>
        <v>1.9252449891088006</v>
      </c>
      <c r="AP46" s="118">
        <f ca="1">[1]!ldf(T$5:T$27, $A$5:$A$27, $W46, $A$27, 3)</f>
        <v>1.8250945020318243</v>
      </c>
    </row>
    <row r="47" spans="1:42" ht="12.75" customHeight="1" x14ac:dyDescent="0.2">
      <c r="V47" s="145">
        <f t="shared" si="66"/>
        <v>1</v>
      </c>
      <c r="W47" s="3">
        <f>SMALL(ages, SUM($V$5:V47))</f>
        <v>85</v>
      </c>
      <c r="X47" s="118">
        <f ca="1">[1]!ldf(B$5:B$27, $A$5:$A$27, $W47, $A$27, 3)</f>
        <v>1.0993420380388197</v>
      </c>
      <c r="Y47" s="118">
        <f ca="1">[1]!ldf(C$5:C$27, $A$5:$A$27, $W47, $A$27, 3)</f>
        <v>1.0788948246061678</v>
      </c>
      <c r="Z47" s="118">
        <f ca="1">[1]!ldf(D$5:D$27, $A$5:$A$27, $W47, $A$27, 3)</f>
        <v>1.0724324850186981</v>
      </c>
      <c r="AA47" s="118">
        <f ca="1">[1]!ldf(E$5:E$27, $A$5:$A$27, $W47, $A$27, 3)</f>
        <v>1.0544058331073298</v>
      </c>
      <c r="AB47" s="118">
        <f ca="1">[1]!ldf(F$5:F$27, $A$5:$A$27, $W47, $A$27, 3)</f>
        <v>1.0427302850318796</v>
      </c>
      <c r="AC47" s="118">
        <f ca="1">[1]!ldf(G$5:G$27, $A$5:$A$27, $W47, $A$27, 3)</f>
        <v>1.1914749564309248</v>
      </c>
      <c r="AD47" s="118">
        <f ca="1">[1]!ldf(H$5:H$27, $A$5:$A$27, $W47, $A$27, 3)</f>
        <v>1.1674622247562345</v>
      </c>
      <c r="AE47" s="118">
        <f ca="1">[1]!ldf(I$5:I$27, $A$5:$A$27, $W47, $A$27, 3)</f>
        <v>1.157355268259016</v>
      </c>
      <c r="AF47" s="118">
        <f ca="1">[1]!ldf(J$5:J$27, $A$5:$A$27, $W47, $A$27, 3)</f>
        <v>1.1263749425574712</v>
      </c>
      <c r="AG47" s="118">
        <f ca="1">[1]!ldf(K$5:K$27, $A$5:$A$27, $W47, $A$27, 3)</f>
        <v>1.1048397849514171</v>
      </c>
      <c r="AH47" s="118">
        <f ca="1">[1]!ldf(L$5:L$27, $A$5:$A$27, $W47, $A$27, 3)</f>
        <v>1</v>
      </c>
      <c r="AI47" s="118">
        <f ca="1">[1]!ldf(M$5:M$27, $A$5:$A$27, $W47, $A$27, 3)</f>
        <v>1.4219134748921842</v>
      </c>
      <c r="AJ47" s="118">
        <f ca="1">[1]!ldf(N$5:N$27, $A$5:$A$27, $W47, $A$27, 3)</f>
        <v>1.4027501653810137</v>
      </c>
      <c r="AK47" s="118">
        <f ca="1">[1]!ldf(O$5:O$27, $A$5:$A$27, $W47, $A$27, 3)</f>
        <v>1.5233442351051065</v>
      </c>
      <c r="AL47" s="118">
        <f ca="1">[1]!ldf(P$5:P$27, $A$5:$A$27, $W47, $A$27, 3)</f>
        <v>1.4423086092470989</v>
      </c>
      <c r="AM47" s="118">
        <f ca="1">[1]!ldf(Q$5:Q$27, $A$5:$A$27, $W47, $A$27, 3)</f>
        <v>1.6288530823719358</v>
      </c>
      <c r="AN47" s="118">
        <f ca="1">[1]!ldf(R$5:R$27, $A$5:$A$27, $W47, $A$27, 3)</f>
        <v>1.6211193207740642</v>
      </c>
      <c r="AO47" s="118">
        <f ca="1">[1]!ldf(S$5:S$27, $A$5:$A$27, $W47, $A$27, 3)</f>
        <v>1.9140210752485993</v>
      </c>
      <c r="AP47" s="118">
        <f ca="1">[1]!ldf(T$5:T$27, $A$5:$A$27, $W47, $A$27, 3)</f>
        <v>1.8148474681966622</v>
      </c>
    </row>
    <row r="48" spans="1:42" ht="12.75" customHeight="1" x14ac:dyDescent="0.2">
      <c r="V48" s="145">
        <f t="shared" si="66"/>
        <v>2</v>
      </c>
      <c r="W48" s="3">
        <f>SMALL(ages, SUM($V$5:V48))</f>
        <v>87</v>
      </c>
      <c r="X48" s="118">
        <f ca="1">[1]!ldf(B$5:B$27, $A$5:$A$27, $W48, $A$27, 3)</f>
        <v>1.0973946202547098</v>
      </c>
      <c r="Y48" s="118">
        <f ca="1">[1]!ldf(C$5:C$27, $A$5:$A$27, $W48, $A$27, 3)</f>
        <v>1.077084869591304</v>
      </c>
      <c r="Z48" s="118">
        <f ca="1">[1]!ldf(D$5:D$27, $A$5:$A$27, $W48, $A$27, 3)</f>
        <v>1.0706642769649521</v>
      </c>
      <c r="AA48" s="118">
        <f ca="1">[1]!ldf(E$5:E$27, $A$5:$A$27, $W48, $A$27, 3)</f>
        <v>1.0528825402310331</v>
      </c>
      <c r="AB48" s="118">
        <f ca="1">[1]!ldf(F$5:F$27, $A$5:$A$27, $W48, $A$27, 3)</f>
        <v>1.0413559261086165</v>
      </c>
      <c r="AC48" s="118">
        <f ca="1">[1]!ldf(G$5:G$27, $A$5:$A$27, $W48, $A$27, 3)</f>
        <v>1.1867078337241062</v>
      </c>
      <c r="AD48" s="118">
        <f ca="1">[1]!ldf(H$5:H$27, $A$5:$A$27, $W48, $A$27, 3)</f>
        <v>1.1630038570461156</v>
      </c>
      <c r="AE48" s="118">
        <f ca="1">[1]!ldf(I$5:I$27, $A$5:$A$27, $W48, $A$27, 3)</f>
        <v>1.1530296836049279</v>
      </c>
      <c r="AF48" s="118">
        <f ca="1">[1]!ldf(J$5:J$27, $A$5:$A$27, $W48, $A$27, 3)</f>
        <v>1.1226185778041042</v>
      </c>
      <c r="AG48" s="118">
        <f ca="1">[1]!ldf(K$5:K$27, $A$5:$A$27, $W48, $A$27, 3)</f>
        <v>1.1014910924407169</v>
      </c>
      <c r="AH48" s="118">
        <f ca="1">[1]!ldf(L$5:L$27, $A$5:$A$27, $W48, $A$27, 3)</f>
        <v>1</v>
      </c>
      <c r="AI48" s="118">
        <f ca="1">[1]!ldf(M$5:M$27, $A$5:$A$27, $W48, $A$27, 3)</f>
        <v>1.4168556964730863</v>
      </c>
      <c r="AJ48" s="118">
        <f ca="1">[1]!ldf(N$5:N$27, $A$5:$A$27, $W48, $A$27, 3)</f>
        <v>1.398047870248605</v>
      </c>
      <c r="AK48" s="118">
        <f ca="1">[1]!ldf(O$5:O$27, $A$5:$A$27, $W48, $A$27, 3)</f>
        <v>1.5157559874407602</v>
      </c>
      <c r="AL48" s="118">
        <f ca="1">[1]!ldf(P$5:P$27, $A$5:$A$27, $W48, $A$27, 3)</f>
        <v>1.435625671450633</v>
      </c>
      <c r="AM48" s="118">
        <f ca="1">[1]!ldf(Q$5:Q$27, $A$5:$A$27, $W48, $A$27, 3)</f>
        <v>1.6167677515673391</v>
      </c>
      <c r="AN48" s="118">
        <f ca="1">[1]!ldf(R$5:R$27, $A$5:$A$27, $W48, $A$27, 3)</f>
        <v>1.6090829792364956</v>
      </c>
      <c r="AO48" s="118">
        <f ca="1">[1]!ldf(S$5:S$27, $A$5:$A$27, $W48, $A$27, 3)</f>
        <v>1.892064497520572</v>
      </c>
      <c r="AP48" s="118">
        <f ca="1">[1]!ldf(T$5:T$27, $A$5:$A$27, $W48, $A$27, 3)</f>
        <v>1.7948084791894896</v>
      </c>
    </row>
    <row r="49" spans="22:42" ht="12.75" customHeight="1" x14ac:dyDescent="0.2">
      <c r="V49" s="145">
        <f t="shared" si="66"/>
        <v>2</v>
      </c>
      <c r="W49" s="3">
        <f>SMALL(ages, SUM($V$5:V49))</f>
        <v>88</v>
      </c>
      <c r="X49" s="118">
        <f ca="1">[1]!ldf(B$5:B$27, $A$5:$A$27, $W49, $A$27, 3)</f>
        <v>1.0964358950468513</v>
      </c>
      <c r="Y49" s="118">
        <f ca="1">[1]!ldf(C$5:C$27, $A$5:$A$27, $W49, $A$27, 3)</f>
        <v>1.0761960687757308</v>
      </c>
      <c r="Z49" s="118">
        <f ca="1">[1]!ldf(D$5:D$27, $A$5:$A$27, $W49, $A$27, 3)</f>
        <v>1.0697969496419342</v>
      </c>
      <c r="AA49" s="118">
        <f ca="1">[1]!ldf(E$5:E$27, $A$5:$A$27, $W49, $A$27, 3)</f>
        <v>1.0521373572051311</v>
      </c>
      <c r="AB49" s="118">
        <f ca="1">[1]!ldf(F$5:F$27, $A$5:$A$27, $W49, $A$27, 3)</f>
        <v>1.0406857363678101</v>
      </c>
      <c r="AC49" s="118">
        <f ca="1">[1]!ldf(G$5:G$27, $A$5:$A$27, $W49, $A$27, 3)</f>
        <v>1.184372332054082</v>
      </c>
      <c r="AD49" s="118">
        <f ca="1">[1]!ldf(H$5:H$27, $A$5:$A$27, $W49, $A$27, 3)</f>
        <v>1.1608223911157265</v>
      </c>
      <c r="AE49" s="118">
        <f ca="1">[1]!ldf(I$5:I$27, $A$5:$A$27, $W49, $A$27, 3)</f>
        <v>1.1509145443996656</v>
      </c>
      <c r="AF49" s="118">
        <f ca="1">[1]!ldf(J$5:J$27, $A$5:$A$27, $W49, $A$27, 3)</f>
        <v>1.1207846917059556</v>
      </c>
      <c r="AG49" s="118">
        <f ca="1">[1]!ldf(K$5:K$27, $A$5:$A$27, $W49, $A$27, 3)</f>
        <v>1.0998588682408805</v>
      </c>
      <c r="AH49" s="118">
        <f ca="1">[1]!ldf(L$5:L$27, $A$5:$A$27, $W49, $A$27, 3)</f>
        <v>1</v>
      </c>
      <c r="AI49" s="118">
        <f ca="1">[1]!ldf(M$5:M$27, $A$5:$A$27, $W49, $A$27, 3)</f>
        <v>1.4143527221169658</v>
      </c>
      <c r="AJ49" s="118">
        <f ca="1">[1]!ldf(N$5:N$27, $A$5:$A$27, $W49, $A$27, 3)</f>
        <v>1.3957201029510067</v>
      </c>
      <c r="AK49" s="118">
        <f ca="1">[1]!ldf(O$5:O$27, $A$5:$A$27, $W49, $A$27, 3)</f>
        <v>1.5120097098759631</v>
      </c>
      <c r="AL49" s="118">
        <f ca="1">[1]!ldf(P$5:P$27, $A$5:$A$27, $W49, $A$27, 3)</f>
        <v>1.4323275231006827</v>
      </c>
      <c r="AM49" s="118">
        <f ca="1">[1]!ldf(Q$5:Q$27, $A$5:$A$27, $W49, $A$27, 3)</f>
        <v>1.6108275957148306</v>
      </c>
      <c r="AN49" s="118">
        <f ca="1">[1]!ldf(R$5:R$27, $A$5:$A$27, $W49, $A$27, 3)</f>
        <v>1.6031676513594575</v>
      </c>
      <c r="AO49" s="118">
        <f ca="1">[1]!ldf(S$5:S$27, $A$5:$A$27, $W49, $A$27, 3)</f>
        <v>1.8813259303668117</v>
      </c>
      <c r="AP49" s="118">
        <f ca="1">[1]!ldf(T$5:T$27, $A$5:$A$27, $W49, $A$27, 3)</f>
        <v>1.7850109963125711</v>
      </c>
    </row>
    <row r="50" spans="22:42" ht="12.75" customHeight="1" x14ac:dyDescent="0.2">
      <c r="V50" s="145">
        <f t="shared" si="66"/>
        <v>1</v>
      </c>
      <c r="W50" s="3">
        <f>SMALL(ages, SUM($V$5:V50))</f>
        <v>91</v>
      </c>
      <c r="X50" s="118">
        <f ca="1">[1]!ldf(B$5:B$27, $A$5:$A$27, $W50, $A$27, 3)</f>
        <v>1.0936183372277593</v>
      </c>
      <c r="Y50" s="118">
        <f ca="1">[1]!ldf(C$5:C$27, $A$5:$A$27, $W50, $A$27, 3)</f>
        <v>1.0735927431800545</v>
      </c>
      <c r="Z50" s="118">
        <f ca="1">[1]!ldf(D$5:D$27, $A$5:$A$27, $W50, $A$27, 3)</f>
        <v>1.0672602881575739</v>
      </c>
      <c r="AA50" s="118">
        <f ca="1">[1]!ldf(E$5:E$27, $A$5:$A$27, $W50, $A$27, 3)</f>
        <v>1.0499656909112034</v>
      </c>
      <c r="AB50" s="118">
        <f ca="1">[1]!ldf(F$5:F$27, $A$5:$A$27, $W50, $A$27, 3)</f>
        <v>1.0387408217631124</v>
      </c>
      <c r="AC50" s="118">
        <f ca="1">[1]!ldf(G$5:G$27, $A$5:$A$27, $W50, $A$27, 3)</f>
        <v>1.1775523097393084</v>
      </c>
      <c r="AD50" s="118">
        <f ca="1">[1]!ldf(H$5:H$27, $A$5:$A$27, $W50, $A$27, 3)</f>
        <v>1.1544628574849585</v>
      </c>
      <c r="AE50" s="118">
        <f ca="1">[1]!ldf(I$5:I$27, $A$5:$A$27, $W50, $A$27, 3)</f>
        <v>1.1447535919563931</v>
      </c>
      <c r="AF50" s="118">
        <f ca="1">[1]!ldf(J$5:J$27, $A$5:$A$27, $W50, $A$27, 3)</f>
        <v>1.115454191869595</v>
      </c>
      <c r="AG50" s="118">
        <f ca="1">[1]!ldf(K$5:K$27, $A$5:$A$27, $W50, $A$27, 3)</f>
        <v>1.0951246421749394</v>
      </c>
      <c r="AH50" s="118">
        <f ca="1">[1]!ldf(L$5:L$27, $A$5:$A$27, $W50, $A$27, 3)</f>
        <v>1</v>
      </c>
      <c r="AI50" s="118">
        <f ca="1">[1]!ldf(M$5:M$27, $A$5:$A$27, $W50, $A$27, 3)</f>
        <v>1.4069457807465651</v>
      </c>
      <c r="AJ50" s="118">
        <f ca="1">[1]!ldf(N$5:N$27, $A$5:$A$27, $W50, $A$27, 3)</f>
        <v>1.388828857473533</v>
      </c>
      <c r="AK50" s="118">
        <f ca="1">[1]!ldf(O$5:O$27, $A$5:$A$27, $W50, $A$27, 3)</f>
        <v>1.5009584059915664</v>
      </c>
      <c r="AL50" s="118">
        <f ca="1">[1]!ldf(P$5:P$27, $A$5:$A$27, $W50, $A$27, 3)</f>
        <v>1.4226028077373838</v>
      </c>
      <c r="AM50" s="118">
        <f ca="1">[1]!ldf(Q$5:Q$27, $A$5:$A$27, $W50, $A$27, 3)</f>
        <v>1.5934059756067722</v>
      </c>
      <c r="AN50" s="118">
        <f ca="1">[1]!ldf(R$5:R$27, $A$5:$A$27, $W50, $A$27, 3)</f>
        <v>1.5858217376435522</v>
      </c>
      <c r="AO50" s="118">
        <f ca="1">[1]!ldf(S$5:S$27, $A$5:$A$27, $W50, $A$27, 3)</f>
        <v>1.8500350330345294</v>
      </c>
      <c r="AP50" s="118">
        <f ca="1">[1]!ldf(T$5:T$27, $A$5:$A$27, $W50, $A$27, 3)</f>
        <v>1.75647469437005</v>
      </c>
    </row>
    <row r="51" spans="22:42" ht="12.75" customHeight="1" x14ac:dyDescent="0.2">
      <c r="V51" s="145">
        <f t="shared" si="66"/>
        <v>3</v>
      </c>
      <c r="W51" s="3">
        <f>SMALL(ages, SUM($V$5:V51))</f>
        <v>93</v>
      </c>
      <c r="X51" s="118">
        <f ca="1">[1]!ldf(B$5:B$27, $A$5:$A$27, $W51, $A$27, 3)</f>
        <v>1.0917877430584833</v>
      </c>
      <c r="Y51" s="118">
        <f ca="1">[1]!ldf(C$5:C$27, $A$5:$A$27, $W51, $A$27, 3)</f>
        <v>1.0719084362641222</v>
      </c>
      <c r="Z51" s="118">
        <f ca="1">[1]!ldf(D$5:D$27, $A$5:$A$27, $W51, $A$27, 3)</f>
        <v>1.0656221690548555</v>
      </c>
      <c r="AA51" s="118">
        <f ca="1">[1]!ldf(E$5:E$27, $A$5:$A$27, $W51, $A$27, 3)</f>
        <v>1.0485695596013622</v>
      </c>
      <c r="AB51" s="118">
        <f ca="1">[1]!ldf(F$5:F$27, $A$5:$A$27, $W51, $A$27, 3)</f>
        <v>1.0374970732273912</v>
      </c>
      <c r="AC51" s="118">
        <f ca="1">[1]!ldf(G$5:G$27, $A$5:$A$27, $W51, $A$27, 3)</f>
        <v>1.1731564008388966</v>
      </c>
      <c r="AD51" s="118">
        <f ca="1">[1]!ldf(H$5:H$27, $A$5:$A$27, $W51, $A$27, 3)</f>
        <v>1.1503723974142266</v>
      </c>
      <c r="AE51" s="118">
        <f ca="1">[1]!ldf(I$5:I$27, $A$5:$A$27, $W51, $A$27, 3)</f>
        <v>1.1407950784417784</v>
      </c>
      <c r="AF51" s="118">
        <f ca="1">[1]!ldf(J$5:J$27, $A$5:$A$27, $W51, $A$27, 3)</f>
        <v>1.1120383287418718</v>
      </c>
      <c r="AG51" s="118">
        <f ca="1">[1]!ldf(K$5:K$27, $A$5:$A$27, $W51, $A$27, 3)</f>
        <v>1.0920990309267551</v>
      </c>
      <c r="AH51" s="118">
        <f ca="1">[1]!ldf(L$5:L$27, $A$5:$A$27, $W51, $A$27, 3)</f>
        <v>1</v>
      </c>
      <c r="AI51" s="118">
        <f ca="1">[1]!ldf(M$5:M$27, $A$5:$A$27, $W51, $A$27, 3)</f>
        <v>1.4020914337501533</v>
      </c>
      <c r="AJ51" s="118">
        <f ca="1">[1]!ldf(N$5:N$27, $A$5:$A$27, $W51, $A$27, 3)</f>
        <v>1.3843102099637101</v>
      </c>
      <c r="AK51" s="118">
        <f ca="1">[1]!ldf(O$5:O$27, $A$5:$A$27, $W51, $A$27, 3)</f>
        <v>1.4937440087490197</v>
      </c>
      <c r="AL51" s="118">
        <f ca="1">[1]!ldf(P$5:P$27, $A$5:$A$27, $W51, $A$27, 3)</f>
        <v>1.4162582182723504</v>
      </c>
      <c r="AM51" s="118">
        <f ca="1">[1]!ldf(Q$5:Q$27, $A$5:$A$27, $W51, $A$27, 3)</f>
        <v>1.5821149168518094</v>
      </c>
      <c r="AN51" s="118">
        <f ca="1">[1]!ldf(R$5:R$27, $A$5:$A$27, $W51, $A$27, 3)</f>
        <v>1.5745820811994613</v>
      </c>
      <c r="AO51" s="118">
        <f ca="1">[1]!ldf(S$5:S$27, $A$5:$A$27, $W51, $A$27, 3)</f>
        <v>1.8299179185513945</v>
      </c>
      <c r="AP51" s="118">
        <f ca="1">[1]!ldf(T$5:T$27, $A$5:$A$27, $W51, $A$27, 3)</f>
        <v>1.7381385164174354</v>
      </c>
    </row>
    <row r="52" spans="22:42" ht="12.75" customHeight="1" x14ac:dyDescent="0.2">
      <c r="V52" s="145">
        <f t="shared" si="66"/>
        <v>2</v>
      </c>
      <c r="W52" s="3">
        <f>SMALL(ages, SUM($V$5:V52))</f>
        <v>96</v>
      </c>
      <c r="X52" s="118">
        <f ca="1">[1]!ldf(B$5:B$27, $A$5:$A$27, $W52, $A$27, 3)</f>
        <v>1.0891114362687133</v>
      </c>
      <c r="Y52" s="118">
        <f ca="1">[1]!ldf(C$5:C$27, $A$5:$A$27, $W52, $A$27, 3)</f>
        <v>1.0694562818710107</v>
      </c>
      <c r="Z52" s="118">
        <f ca="1">[1]!ldf(D$5:D$27, $A$5:$A$27, $W52, $A$27, 3)</f>
        <v>1.0632416770195516</v>
      </c>
      <c r="AA52" s="118">
        <f ca="1">[1]!ldf(E$5:E$27, $A$5:$A$27, $W52, $A$27, 3)</f>
        <v>1.0465497675415243</v>
      </c>
      <c r="AB52" s="118">
        <f ca="1">[1]!ldf(F$5:F$27, $A$5:$A$27, $W52, $A$27, 3)</f>
        <v>1.0357071892816252</v>
      </c>
      <c r="AC52" s="118">
        <f ca="1">[1]!ldf(G$5:G$27, $A$5:$A$27, $W52, $A$27, 3)</f>
        <v>1.1667797963088078</v>
      </c>
      <c r="AD52" s="118">
        <f ca="1">[1]!ldf(H$5:H$27, $A$5:$A$27, $W52, $A$27, 3)</f>
        <v>1.1444512919380498</v>
      </c>
      <c r="AE52" s="118">
        <f ca="1">[1]!ldf(I$5:I$27, $A$5:$A$27, $W52, $A$27, 3)</f>
        <v>1.1350710315519414</v>
      </c>
      <c r="AF52" s="118">
        <f ca="1">[1]!ldf(J$5:J$27, $A$5:$A$27, $W52, $A$27, 3)</f>
        <v>1.1071119961474762</v>
      </c>
      <c r="AG52" s="118">
        <f ca="1">[1]!ldf(K$5:K$27, $A$5:$A$27, $W52, $A$27, 3)</f>
        <v>1.0877471895850084</v>
      </c>
      <c r="AH52" s="118">
        <f ca="1">[1]!ldf(L$5:L$27, $A$5:$A$27, $W52, $A$27, 3)</f>
        <v>1</v>
      </c>
      <c r="AI52" s="118">
        <f ca="1">[1]!ldf(M$5:M$27, $A$5:$A$27, $W52, $A$27, 3)</f>
        <v>1.3949326522642256</v>
      </c>
      <c r="AJ52" s="118">
        <f ca="1">[1]!ldf(N$5:N$27, $A$5:$A$27, $W52, $A$27, 3)</f>
        <v>1.3776431683455403</v>
      </c>
      <c r="AK52" s="118">
        <f ca="1">[1]!ldf(O$5:O$27, $A$5:$A$27, $W52, $A$27, 3)</f>
        <v>1.4831460207154668</v>
      </c>
      <c r="AL52" s="118">
        <f ca="1">[1]!ldf(P$5:P$27, $A$5:$A$27, $W52, $A$27, 3)</f>
        <v>1.4069435499253851</v>
      </c>
      <c r="AM52" s="118">
        <f ca="1">[1]!ldf(Q$5:Q$27, $A$5:$A$27, $W52, $A$27, 3)</f>
        <v>1.5656459866073513</v>
      </c>
      <c r="AN52" s="118">
        <f ca="1">[1]!ldf(R$5:R$27, $A$5:$A$27, $W52, $A$27, 3)</f>
        <v>1.5581914875637943</v>
      </c>
      <c r="AO52" s="118">
        <f ca="1">[1]!ldf(S$5:S$27, $A$5:$A$27, $W52, $A$27, 3)</f>
        <v>1.8008056863741764</v>
      </c>
      <c r="AP52" s="118">
        <f ca="1">[1]!ldf(T$5:T$27, $A$5:$A$27, $W52, $A$27, 3)</f>
        <v>1.7116178666774542</v>
      </c>
    </row>
    <row r="53" spans="22:42" ht="12.75" customHeight="1" x14ac:dyDescent="0.2">
      <c r="V53" s="145">
        <f t="shared" si="66"/>
        <v>1</v>
      </c>
      <c r="W53" s="3">
        <f>SMALL(ages, SUM($V$5:V53))</f>
        <v>97</v>
      </c>
      <c r="X53" s="118">
        <f ca="1">[1]!ldf(B$5:B$27, $A$5:$A$27, $W53, $A$27, 3)</f>
        <v>1.0882697159721295</v>
      </c>
      <c r="Y53" s="118">
        <f ca="1">[1]!ldf(C$5:C$27, $A$5:$A$27, $W53, $A$27, 3)</f>
        <v>1.0686657502177801</v>
      </c>
      <c r="Z53" s="118">
        <f ca="1">[1]!ldf(D$5:D$27, $A$5:$A$27, $W53, $A$27, 3)</f>
        <v>1.0625065646898795</v>
      </c>
      <c r="AA53" s="118">
        <f ca="1">[1]!ldf(E$5:E$27, $A$5:$A$27, $W53, $A$27, 3)</f>
        <v>1.0459140456928984</v>
      </c>
      <c r="AB53" s="118">
        <f ca="1">[1]!ldf(F$5:F$27, $A$5:$A$27, $W53, $A$27, 3)</f>
        <v>1.0351322393115514</v>
      </c>
      <c r="AC53" s="118">
        <f ca="1">[1]!ldf(G$5:G$27, $A$5:$A$27, $W53, $A$27, 3)</f>
        <v>1.1648610482060908</v>
      </c>
      <c r="AD53" s="118">
        <f ca="1">[1]!ldf(H$5:H$27, $A$5:$A$27, $W53, $A$27, 3)</f>
        <v>1.142709713666364</v>
      </c>
      <c r="AE53" s="118">
        <f ca="1">[1]!ldf(I$5:I$27, $A$5:$A$27, $W53, $A$27, 3)</f>
        <v>1.1334100966536265</v>
      </c>
      <c r="AF53" s="118">
        <f ca="1">[1]!ldf(J$5:J$27, $A$5:$A$27, $W53, $A$27, 3)</f>
        <v>1.1056635195885549</v>
      </c>
      <c r="AG53" s="118">
        <f ca="1">[1]!ldf(K$5:K$27, $A$5:$A$27, $W53, $A$27, 3)</f>
        <v>1.0864265173451817</v>
      </c>
      <c r="AH53" s="118">
        <f ca="1">[1]!ldf(L$5:L$27, $A$5:$A$27, $W53, $A$27, 3)</f>
        <v>1</v>
      </c>
      <c r="AI53" s="118">
        <f ca="1">[1]!ldf(M$5:M$27, $A$5:$A$27, $W53, $A$27, 3)</f>
        <v>1.39289975609399</v>
      </c>
      <c r="AJ53" s="118">
        <f ca="1">[1]!ldf(N$5:N$27, $A$5:$A$27, $W53, $A$27, 3)</f>
        <v>1.3751778982227532</v>
      </c>
      <c r="AK53" s="118">
        <f ca="1">[1]!ldf(O$5:O$27, $A$5:$A$27, $W53, $A$27, 3)</f>
        <v>1.4796226568608686</v>
      </c>
      <c r="AL53" s="118">
        <f ca="1">[1]!ldf(P$5:P$27, $A$5:$A$27, $W53, $A$27, 3)</f>
        <v>1.4039318997704011</v>
      </c>
      <c r="AM53" s="118">
        <f ca="1">[1]!ldf(Q$5:Q$27, $A$5:$A$27, $W53, $A$27, 3)</f>
        <v>1.5596168789212088</v>
      </c>
      <c r="AN53" s="118">
        <f ca="1">[1]!ldf(R$5:R$27, $A$5:$A$27, $W53, $A$27, 3)</f>
        <v>1.5521258187947544</v>
      </c>
      <c r="AO53" s="118">
        <f ca="1">[1]!ldf(S$5:S$27, $A$5:$A$27, $W53, $A$27, 3)</f>
        <v>1.7913699235243143</v>
      </c>
      <c r="AP53" s="118">
        <f ca="1">[1]!ldf(T$5:T$27, $A$5:$A$27, $W53, $A$27, 3)</f>
        <v>1.7036372068526773</v>
      </c>
    </row>
    <row r="54" spans="22:42" ht="12.75" customHeight="1" x14ac:dyDescent="0.2">
      <c r="V54" s="145">
        <f t="shared" si="66"/>
        <v>2</v>
      </c>
      <c r="W54" s="3">
        <f>SMALL(ages, SUM($V$5:V54))</f>
        <v>99</v>
      </c>
      <c r="X54" s="118">
        <f ca="1">[1]!ldf(B$5:B$27, $A$5:$A$27, $W54, $A$27, 3)</f>
        <v>1.0866109847008751</v>
      </c>
      <c r="Y54" s="118">
        <f ca="1">[1]!ldf(C$5:C$27, $A$5:$A$27, $W54, $A$27, 3)</f>
        <v>1.0671124120665194</v>
      </c>
      <c r="Z54" s="118">
        <f ca="1">[1]!ldf(D$5:D$27, $A$5:$A$27, $W54, $A$27, 3)</f>
        <v>1.0610626013541962</v>
      </c>
      <c r="AA54" s="118">
        <f ca="1">[1]!ldf(E$5:E$27, $A$5:$A$27, $W54, $A$27, 3)</f>
        <v>1.0446690786083372</v>
      </c>
      <c r="AB54" s="118">
        <f ca="1">[1]!ldf(F$5:F$27, $A$5:$A$27, $W54, $A$27, 3)</f>
        <v>1.0340104145776585</v>
      </c>
      <c r="AC54" s="118">
        <f ca="1">[1]!ldf(G$5:G$27, $A$5:$A$27, $W54, $A$27, 3)</f>
        <v>1.1610939643065152</v>
      </c>
      <c r="AD54" s="118">
        <f ca="1">[1]!ldf(H$5:H$27, $A$5:$A$27, $W54, $A$27, 3)</f>
        <v>1.1392930324234989</v>
      </c>
      <c r="AE54" s="118">
        <f ca="1">[1]!ldf(I$5:I$27, $A$5:$A$27, $W54, $A$27, 3)</f>
        <v>1.1301526763495162</v>
      </c>
      <c r="AF54" s="118">
        <f ca="1">[1]!ldf(J$5:J$27, $A$5:$A$27, $W54, $A$27, 3)</f>
        <v>1.1028277380122664</v>
      </c>
      <c r="AG54" s="118">
        <f ca="1">[1]!ldf(K$5:K$27, $A$5:$A$27, $W54, $A$27, 3)</f>
        <v>1.0838467622352217</v>
      </c>
      <c r="AH54" s="118">
        <f ca="1">[1]!ldf(L$5:L$27, $A$5:$A$27, $W54, $A$27, 3)</f>
        <v>1</v>
      </c>
      <c r="AI54" s="118">
        <f ca="1">[1]!ldf(M$5:M$27, $A$5:$A$27, $W54, $A$27, 3)</f>
        <v>1.3888694335927105</v>
      </c>
      <c r="AJ54" s="118">
        <f ca="1">[1]!ldf(N$5:N$27, $A$5:$A$27, $W54, $A$27, 3)</f>
        <v>1.3703016710258586</v>
      </c>
      <c r="AK54" s="118">
        <f ca="1">[1]!ldf(O$5:O$27, $A$5:$A$27, $W54, $A$27, 3)</f>
        <v>1.472664296106923</v>
      </c>
      <c r="AL54" s="118">
        <f ca="1">[1]!ldf(P$5:P$27, $A$5:$A$27, $W54, $A$27, 3)</f>
        <v>1.397984211857179</v>
      </c>
      <c r="AM54" s="118">
        <f ca="1">[1]!ldf(Q$5:Q$27, $A$5:$A$27, $W54, $A$27, 3)</f>
        <v>1.5477819667450319</v>
      </c>
      <c r="AN54" s="118">
        <f ca="1">[1]!ldf(R$5:R$27, $A$5:$A$27, $W54, $A$27, 3)</f>
        <v>1.540223240793366</v>
      </c>
      <c r="AO54" s="118">
        <f ca="1">[1]!ldf(S$5:S$27, $A$5:$A$27, $W54, $A$27, 3)</f>
        <v>1.7728952498939703</v>
      </c>
      <c r="AP54" s="118">
        <f ca="1">[1]!ldf(T$5:T$27, $A$5:$A$27, $W54, $A$27, 3)</f>
        <v>1.6879925423043258</v>
      </c>
    </row>
    <row r="55" spans="22:42" ht="12.75" customHeight="1" x14ac:dyDescent="0.2">
      <c r="V55" s="145">
        <f t="shared" si="66"/>
        <v>2</v>
      </c>
      <c r="W55" s="3">
        <f>SMALL(ages, SUM($V$5:V55))</f>
        <v>100</v>
      </c>
      <c r="X55" s="118">
        <f ca="1">[1]!ldf(B$5:B$27, $A$5:$A$27, $W55, $A$27, 3)</f>
        <v>1.0857938009111134</v>
      </c>
      <c r="Y55" s="118">
        <f ca="1">[1]!ldf(C$5:C$27, $A$5:$A$27, $W55, $A$27, 3)</f>
        <v>1.0663493767503971</v>
      </c>
      <c r="Z55" s="118">
        <f ca="1">[1]!ldf(D$5:D$27, $A$5:$A$27, $W55, $A$27, 3)</f>
        <v>1.060353530491646</v>
      </c>
      <c r="AA55" s="118">
        <f ca="1">[1]!ldf(E$5:E$27, $A$5:$A$27, $W55, $A$27, 3)</f>
        <v>1.0440595779748709</v>
      </c>
      <c r="AB55" s="118">
        <f ca="1">[1]!ldf(F$5:F$27, $A$5:$A$27, $W55, $A$27, 3)</f>
        <v>1.0334632248388311</v>
      </c>
      <c r="AC55" s="118">
        <f ca="1">[1]!ldf(G$5:G$27, $A$5:$A$27, $W55, $A$27, 3)</f>
        <v>1.159244988747911</v>
      </c>
      <c r="AD55" s="118">
        <f ca="1">[1]!ldf(H$5:H$27, $A$5:$A$27, $W55, $A$27, 3)</f>
        <v>1.1376173073165889</v>
      </c>
      <c r="AE55" s="118">
        <f ca="1">[1]!ldf(I$5:I$27, $A$5:$A$27, $W55, $A$27, 3)</f>
        <v>1.1285555804416669</v>
      </c>
      <c r="AF55" s="118">
        <f ca="1">[1]!ldf(J$5:J$27, $A$5:$A$27, $W55, $A$27, 3)</f>
        <v>1.1014398112908321</v>
      </c>
      <c r="AG55" s="118">
        <f ca="1">[1]!ldf(K$5:K$27, $A$5:$A$27, $W55, $A$27, 3)</f>
        <v>1.0825869957429448</v>
      </c>
      <c r="AH55" s="118">
        <f ca="1">[1]!ldf(L$5:L$27, $A$5:$A$27, $W55, $A$27, 3)</f>
        <v>1</v>
      </c>
      <c r="AI55" s="118">
        <f ca="1">[1]!ldf(M$5:M$27, $A$5:$A$27, $W55, $A$27, 3)</f>
        <v>1.3868718441573236</v>
      </c>
      <c r="AJ55" s="118">
        <f ca="1">[1]!ldf(N$5:N$27, $A$5:$A$27, $W55, $A$27, 3)</f>
        <v>1.3678903996387695</v>
      </c>
      <c r="AK55" s="118">
        <f ca="1">[1]!ldf(O$5:O$27, $A$5:$A$27, $W55, $A$27, 3)</f>
        <v>1.4692287078600654</v>
      </c>
      <c r="AL55" s="118">
        <f ca="1">[1]!ldf(P$5:P$27, $A$5:$A$27, $W55, $A$27, 3)</f>
        <v>1.3950476730450168</v>
      </c>
      <c r="AM55" s="118">
        <f ca="1">[1]!ldf(Q$5:Q$27, $A$5:$A$27, $W55, $A$27, 3)</f>
        <v>1.5419739373391219</v>
      </c>
      <c r="AN55" s="118">
        <f ca="1">[1]!ldf(R$5:R$27, $A$5:$A$27, $W55, $A$27, 3)</f>
        <v>1.5343840124413592</v>
      </c>
      <c r="AO55" s="118">
        <f ca="1">[1]!ldf(S$5:S$27, $A$5:$A$27, $W55, $A$27, 3)</f>
        <v>1.7638517782828209</v>
      </c>
      <c r="AP55" s="118">
        <f ca="1">[1]!ldf(T$5:T$27, $A$5:$A$27, $W55, $A$27, 3)</f>
        <v>1.6803251201801934</v>
      </c>
    </row>
    <row r="56" spans="22:42" ht="12.75" customHeight="1" x14ac:dyDescent="0.2">
      <c r="V56" s="145">
        <f t="shared" si="66"/>
        <v>1</v>
      </c>
      <c r="W56" s="3">
        <f>SMALL(ages, SUM($V$5:V56))</f>
        <v>103</v>
      </c>
      <c r="X56" s="118">
        <f ca="1">[1]!ldf(B$5:B$27, $A$5:$A$27, $W56, $A$27, 3)</f>
        <v>1.0833899611244107</v>
      </c>
      <c r="Y56" s="118">
        <f ca="1">[1]!ldf(C$5:C$27, $A$5:$A$27, $W56, $A$27, 3)</f>
        <v>1.0641134653311231</v>
      </c>
      <c r="Z56" s="118">
        <f ca="1">[1]!ldf(D$5:D$27, $A$5:$A$27, $W56, $A$27, 3)</f>
        <v>1.0582766733856392</v>
      </c>
      <c r="AA56" s="118">
        <f ca="1">[1]!ldf(E$5:E$27, $A$5:$A$27, $W56, $A$27, 3)</f>
        <v>1.0422815166016639</v>
      </c>
      <c r="AB56" s="118">
        <f ca="1">[1]!ldf(F$5:F$27, $A$5:$A$27, $W56, $A$27, 3)</f>
        <v>1.0318747146730831</v>
      </c>
      <c r="AC56" s="118">
        <f ca="1">[1]!ldf(G$5:G$27, $A$5:$A$27, $W56, $A$27, 3)</f>
        <v>1.1538325943591023</v>
      </c>
      <c r="AD56" s="118">
        <f ca="1">[1]!ldf(H$5:H$27, $A$5:$A$27, $W56, $A$27, 3)</f>
        <v>1.1327169657509228</v>
      </c>
      <c r="AE56" s="118">
        <f ca="1">[1]!ldf(I$5:I$27, $A$5:$A$27, $W56, $A$27, 3)</f>
        <v>1.1238871900342311</v>
      </c>
      <c r="AF56" s="118">
        <f ca="1">[1]!ldf(J$5:J$27, $A$5:$A$27, $W56, $A$27, 3)</f>
        <v>1.0973922683377746</v>
      </c>
      <c r="AG56" s="118">
        <f ca="1">[1]!ldf(K$5:K$27, $A$5:$A$27, $W56, $A$27, 3)</f>
        <v>1.0789241704621788</v>
      </c>
      <c r="AH56" s="118">
        <f ca="1">[1]!ldf(L$5:L$27, $A$5:$A$27, $W56, $A$27, 3)</f>
        <v>1</v>
      </c>
      <c r="AI56" s="118">
        <f ca="1">[1]!ldf(M$5:M$27, $A$5:$A$27, $W56, $A$27, 3)</f>
        <v>1.3809483986739415</v>
      </c>
      <c r="AJ56" s="118">
        <f ca="1">[1]!ldf(N$5:N$27, $A$5:$A$27, $W56, $A$27, 3)</f>
        <v>1.3607621027653369</v>
      </c>
      <c r="AK56" s="118">
        <f ca="1">[1]!ldf(O$5:O$27, $A$5:$A$27, $W56, $A$27, 3)</f>
        <v>1.459092838519356</v>
      </c>
      <c r="AL56" s="118">
        <f ca="1">[1]!ldf(P$5:P$27, $A$5:$A$27, $W56, $A$27, 3)</f>
        <v>1.3863843335634833</v>
      </c>
      <c r="AM56" s="118">
        <f ca="1">[1]!ldf(Q$5:Q$27, $A$5:$A$27, $W56, $A$27, 3)</f>
        <v>1.5249746254361827</v>
      </c>
      <c r="AN56" s="118">
        <f ca="1">[1]!ldf(R$5:R$27, $A$5:$A$27, $W56, $A$27, 3)</f>
        <v>1.5173010995851148</v>
      </c>
      <c r="AO56" s="118">
        <f ca="1">[1]!ldf(S$5:S$27, $A$5:$A$27, $W56, $A$27, 3)</f>
        <v>1.7374704487912045</v>
      </c>
      <c r="AP56" s="118">
        <f ca="1">[1]!ldf(T$5:T$27, $A$5:$A$27, $W56, $A$27, 3)</f>
        <v>1.6579226870716837</v>
      </c>
    </row>
    <row r="57" spans="22:42" ht="12.75" customHeight="1" x14ac:dyDescent="0.2">
      <c r="V57" s="145">
        <f t="shared" si="66"/>
        <v>3</v>
      </c>
      <c r="W57" s="3">
        <f>SMALL(ages, SUM($V$5:V57))</f>
        <v>105</v>
      </c>
      <c r="X57" s="118">
        <f ca="1">[1]!ldf(B$5:B$27, $A$5:$A$27, $W57, $A$27, 3)</f>
        <v>1.0818263340199024</v>
      </c>
      <c r="Y57" s="118">
        <f ca="1">[1]!ldf(C$5:C$27, $A$5:$A$27, $W57, $A$27, 3)</f>
        <v>1.0626660994086645</v>
      </c>
      <c r="Z57" s="118">
        <f ca="1">[1]!ldf(D$5:D$27, $A$5:$A$27, $W57, $A$27, 3)</f>
        <v>1.0569330208449186</v>
      </c>
      <c r="AA57" s="118">
        <f ca="1">[1]!ldf(E$5:E$27, $A$5:$A$27, $W57, $A$27, 3)</f>
        <v>1.041136971640555</v>
      </c>
      <c r="AB57" s="118">
        <f ca="1">[1]!ldf(F$5:F$27, $A$5:$A$27, $W57, $A$27, 3)</f>
        <v>1.030858451235368</v>
      </c>
      <c r="AC57" s="118">
        <f ca="1">[1]!ldf(G$5:G$27, $A$5:$A$27, $W57, $A$27, 3)</f>
        <v>1.1503334275603128</v>
      </c>
      <c r="AD57" s="118">
        <f ca="1">[1]!ldf(H$5:H$27, $A$5:$A$27, $W57, $A$27, 3)</f>
        <v>1.1295528387620037</v>
      </c>
      <c r="AE57" s="118">
        <f ca="1">[1]!ldf(I$5:I$27, $A$5:$A$27, $W57, $A$27, 3)</f>
        <v>1.1208744729012079</v>
      </c>
      <c r="AF57" s="118">
        <f ca="1">[1]!ldf(J$5:J$27, $A$5:$A$27, $W57, $A$27, 3)</f>
        <v>1.0947878569501266</v>
      </c>
      <c r="AG57" s="118">
        <f ca="1">[1]!ldf(K$5:K$27, $A$5:$A$27, $W57, $A$27, 3)</f>
        <v>1.0765761610541322</v>
      </c>
      <c r="AH57" s="118">
        <f ca="1">[1]!ldf(L$5:L$27, $A$5:$A$27, $W57, $A$27, 3)</f>
        <v>1</v>
      </c>
      <c r="AI57" s="118">
        <f ca="1">[1]!ldf(M$5:M$27, $A$5:$A$27, $W57, $A$27, 3)</f>
        <v>1.3770564136126067</v>
      </c>
      <c r="AJ57" s="118">
        <f ca="1">[1]!ldf(N$5:N$27, $A$5:$A$27, $W57, $A$27, 3)</f>
        <v>1.3560963249204963</v>
      </c>
      <c r="AK57" s="118">
        <f ca="1">[1]!ldf(O$5:O$27, $A$5:$A$27, $W57, $A$27, 3)</f>
        <v>1.4524751804242537</v>
      </c>
      <c r="AL57" s="118">
        <f ca="1">[1]!ldf(P$5:P$27, $A$5:$A$27, $W57, $A$27, 3)</f>
        <v>1.3807282765541731</v>
      </c>
      <c r="AM57" s="118">
        <f ca="1">[1]!ldf(Q$5:Q$27, $A$5:$A$27, $W57, $A$27, 3)</f>
        <v>1.513985339752373</v>
      </c>
      <c r="AN57" s="118">
        <f ca="1">[1]!ldf(R$5:R$27, $A$5:$A$27, $W57, $A$27, 3)</f>
        <v>1.5062639827039828</v>
      </c>
      <c r="AO57" s="118">
        <f ca="1">[1]!ldf(S$5:S$27, $A$5:$A$27, $W57, $A$27, 3)</f>
        <v>1.7204860555623791</v>
      </c>
      <c r="AP57" s="118">
        <f ca="1">[1]!ldf(T$5:T$27, $A$5:$A$27, $W57, $A$27, 3)</f>
        <v>1.6434717233569716</v>
      </c>
    </row>
    <row r="58" spans="22:42" ht="12.75" customHeight="1" x14ac:dyDescent="0.2">
      <c r="V58" s="145">
        <f t="shared" si="66"/>
        <v>2</v>
      </c>
      <c r="W58" s="3">
        <f>SMALL(ages, SUM($V$5:V58))</f>
        <v>108</v>
      </c>
      <c r="X58" s="118">
        <f ca="1">[1]!ldf(B$5:B$27, $A$5:$A$27, $W58, $A$27, 3)</f>
        <v>1.0795376815111859</v>
      </c>
      <c r="Y58" s="118">
        <f ca="1">[1]!ldf(C$5:C$27, $A$5:$A$27, $W58, $A$27, 3)</f>
        <v>1.0605578041539341</v>
      </c>
      <c r="Z58" s="118">
        <f ca="1">[1]!ldf(D$5:D$27, $A$5:$A$27, $W58, $A$27, 3)</f>
        <v>1.054976895486524</v>
      </c>
      <c r="AA58" s="118">
        <f ca="1">[1]!ldf(E$5:E$27, $A$5:$A$27, $W58, $A$27, 3)</f>
        <v>1.0394790717079503</v>
      </c>
      <c r="AB58" s="118">
        <f ca="1">[1]!ldf(F$5:F$27, $A$5:$A$27, $W58, $A$27, 3)</f>
        <v>1.029395341732499</v>
      </c>
      <c r="AC58" s="118">
        <f ca="1">[1]!ldf(G$5:G$27, $A$5:$A$27, $W58, $A$27, 3)</f>
        <v>1.1452425027155566</v>
      </c>
      <c r="AD58" s="118">
        <f ca="1">[1]!ldf(H$5:H$27, $A$5:$A$27, $W58, $A$27, 3)</f>
        <v>1.1249551521169083</v>
      </c>
      <c r="AE58" s="118">
        <f ca="1">[1]!ldf(I$5:I$27, $A$5:$A$27, $W58, $A$27, 3)</f>
        <v>1.1164991745068662</v>
      </c>
      <c r="AF58" s="118">
        <f ca="1">[1]!ldf(J$5:J$27, $A$5:$A$27, $W58, $A$27, 3)</f>
        <v>1.0910165581226421</v>
      </c>
      <c r="AG58" s="118">
        <f ca="1">[1]!ldf(K$5:K$27, $A$5:$A$27, $W58, $A$27, 3)</f>
        <v>1.07318884174554</v>
      </c>
      <c r="AH58" s="118">
        <f ca="1">[1]!ldf(L$5:L$27, $A$5:$A$27, $W58, $A$27, 3)</f>
        <v>1</v>
      </c>
      <c r="AI58" s="118">
        <f ca="1">[1]!ldf(M$5:M$27, $A$5:$A$27, $W58, $A$27, 3)</f>
        <v>1.3713023522876744</v>
      </c>
      <c r="AJ58" s="118">
        <f ca="1">[1]!ldf(N$5:N$27, $A$5:$A$27, $W58, $A$27, 3)</f>
        <v>1.3492243362354575</v>
      </c>
      <c r="AK58" s="118">
        <f ca="1">[1]!ldf(O$5:O$27, $A$5:$A$27, $W58, $A$27, 3)</f>
        <v>1.4427525777349233</v>
      </c>
      <c r="AL58" s="118">
        <f ca="1">[1]!ldf(P$5:P$27, $A$5:$A$27, $W58, $A$27, 3)</f>
        <v>1.3724187822989169</v>
      </c>
      <c r="AM58" s="118">
        <f ca="1">[1]!ldf(Q$5:Q$27, $A$5:$A$27, $W58, $A$27, 3)</f>
        <v>1.4979968363110649</v>
      </c>
      <c r="AN58" s="118">
        <f ca="1">[1]!ldf(R$5:R$27, $A$5:$A$27, $W58, $A$27, 3)</f>
        <v>1.4902147807008526</v>
      </c>
      <c r="AO58" s="118">
        <f ca="1">[1]!ldf(S$5:S$27, $A$5:$A$27, $W58, $A$27, 3)</f>
        <v>1.6958739715636746</v>
      </c>
      <c r="AP58" s="118">
        <f ca="1">[1]!ldf(T$5:T$27, $A$5:$A$27, $W58, $A$27, 3)</f>
        <v>1.6224908885244669</v>
      </c>
    </row>
    <row r="59" spans="22:42" ht="12.75" customHeight="1" x14ac:dyDescent="0.2">
      <c r="V59" s="145">
        <f t="shared" si="66"/>
        <v>1</v>
      </c>
      <c r="W59" s="3">
        <f>SMALL(ages, SUM($V$5:V59))</f>
        <v>109</v>
      </c>
      <c r="X59" s="118">
        <f ca="1">[1]!ldf(B$5:B$27, $A$5:$A$27, $W59, $A$27, 3)</f>
        <v>1.0788166946226778</v>
      </c>
      <c r="Y59" s="118">
        <f ca="1">[1]!ldf(C$5:C$27, $A$5:$A$27, $W59, $A$27, 3)</f>
        <v>1.0598779566905563</v>
      </c>
      <c r="Z59" s="118">
        <f ca="1">[1]!ldf(D$5:D$27, $A$5:$A$27, $W59, $A$27, 3)</f>
        <v>1.0543455097990155</v>
      </c>
      <c r="AA59" s="118">
        <f ca="1">[1]!ldf(E$5:E$27, $A$5:$A$27, $W59, $A$27, 3)</f>
        <v>1.0389964994750067</v>
      </c>
      <c r="AB59" s="118">
        <f ca="1">[1]!ldf(F$5:F$27, $A$5:$A$27, $W59, $A$27, 3)</f>
        <v>1.0290071431388759</v>
      </c>
      <c r="AC59" s="118">
        <f ca="1">[1]!ldf(G$5:G$27, $A$5:$A$27, $W59, $A$27, 3)</f>
        <v>1.143700849390711</v>
      </c>
      <c r="AD59" s="118">
        <f ca="1">[1]!ldf(H$5:H$27, $A$5:$A$27, $W59, $A$27, 3)</f>
        <v>1.123551261297419</v>
      </c>
      <c r="AE59" s="118">
        <f ca="1">[1]!ldf(I$5:I$27, $A$5:$A$27, $W59, $A$27, 3)</f>
        <v>1.1151604945640867</v>
      </c>
      <c r="AF59" s="118">
        <f ca="1">[1]!ldf(J$5:J$27, $A$5:$A$27, $W59, $A$27, 3)</f>
        <v>1.0898692370076957</v>
      </c>
      <c r="AG59" s="118">
        <f ca="1">[1]!ldf(K$5:K$27, $A$5:$A$27, $W59, $A$27, 3)</f>
        <v>1.0721572885260393</v>
      </c>
      <c r="AH59" s="118">
        <f ca="1">[1]!ldf(L$5:L$27, $A$5:$A$27, $W59, $A$27, 3)</f>
        <v>1</v>
      </c>
      <c r="AI59" s="118">
        <f ca="1">[1]!ldf(M$5:M$27, $A$5:$A$27, $W59, $A$27, 3)</f>
        <v>1.3696171111169573</v>
      </c>
      <c r="AJ59" s="118">
        <f ca="1">[1]!ldf(N$5:N$27, $A$5:$A$27, $W59, $A$27, 3)</f>
        <v>1.3471576209306626</v>
      </c>
      <c r="AK59" s="118">
        <f ca="1">[1]!ldf(O$5:O$27, $A$5:$A$27, $W59, $A$27, 3)</f>
        <v>1.4390907891431253</v>
      </c>
      <c r="AL59" s="118">
        <f ca="1">[1]!ldf(P$5:P$27, $A$5:$A$27, $W59, $A$27, 3)</f>
        <v>1.3691534758224422</v>
      </c>
      <c r="AM59" s="118">
        <f ca="1">[1]!ldf(Q$5:Q$27, $A$5:$A$27, $W59, $A$27, 3)</f>
        <v>1.493393573126838</v>
      </c>
      <c r="AN59" s="118">
        <f ca="1">[1]!ldf(R$5:R$27, $A$5:$A$27, $W59, $A$27, 3)</f>
        <v>1.4855526043910072</v>
      </c>
      <c r="AO59" s="118">
        <f ca="1">[1]!ldf(S$5:S$27, $A$5:$A$27, $W59, $A$27, 3)</f>
        <v>1.6884857223192844</v>
      </c>
      <c r="AP59" s="118">
        <f ca="1">[1]!ldf(T$5:T$27, $A$5:$A$27, $W59, $A$27, 3)</f>
        <v>1.6161091877067899</v>
      </c>
    </row>
    <row r="60" spans="22:42" ht="12.75" customHeight="1" x14ac:dyDescent="0.2">
      <c r="V60" s="145">
        <f t="shared" si="66"/>
        <v>2</v>
      </c>
      <c r="W60" s="3">
        <f>SMALL(ages, SUM($V$5:V60))</f>
        <v>111</v>
      </c>
      <c r="X60" s="118">
        <f ca="1">[1]!ldf(B$5:B$27, $A$5:$A$27, $W60, $A$27, 3)</f>
        <v>1.0773949603407871</v>
      </c>
      <c r="Y60" s="118">
        <f ca="1">[1]!ldf(C$5:C$27, $A$5:$A$27, $W60, $A$27, 3)</f>
        <v>1.0585416965396892</v>
      </c>
      <c r="Z60" s="118">
        <f ca="1">[1]!ldf(D$5:D$27, $A$5:$A$27, $W60, $A$27, 3)</f>
        <v>1.0531049495001605</v>
      </c>
      <c r="AA60" s="118">
        <f ca="1">[1]!ldf(E$5:E$27, $A$5:$A$27, $W60, $A$27, 3)</f>
        <v>1.0380492996470088</v>
      </c>
      <c r="AB60" s="118">
        <f ca="1">[1]!ldf(F$5:F$27, $A$5:$A$27, $W60, $A$27, 3)</f>
        <v>1.0282462671697903</v>
      </c>
      <c r="AC60" s="118">
        <f ca="1">[1]!ldf(G$5:G$27, $A$5:$A$27, $W60, $A$27, 3)</f>
        <v>1.1406693992274375</v>
      </c>
      <c r="AD60" s="118">
        <f ca="1">[1]!ldf(H$5:H$27, $A$5:$A$27, $W60, $A$27, 3)</f>
        <v>1.1207931048125928</v>
      </c>
      <c r="AE60" s="118">
        <f ca="1">[1]!ldf(I$5:I$27, $A$5:$A$27, $W60, $A$27, 3)</f>
        <v>1.1125313819834217</v>
      </c>
      <c r="AF60" s="118">
        <f ca="1">[1]!ldf(J$5:J$27, $A$5:$A$27, $W60, $A$27, 3)</f>
        <v>1.0876195116417819</v>
      </c>
      <c r="AG60" s="118">
        <f ca="1">[1]!ldf(K$5:K$27, $A$5:$A$27, $W60, $A$27, 3)</f>
        <v>1.0701389974608215</v>
      </c>
      <c r="AH60" s="118">
        <f ca="1">[1]!ldf(L$5:L$27, $A$5:$A$27, $W60, $A$27, 3)</f>
        <v>1</v>
      </c>
      <c r="AI60" s="118">
        <f ca="1">[1]!ldf(M$5:M$27, $A$5:$A$27, $W60, $A$27, 3)</f>
        <v>1.3662724424787482</v>
      </c>
      <c r="AJ60" s="118">
        <f ca="1">[1]!ldf(N$5:N$27, $A$5:$A$27, $W60, $A$27, 3)</f>
        <v>1.343065239337671</v>
      </c>
      <c r="AK60" s="118">
        <f ca="1">[1]!ldf(O$5:O$27, $A$5:$A$27, $W60, $A$27, 3)</f>
        <v>1.4318705753374186</v>
      </c>
      <c r="AL60" s="118">
        <f ca="1">[1]!ldf(P$5:P$27, $A$5:$A$27, $W60, $A$27, 3)</f>
        <v>1.3627192411876488</v>
      </c>
      <c r="AM60" s="118">
        <f ca="1">[1]!ldf(Q$5:Q$27, $A$5:$A$27, $W60, $A$27, 3)</f>
        <v>1.4843335422423365</v>
      </c>
      <c r="AN60" s="118">
        <f ca="1">[1]!ldf(R$5:R$27, $A$5:$A$27, $W60, $A$27, 3)</f>
        <v>1.4763806857745039</v>
      </c>
      <c r="AO60" s="118">
        <f ca="1">[1]!ldf(S$5:S$27, $A$5:$A$27, $W60, $A$27, 3)</f>
        <v>1.6739863831263651</v>
      </c>
      <c r="AP60" s="118">
        <f ca="1">[1]!ldf(T$5:T$27, $A$5:$A$27, $W60, $A$27, 3)</f>
        <v>1.6035749534263521</v>
      </c>
    </row>
    <row r="61" spans="22:42" ht="12.75" customHeight="1" x14ac:dyDescent="0.2">
      <c r="V61" s="145">
        <f t="shared" si="66"/>
        <v>2</v>
      </c>
      <c r="W61" s="3">
        <f>SMALL(ages, SUM($V$5:V61))</f>
        <v>112</v>
      </c>
      <c r="X61" s="118">
        <f ca="1">[1]!ldf(B$5:B$27, $A$5:$A$27, $W61, $A$27, 3)</f>
        <v>1.0766940783749983</v>
      </c>
      <c r="Y61" s="118">
        <f ca="1">[1]!ldf(C$5:C$27, $A$5:$A$27, $W61, $A$27, 3)</f>
        <v>1.0578850948918059</v>
      </c>
      <c r="Z61" s="118">
        <f ca="1">[1]!ldf(D$5:D$27, $A$5:$A$27, $W61, $A$27, 3)</f>
        <v>1.0524955928290245</v>
      </c>
      <c r="AA61" s="118">
        <f ca="1">[1]!ldf(E$5:E$27, $A$5:$A$27, $W61, $A$27, 3)</f>
        <v>1.0375845183348533</v>
      </c>
      <c r="AB61" s="118">
        <f ca="1">[1]!ldf(F$5:F$27, $A$5:$A$27, $W61, $A$27, 3)</f>
        <v>1.0278734479578122</v>
      </c>
      <c r="AC61" s="118">
        <f ca="1">[1]!ldf(G$5:G$27, $A$5:$A$27, $W61, $A$27, 3)</f>
        <v>1.1391791744838817</v>
      </c>
      <c r="AD61" s="118">
        <f ca="1">[1]!ldf(H$5:H$27, $A$5:$A$27, $W61, $A$27, 3)</f>
        <v>1.1194384129916133</v>
      </c>
      <c r="AE61" s="118">
        <f ca="1">[1]!ldf(I$5:I$27, $A$5:$A$27, $W61, $A$27, 3)</f>
        <v>1.1112405287294476</v>
      </c>
      <c r="AF61" s="118">
        <f ca="1">[1]!ldf(J$5:J$27, $A$5:$A$27, $W61, $A$27, 3)</f>
        <v>1.0865166880128962</v>
      </c>
      <c r="AG61" s="118">
        <f ca="1">[1]!ldf(K$5:K$27, $A$5:$A$27, $W61, $A$27, 3)</f>
        <v>1.0691518003404736</v>
      </c>
      <c r="AH61" s="118">
        <f ca="1">[1]!ldf(L$5:L$27, $A$5:$A$27, $W61, $A$27, 3)</f>
        <v>1</v>
      </c>
      <c r="AI61" s="118">
        <f ca="1">[1]!ldf(M$5:M$27, $A$5:$A$27, $W61, $A$27, 3)</f>
        <v>1.3646129112230745</v>
      </c>
      <c r="AJ61" s="118">
        <f ca="1">[1]!ldf(N$5:N$27, $A$5:$A$27, $W61, $A$27, 3)</f>
        <v>1.3410393600077974</v>
      </c>
      <c r="AK61" s="118">
        <f ca="1">[1]!ldf(O$5:O$27, $A$5:$A$27, $W61, $A$27, 3)</f>
        <v>1.4283113759828647</v>
      </c>
      <c r="AL61" s="118">
        <f ca="1">[1]!ldf(P$5:P$27, $A$5:$A$27, $W61, $A$27, 3)</f>
        <v>1.3595495668781061</v>
      </c>
      <c r="AM61" s="118">
        <f ca="1">[1]!ldf(Q$5:Q$27, $A$5:$A$27, $W61, $A$27, 3)</f>
        <v>1.4798755289231771</v>
      </c>
      <c r="AN61" s="118">
        <f ca="1">[1]!ldf(R$5:R$27, $A$5:$A$27, $W61, $A$27, 3)</f>
        <v>1.4718696131835569</v>
      </c>
      <c r="AO61" s="118">
        <f ca="1">[1]!ldf(S$5:S$27, $A$5:$A$27, $W61, $A$27, 3)</f>
        <v>1.6668724675298119</v>
      </c>
      <c r="AP61" s="118">
        <f ca="1">[1]!ldf(T$5:T$27, $A$5:$A$27, $W61, $A$27, 3)</f>
        <v>1.5974201949215585</v>
      </c>
    </row>
    <row r="62" spans="22:42" ht="12.75" customHeight="1" x14ac:dyDescent="0.2">
      <c r="V62" s="145">
        <f t="shared" si="66"/>
        <v>1</v>
      </c>
      <c r="W62" s="3">
        <f>SMALL(ages, SUM($V$5:V62))</f>
        <v>115</v>
      </c>
      <c r="X62" s="118">
        <f ca="1">[1]!ldf(B$5:B$27, $A$5:$A$27, $W62, $A$27, 3)</f>
        <v>1.0746305812501342</v>
      </c>
      <c r="Y62" s="118">
        <f ca="1">[1]!ldf(C$5:C$27, $A$5:$A$27, $W62, $A$27, 3)</f>
        <v>1.0559602958310352</v>
      </c>
      <c r="Z62" s="118">
        <f ca="1">[1]!ldf(D$5:D$27, $A$5:$A$27, $W62, $A$27, 3)</f>
        <v>1.0507101496301834</v>
      </c>
      <c r="AA62" s="118">
        <f ca="1">[1]!ldf(E$5:E$27, $A$5:$A$27, $W62, $A$27, 3)</f>
        <v>1.0362245484100314</v>
      </c>
      <c r="AB62" s="118">
        <f ca="1">[1]!ldf(F$5:F$27, $A$5:$A$27, $W62, $A$27, 3)</f>
        <v>1.0267846356758481</v>
      </c>
      <c r="AC62" s="118">
        <f ca="1">[1]!ldf(G$5:G$27, $A$5:$A$27, $W62, $A$27, 3)</f>
        <v>1.1348079976588499</v>
      </c>
      <c r="AD62" s="118">
        <f ca="1">[1]!ldf(H$5:H$27, $A$5:$A$27, $W62, $A$27, 3)</f>
        <v>1.1154693914273703</v>
      </c>
      <c r="AE62" s="118">
        <f ca="1">[1]!ldf(I$5:I$27, $A$5:$A$27, $W62, $A$27, 3)</f>
        <v>1.1074603223895392</v>
      </c>
      <c r="AF62" s="118">
        <f ca="1">[1]!ldf(J$5:J$27, $A$5:$A$27, $W62, $A$27, 3)</f>
        <v>1.0832939253143119</v>
      </c>
      <c r="AG62" s="118">
        <f ca="1">[1]!ldf(K$5:K$27, $A$5:$A$27, $W62, $A$27, 3)</f>
        <v>1.0662753278199539</v>
      </c>
      <c r="AH62" s="118">
        <f ca="1">[1]!ldf(L$5:L$27, $A$5:$A$27, $W62, $A$27, 3)</f>
        <v>1</v>
      </c>
      <c r="AI62" s="118">
        <f ca="1">[1]!ldf(M$5:M$27, $A$5:$A$27, $W62, $A$27, 3)</f>
        <v>1.3596849148674959</v>
      </c>
      <c r="AJ62" s="118">
        <f ca="1">[1]!ldf(N$5:N$27, $A$5:$A$27, $W62, $A$27, 3)</f>
        <v>1.3350417104652077</v>
      </c>
      <c r="AK62" s="118">
        <f ca="1">[1]!ldf(O$5:O$27, $A$5:$A$27, $W62, $A$27, 3)</f>
        <v>1.4178328728378351</v>
      </c>
      <c r="AL62" s="118">
        <f ca="1">[1]!ldf(P$5:P$27, $A$5:$A$27, $W62, $A$27, 3)</f>
        <v>1.3502259477714946</v>
      </c>
      <c r="AM62" s="118">
        <f ca="1">[1]!ldf(Q$5:Q$27, $A$5:$A$27, $W62, $A$27, 3)</f>
        <v>1.4667822240379005</v>
      </c>
      <c r="AN62" s="118">
        <f ca="1">[1]!ldf(R$5:R$27, $A$5:$A$27, $W62, $A$27, 3)</f>
        <v>1.4586281800156085</v>
      </c>
      <c r="AO62" s="118">
        <f ca="1">[1]!ldf(S$5:S$27, $A$5:$A$27, $W62, $A$27, 3)</f>
        <v>1.6460573277026653</v>
      </c>
      <c r="AP62" s="118">
        <f ca="1">[1]!ldf(T$5:T$27, $A$5:$A$27, $W62, $A$27, 3)</f>
        <v>1.5793924124463206</v>
      </c>
    </row>
    <row r="63" spans="22:42" ht="12.75" customHeight="1" x14ac:dyDescent="0.2">
      <c r="V63" s="145">
        <f t="shared" si="66"/>
        <v>3</v>
      </c>
      <c r="W63" s="3">
        <f>SMALL(ages, SUM($V$5:V63))</f>
        <v>117</v>
      </c>
      <c r="X63" s="118">
        <f ca="1">[1]!ldf(B$5:B$27, $A$5:$A$27, $W63, $A$27, 3)</f>
        <v>1.0732868949712928</v>
      </c>
      <c r="Y63" s="118">
        <f ca="1">[1]!ldf(C$5:C$27, $A$5:$A$27, $W63, $A$27, 3)</f>
        <v>1.0547137022157791</v>
      </c>
      <c r="Z63" s="118">
        <f ca="1">[1]!ldf(D$5:D$27, $A$5:$A$27, $W63, $A$27, 3)</f>
        <v>1.0495545106775375</v>
      </c>
      <c r="AA63" s="118">
        <f ca="1">[1]!ldf(E$5:E$27, $A$5:$A$27, $W63, $A$27, 3)</f>
        <v>1.0353458167774625</v>
      </c>
      <c r="AB63" s="118">
        <f ca="1">[1]!ldf(F$5:F$27, $A$5:$A$27, $W63, $A$27, 3)</f>
        <v>1.0260827935423313</v>
      </c>
      <c r="AC63" s="118">
        <f ca="1">[1]!ldf(G$5:G$27, $A$5:$A$27, $W63, $A$27, 3)</f>
        <v>1.131974766316562</v>
      </c>
      <c r="AD63" s="118">
        <f ca="1">[1]!ldf(H$5:H$27, $A$5:$A$27, $W63, $A$27, 3)</f>
        <v>1.1129005722928091</v>
      </c>
      <c r="AE63" s="118">
        <f ca="1">[1]!ldf(I$5:I$27, $A$5:$A$27, $W63, $A$27, 3)</f>
        <v>1.1050151570520264</v>
      </c>
      <c r="AF63" s="118">
        <f ca="1">[1]!ldf(J$5:J$27, $A$5:$A$27, $W63, $A$27, 3)</f>
        <v>1.0812148632205454</v>
      </c>
      <c r="AG63" s="118">
        <f ca="1">[1]!ldf(K$5:K$27, $A$5:$A$27, $W63, $A$27, 3)</f>
        <v>1.0644264571832787</v>
      </c>
      <c r="AH63" s="118">
        <f ca="1">[1]!ldf(L$5:L$27, $A$5:$A$27, $W63, $A$27, 3)</f>
        <v>1</v>
      </c>
      <c r="AI63" s="118">
        <f ca="1">[1]!ldf(M$5:M$27, $A$5:$A$27, $W63, $A$27, 3)</f>
        <v>1.3564412435000999</v>
      </c>
      <c r="AJ63" s="118">
        <f ca="1">[1]!ldf(N$5:N$27, $A$5:$A$27, $W63, $A$27, 3)</f>
        <v>1.3311089060713526</v>
      </c>
      <c r="AK63" s="118">
        <f ca="1">[1]!ldf(O$5:O$27, $A$5:$A$27, $W63, $A$27, 3)</f>
        <v>1.4110094384764489</v>
      </c>
      <c r="AL63" s="118">
        <f ca="1">[1]!ldf(P$5:P$27, $A$5:$A$27, $W63, $A$27, 3)</f>
        <v>1.3441611651779475</v>
      </c>
      <c r="AM63" s="118">
        <f ca="1">[1]!ldf(Q$5:Q$27, $A$5:$A$27, $W63, $A$27, 3)</f>
        <v>1.458281423391482</v>
      </c>
      <c r="AN63" s="118">
        <f ca="1">[1]!ldf(R$5:R$27, $A$5:$A$27, $W63, $A$27, 3)</f>
        <v>1.4500374452232394</v>
      </c>
      <c r="AO63" s="118">
        <f ca="1">[1]!ldf(S$5:S$27, $A$5:$A$27, $W63, $A$27, 3)</f>
        <v>1.6326062316063592</v>
      </c>
      <c r="AP63" s="118">
        <f ca="1">[1]!ldf(T$5:T$27, $A$5:$A$27, $W63, $A$27, 3)</f>
        <v>1.5677272253294239</v>
      </c>
    </row>
    <row r="64" spans="22:42" ht="12.75" customHeight="1" x14ac:dyDescent="0.2">
      <c r="V64" s="145">
        <f t="shared" si="66"/>
        <v>2</v>
      </c>
      <c r="W64" s="3">
        <f>SMALL(ages, SUM($V$5:V64))</f>
        <v>120</v>
      </c>
      <c r="X64" s="118">
        <f ca="1">[1]!ldf(B$5:B$27, $A$5:$A$27, $W64, $A$27, 3)</f>
        <v>1.0713180738329968</v>
      </c>
      <c r="Y64" s="118">
        <f ca="1">[1]!ldf(C$5:C$27, $A$5:$A$27, $W64, $A$27, 3)</f>
        <v>1.0528969745071488</v>
      </c>
      <c r="Z64" s="118">
        <f ca="1">[1]!ldf(D$5:D$27, $A$5:$A$27, $W64, $A$27, 3)</f>
        <v>1.0478713563393183</v>
      </c>
      <c r="AA64" s="118">
        <f ca="1">[1]!ldf(E$5:E$27, $A$5:$A$27, $W64, $A$27, 3)</f>
        <v>1.0340681759501187</v>
      </c>
      <c r="AB64" s="118">
        <f ca="1">[1]!ldf(F$5:F$27, $A$5:$A$27, $W64, $A$27, 3)</f>
        <v>1.025064778787234</v>
      </c>
      <c r="AC64" s="118">
        <f ca="1">[1]!ldf(G$5:G$27, $A$5:$A$27, $W64, $A$27, 3)</f>
        <v>1.1278423204031798</v>
      </c>
      <c r="AD64" s="118">
        <f ca="1">[1]!ldf(H$5:H$27, $A$5:$A$27, $W64, $A$27, 3)</f>
        <v>1.109159234097715</v>
      </c>
      <c r="AE64" s="118">
        <f ca="1">[1]!ldf(I$5:I$27, $A$5:$A$27, $W64, $A$27, 3)</f>
        <v>1.101456019362653</v>
      </c>
      <c r="AF64" s="118">
        <f ca="1">[1]!ldf(J$5:J$27, $A$5:$A$27, $W64, $A$27, 3)</f>
        <v>1.0781966214433019</v>
      </c>
      <c r="AG64" s="118">
        <f ca="1">[1]!ldf(K$5:K$27, $A$5:$A$27, $W64, $A$27, 3)</f>
        <v>1.0617521688289118</v>
      </c>
      <c r="AH64" s="118">
        <f ca="1">[1]!ldf(L$5:L$27, $A$5:$A$27, $W64, $A$27, 3)</f>
        <v>1</v>
      </c>
      <c r="AI64" s="118">
        <f ca="1">[1]!ldf(M$5:M$27, $A$5:$A$27, $W64, $A$27, 3)</f>
        <v>1.3516372321341903</v>
      </c>
      <c r="AJ64" s="118">
        <f ca="1">[1]!ldf(N$5:N$27, $A$5:$A$27, $W64, $A$27, 3)</f>
        <v>1.325306128318628</v>
      </c>
      <c r="AK64" s="118">
        <f ca="1">[1]!ldf(O$5:O$27, $A$5:$A$27, $W64, $A$27, 3)</f>
        <v>1.4010105026338666</v>
      </c>
      <c r="AL64" s="118">
        <f ca="1">[1]!ldf(P$5:P$27, $A$5:$A$27, $W64, $A$27, 3)</f>
        <v>1.3352835750540846</v>
      </c>
      <c r="AM64" s="118">
        <f ca="1">[1]!ldf(Q$5:Q$27, $A$5:$A$27, $W64, $A$27, 3)</f>
        <v>1.4458609720606512</v>
      </c>
      <c r="AN64" s="118">
        <f ca="1">[1]!ldf(R$5:R$27, $A$5:$A$27, $W64, $A$27, 3)</f>
        <v>1.4374945772348235</v>
      </c>
      <c r="AO64" s="118">
        <f ca="1">[1]!ldf(S$5:S$27, $A$5:$A$27, $W64, $A$27, 3)</f>
        <v>1.6130428023895695</v>
      </c>
      <c r="AP64" s="118">
        <f ca="1">[1]!ldf(T$5:T$27, $A$5:$A$27, $W64, $A$27, 3)</f>
        <v>1.5507394330188722</v>
      </c>
    </row>
    <row r="65" spans="22:42" ht="12.75" customHeight="1" x14ac:dyDescent="0.2">
      <c r="V65" s="145">
        <f t="shared" si="66"/>
        <v>1</v>
      </c>
      <c r="W65" s="3">
        <f>SMALL(ages, SUM($V$5:V65))</f>
        <v>121</v>
      </c>
      <c r="X65" s="118">
        <f ca="1">[1]!ldf(B$5:B$27, $A$5:$A$27, $W65, $A$27, 3)</f>
        <v>1.0706988299480276</v>
      </c>
      <c r="Y65" s="118">
        <f ca="1">[1]!ldf(C$5:C$27, $A$5:$A$27, $W65, $A$27, 3)</f>
        <v>1.0523528594367746</v>
      </c>
      <c r="Z65" s="118">
        <f ca="1">[1]!ldf(D$5:D$27, $A$5:$A$27, $W65, $A$27, 3)</f>
        <v>1.0473423639751813</v>
      </c>
      <c r="AA65" s="118">
        <f ca="1">[1]!ldf(E$5:E$27, $A$5:$A$27, $W65, $A$27, 3)</f>
        <v>1.0336615705710854</v>
      </c>
      <c r="AB65" s="118">
        <f ca="1">[1]!ldf(F$5:F$27, $A$5:$A$27, $W65, $A$27, 3)</f>
        <v>1.0247360976775184</v>
      </c>
      <c r="AC65" s="118">
        <f ca="1">[1]!ldf(G$5:G$27, $A$5:$A$27, $W65, $A$27, 3)</f>
        <v>1.1265186854916818</v>
      </c>
      <c r="AD65" s="118">
        <f ca="1">[1]!ldf(H$5:H$27, $A$5:$A$27, $W65, $A$27, 3)</f>
        <v>1.1079558004216536</v>
      </c>
      <c r="AE65" s="118">
        <f ca="1">[1]!ldf(I$5:I$27, $A$5:$A$27, $W65, $A$27, 3)</f>
        <v>1.1003105607671504</v>
      </c>
      <c r="AF65" s="118">
        <f ca="1">[1]!ldf(J$5:J$27, $A$5:$A$27, $W65, $A$27, 3)</f>
        <v>1.0772188953711015</v>
      </c>
      <c r="AG65" s="118">
        <f ca="1">[1]!ldf(K$5:K$27, $A$5:$A$27, $W65, $A$27, 3)</f>
        <v>1.0608759455028269</v>
      </c>
      <c r="AH65" s="118">
        <f ca="1">[1]!ldf(L$5:L$27, $A$5:$A$27, $W65, $A$27, 3)</f>
        <v>1</v>
      </c>
      <c r="AI65" s="118">
        <f ca="1">[1]!ldf(M$5:M$27, $A$5:$A$27, $W65, $A$27, 3)</f>
        <v>1.3493705001088441</v>
      </c>
      <c r="AJ65" s="118">
        <f ca="1">[1]!ldf(N$5:N$27, $A$5:$A$27, $W65, $A$27, 3)</f>
        <v>1.323365168012915</v>
      </c>
      <c r="AK65" s="118">
        <f ca="1">[1]!ldf(O$5:O$27, $A$5:$A$27, $W65, $A$27, 3)</f>
        <v>1.3978788966486362</v>
      </c>
      <c r="AL65" s="118">
        <f ca="1">[1]!ldf(P$5:P$27, $A$5:$A$27, $W65, $A$27, 3)</f>
        <v>1.3325317039671836</v>
      </c>
      <c r="AM65" s="118">
        <f ca="1">[1]!ldf(Q$5:Q$27, $A$5:$A$27, $W65, $A$27, 3)</f>
        <v>1.4419548222164202</v>
      </c>
      <c r="AN65" s="118">
        <f ca="1">[1]!ldf(R$5:R$27, $A$5:$A$27, $W65, $A$27, 3)</f>
        <v>1.4335293867347665</v>
      </c>
      <c r="AO65" s="118">
        <f ca="1">[1]!ldf(S$5:S$27, $A$5:$A$27, $W65, $A$27, 3)</f>
        <v>1.6069069635500932</v>
      </c>
      <c r="AP65" s="118">
        <f ca="1">[1]!ldf(T$5:T$27, $A$5:$A$27, $W65, $A$27, 3)</f>
        <v>1.5454017842069987</v>
      </c>
    </row>
    <row r="66" spans="22:42" ht="12.75" customHeight="1" x14ac:dyDescent="0.2">
      <c r="V66" s="145">
        <f t="shared" si="66"/>
        <v>2</v>
      </c>
      <c r="W66" s="3">
        <f>SMALL(ages, SUM($V$5:V66))</f>
        <v>123</v>
      </c>
      <c r="X66" s="118">
        <f ca="1">[1]!ldf(B$5:B$27, $A$5:$A$27, $W66, $A$27, 3)</f>
        <v>1.069476941649848</v>
      </c>
      <c r="Y66" s="118">
        <f ca="1">[1]!ldf(C$5:C$27, $A$5:$A$27, $W66, $A$27, 3)</f>
        <v>1.0512817666956933</v>
      </c>
      <c r="Z66" s="118">
        <f ca="1">[1]!ldf(D$5:D$27, $A$5:$A$27, $W66, $A$27, 3)</f>
        <v>1.0463022343571453</v>
      </c>
      <c r="AA66" s="118">
        <f ca="1">[1]!ldf(E$5:E$27, $A$5:$A$27, $W66, $A$27, 3)</f>
        <v>1.0328630896569635</v>
      </c>
      <c r="AB66" s="118">
        <f ca="1">[1]!ldf(F$5:F$27, $A$5:$A$27, $W66, $A$27, 3)</f>
        <v>1.0240917598812724</v>
      </c>
      <c r="AC66" s="118">
        <f ca="1">[1]!ldf(G$5:G$27, $A$5:$A$27, $W66, $A$27, 3)</f>
        <v>1.1239145946759923</v>
      </c>
      <c r="AD66" s="118">
        <f ca="1">[1]!ldf(H$5:H$27, $A$5:$A$27, $W66, $A$27, 3)</f>
        <v>1.1055904452984766</v>
      </c>
      <c r="AE66" s="118">
        <f ca="1">[1]!ldf(I$5:I$27, $A$5:$A$27, $W66, $A$27, 3)</f>
        <v>1.098059989034248</v>
      </c>
      <c r="AF66" s="118">
        <f ca="1">[1]!ldf(J$5:J$27, $A$5:$A$27, $W66, $A$27, 3)</f>
        <v>1.0753012253405008</v>
      </c>
      <c r="AG66" s="118">
        <f ca="1">[1]!ldf(K$5:K$27, $A$5:$A$27, $W66, $A$27, 3)</f>
        <v>1.0591616460973063</v>
      </c>
      <c r="AH66" s="118">
        <f ca="1">[1]!ldf(L$5:L$27, $A$5:$A$27, $W66, $A$27, 3)</f>
        <v>1</v>
      </c>
      <c r="AI66" s="118">
        <f ca="1">[1]!ldf(M$5:M$27, $A$5:$A$27, $W66, $A$27, 3)</f>
        <v>1.3448860850406505</v>
      </c>
      <c r="AJ66" s="118">
        <f ca="1">[1]!ldf(N$5:N$27, $A$5:$A$27, $W66, $A$27, 3)</f>
        <v>1.3195219092124653</v>
      </c>
      <c r="AK66" s="118">
        <f ca="1">[1]!ldf(O$5:O$27, $A$5:$A$27, $W66, $A$27, 3)</f>
        <v>1.3916985328609728</v>
      </c>
      <c r="AL66" s="118">
        <f ca="1">[1]!ldf(P$5:P$27, $A$5:$A$27, $W66, $A$27, 3)</f>
        <v>1.3271034259967258</v>
      </c>
      <c r="AM66" s="118">
        <f ca="1">[1]!ldf(Q$5:Q$27, $A$5:$A$27, $W66, $A$27, 3)</f>
        <v>1.4342593474454601</v>
      </c>
      <c r="AN66" s="118">
        <f ca="1">[1]!ldf(R$5:R$27, $A$5:$A$27, $W66, $A$27, 3)</f>
        <v>1.4257214826876632</v>
      </c>
      <c r="AO66" s="118">
        <f ca="1">[1]!ldf(S$5:S$27, $A$5:$A$27, $W66, $A$27, 3)</f>
        <v>1.5948501737574314</v>
      </c>
      <c r="AP66" s="118">
        <f ca="1">[1]!ldf(T$5:T$27, $A$5:$A$27, $W66, $A$27, 3)</f>
        <v>1.5349059817743911</v>
      </c>
    </row>
    <row r="67" spans="22:42" ht="12.75" customHeight="1" x14ac:dyDescent="0.2">
      <c r="V67" s="145">
        <f t="shared" si="66"/>
        <v>2</v>
      </c>
      <c r="W67" s="3">
        <f>SMALL(ages, SUM($V$5:V67))</f>
        <v>124</v>
      </c>
      <c r="X67" s="118">
        <f ca="1">[1]!ldf(B$5:B$27, $A$5:$A$27, $W67, $A$27, 3)</f>
        <v>1.0688741923979597</v>
      </c>
      <c r="Y67" s="118">
        <f ca="1">[1]!ldf(C$5:C$27, $A$5:$A$27, $W67, $A$27, 3)</f>
        <v>1.0507546634484728</v>
      </c>
      <c r="Z67" s="118">
        <f ca="1">[1]!ldf(D$5:D$27, $A$5:$A$27, $W67, $A$27, 3)</f>
        <v>1.0457909573994753</v>
      </c>
      <c r="AA67" s="118">
        <f ca="1">[1]!ldf(E$5:E$27, $A$5:$A$27, $W67, $A$27, 3)</f>
        <v>1.0324710917177788</v>
      </c>
      <c r="AB67" s="118">
        <f ca="1">[1]!ldf(F$5:F$27, $A$5:$A$27, $W67, $A$27, 3)</f>
        <v>1.0237759856543953</v>
      </c>
      <c r="AC67" s="118">
        <f ca="1">[1]!ldf(G$5:G$27, $A$5:$A$27, $W67, $A$27, 3)</f>
        <v>1.1226337960594492</v>
      </c>
      <c r="AD67" s="118">
        <f ca="1">[1]!ldf(H$5:H$27, $A$5:$A$27, $W67, $A$27, 3)</f>
        <v>1.1044281788101655</v>
      </c>
      <c r="AE67" s="118">
        <f ca="1">[1]!ldf(I$5:I$27, $A$5:$A$27, $W67, $A$27, 3)</f>
        <v>1.0969545349348955</v>
      </c>
      <c r="AF67" s="118">
        <f ca="1">[1]!ldf(J$5:J$27, $A$5:$A$27, $W67, $A$27, 3)</f>
        <v>1.0743609358807054</v>
      </c>
      <c r="AG67" s="118">
        <f ca="1">[1]!ldf(K$5:K$27, $A$5:$A$27, $W67, $A$27, 3)</f>
        <v>1.0583231811990095</v>
      </c>
      <c r="AH67" s="118">
        <f ca="1">[1]!ldf(L$5:L$27, $A$5:$A$27, $W67, $A$27, 3)</f>
        <v>1</v>
      </c>
      <c r="AI67" s="118">
        <f ca="1">[1]!ldf(M$5:M$27, $A$5:$A$27, $W67, $A$27, 3)</f>
        <v>1.342668124564943</v>
      </c>
      <c r="AJ67" s="118">
        <f ca="1">[1]!ldf(N$5:N$27, $A$5:$A$27, $W67, $A$27, 3)</f>
        <v>1.3176194104934855</v>
      </c>
      <c r="AK67" s="118">
        <f ca="1">[1]!ldf(O$5:O$27, $A$5:$A$27, $W67, $A$27, 3)</f>
        <v>1.3886491971747574</v>
      </c>
      <c r="AL67" s="118">
        <f ca="1">[1]!ldf(P$5:P$27, $A$5:$A$27, $W67, $A$27, 3)</f>
        <v>1.3244264801690087</v>
      </c>
      <c r="AM67" s="118">
        <f ca="1">[1]!ldf(Q$5:Q$27, $A$5:$A$27, $W67, $A$27, 3)</f>
        <v>1.4304690951683459</v>
      </c>
      <c r="AN67" s="118">
        <f ca="1">[1]!ldf(R$5:R$27, $A$5:$A$27, $W67, $A$27, 3)</f>
        <v>1.4218777663373379</v>
      </c>
      <c r="AO67" s="118">
        <f ca="1">[1]!ldf(S$5:S$27, $A$5:$A$27, $W67, $A$27, 3)</f>
        <v>1.5889271894477979</v>
      </c>
      <c r="AP67" s="118">
        <f ca="1">[1]!ldf(T$5:T$27, $A$5:$A$27, $W67, $A$27, 3)</f>
        <v>1.5297462063306404</v>
      </c>
    </row>
    <row r="68" spans="22:42" ht="12.75" customHeight="1" x14ac:dyDescent="0.2">
      <c r="V68" s="145">
        <f t="shared" si="66"/>
        <v>1</v>
      </c>
      <c r="W68" s="3">
        <f>SMALL(ages, SUM($V$5:V68))</f>
        <v>127</v>
      </c>
      <c r="X68" s="118">
        <f ca="1">[1]!ldf(B$5:B$27, $A$5:$A$27, $W68, $A$27, 3)</f>
        <v>1.0670981066004215</v>
      </c>
      <c r="Y68" s="118">
        <f ca="1">[1]!ldf(C$5:C$27, $A$5:$A$27, $W68, $A$27, 3)</f>
        <v>1.0492063882968992</v>
      </c>
      <c r="Z68" s="118">
        <f ca="1">[1]!ldf(D$5:D$27, $A$5:$A$27, $W68, $A$27, 3)</f>
        <v>1.0442914580812708</v>
      </c>
      <c r="AA68" s="118">
        <f ca="1">[1]!ldf(E$5:E$27, $A$5:$A$27, $W68, $A$27, 3)</f>
        <v>1.0313233503618813</v>
      </c>
      <c r="AB68" s="118">
        <f ca="1">[1]!ldf(F$5:F$27, $A$5:$A$27, $W68, $A$27, 3)</f>
        <v>1.0228535537342478</v>
      </c>
      <c r="AC68" s="118">
        <f ca="1">[1]!ldf(G$5:G$27, $A$5:$A$27, $W68, $A$27, 3)</f>
        <v>1.1188743796310656</v>
      </c>
      <c r="AD68" s="118">
        <f ca="1">[1]!ldf(H$5:H$27, $A$5:$A$27, $W68, $A$27, 3)</f>
        <v>1.1010210040175956</v>
      </c>
      <c r="AE68" s="118">
        <f ca="1">[1]!ldf(I$5:I$27, $A$5:$A$27, $W68, $A$27, 3)</f>
        <v>1.0937155045515625</v>
      </c>
      <c r="AF68" s="118">
        <f ca="1">[1]!ldf(J$5:J$27, $A$5:$A$27, $W68, $A$27, 3)</f>
        <v>1.071612231264117</v>
      </c>
      <c r="AG68" s="118">
        <f ca="1">[1]!ldf(K$5:K$27, $A$5:$A$27, $W68, $A$27, 3)</f>
        <v>1.055880260199161</v>
      </c>
      <c r="AH68" s="118">
        <f ca="1">[1]!ldf(L$5:L$27, $A$5:$A$27, $W68, $A$27, 3)</f>
        <v>1</v>
      </c>
      <c r="AI68" s="118">
        <f ca="1">[1]!ldf(M$5:M$27, $A$5:$A$27, $W68, $A$27, 3)</f>
        <v>1.336109596327582</v>
      </c>
      <c r="AJ68" s="118">
        <f ca="1">[1]!ldf(N$5:N$27, $A$5:$A$27, $W68, $A$27, 3)</f>
        <v>1.3119872552074012</v>
      </c>
      <c r="AK68" s="118">
        <f ca="1">[1]!ldf(O$5:O$27, $A$5:$A$27, $W68, $A$27, 3)</f>
        <v>1.3796611837053889</v>
      </c>
      <c r="AL68" s="118">
        <f ca="1">[1]!ldf(P$5:P$27, $A$5:$A$27, $W68, $A$27, 3)</f>
        <v>1.316541253901266</v>
      </c>
      <c r="AM68" s="118">
        <f ca="1">[1]!ldf(Q$5:Q$27, $A$5:$A$27, $W68, $A$27, 3)</f>
        <v>1.4193228537255813</v>
      </c>
      <c r="AN68" s="118">
        <f ca="1">[1]!ldf(R$5:R$27, $A$5:$A$27, $W68, $A$27, 3)</f>
        <v>1.4105816981603052</v>
      </c>
      <c r="AO68" s="118">
        <f ca="1">[1]!ldf(S$5:S$27, $A$5:$A$27, $W68, $A$27, 3)</f>
        <v>1.5715680428471621</v>
      </c>
      <c r="AP68" s="118">
        <f ca="1">[1]!ldf(T$5:T$27, $A$5:$A$27, $W68, $A$27, 3)</f>
        <v>1.5146099294135533</v>
      </c>
    </row>
    <row r="69" spans="22:42" ht="12.75" customHeight="1" x14ac:dyDescent="0.2">
      <c r="V69" s="145">
        <f t="shared" si="66"/>
        <v>3</v>
      </c>
      <c r="W69" s="3">
        <f>SMALL(ages, SUM($V$5:V69))</f>
        <v>129</v>
      </c>
      <c r="X69" s="118">
        <f ca="1">[1]!ldf(B$5:B$27, $A$5:$A$27, $W69, $A$27, 3)</f>
        <v>1.0659403469697006</v>
      </c>
      <c r="Y69" s="118">
        <f ca="1">[1]!ldf(C$5:C$27, $A$5:$A$27, $W69, $A$27, 3)</f>
        <v>1.0482011332317116</v>
      </c>
      <c r="Z69" s="118">
        <f ca="1">[1]!ldf(D$5:D$27, $A$5:$A$27, $W69, $A$27, 3)</f>
        <v>1.0433197353482933</v>
      </c>
      <c r="AA69" s="118">
        <f ca="1">[1]!ldf(E$5:E$27, $A$5:$A$27, $W69, $A$27, 3)</f>
        <v>1.0305811507711482</v>
      </c>
      <c r="AB69" s="118">
        <f ca="1">[1]!ldf(F$5:F$27, $A$5:$A$27, $W69, $A$27, 3)</f>
        <v>1.0222587841976396</v>
      </c>
      <c r="AC69" s="118">
        <f ca="1">[1]!ldf(G$5:G$27, $A$5:$A$27, $W69, $A$27, 3)</f>
        <v>1.1164356233190076</v>
      </c>
      <c r="AD69" s="118">
        <f ca="1">[1]!ldf(H$5:H$27, $A$5:$A$27, $W69, $A$27, 3)</f>
        <v>1.0988142718408052</v>
      </c>
      <c r="AE69" s="118">
        <f ca="1">[1]!ldf(I$5:I$27, $A$5:$A$27, $W69, $A$27, 3)</f>
        <v>1.0916189783857599</v>
      </c>
      <c r="AF69" s="118">
        <f ca="1">[1]!ldf(J$5:J$27, $A$5:$A$27, $W69, $A$27, 3)</f>
        <v>1.0698382662863315</v>
      </c>
      <c r="AG69" s="118">
        <f ca="1">[1]!ldf(K$5:K$27, $A$5:$A$27, $W69, $A$27, 3)</f>
        <v>1.0543102150444075</v>
      </c>
      <c r="AH69" s="118">
        <f ca="1">[1]!ldf(L$5:L$27, $A$5:$A$27, $W69, $A$27, 3)</f>
        <v>1</v>
      </c>
      <c r="AI69" s="118">
        <f ca="1">[1]!ldf(M$5:M$27, $A$5:$A$27, $W69, $A$27, 3)</f>
        <v>1.3318153701619462</v>
      </c>
      <c r="AJ69" s="118">
        <f ca="1">[1]!ldf(N$5:N$27, $A$5:$A$27, $W69, $A$27, 3)</f>
        <v>1.3082943023934424</v>
      </c>
      <c r="AK69" s="118">
        <f ca="1">[1]!ldf(O$5:O$27, $A$5:$A$27, $W69, $A$27, 3)</f>
        <v>1.3737997471912515</v>
      </c>
      <c r="AL69" s="118">
        <f ca="1">[1]!ldf(P$5:P$27, $A$5:$A$27, $W69, $A$27, 3)</f>
        <v>1.3114032114957788</v>
      </c>
      <c r="AM69" s="118">
        <f ca="1">[1]!ldf(Q$5:Q$27, $A$5:$A$27, $W69, $A$27, 3)</f>
        <v>1.4120747298050242</v>
      </c>
      <c r="AN69" s="118">
        <f ca="1">[1]!ldf(R$5:R$27, $A$5:$A$27, $W69, $A$27, 3)</f>
        <v>1.4032421449286683</v>
      </c>
      <c r="AO69" s="118">
        <f ca="1">[1]!ldf(S$5:S$27, $A$5:$A$27, $W69, $A$27, 3)</f>
        <v>1.5603272546728204</v>
      </c>
      <c r="AP69" s="118">
        <f ca="1">[1]!ldf(T$5:T$27, $A$5:$A$27, $W69, $A$27, 3)</f>
        <v>1.5047973295524788</v>
      </c>
    </row>
    <row r="70" spans="22:42" ht="12.75" customHeight="1" x14ac:dyDescent="0.2">
      <c r="V70" s="145">
        <f t="shared" ref="V70:V94" si="69">COUNTIF(ages, W69)</f>
        <v>2</v>
      </c>
      <c r="W70" s="3">
        <f>SMALL(ages, SUM($V$5:V70))</f>
        <v>132</v>
      </c>
      <c r="X70" s="118">
        <f ca="1">[1]!ldf(B$5:B$27, $A$5:$A$27, $W70, $A$27, 3)</f>
        <v>1.0642421690438046</v>
      </c>
      <c r="Y70" s="118">
        <f ca="1">[1]!ldf(C$5:C$27, $A$5:$A$27, $W70, $A$27, 3)</f>
        <v>1.0467324738808523</v>
      </c>
      <c r="Z70" s="118">
        <f ca="1">[1]!ldf(D$5:D$27, $A$5:$A$27, $W70, $A$27, 3)</f>
        <v>1.0419027713837967</v>
      </c>
      <c r="AA70" s="118">
        <f ca="1">[1]!ldf(E$5:E$27, $A$5:$A$27, $W70, $A$27, 3)</f>
        <v>1.0295011625595312</v>
      </c>
      <c r="AB70" s="118">
        <f ca="1">[1]!ldf(F$5:F$27, $A$5:$A$27, $W70, $A$27, 3)</f>
        <v>1.0213958279801438</v>
      </c>
      <c r="AC70" s="118">
        <f ca="1">[1]!ldf(G$5:G$27, $A$5:$A$27, $W70, $A$27, 3)</f>
        <v>1.1128756119641841</v>
      </c>
      <c r="AD70" s="118">
        <f ca="1">[1]!ldf(H$5:H$27, $A$5:$A$27, $W70, $A$27, 3)</f>
        <v>1.0955980792810889</v>
      </c>
      <c r="AE70" s="118">
        <f ca="1">[1]!ldf(I$5:I$27, $A$5:$A$27, $W70, $A$27, 3)</f>
        <v>1.0885653001146909</v>
      </c>
      <c r="AF70" s="118">
        <f ca="1">[1]!ldf(J$5:J$27, $A$5:$A$27, $W70, $A$27, 3)</f>
        <v>1.0672619216078643</v>
      </c>
      <c r="AG70" s="118">
        <f ca="1">[1]!ldf(K$5:K$27, $A$5:$A$27, $W70, $A$27, 3)</f>
        <v>1.0520394827066555</v>
      </c>
      <c r="AH70" s="118">
        <f ca="1">[1]!ldf(L$5:L$27, $A$5:$A$27, $W70, $A$27, 3)</f>
        <v>1</v>
      </c>
      <c r="AI70" s="118">
        <f ca="1">[1]!ldf(M$5:M$27, $A$5:$A$27, $W70, $A$27, 3)</f>
        <v>1.3254886102372845</v>
      </c>
      <c r="AJ70" s="118">
        <f ca="1">[1]!ldf(N$5:N$27, $A$5:$A$27, $W70, $A$27, 3)</f>
        <v>1.3028457058306455</v>
      </c>
      <c r="AK70" s="118">
        <f ca="1">[1]!ldf(O$5:O$27, $A$5:$A$27, $W70, $A$27, 3)</f>
        <v>1.3651980935815871</v>
      </c>
      <c r="AL70" s="118">
        <f ca="1">[1]!ldf(P$5:P$27, $A$5:$A$27, $W70, $A$27, 3)</f>
        <v>1.3038693210471111</v>
      </c>
      <c r="AM70" s="118">
        <f ca="1">[1]!ldf(Q$5:Q$27, $A$5:$A$27, $W70, $A$27, 3)</f>
        <v>1.4014680929213934</v>
      </c>
      <c r="AN70" s="118">
        <f ca="1">[1]!ldf(R$5:R$27, $A$5:$A$27, $W70, $A$27, 3)</f>
        <v>1.3925103793111555</v>
      </c>
      <c r="AO70" s="118">
        <f ca="1">[1]!ldf(S$5:S$27, $A$5:$A$27, $W70, $A$27, 3)</f>
        <v>1.543945698068766</v>
      </c>
      <c r="AP70" s="118">
        <f ca="1">[1]!ldf(T$5:T$27, $A$5:$A$27, $W70, $A$27, 3)</f>
        <v>1.4904811104626032</v>
      </c>
    </row>
    <row r="71" spans="22:42" ht="12.75" customHeight="1" x14ac:dyDescent="0.2">
      <c r="V71" s="145">
        <f t="shared" si="69"/>
        <v>1</v>
      </c>
      <c r="W71" s="3">
        <f>SMALL(ages, SUM($V$5:V71))</f>
        <v>133</v>
      </c>
      <c r="X71" s="118">
        <f ca="1">[1]!ldf(B$5:B$27, $A$5:$A$27, $W71, $A$27, 3)</f>
        <v>1.063705909889781</v>
      </c>
      <c r="Y71" s="118">
        <f ca="1">[1]!ldf(C$5:C$27, $A$5:$A$27, $W71, $A$27, 3)</f>
        <v>1.0462643652257864</v>
      </c>
      <c r="Z71" s="118">
        <f ca="1">[1]!ldf(D$5:D$27, $A$5:$A$27, $W71, $A$27, 3)</f>
        <v>1.0414471683901421</v>
      </c>
      <c r="AA71" s="118">
        <f ca="1">[1]!ldf(E$5:E$27, $A$5:$A$27, $W71, $A$27, 3)</f>
        <v>1.0291527533568792</v>
      </c>
      <c r="AB71" s="118">
        <f ca="1">[1]!ldf(F$5:F$27, $A$5:$A$27, $W71, $A$27, 3)</f>
        <v>1.0211158208825921</v>
      </c>
      <c r="AC71" s="118">
        <f ca="1">[1]!ldf(G$5:G$27, $A$5:$A$27, $W71, $A$27, 3)</f>
        <v>1.1117930841095089</v>
      </c>
      <c r="AD71" s="118">
        <f ca="1">[1]!ldf(H$5:H$27, $A$5:$A$27, $W71, $A$27, 3)</f>
        <v>1.0946097771874803</v>
      </c>
      <c r="AE71" s="118">
        <f ca="1">[1]!ldf(I$5:I$27, $A$5:$A$27, $W71, $A$27, 3)</f>
        <v>1.0876249979241457</v>
      </c>
      <c r="AF71" s="118">
        <f ca="1">[1]!ldf(J$5:J$27, $A$5:$A$27, $W71, $A$27, 3)</f>
        <v>1.0664560244088561</v>
      </c>
      <c r="AG71" s="118">
        <f ca="1">[1]!ldf(K$5:K$27, $A$5:$A$27, $W71, $A$27, 3)</f>
        <v>1.0513146837936902</v>
      </c>
      <c r="AH71" s="118">
        <f ca="1">[1]!ldf(L$5:L$27, $A$5:$A$27, $W71, $A$27, 3)</f>
        <v>1</v>
      </c>
      <c r="AI71" s="118">
        <f ca="1">[1]!ldf(M$5:M$27, $A$5:$A$27, $W71, $A$27, 3)</f>
        <v>1.3234912860197774</v>
      </c>
      <c r="AJ71" s="118">
        <f ca="1">[1]!ldf(N$5:N$27, $A$5:$A$27, $W71, $A$27, 3)</f>
        <v>1.3011477369624145</v>
      </c>
      <c r="AK71" s="118">
        <f ca="1">[1]!ldf(O$5:O$27, $A$5:$A$27, $W71, $A$27, 3)</f>
        <v>1.3625240519408695</v>
      </c>
      <c r="AL71" s="118">
        <f ca="1">[1]!ldf(P$5:P$27, $A$5:$A$27, $W71, $A$27, 3)</f>
        <v>1.301518200332483</v>
      </c>
      <c r="AM71" s="118">
        <f ca="1">[1]!ldf(Q$5:Q$27, $A$5:$A$27, $W71, $A$27, 3)</f>
        <v>1.3984191686007936</v>
      </c>
      <c r="AN71" s="118">
        <f ca="1">[1]!ldf(R$5:R$27, $A$5:$A$27, $W71, $A$27, 3)</f>
        <v>1.3893853972240207</v>
      </c>
      <c r="AO71" s="118">
        <f ca="1">[1]!ldf(S$5:S$27, $A$5:$A$27, $W71, $A$27, 3)</f>
        <v>1.5392208123284803</v>
      </c>
      <c r="AP71" s="118">
        <f ca="1">[1]!ldf(T$5:T$27, $A$5:$A$27, $W71, $A$27, 3)</f>
        <v>1.4863376692755321</v>
      </c>
    </row>
    <row r="72" spans="22:42" ht="12.75" customHeight="1" x14ac:dyDescent="0.2">
      <c r="V72" s="145">
        <f t="shared" si="69"/>
        <v>2</v>
      </c>
      <c r="W72" s="3">
        <f>SMALL(ages, SUM($V$5:V72))</f>
        <v>135</v>
      </c>
      <c r="X72" s="118">
        <f ca="1">[1]!ldf(B$5:B$27, $A$5:$A$27, $W72, $A$27, 3)</f>
        <v>1.0626471736382328</v>
      </c>
      <c r="Y72" s="118">
        <f ca="1">[1]!ldf(C$5:C$27, $A$5:$A$27, $W72, $A$27, 3)</f>
        <v>1.045342469207059</v>
      </c>
      <c r="Z72" s="118">
        <f ca="1">[1]!ldf(D$5:D$27, $A$5:$A$27, $W72, $A$27, 3)</f>
        <v>1.0405510559353657</v>
      </c>
      <c r="AA72" s="118">
        <f ca="1">[1]!ldf(E$5:E$27, $A$5:$A$27, $W72, $A$27, 3)</f>
        <v>1.0284683997311603</v>
      </c>
      <c r="AB72" s="118">
        <f ca="1">[1]!ldf(F$5:F$27, $A$5:$A$27, $W72, $A$27, 3)</f>
        <v>1.0205668619166972</v>
      </c>
      <c r="AC72" s="118">
        <f ca="1">[1]!ldf(G$5:G$27, $A$5:$A$27, $W72, $A$27, 3)</f>
        <v>1.1096605780511799</v>
      </c>
      <c r="AD72" s="118">
        <f ca="1">[1]!ldf(H$5:H$27, $A$5:$A$27, $W72, $A$27, 3)</f>
        <v>1.0926649918205316</v>
      </c>
      <c r="AE72" s="118">
        <f ca="1">[1]!ldf(I$5:I$27, $A$5:$A$27, $W72, $A$27, 3)</f>
        <v>1.0857753971537023</v>
      </c>
      <c r="AF72" s="118">
        <f ca="1">[1]!ldf(J$5:J$27, $A$5:$A$27, $W72, $A$27, 3)</f>
        <v>1.0648739496850745</v>
      </c>
      <c r="AG72" s="118">
        <f ca="1">[1]!ldf(K$5:K$27, $A$5:$A$27, $W72, $A$27, 3)</f>
        <v>1.049895939216497</v>
      </c>
      <c r="AH72" s="118">
        <f ca="1">[1]!ldf(L$5:L$27, $A$5:$A$27, $W72, $A$27, 3)</f>
        <v>1</v>
      </c>
      <c r="AI72" s="118">
        <f ca="1">[1]!ldf(M$5:M$27, $A$5:$A$27, $W72, $A$27, 3)</f>
        <v>1.3195375518011887</v>
      </c>
      <c r="AJ72" s="118">
        <f ca="1">[1]!ldf(N$5:N$27, $A$5:$A$27, $W72, $A$27, 3)</f>
        <v>1.2977834233529324</v>
      </c>
      <c r="AK72" s="118">
        <f ca="1">[1]!ldf(O$5:O$27, $A$5:$A$27, $W72, $A$27, 3)</f>
        <v>1.3572418451412653</v>
      </c>
      <c r="AL72" s="118">
        <f ca="1">[1]!ldf(P$5:P$27, $A$5:$A$27, $W72, $A$27, 3)</f>
        <v>1.29687632330031</v>
      </c>
      <c r="AM72" s="118">
        <f ca="1">[1]!ldf(Q$5:Q$27, $A$5:$A$27, $W72, $A$27, 3)</f>
        <v>1.3923997797019252</v>
      </c>
      <c r="AN72" s="118">
        <f ca="1">[1]!ldf(R$5:R$27, $A$5:$A$27, $W72, $A$27, 3)</f>
        <v>1.3832195695597624</v>
      </c>
      <c r="AO72" s="118">
        <f ca="1">[1]!ldf(S$5:S$27, $A$5:$A$27, $W72, $A$27, 3)</f>
        <v>1.5299134054574817</v>
      </c>
      <c r="AP72" s="118">
        <f ca="1">[1]!ldf(T$5:T$27, $A$5:$A$27, $W72, $A$27, 3)</f>
        <v>1.4781712156756164</v>
      </c>
    </row>
    <row r="73" spans="22:42" ht="12.75" customHeight="1" x14ac:dyDescent="0.2">
      <c r="V73" s="145">
        <f t="shared" si="69"/>
        <v>2</v>
      </c>
      <c r="W73" s="3">
        <f>SMALL(ages, SUM($V$5:V73))</f>
        <v>136</v>
      </c>
      <c r="X73" s="118">
        <f ca="1">[1]!ldf(B$5:B$27, $A$5:$A$27, $W73, $A$27, 3)</f>
        <v>1.062124613480306</v>
      </c>
      <c r="Y73" s="118">
        <f ca="1">[1]!ldf(C$5:C$27, $A$5:$A$27, $W73, $A$27, 3)</f>
        <v>1.0448885803671093</v>
      </c>
      <c r="Z73" s="118">
        <f ca="1">[1]!ldf(D$5:D$27, $A$5:$A$27, $W73, $A$27, 3)</f>
        <v>1.0401104310806206</v>
      </c>
      <c r="AA73" s="118">
        <f ca="1">[1]!ldf(E$5:E$27, $A$5:$A$27, $W73, $A$27, 3)</f>
        <v>1.0281323533888524</v>
      </c>
      <c r="AB73" s="118">
        <f ca="1">[1]!ldf(F$5:F$27, $A$5:$A$27, $W73, $A$27, 3)</f>
        <v>1.0202978109483112</v>
      </c>
      <c r="AC73" s="118">
        <f ca="1">[1]!ldf(G$5:G$27, $A$5:$A$27, $W73, $A$27, 3)</f>
        <v>1.1086103635284863</v>
      </c>
      <c r="AD73" s="118">
        <f ca="1">[1]!ldf(H$5:H$27, $A$5:$A$27, $W73, $A$27, 3)</f>
        <v>1.0917082635579287</v>
      </c>
      <c r="AE73" s="118">
        <f ca="1">[1]!ldf(I$5:I$27, $A$5:$A$27, $W73, $A$27, 3)</f>
        <v>1.0848658551143289</v>
      </c>
      <c r="AF73" s="118">
        <f ca="1">[1]!ldf(J$5:J$27, $A$5:$A$27, $W73, $A$27, 3)</f>
        <v>1.0640975146223779</v>
      </c>
      <c r="AG73" s="118">
        <f ca="1">[1]!ldf(K$5:K$27, $A$5:$A$27, $W73, $A$27, 3)</f>
        <v>1.0492016881457216</v>
      </c>
      <c r="AH73" s="118">
        <f ca="1">[1]!ldf(L$5:L$27, $A$5:$A$27, $W73, $A$27, 3)</f>
        <v>1</v>
      </c>
      <c r="AI73" s="118">
        <f ca="1">[1]!ldf(M$5:M$27, $A$5:$A$27, $W73, $A$27, 3)</f>
        <v>1.3175809238933722</v>
      </c>
      <c r="AJ73" s="118">
        <f ca="1">[1]!ldf(N$5:N$27, $A$5:$A$27, $W73, $A$27, 3)</f>
        <v>1.2961169262456498</v>
      </c>
      <c r="AK73" s="118">
        <f ca="1">[1]!ldf(O$5:O$27, $A$5:$A$27, $W73, $A$27, 3)</f>
        <v>1.3546332547345654</v>
      </c>
      <c r="AL73" s="118">
        <f ca="1">[1]!ldf(P$5:P$27, $A$5:$A$27, $W73, $A$27, 3)</f>
        <v>1.2945851661291603</v>
      </c>
      <c r="AM73" s="118">
        <f ca="1">[1]!ldf(Q$5:Q$27, $A$5:$A$27, $W73, $A$27, 3)</f>
        <v>1.3894287827179823</v>
      </c>
      <c r="AN73" s="118">
        <f ca="1">[1]!ldf(R$5:R$27, $A$5:$A$27, $W73, $A$27, 3)</f>
        <v>1.3801781275937191</v>
      </c>
      <c r="AO73" s="118">
        <f ca="1">[1]!ldf(S$5:S$27, $A$5:$A$27, $W73, $A$27, 3)</f>
        <v>1.5253297322842716</v>
      </c>
      <c r="AP73" s="118">
        <f ca="1">[1]!ldf(T$5:T$27, $A$5:$A$27, $W73, $A$27, 3)</f>
        <v>1.4741472687342598</v>
      </c>
    </row>
    <row r="74" spans="22:42" ht="12.75" customHeight="1" x14ac:dyDescent="0.2">
      <c r="V74" s="145">
        <f t="shared" si="69"/>
        <v>1</v>
      </c>
      <c r="W74" s="3">
        <f>SMALL(ages, SUM($V$5:V74))</f>
        <v>139</v>
      </c>
      <c r="X74" s="118">
        <f ca="1">[1]!ldf(B$5:B$27, $A$5:$A$27, $W74, $A$27, 3)</f>
        <v>1.060583675083421</v>
      </c>
      <c r="Y74" s="118">
        <f ca="1">[1]!ldf(C$5:C$27, $A$5:$A$27, $W74, $A$27, 3)</f>
        <v>1.0435545537455859</v>
      </c>
      <c r="Z74" s="118">
        <f ca="1">[1]!ldf(D$5:D$27, $A$5:$A$27, $W74, $A$27, 3)</f>
        <v>1.0388176043763666</v>
      </c>
      <c r="AA74" s="118">
        <f ca="1">[1]!ldf(E$5:E$27, $A$5:$A$27, $W74, $A$27, 3)</f>
        <v>1.0271481384251386</v>
      </c>
      <c r="AB74" s="118">
        <f ca="1">[1]!ldf(F$5:F$27, $A$5:$A$27, $W74, $A$27, 3)</f>
        <v>1.0195117919293868</v>
      </c>
      <c r="AC74" s="118">
        <f ca="1">[1]!ldf(G$5:G$27, $A$5:$A$27, $W74, $A$27, 3)</f>
        <v>1.1055224864618738</v>
      </c>
      <c r="AD74" s="118">
        <f ca="1">[1]!ldf(H$5:H$27, $A$5:$A$27, $W74, $A$27, 3)</f>
        <v>1.0888992995548605</v>
      </c>
      <c r="AE74" s="118">
        <f ca="1">[1]!ldf(I$5:I$27, $A$5:$A$27, $W74, $A$27, 3)</f>
        <v>1.0821968349367919</v>
      </c>
      <c r="AF74" s="118">
        <f ca="1">[1]!ldf(J$5:J$27, $A$5:$A$27, $W74, $A$27, 3)</f>
        <v>1.0618251116024202</v>
      </c>
      <c r="AG74" s="118">
        <f ca="1">[1]!ldf(K$5:K$27, $A$5:$A$27, $W74, $A$27, 3)</f>
        <v>1.0471776383007039</v>
      </c>
      <c r="AH74" s="118">
        <f ca="1">[1]!ldf(L$5:L$27, $A$5:$A$27, $W74, $A$27, 3)</f>
        <v>1</v>
      </c>
      <c r="AI74" s="118">
        <f ca="1">[1]!ldf(M$5:M$27, $A$5:$A$27, $W74, $A$27, 3)</f>
        <v>1.3117907113470555</v>
      </c>
      <c r="AJ74" s="118">
        <f ca="1">[1]!ldf(N$5:N$27, $A$5:$A$27, $W74, $A$27, 3)</f>
        <v>1.2911791732873699</v>
      </c>
      <c r="AK74" s="118">
        <f ca="1">[1]!ldf(O$5:O$27, $A$5:$A$27, $W74, $A$27, 3)</f>
        <v>1.3469350357054182</v>
      </c>
      <c r="AL74" s="118">
        <f ca="1">[1]!ldf(P$5:P$27, $A$5:$A$27, $W74, $A$27, 3)</f>
        <v>1.2878284646997733</v>
      </c>
      <c r="AM74" s="118">
        <f ca="1">[1]!ldf(Q$5:Q$27, $A$5:$A$27, $W74, $A$27, 3)</f>
        <v>1.3806674553832579</v>
      </c>
      <c r="AN74" s="118">
        <f ca="1">[1]!ldf(R$5:R$27, $A$5:$A$27, $W74, $A$27, 3)</f>
        <v>1.371216190544589</v>
      </c>
      <c r="AO74" s="118">
        <f ca="1">[1]!ldf(S$5:S$27, $A$5:$A$27, $W74, $A$27, 3)</f>
        <v>1.5118520981211883</v>
      </c>
      <c r="AP74" s="118">
        <f ca="1">[1]!ldf(T$5:T$27, $A$5:$A$27, $W74, $A$27, 3)</f>
        <v>1.4623070774078779</v>
      </c>
    </row>
    <row r="75" spans="22:42" ht="12.75" customHeight="1" x14ac:dyDescent="0.2">
      <c r="V75" s="145">
        <f t="shared" si="69"/>
        <v>3</v>
      </c>
      <c r="W75" s="3">
        <f>SMALL(ages, SUM($V$5:V75))</f>
        <v>141</v>
      </c>
      <c r="X75" s="118">
        <f ca="1">[1]!ldf(B$5:B$27, $A$5:$A$27, $W75, $A$27, 3)</f>
        <v>1.0595782677174743</v>
      </c>
      <c r="Y75" s="118">
        <f ca="1">[1]!ldf(C$5:C$27, $A$5:$A$27, $W75, $A$27, 3)</f>
        <v>1.0426877498397875</v>
      </c>
      <c r="Z75" s="118">
        <f ca="1">[1]!ldf(D$5:D$27, $A$5:$A$27, $W75, $A$27, 3)</f>
        <v>1.0379793754558839</v>
      </c>
      <c r="AA75" s="118">
        <f ca="1">[1]!ldf(E$5:E$27, $A$5:$A$27, $W75, $A$27, 3)</f>
        <v>1.0265114463723866</v>
      </c>
      <c r="AB75" s="118">
        <f ca="1">[1]!ldf(F$5:F$27, $A$5:$A$27, $W75, $A$27, 3)</f>
        <v>1.0190049207219736</v>
      </c>
      <c r="AC75" s="118">
        <f ca="1">[1]!ldf(G$5:G$27, $A$5:$A$27, $W75, $A$27, 3)</f>
        <v>1.103515079099135</v>
      </c>
      <c r="AD75" s="118">
        <f ca="1">[1]!ldf(H$5:H$27, $A$5:$A$27, $W75, $A$27, 3)</f>
        <v>1.0870765074154587</v>
      </c>
      <c r="AE75" s="118">
        <f ca="1">[1]!ldf(I$5:I$27, $A$5:$A$27, $W75, $A$27, 3)</f>
        <v>1.080466001105316</v>
      </c>
      <c r="AF75" s="118">
        <f ca="1">[1]!ldf(J$5:J$27, $A$5:$A$27, $W75, $A$27, 3)</f>
        <v>1.0603563742045488</v>
      </c>
      <c r="AG75" s="118">
        <f ca="1">[1]!ldf(K$5:K$27, $A$5:$A$27, $W75, $A$27, 3)</f>
        <v>1.0458757535872687</v>
      </c>
      <c r="AH75" s="118">
        <f ca="1">[1]!ldf(L$5:L$27, $A$5:$A$27, $W75, $A$27, 3)</f>
        <v>1</v>
      </c>
      <c r="AI75" s="118">
        <f ca="1">[1]!ldf(M$5:M$27, $A$5:$A$27, $W75, $A$27, 3)</f>
        <v>1.3079959112905304</v>
      </c>
      <c r="AJ75" s="118">
        <f ca="1">[1]!ldf(N$5:N$27, $A$5:$A$27, $W75, $A$27, 3)</f>
        <v>1.2879380491363015</v>
      </c>
      <c r="AK75" s="118">
        <f ca="1">[1]!ldf(O$5:O$27, $A$5:$A$27, $W75, $A$27, 3)</f>
        <v>1.3419071480564693</v>
      </c>
      <c r="AL75" s="118">
        <f ca="1">[1]!ldf(P$5:P$27, $A$5:$A$27, $W75, $A$27, 3)</f>
        <v>1.2834193889932586</v>
      </c>
      <c r="AM75" s="118">
        <f ca="1">[1]!ldf(Q$5:Q$27, $A$5:$A$27, $W75, $A$27, 3)</f>
        <v>1.3749504148944904</v>
      </c>
      <c r="AN75" s="118">
        <f ca="1">[1]!ldf(R$5:R$27, $A$5:$A$27, $W75, $A$27, 3)</f>
        <v>1.365374048239832</v>
      </c>
      <c r="AO75" s="118">
        <f ca="1">[1]!ldf(S$5:S$27, $A$5:$A$27, $W75, $A$27, 3)</f>
        <v>1.5030893796935085</v>
      </c>
      <c r="AP75" s="118">
        <f ca="1">[1]!ldf(T$5:T$27, $A$5:$A$27, $W75, $A$27, 3)</f>
        <v>1.4546022263157183</v>
      </c>
    </row>
    <row r="76" spans="22:42" ht="12.75" customHeight="1" x14ac:dyDescent="0.2">
      <c r="V76" s="145">
        <f t="shared" si="69"/>
        <v>2</v>
      </c>
      <c r="W76" s="3">
        <f>SMALL(ages, SUM($V$5:V76))</f>
        <v>144</v>
      </c>
      <c r="X76" s="118">
        <f ca="1">[1]!ldf(B$5:B$27, $A$5:$A$27, $W76, $A$27, 3)</f>
        <v>1.0581022012406023</v>
      </c>
      <c r="Y76" s="118">
        <f ca="1">[1]!ldf(C$5:C$27, $A$5:$A$27, $W76, $A$27, 3)</f>
        <v>1.0414204171974331</v>
      </c>
      <c r="Z76" s="118">
        <f ca="1">[1]!ldf(D$5:D$27, $A$5:$A$27, $W76, $A$27, 3)</f>
        <v>1.0367564432994758</v>
      </c>
      <c r="AA76" s="118">
        <f ca="1">[1]!ldf(E$5:E$27, $A$5:$A$27, $W76, $A$27, 3)</f>
        <v>1.0255846420055563</v>
      </c>
      <c r="AB76" s="118">
        <f ca="1">[1]!ldf(F$5:F$27, $A$5:$A$27, $W76, $A$27, 3)</f>
        <v>1.0182694150462284</v>
      </c>
      <c r="AC76" s="118">
        <f ca="1">[1]!ldf(G$5:G$27, $A$5:$A$27, $W76, $A$27, 3)</f>
        <v>1.1005785394175442</v>
      </c>
      <c r="AD76" s="118">
        <f ca="1">[1]!ldf(H$5:H$27, $A$5:$A$27, $W76, $A$27, 3)</f>
        <v>1.0844148280936732</v>
      </c>
      <c r="AE76" s="118">
        <f ca="1">[1]!ldf(I$5:I$27, $A$5:$A$27, $W76, $A$27, 3)</f>
        <v>1.0779402696522655</v>
      </c>
      <c r="AF76" s="118">
        <f ca="1">[1]!ldf(J$5:J$27, $A$5:$A$27, $W76, $A$27, 3)</f>
        <v>1.0582202007056973</v>
      </c>
      <c r="AG76" s="118">
        <f ca="1">[1]!ldf(K$5:K$27, $A$5:$A$27, $W76, $A$27, 3)</f>
        <v>1.0439913756352999</v>
      </c>
      <c r="AH76" s="118">
        <f ca="1">[1]!ldf(L$5:L$27, $A$5:$A$27, $W76, $A$27, 3)</f>
        <v>1</v>
      </c>
      <c r="AI76" s="118">
        <f ca="1">[1]!ldf(M$5:M$27, $A$5:$A$27, $W76, $A$27, 3)</f>
        <v>1.3023996663121495</v>
      </c>
      <c r="AJ76" s="118">
        <f ca="1">[1]!ldf(N$5:N$27, $A$5:$A$27, $W76, $A$27, 3)</f>
        <v>1.2831509829959857</v>
      </c>
      <c r="AK76" s="118">
        <f ca="1">[1]!ldf(O$5:O$27, $A$5:$A$27, $W76, $A$27, 3)</f>
        <v>1.3345177387268177</v>
      </c>
      <c r="AL76" s="118">
        <f ca="1">[1]!ldf(P$5:P$27, $A$5:$A$27, $W76, $A$27, 3)</f>
        <v>1.2769451312125082</v>
      </c>
      <c r="AM76" s="118">
        <f ca="1">[1]!ldf(Q$5:Q$27, $A$5:$A$27, $W76, $A$27, 3)</f>
        <v>1.3665556747193925</v>
      </c>
      <c r="AN76" s="118">
        <f ca="1">[1]!ldf(R$5:R$27, $A$5:$A$27, $W76, $A$27, 3)</f>
        <v>1.3568040358242033</v>
      </c>
      <c r="AO76" s="118">
        <f ca="1">[1]!ldf(S$5:S$27, $A$5:$A$27, $W76, $A$27, 3)</f>
        <v>1.4902683112786557</v>
      </c>
      <c r="AP76" s="118">
        <f ca="1">[1]!ldf(T$5:T$27, $A$5:$A$27, $W76, $A$27, 3)</f>
        <v>1.4433192765531482</v>
      </c>
    </row>
    <row r="77" spans="22:42" ht="12.75" customHeight="1" x14ac:dyDescent="0.2">
      <c r="V77" s="145">
        <f t="shared" si="69"/>
        <v>1</v>
      </c>
      <c r="W77" s="3">
        <f>SMALL(ages, SUM($V$5:V77))</f>
        <v>145</v>
      </c>
      <c r="X77" s="118">
        <f ca="1">[1]!ldf(B$5:B$27, $A$5:$A$27, $W77, $A$27, 3)</f>
        <v>1.0576352854872926</v>
      </c>
      <c r="Y77" s="118">
        <f ca="1">[1]!ldf(C$5:C$27, $A$5:$A$27, $W77, $A$27, 3)</f>
        <v>1.0410186006545661</v>
      </c>
      <c r="Z77" s="118">
        <f ca="1">[1]!ldf(D$5:D$27, $A$5:$A$27, $W77, $A$27, 3)</f>
        <v>1.0363687857363173</v>
      </c>
      <c r="AA77" s="118">
        <f ca="1">[1]!ldf(E$5:E$27, $A$5:$A$27, $W77, $A$27, 3)</f>
        <v>1.0252876546465159</v>
      </c>
      <c r="AB77" s="118">
        <f ca="1">[1]!ldf(F$5:F$27, $A$5:$A$27, $W77, $A$27, 3)</f>
        <v>1.0180303874670982</v>
      </c>
      <c r="AC77" s="118">
        <f ca="1">[1]!ldf(G$5:G$27, $A$5:$A$27, $W77, $A$27, 3)</f>
        <v>1.0996086146350812</v>
      </c>
      <c r="AD77" s="118">
        <f ca="1">[1]!ldf(H$5:H$27, $A$5:$A$27, $W77, $A$27, 3)</f>
        <v>1.0835329485486047</v>
      </c>
      <c r="AE77" s="118">
        <f ca="1">[1]!ldf(I$5:I$27, $A$5:$A$27, $W77, $A$27, 3)</f>
        <v>1.0771036826372671</v>
      </c>
      <c r="AF77" s="118">
        <f ca="1">[1]!ldf(J$5:J$27, $A$5:$A$27, $W77, $A$27, 3)</f>
        <v>1.0575090348702429</v>
      </c>
      <c r="AG77" s="118">
        <f ca="1">[1]!ldf(K$5:K$27, $A$5:$A$27, $W77, $A$27, 3)</f>
        <v>1.0433557041861292</v>
      </c>
      <c r="AH77" s="118">
        <f ca="1">[1]!ldf(L$5:L$27, $A$5:$A$27, $W77, $A$27, 3)</f>
        <v>1</v>
      </c>
      <c r="AI77" s="118">
        <f ca="1">[1]!ldf(M$5:M$27, $A$5:$A$27, $W77, $A$27, 3)</f>
        <v>1.3005697003849912</v>
      </c>
      <c r="AJ77" s="118">
        <f ca="1">[1]!ldf(N$5:N$27, $A$5:$A$27, $W77, $A$27, 3)</f>
        <v>1.2815676977129133</v>
      </c>
      <c r="AK77" s="118">
        <f ca="1">[1]!ldf(O$5:O$27, $A$5:$A$27, $W77, $A$27, 3)</f>
        <v>1.3321822710906801</v>
      </c>
      <c r="AL77" s="118">
        <f ca="1">[1]!ldf(P$5:P$27, $A$5:$A$27, $W77, $A$27, 3)</f>
        <v>1.2749145028201243</v>
      </c>
      <c r="AM77" s="118">
        <f ca="1">[1]!ldf(Q$5:Q$27, $A$5:$A$27, $W77, $A$27, 3)</f>
        <v>1.3637913811442999</v>
      </c>
      <c r="AN77" s="118">
        <f ca="1">[1]!ldf(R$5:R$27, $A$5:$A$27, $W77, $A$27, 3)</f>
        <v>1.3539695296590151</v>
      </c>
      <c r="AO77" s="118">
        <f ca="1">[1]!ldf(S$5:S$27, $A$5:$A$27, $W77, $A$27, 3)</f>
        <v>1.4860421061958817</v>
      </c>
      <c r="AP77" s="118">
        <f ca="1">[1]!ldf(T$5:T$27, $A$5:$A$27, $W77, $A$27, 3)</f>
        <v>1.4396006514657791</v>
      </c>
    </row>
    <row r="78" spans="22:42" ht="12.75" customHeight="1" x14ac:dyDescent="0.2">
      <c r="V78" s="145">
        <f t="shared" si="69"/>
        <v>2</v>
      </c>
      <c r="W78" s="3">
        <f>SMALL(ages, SUM($V$5:V78))</f>
        <v>147</v>
      </c>
      <c r="X78" s="118">
        <f ca="1">[1]!ldf(B$5:B$27, $A$5:$A$27, $W78, $A$27, 3)</f>
        <v>1.0567129785132208</v>
      </c>
      <c r="Y78" s="118">
        <f ca="1">[1]!ldf(C$5:C$27, $A$5:$A$27, $W78, $A$27, 3)</f>
        <v>1.0402268473969514</v>
      </c>
      <c r="Z78" s="118">
        <f ca="1">[1]!ldf(D$5:D$27, $A$5:$A$27, $W78, $A$27, 3)</f>
        <v>1.0356059016362176</v>
      </c>
      <c r="AA78" s="118">
        <f ca="1">[1]!ldf(E$5:E$27, $A$5:$A$27, $W78, $A$27, 3)</f>
        <v>1.0247041058106345</v>
      </c>
      <c r="AB78" s="118">
        <f ca="1">[1]!ldf(F$5:F$27, $A$5:$A$27, $W78, $A$27, 3)</f>
        <v>1.0175617536536508</v>
      </c>
      <c r="AC78" s="118">
        <f ca="1">[1]!ldf(G$5:G$27, $A$5:$A$27, $W78, $A$27, 3)</f>
        <v>1.0976979575642261</v>
      </c>
      <c r="AD78" s="118">
        <f ca="1">[1]!ldf(H$5:H$27, $A$5:$A$27, $W78, $A$27, 3)</f>
        <v>1.081797757485883</v>
      </c>
      <c r="AE78" s="118">
        <f ca="1">[1]!ldf(I$5:I$27, $A$5:$A$27, $W78, $A$27, 3)</f>
        <v>1.0754582795261325</v>
      </c>
      <c r="AF78" s="118">
        <f ca="1">[1]!ldf(J$5:J$27, $A$5:$A$27, $W78, $A$27, 3)</f>
        <v>1.0561133399656053</v>
      </c>
      <c r="AG78" s="118">
        <f ca="1">[1]!ldf(K$5:K$27, $A$5:$A$27, $W78, $A$27, 3)</f>
        <v>1.042112334120632</v>
      </c>
      <c r="AH78" s="118">
        <f ca="1">[1]!ldf(L$5:L$27, $A$5:$A$27, $W78, $A$27, 3)</f>
        <v>1</v>
      </c>
      <c r="AI78" s="118">
        <f ca="1">[1]!ldf(M$5:M$27, $A$5:$A$27, $W78, $A$27, 3)</f>
        <v>1.2969465408350942</v>
      </c>
      <c r="AJ78" s="118">
        <f ca="1">[1]!ldf(N$5:N$27, $A$5:$A$27, $W78, $A$27, 3)</f>
        <v>1.2784303966533714</v>
      </c>
      <c r="AK78" s="118">
        <f ca="1">[1]!ldf(O$5:O$27, $A$5:$A$27, $W78, $A$27, 3)</f>
        <v>1.3275658472527743</v>
      </c>
      <c r="AL78" s="118">
        <f ca="1">[1]!ldf(P$5:P$27, $A$5:$A$27, $W78, $A$27, 3)</f>
        <v>1.270902343596273</v>
      </c>
      <c r="AM78" s="118">
        <f ca="1">[1]!ldf(Q$5:Q$27, $A$5:$A$27, $W78, $A$27, 3)</f>
        <v>1.3583329414512273</v>
      </c>
      <c r="AN78" s="118">
        <f ca="1">[1]!ldf(R$5:R$27, $A$5:$A$27, $W78, $A$27, 3)</f>
        <v>1.3483761153389624</v>
      </c>
      <c r="AO78" s="118">
        <f ca="1">[1]!ldf(S$5:S$27, $A$5:$A$27, $W78, $A$27, 3)</f>
        <v>1.4777150189148363</v>
      </c>
      <c r="AP78" s="118">
        <f ca="1">[1]!ldf(T$5:T$27, $A$5:$A$27, $W78, $A$27, 3)</f>
        <v>1.4322698643022169</v>
      </c>
    </row>
    <row r="79" spans="22:42" ht="12.75" customHeight="1" x14ac:dyDescent="0.2">
      <c r="V79" s="145">
        <f t="shared" si="69"/>
        <v>2</v>
      </c>
      <c r="W79" s="3">
        <f>SMALL(ages, SUM($V$5:V79))</f>
        <v>148</v>
      </c>
      <c r="X79" s="118">
        <f ca="1">[1]!ldf(B$5:B$27, $A$5:$A$27, $W79, $A$27, 3)</f>
        <v>1.0562575208722018</v>
      </c>
      <c r="Y79" s="118">
        <f ca="1">[1]!ldf(C$5:C$27, $A$5:$A$27, $W79, $A$27, 3)</f>
        <v>1.0398368296624523</v>
      </c>
      <c r="Z79" s="118">
        <f ca="1">[1]!ldf(D$5:D$27, $A$5:$A$27, $W79, $A$27, 3)</f>
        <v>1.0352305834737201</v>
      </c>
      <c r="AA79" s="118">
        <f ca="1">[1]!ldf(E$5:E$27, $A$5:$A$27, $W79, $A$27, 3)</f>
        <v>1.0244174609545194</v>
      </c>
      <c r="AB79" s="118">
        <f ca="1">[1]!ldf(F$5:F$27, $A$5:$A$27, $W79, $A$27, 3)</f>
        <v>1.0173320633332004</v>
      </c>
      <c r="AC79" s="118">
        <f ca="1">[1]!ldf(G$5:G$27, $A$5:$A$27, $W79, $A$27, 3)</f>
        <v>1.0967570145479932</v>
      </c>
      <c r="AD79" s="118">
        <f ca="1">[1]!ldf(H$5:H$27, $A$5:$A$27, $W79, $A$27, 3)</f>
        <v>1.0809442261144095</v>
      </c>
      <c r="AE79" s="118">
        <f ca="1">[1]!ldf(I$5:I$27, $A$5:$A$27, $W79, $A$27, 3)</f>
        <v>1.0746492453051748</v>
      </c>
      <c r="AF79" s="118">
        <f ca="1">[1]!ldf(J$5:J$27, $A$5:$A$27, $W79, $A$27, 3)</f>
        <v>1.0554285778951367</v>
      </c>
      <c r="AG79" s="118">
        <f ca="1">[1]!ldf(K$5:K$27, $A$5:$A$27, $W79, $A$27, 3)</f>
        <v>1.0415043509320987</v>
      </c>
      <c r="AH79" s="118">
        <f ca="1">[1]!ldf(L$5:L$27, $A$5:$A$27, $W79, $A$27, 3)</f>
        <v>1</v>
      </c>
      <c r="AI79" s="118">
        <f ca="1">[1]!ldf(M$5:M$27, $A$5:$A$27, $W79, $A$27, 3)</f>
        <v>1.2951531560975391</v>
      </c>
      <c r="AJ79" s="118">
        <f ca="1">[1]!ldf(N$5:N$27, $A$5:$A$27, $W79, $A$27, 3)</f>
        <v>1.2768762415798343</v>
      </c>
      <c r="AK79" s="118">
        <f ca="1">[1]!ldf(O$5:O$27, $A$5:$A$27, $W79, $A$27, 3)</f>
        <v>1.3252845596650547</v>
      </c>
      <c r="AL79" s="118">
        <f ca="1">[1]!ldf(P$5:P$27, $A$5:$A$27, $W79, $A$27, 3)</f>
        <v>1.2689205077544499</v>
      </c>
      <c r="AM79" s="118">
        <f ca="1">[1]!ldf(Q$5:Q$27, $A$5:$A$27, $W79, $A$27, 3)</f>
        <v>1.3556383288041896</v>
      </c>
      <c r="AN79" s="118">
        <f ca="1">[1]!ldf(R$5:R$27, $A$5:$A$27, $W79, $A$27, 3)</f>
        <v>1.3456166797854605</v>
      </c>
      <c r="AO79" s="118">
        <f ca="1">[1]!ldf(S$5:S$27, $A$5:$A$27, $W79, $A$27, 3)</f>
        <v>1.4736131445733902</v>
      </c>
      <c r="AP79" s="118">
        <f ca="1">[1]!ldf(T$5:T$27, $A$5:$A$27, $W79, $A$27, 3)</f>
        <v>1.4286568934690267</v>
      </c>
    </row>
    <row r="80" spans="22:42" ht="12.75" customHeight="1" x14ac:dyDescent="0.2">
      <c r="V80" s="145">
        <f t="shared" si="69"/>
        <v>1</v>
      </c>
      <c r="W80" s="3">
        <f>SMALL(ages, SUM($V$5:V80))</f>
        <v>151</v>
      </c>
      <c r="X80" s="118">
        <f ca="1">[1]!ldf(B$5:B$27, $A$5:$A$27, $W80, $A$27, 3)</f>
        <v>1.0549135393272007</v>
      </c>
      <c r="Y80" s="118">
        <f ca="1">[1]!ldf(C$5:C$27, $A$5:$A$27, $W80, $A$27, 3)</f>
        <v>1.0386897351458493</v>
      </c>
      <c r="Z80" s="118">
        <f ca="1">[1]!ldf(D$5:D$27, $A$5:$A$27, $W80, $A$27, 3)</f>
        <v>1.0341285859936471</v>
      </c>
      <c r="AA80" s="118">
        <f ca="1">[1]!ldf(E$5:E$27, $A$5:$A$27, $W80, $A$27, 3)</f>
        <v>1.0235775552606274</v>
      </c>
      <c r="AB80" s="118">
        <f ca="1">[1]!ldf(F$5:F$27, $A$5:$A$27, $W80, $A$27, 3)</f>
        <v>1.0166610063334716</v>
      </c>
      <c r="AC80" s="118">
        <f ca="1">[1]!ldf(G$5:G$27, $A$5:$A$27, $W80, $A$27, 3)</f>
        <v>1.0939904899526705</v>
      </c>
      <c r="AD80" s="118">
        <f ca="1">[1]!ldf(H$5:H$27, $A$5:$A$27, $W80, $A$27, 3)</f>
        <v>1.0784385989149825</v>
      </c>
      <c r="AE80" s="118">
        <f ca="1">[1]!ldf(I$5:I$27, $A$5:$A$27, $W80, $A$27, 3)</f>
        <v>1.0722755328462765</v>
      </c>
      <c r="AF80" s="118">
        <f ca="1">[1]!ldf(J$5:J$27, $A$5:$A$27, $W80, $A$27, 3)</f>
        <v>1.0534252697949491</v>
      </c>
      <c r="AG80" s="118">
        <f ca="1">[1]!ldf(K$5:K$27, $A$5:$A$27, $W80, $A$27, 3)</f>
        <v>1.0397335496546645</v>
      </c>
      <c r="AH80" s="118">
        <f ca="1">[1]!ldf(L$5:L$27, $A$5:$A$27, $W80, $A$27, 3)</f>
        <v>1</v>
      </c>
      <c r="AI80" s="118">
        <f ca="1">[1]!ldf(M$5:M$27, $A$5:$A$27, $W80, $A$27, 3)</f>
        <v>1.2898446539671513</v>
      </c>
      <c r="AJ80" s="118">
        <f ca="1">[1]!ldf(N$5:N$27, $A$5:$A$27, $W80, $A$27, 3)</f>
        <v>1.272270934805011</v>
      </c>
      <c r="AK80" s="118">
        <f ca="1">[1]!ldf(O$5:O$27, $A$5:$A$27, $W80, $A$27, 3)</f>
        <v>1.3185464437728189</v>
      </c>
      <c r="AL80" s="118">
        <f ca="1">[1]!ldf(P$5:P$27, $A$5:$A$27, $W80, $A$27, 3)</f>
        <v>1.2630701806038607</v>
      </c>
      <c r="AM80" s="118">
        <f ca="1">[1]!ldf(Q$5:Q$27, $A$5:$A$27, $W80, $A$27, 3)</f>
        <v>1.3476901789214493</v>
      </c>
      <c r="AN80" s="118">
        <f ca="1">[1]!ldf(R$5:R$27, $A$5:$A$27, $W80, $A$27, 3)</f>
        <v>1.3374843643719037</v>
      </c>
      <c r="AO80" s="118">
        <f ca="1">[1]!ldf(S$5:S$27, $A$5:$A$27, $W80, $A$27, 3)</f>
        <v>1.4615483944948413</v>
      </c>
      <c r="AP80" s="118">
        <f ca="1">[1]!ldf(T$5:T$27, $A$5:$A$27, $W80, $A$27, 3)</f>
        <v>1.4180229355155078</v>
      </c>
    </row>
    <row r="81" spans="22:42" ht="12.75" customHeight="1" x14ac:dyDescent="0.2">
      <c r="V81" s="145">
        <f t="shared" si="69"/>
        <v>3</v>
      </c>
      <c r="W81" s="3">
        <f>SMALL(ages, SUM($V$5:V81))</f>
        <v>153</v>
      </c>
      <c r="X81" s="118">
        <f ca="1">[1]!ldf(B$5:B$27, $A$5:$A$27, $W81, $A$27, 3)</f>
        <v>1.0540358905284082</v>
      </c>
      <c r="Y81" s="118">
        <f ca="1">[1]!ldf(C$5:C$27, $A$5:$A$27, $W81, $A$27, 3)</f>
        <v>1.0379437488981551</v>
      </c>
      <c r="Z81" s="118">
        <f ca="1">[1]!ldf(D$5:D$27, $A$5:$A$27, $W81, $A$27, 3)</f>
        <v>1.0334134468257798</v>
      </c>
      <c r="AA81" s="118">
        <f ca="1">[1]!ldf(E$5:E$27, $A$5:$A$27, $W81, $A$27, 3)</f>
        <v>1.0230339111833242</v>
      </c>
      <c r="AB81" s="118">
        <f ca="1">[1]!ldf(F$5:F$27, $A$5:$A$27, $W81, $A$27, 3)</f>
        <v>1.0162282475693358</v>
      </c>
      <c r="AC81" s="118">
        <f ca="1">[1]!ldf(G$5:G$27, $A$5:$A$27, $W81, $A$27, 3)</f>
        <v>1.0921920540763896</v>
      </c>
      <c r="AD81" s="118">
        <f ca="1">[1]!ldf(H$5:H$27, $A$5:$A$27, $W81, $A$27, 3)</f>
        <v>1.0768129390363703</v>
      </c>
      <c r="AE81" s="118">
        <f ca="1">[1]!ldf(I$5:I$27, $A$5:$A$27, $W81, $A$27, 3)</f>
        <v>1.0707365112194684</v>
      </c>
      <c r="AF81" s="118">
        <f ca="1">[1]!ldf(J$5:J$27, $A$5:$A$27, $W81, $A$27, 3)</f>
        <v>1.0521311086434895</v>
      </c>
      <c r="AG81" s="118">
        <f ca="1">[1]!ldf(K$5:K$27, $A$5:$A$27, $W81, $A$27, 3)</f>
        <v>1.0385959676984657</v>
      </c>
      <c r="AH81" s="118">
        <f ca="1">[1]!ldf(L$5:L$27, $A$5:$A$27, $W81, $A$27, 3)</f>
        <v>1</v>
      </c>
      <c r="AI81" s="118">
        <f ca="1">[1]!ldf(M$5:M$27, $A$5:$A$27, $W81, $A$27, 3)</f>
        <v>1.286364439943164</v>
      </c>
      <c r="AJ81" s="118">
        <f ca="1">[1]!ldf(N$5:N$27, $A$5:$A$27, $W81, $A$27, 3)</f>
        <v>1.2692476877761765</v>
      </c>
      <c r="AK81" s="118">
        <f ca="1">[1]!ldf(O$5:O$27, $A$5:$A$27, $W81, $A$27, 3)</f>
        <v>1.3141408987480825</v>
      </c>
      <c r="AL81" s="118">
        <f ca="1">[1]!ldf(P$5:P$27, $A$5:$A$27, $W81, $A$27, 3)</f>
        <v>1.2592478167749481</v>
      </c>
      <c r="AM81" s="118">
        <f ca="1">[1]!ldf(Q$5:Q$27, $A$5:$A$27, $W81, $A$27, 3)</f>
        <v>1.3425022560042041</v>
      </c>
      <c r="AN81" s="118">
        <f ca="1">[1]!ldf(R$5:R$27, $A$5:$A$27, $W81, $A$27, 3)</f>
        <v>1.3321819649824251</v>
      </c>
      <c r="AO81" s="118">
        <f ca="1">[1]!ldf(S$5:S$27, $A$5:$A$27, $W81, $A$27, 3)</f>
        <v>1.4537012556076812</v>
      </c>
      <c r="AP81" s="118">
        <f ca="1">[1]!ldf(T$5:T$27, $A$5:$A$27, $W81, $A$27, 3)</f>
        <v>1.411100585984385</v>
      </c>
    </row>
    <row r="82" spans="22:42" ht="12.75" customHeight="1" x14ac:dyDescent="0.2">
      <c r="V82" s="145">
        <f t="shared" si="69"/>
        <v>2</v>
      </c>
      <c r="W82" s="3">
        <f>SMALL(ages, SUM($V$5:V82))</f>
        <v>156</v>
      </c>
      <c r="X82" s="118">
        <f ca="1">[1]!ldf(B$5:B$27, $A$5:$A$27, $W82, $A$27, 3)</f>
        <v>1.0527462978919129</v>
      </c>
      <c r="Y82" s="118">
        <f ca="1">[1]!ldf(C$5:C$27, $A$5:$A$27, $W82, $A$27, 3)</f>
        <v>1.0368521258966024</v>
      </c>
      <c r="Z82" s="118">
        <f ca="1">[1]!ldf(D$5:D$27, $A$5:$A$27, $W82, $A$27, 3)</f>
        <v>1.0323691729109858</v>
      </c>
      <c r="AA82" s="118">
        <f ca="1">[1]!ldf(E$5:E$27, $A$5:$A$27, $W82, $A$27, 3)</f>
        <v>1.0222421114269495</v>
      </c>
      <c r="AB82" s="118">
        <f ca="1">[1]!ldf(F$5:F$27, $A$5:$A$27, $W82, $A$27, 3)</f>
        <v>1.0156002546631411</v>
      </c>
      <c r="AC82" s="118">
        <f ca="1">[1]!ldf(G$5:G$27, $A$5:$A$27, $W82, $A$27, 3)</f>
        <v>1.0895613121543342</v>
      </c>
      <c r="AD82" s="118">
        <f ca="1">[1]!ldf(H$5:H$27, $A$5:$A$27, $W82, $A$27, 3)</f>
        <v>1.074439550968018</v>
      </c>
      <c r="AE82" s="118">
        <f ca="1">[1]!ldf(I$5:I$27, $A$5:$A$27, $W82, $A$27, 3)</f>
        <v>1.0684911415976914</v>
      </c>
      <c r="AF82" s="118">
        <f ca="1">[1]!ldf(J$5:J$27, $A$5:$A$27, $W82, $A$27, 3)</f>
        <v>1.0502497944461588</v>
      </c>
      <c r="AG82" s="118">
        <f ca="1">[1]!ldf(K$5:K$27, $A$5:$A$27, $W82, $A$27, 3)</f>
        <v>1.0369514434454634</v>
      </c>
      <c r="AH82" s="118">
        <f ca="1">[1]!ldf(L$5:L$27, $A$5:$A$27, $W82, $A$27, 3)</f>
        <v>1</v>
      </c>
      <c r="AI82" s="118">
        <f ca="1">[1]!ldf(M$5:M$27, $A$5:$A$27, $W82, $A$27, 3)</f>
        <v>1.2812304928295237</v>
      </c>
      <c r="AJ82" s="118">
        <f ca="1">[1]!ldf(N$5:N$27, $A$5:$A$27, $W82, $A$27, 3)</f>
        <v>1.2647819298867411</v>
      </c>
      <c r="AK82" s="118">
        <f ca="1">[1]!ldf(O$5:O$27, $A$5:$A$27, $W82, $A$27, 3)</f>
        <v>1.3076592762744612</v>
      </c>
      <c r="AL82" s="118">
        <f ca="1">[1]!ldf(P$5:P$27, $A$5:$A$27, $W82, $A$27, 3)</f>
        <v>1.2536281988904341</v>
      </c>
      <c r="AM82" s="118">
        <f ca="1">[1]!ldf(Q$5:Q$27, $A$5:$A$27, $W82, $A$27, 3)</f>
        <v>1.3348822959907982</v>
      </c>
      <c r="AN82" s="118">
        <f ca="1">[1]!ldf(R$5:R$27, $A$5:$A$27, $W82, $A$27, 3)</f>
        <v>1.3244021916291246</v>
      </c>
      <c r="AO82" s="118">
        <f ca="1">[1]!ldf(S$5:S$27, $A$5:$A$27, $W82, $A$27, 3)</f>
        <v>1.4422154872786084</v>
      </c>
      <c r="AP82" s="118">
        <f ca="1">[1]!ldf(T$5:T$27, $A$5:$A$27, $W82, $A$27, 3)</f>
        <v>1.4009600490289225</v>
      </c>
    </row>
    <row r="83" spans="22:42" ht="12.75" customHeight="1" x14ac:dyDescent="0.2">
      <c r="V83" s="145">
        <f t="shared" si="69"/>
        <v>1</v>
      </c>
      <c r="W83" s="3">
        <f>SMALL(ages, SUM($V$5:V83))</f>
        <v>157</v>
      </c>
      <c r="X83" s="118">
        <f ca="1">[1]!ldf(B$5:B$27, $A$5:$A$27, $W83, $A$27, 3)</f>
        <v>1.0523338173074162</v>
      </c>
      <c r="Y83" s="118">
        <f ca="1">[1]!ldf(C$5:C$27, $A$5:$A$27, $W83, $A$27, 3)</f>
        <v>1.0365009936883796</v>
      </c>
      <c r="Z83" s="118">
        <f ca="1">[1]!ldf(D$5:D$27, $A$5:$A$27, $W83, $A$27, 3)</f>
        <v>1.0320321346870627</v>
      </c>
      <c r="AA83" s="118">
        <f ca="1">[1]!ldf(E$5:E$27, $A$5:$A$27, $W83, $A$27, 3)</f>
        <v>1.0219846094120897</v>
      </c>
      <c r="AB83" s="118">
        <f ca="1">[1]!ldf(F$5:F$27, $A$5:$A$27, $W83, $A$27, 3)</f>
        <v>1.0153936787507254</v>
      </c>
      <c r="AC83" s="118">
        <f ca="1">[1]!ldf(G$5:G$27, $A$5:$A$27, $W83, $A$27, 3)</f>
        <v>1.0886726781436293</v>
      </c>
      <c r="AD83" s="118">
        <f ca="1">[1]!ldf(H$5:H$27, $A$5:$A$27, $W83, $A$27, 3)</f>
        <v>1.0736365985404164</v>
      </c>
      <c r="AE83" s="118">
        <f ca="1">[1]!ldf(I$5:I$27, $A$5:$A$27, $W83, $A$27, 3)</f>
        <v>1.0677322003107335</v>
      </c>
      <c r="AF83" s="118">
        <f ca="1">[1]!ldf(J$5:J$27, $A$5:$A$27, $W83, $A$27, 3)</f>
        <v>1.0496121897312498</v>
      </c>
      <c r="AG83" s="118">
        <f ca="1">[1]!ldf(K$5:K$27, $A$5:$A$27, $W83, $A$27, 3)</f>
        <v>1.0363866638571995</v>
      </c>
      <c r="AH83" s="118">
        <f ca="1">[1]!ldf(L$5:L$27, $A$5:$A$27, $W83, $A$27, 3)</f>
        <v>1</v>
      </c>
      <c r="AI83" s="118">
        <f ca="1">[1]!ldf(M$5:M$27, $A$5:$A$27, $W83, $A$27, 3)</f>
        <v>1.2795608458968428</v>
      </c>
      <c r="AJ83" s="118">
        <f ca="1">[1]!ldf(N$5:N$27, $A$5:$A$27, $W83, $A$27, 3)</f>
        <v>1.2633267318082309</v>
      </c>
      <c r="AK83" s="118">
        <f ca="1">[1]!ldf(O$5:O$27, $A$5:$A$27, $W83, $A$27, 3)</f>
        <v>1.3055941995219136</v>
      </c>
      <c r="AL83" s="118">
        <f ca="1">[1]!ldf(P$5:P$27, $A$5:$A$27, $W83, $A$27, 3)</f>
        <v>1.2518420093849292</v>
      </c>
      <c r="AM83" s="118">
        <f ca="1">[1]!ldf(Q$5:Q$27, $A$5:$A$27, $W83, $A$27, 3)</f>
        <v>1.332287607760734</v>
      </c>
      <c r="AN83" s="118">
        <f ca="1">[1]!ldf(R$5:R$27, $A$5:$A$27, $W83, $A$27, 3)</f>
        <v>1.321746584225433</v>
      </c>
      <c r="AO83" s="118">
        <f ca="1">[1]!ldf(S$5:S$27, $A$5:$A$27, $W83, $A$27, 3)</f>
        <v>1.4383024156021453</v>
      </c>
      <c r="AP83" s="118">
        <f ca="1">[1]!ldf(T$5:T$27, $A$5:$A$27, $W83, $A$27, 3)</f>
        <v>1.3975084477503232</v>
      </c>
    </row>
    <row r="84" spans="22:42" ht="12.75" customHeight="1" x14ac:dyDescent="0.2">
      <c r="V84" s="145">
        <f t="shared" si="69"/>
        <v>2</v>
      </c>
      <c r="W84" s="3">
        <f>SMALL(ages, SUM($V$5:V84))</f>
        <v>159</v>
      </c>
      <c r="X84" s="118">
        <f ca="1">[1]!ldf(B$5:B$27, $A$5:$A$27, $W84, $A$27, 3)</f>
        <v>1.0515187420224403</v>
      </c>
      <c r="Y84" s="118">
        <f ca="1">[1]!ldf(C$5:C$27, $A$5:$A$27, $W84, $A$27, 3)</f>
        <v>1.035808906072357</v>
      </c>
      <c r="Z84" s="118">
        <f ca="1">[1]!ldf(D$5:D$27, $A$5:$A$27, $W84, $A$27, 3)</f>
        <v>1.0313687083336551</v>
      </c>
      <c r="AA84" s="118">
        <f ca="1">[1]!ldf(E$5:E$27, $A$5:$A$27, $W84, $A$27, 3)</f>
        <v>1.021478607616193</v>
      </c>
      <c r="AB84" s="118">
        <f ca="1">[1]!ldf(F$5:F$27, $A$5:$A$27, $W84, $A$27, 3)</f>
        <v>1.0149887571752298</v>
      </c>
      <c r="AC84" s="118">
        <f ca="1">[1]!ldf(G$5:G$27, $A$5:$A$27, $W84, $A$27, 3)</f>
        <v>1.0869228111263567</v>
      </c>
      <c r="AD84" s="118">
        <f ca="1">[1]!ldf(H$5:H$27, $A$5:$A$27, $W84, $A$27, 3)</f>
        <v>1.072057441968906</v>
      </c>
      <c r="AE84" s="118">
        <f ca="1">[1]!ldf(I$5:I$27, $A$5:$A$27, $W84, $A$27, 3)</f>
        <v>1.0662402246727798</v>
      </c>
      <c r="AF84" s="118">
        <f ca="1">[1]!ldf(J$5:J$27, $A$5:$A$27, $W84, $A$27, 3)</f>
        <v>1.0483617009237982</v>
      </c>
      <c r="AG84" s="118">
        <f ca="1">[1]!ldf(K$5:K$27, $A$5:$A$27, $W84, $A$27, 3)</f>
        <v>1.0352833055037332</v>
      </c>
      <c r="AH84" s="118">
        <f ca="1">[1]!ldf(L$5:L$27, $A$5:$A$27, $W84, $A$27, 3)</f>
        <v>1</v>
      </c>
      <c r="AI84" s="118">
        <f ca="1">[1]!ldf(M$5:M$27, $A$5:$A$27, $W84, $A$27, 3)</f>
        <v>1.2762543015892336</v>
      </c>
      <c r="AJ84" s="118">
        <f ca="1">[1]!ldf(N$5:N$27, $A$5:$A$27, $W84, $A$27, 3)</f>
        <v>1.2604426556562431</v>
      </c>
      <c r="AK84" s="118">
        <f ca="1">[1]!ldf(O$5:O$27, $A$5:$A$27, $W84, $A$27, 3)</f>
        <v>1.3015101119680668</v>
      </c>
      <c r="AL84" s="118">
        <f ca="1">[1]!ldf(P$5:P$27, $A$5:$A$27, $W84, $A$27, 3)</f>
        <v>1.2483108719768732</v>
      </c>
      <c r="AM84" s="118">
        <f ca="1">[1]!ldf(Q$5:Q$27, $A$5:$A$27, $W84, $A$27, 3)</f>
        <v>1.3271654147886736</v>
      </c>
      <c r="AN84" s="118">
        <f ca="1">[1]!ldf(R$5:R$27, $A$5:$A$27, $W84, $A$27, 3)</f>
        <v>1.3165078287171839</v>
      </c>
      <c r="AO84" s="118">
        <f ca="1">[1]!ldf(S$5:S$27, $A$5:$A$27, $W84, $A$27, 3)</f>
        <v>1.430594394361238</v>
      </c>
      <c r="AP84" s="118">
        <f ca="1">[1]!ldf(T$5:T$27, $A$5:$A$27, $W84, $A$27, 3)</f>
        <v>1.390705848255076</v>
      </c>
    </row>
    <row r="85" spans="22:42" ht="12.75" customHeight="1" x14ac:dyDescent="0.2">
      <c r="V85" s="145">
        <f t="shared" si="69"/>
        <v>2</v>
      </c>
      <c r="W85" s="3">
        <f>SMALL(ages, SUM($V$5:V85))</f>
        <v>160</v>
      </c>
      <c r="X85" s="118">
        <f ca="1">[1]!ldf(B$5:B$27, $A$5:$A$27, $W85, $A$27, 3)</f>
        <v>1.0511160922086993</v>
      </c>
      <c r="Y85" s="118">
        <f ca="1">[1]!ldf(C$5:C$27, $A$5:$A$27, $W85, $A$27, 3)</f>
        <v>1.0354678828682478</v>
      </c>
      <c r="Z85" s="118">
        <f ca="1">[1]!ldf(D$5:D$27, $A$5:$A$27, $W85, $A$27, 3)</f>
        <v>1.0310422431205335</v>
      </c>
      <c r="AA85" s="118">
        <f ca="1">[1]!ldf(E$5:E$27, $A$5:$A$27, $W85, $A$27, 3)</f>
        <v>1.0212300363409594</v>
      </c>
      <c r="AB85" s="118">
        <f ca="1">[1]!ldf(F$5:F$27, $A$5:$A$27, $W85, $A$27, 3)</f>
        <v>1.0147903374333511</v>
      </c>
      <c r="AC85" s="118">
        <f ca="1">[1]!ldf(G$5:G$27, $A$5:$A$27, $W85, $A$27, 3)</f>
        <v>1.0860613767716722</v>
      </c>
      <c r="AD85" s="118">
        <f ca="1">[1]!ldf(H$5:H$27, $A$5:$A$27, $W85, $A$27, 3)</f>
        <v>1.0712810274614795</v>
      </c>
      <c r="AE85" s="118">
        <f ca="1">[1]!ldf(I$5:I$27, $A$5:$A$27, $W85, $A$27, 3)</f>
        <v>1.065506982347749</v>
      </c>
      <c r="AF85" s="118">
        <f ca="1">[1]!ldf(J$5:J$27, $A$5:$A$27, $W85, $A$27, 3)</f>
        <v>1.0477485942529825</v>
      </c>
      <c r="AG85" s="118">
        <f ca="1">[1]!ldf(K$5:K$27, $A$5:$A$27, $W85, $A$27, 3)</f>
        <v>1.0347444472235885</v>
      </c>
      <c r="AH85" s="118">
        <f ca="1">[1]!ldf(L$5:L$27, $A$5:$A$27, $W85, $A$27, 3)</f>
        <v>1</v>
      </c>
      <c r="AI85" s="118">
        <f ca="1">[1]!ldf(M$5:M$27, $A$5:$A$27, $W85, $A$27, 3)</f>
        <v>1.2746172389371984</v>
      </c>
      <c r="AJ85" s="118">
        <f ca="1">[1]!ldf(N$5:N$27, $A$5:$A$27, $W85, $A$27, 3)</f>
        <v>1.2590136556260461</v>
      </c>
      <c r="AK85" s="118">
        <f ca="1">[1]!ldf(O$5:O$27, $A$5:$A$27, $W85, $A$27, 3)</f>
        <v>1.2994908350949181</v>
      </c>
      <c r="AL85" s="118">
        <f ca="1">[1]!ldf(P$5:P$27, $A$5:$A$27, $W85, $A$27, 3)</f>
        <v>1.2465656809600774</v>
      </c>
      <c r="AM85" s="118">
        <f ca="1">[1]!ldf(Q$5:Q$27, $A$5:$A$27, $W85, $A$27, 3)</f>
        <v>1.3246374570078141</v>
      </c>
      <c r="AN85" s="118">
        <f ca="1">[1]!ldf(R$5:R$27, $A$5:$A$27, $W85, $A$27, 3)</f>
        <v>1.3139241669164266</v>
      </c>
      <c r="AO85" s="118">
        <f ca="1">[1]!ldf(S$5:S$27, $A$5:$A$27, $W85, $A$27, 3)</f>
        <v>1.4267984989241889</v>
      </c>
      <c r="AP85" s="118">
        <f ca="1">[1]!ldf(T$5:T$27, $A$5:$A$27, $W85, $A$27, 3)</f>
        <v>1.3873540770708086</v>
      </c>
    </row>
    <row r="86" spans="22:42" ht="12.75" customHeight="1" x14ac:dyDescent="0.2">
      <c r="V86" s="145">
        <f t="shared" si="69"/>
        <v>1</v>
      </c>
      <c r="W86" s="3">
        <f>SMALL(ages, SUM($V$5:V86))</f>
        <v>163</v>
      </c>
      <c r="X86" s="118">
        <f ca="1">[1]!ldf(B$5:B$27, $A$5:$A$27, $W86, $A$27, 3)</f>
        <v>1.049927368605116</v>
      </c>
      <c r="Y86" s="118">
        <f ca="1">[1]!ldf(C$5:C$27, $A$5:$A$27, $W86, $A$27, 3)</f>
        <v>1.0344644963964367</v>
      </c>
      <c r="Z86" s="118">
        <f ca="1">[1]!ldf(D$5:D$27, $A$5:$A$27, $W86, $A$27, 3)</f>
        <v>1.030083386044951</v>
      </c>
      <c r="AA86" s="118">
        <f ca="1">[1]!ldf(E$5:E$27, $A$5:$A$27, $W86, $A$27, 3)</f>
        <v>1.0205016212813123</v>
      </c>
      <c r="AB86" s="118">
        <f ca="1">[1]!ldf(F$5:F$27, $A$5:$A$27, $W86, $A$27, 3)</f>
        <v>1.0142108086540567</v>
      </c>
      <c r="AC86" s="118">
        <f ca="1">[1]!ldf(G$5:G$27, $A$5:$A$27, $W86, $A$27, 3)</f>
        <v>1.0835298880493847</v>
      </c>
      <c r="AD86" s="118">
        <f ca="1">[1]!ldf(H$5:H$27, $A$5:$A$27, $W86, $A$27, 3)</f>
        <v>1.0690032053873966</v>
      </c>
      <c r="AE86" s="118">
        <f ca="1">[1]!ldf(I$5:I$27, $A$5:$A$27, $W86, $A$27, 3)</f>
        <v>1.0633570181309153</v>
      </c>
      <c r="AF86" s="118">
        <f ca="1">[1]!ldf(J$5:J$27, $A$5:$A$27, $W86, $A$27, 3)</f>
        <v>1.0459565234336667</v>
      </c>
      <c r="AG86" s="118">
        <f ca="1">[1]!ldf(K$5:K$27, $A$5:$A$27, $W86, $A$27, 3)</f>
        <v>1.0331775282486453</v>
      </c>
      <c r="AH86" s="118">
        <f ca="1">[1]!ldf(L$5:L$27, $A$5:$A$27, $W86, $A$27, 3)</f>
        <v>1</v>
      </c>
      <c r="AI86" s="118">
        <f ca="1">[1]!ldf(M$5:M$27, $A$5:$A$27, $W86, $A$27, 3)</f>
        <v>1.2697699129215716</v>
      </c>
      <c r="AJ86" s="118">
        <f ca="1">[1]!ldf(N$5:N$27, $A$5:$A$27, $W86, $A$27, 3)</f>
        <v>1.2547780865230123</v>
      </c>
      <c r="AK86" s="118">
        <f ca="1">[1]!ldf(O$5:O$27, $A$5:$A$27, $W86, $A$27, 3)</f>
        <v>1.2935225044691592</v>
      </c>
      <c r="AL86" s="118">
        <f ca="1">[1]!ldf(P$5:P$27, $A$5:$A$27, $W86, $A$27, 3)</f>
        <v>1.241410186622727</v>
      </c>
      <c r="AM86" s="118">
        <f ca="1">[1]!ldf(Q$5:Q$27, $A$5:$A$27, $W86, $A$27, 3)</f>
        <v>1.3171834776239557</v>
      </c>
      <c r="AN86" s="118">
        <f ca="1">[1]!ldf(R$5:R$27, $A$5:$A$27, $W86, $A$27, 3)</f>
        <v>1.3063130314410878</v>
      </c>
      <c r="AO86" s="118">
        <f ca="1">[1]!ldf(S$5:S$27, $A$5:$A$27, $W86, $A$27, 3)</f>
        <v>1.4156377411562022</v>
      </c>
      <c r="AP86" s="118">
        <f ca="1">[1]!ldf(T$5:T$27, $A$5:$A$27, $W86, $A$27, 3)</f>
        <v>1.3774923519376983</v>
      </c>
    </row>
    <row r="87" spans="22:42" ht="12.75" customHeight="1" x14ac:dyDescent="0.2">
      <c r="V87" s="145">
        <f t="shared" si="69"/>
        <v>3</v>
      </c>
      <c r="W87" s="3">
        <f>SMALL(ages, SUM($V$5:V87))</f>
        <v>165</v>
      </c>
      <c r="X87" s="118">
        <f ca="1">[1]!ldf(B$5:B$27, $A$5:$A$27, $W87, $A$27, 3)</f>
        <v>1.0491506413677563</v>
      </c>
      <c r="Y87" s="118">
        <f ca="1">[1]!ldf(C$5:C$27, $A$5:$A$27, $W87, $A$27, 3)</f>
        <v>1.0338116489668103</v>
      </c>
      <c r="Z87" s="118">
        <f ca="1">[1]!ldf(D$5:D$27, $A$5:$A$27, $W87, $A$27, 3)</f>
        <v>1.0294608942996373</v>
      </c>
      <c r="AA87" s="118">
        <f ca="1">[1]!ldf(E$5:E$27, $A$5:$A$27, $W87, $A$27, 3)</f>
        <v>1.0200300857019067</v>
      </c>
      <c r="AB87" s="118">
        <f ca="1">[1]!ldf(F$5:F$27, $A$5:$A$27, $W87, $A$27, 3)</f>
        <v>1.0138372133502909</v>
      </c>
      <c r="AC87" s="118">
        <f ca="1">[1]!ldf(G$5:G$27, $A$5:$A$27, $W87, $A$27, 3)</f>
        <v>1.0818852795879139</v>
      </c>
      <c r="AD87" s="118">
        <f ca="1">[1]!ldf(H$5:H$27, $A$5:$A$27, $W87, $A$27, 3)</f>
        <v>1.0675265069296469</v>
      </c>
      <c r="AE87" s="118">
        <f ca="1">[1]!ldf(I$5:I$27, $A$5:$A$27, $W87, $A$27, 3)</f>
        <v>1.0619641881376516</v>
      </c>
      <c r="AF87" s="118">
        <f ca="1">[1]!ldf(J$5:J$27, $A$5:$A$27, $W87, $A$27, 3)</f>
        <v>1.0448001302955157</v>
      </c>
      <c r="AG87" s="118">
        <f ca="1">[1]!ldf(K$5:K$27, $A$5:$A$27, $W87, $A$27, 3)</f>
        <v>1.0321729845153556</v>
      </c>
      <c r="AH87" s="118">
        <f ca="1">[1]!ldf(L$5:L$27, $A$5:$A$27, $W87, $A$27, 3)</f>
        <v>1</v>
      </c>
      <c r="AI87" s="118">
        <f ca="1">[1]!ldf(M$5:M$27, $A$5:$A$27, $W87, $A$27, 3)</f>
        <v>1.2665907817079367</v>
      </c>
      <c r="AJ87" s="118">
        <f ca="1">[1]!ldf(N$5:N$27, $A$5:$A$27, $W87, $A$27, 3)</f>
        <v>1.2519966418136594</v>
      </c>
      <c r="AK87" s="118">
        <f ca="1">[1]!ldf(O$5:O$27, $A$5:$A$27, $W87, $A$27, 3)</f>
        <v>1.289616921196697</v>
      </c>
      <c r="AL87" s="118">
        <f ca="1">[1]!ldf(P$5:P$27, $A$5:$A$27, $W87, $A$27, 3)</f>
        <v>1.2380387541110176</v>
      </c>
      <c r="AM87" s="118">
        <f ca="1">[1]!ldf(Q$5:Q$27, $A$5:$A$27, $W87, $A$27, 3)</f>
        <v>1.3123202388509587</v>
      </c>
      <c r="AN87" s="118">
        <f ca="1">[1]!ldf(R$5:R$27, $A$5:$A$27, $W87, $A$27, 3)</f>
        <v>1.3013530344426847</v>
      </c>
      <c r="AO87" s="118">
        <f ca="1">[1]!ldf(S$5:S$27, $A$5:$A$27, $W87, $A$27, 3)</f>
        <v>1.4083818650069146</v>
      </c>
      <c r="AP87" s="118">
        <f ca="1">[1]!ldf(T$5:T$27, $A$5:$A$27, $W87, $A$27, 3)</f>
        <v>1.3710755241836059</v>
      </c>
    </row>
    <row r="88" spans="22:42" ht="12.75" customHeight="1" x14ac:dyDescent="0.2">
      <c r="V88" s="145">
        <f t="shared" si="69"/>
        <v>2</v>
      </c>
      <c r="W88" s="3">
        <f>SMALL(ages, SUM($V$5:V88))</f>
        <v>168</v>
      </c>
      <c r="X88" s="118">
        <f ca="1">[1]!ldf(B$5:B$27, $A$5:$A$27, $W88, $A$27, 3)</f>
        <v>1.0480086612313348</v>
      </c>
      <c r="Y88" s="118">
        <f ca="1">[1]!ldf(C$5:C$27, $A$5:$A$27, $W88, $A$27, 3)</f>
        <v>1.0328558570312276</v>
      </c>
      <c r="Z88" s="118">
        <f ca="1">[1]!ldf(D$5:D$27, $A$5:$A$27, $W88, $A$27, 3)</f>
        <v>1.0285515565868109</v>
      </c>
      <c r="AA88" s="118">
        <f ca="1">[1]!ldf(E$5:E$27, $A$5:$A$27, $W88, $A$27, 3)</f>
        <v>1.0193432304460288</v>
      </c>
      <c r="AB88" s="118">
        <f ca="1">[1]!ldf(F$5:F$27, $A$5:$A$27, $W88, $A$27, 3)</f>
        <v>1.0132952749353585</v>
      </c>
      <c r="AC88" s="118">
        <f ca="1">[1]!ldf(G$5:G$27, $A$5:$A$27, $W88, $A$27, 3)</f>
        <v>1.0794810726603137</v>
      </c>
      <c r="AD88" s="118">
        <f ca="1">[1]!ldf(H$5:H$27, $A$5:$A$27, $W88, $A$27, 3)</f>
        <v>1.0653722879780265</v>
      </c>
      <c r="AE88" s="118">
        <f ca="1">[1]!ldf(I$5:I$27, $A$5:$A$27, $W88, $A$27, 3)</f>
        <v>1.0599337411777912</v>
      </c>
      <c r="AF88" s="118">
        <f ca="1">[1]!ldf(J$5:J$27, $A$5:$A$27, $W88, $A$27, 3)</f>
        <v>1.0431209822576364</v>
      </c>
      <c r="AG88" s="118">
        <f ca="1">[1]!ldf(K$5:K$27, $A$5:$A$27, $W88, $A$27, 3)</f>
        <v>1.0307237485396585</v>
      </c>
      <c r="AH88" s="118">
        <f ca="1">[1]!ldf(L$5:L$27, $A$5:$A$27, $W88, $A$27, 3)</f>
        <v>1</v>
      </c>
      <c r="AI88" s="118">
        <f ca="1">[1]!ldf(M$5:M$27, $A$5:$A$27, $W88, $A$27, 3)</f>
        <v>1.261899148457295</v>
      </c>
      <c r="AJ88" s="118">
        <f ca="1">[1]!ldf(N$5:N$27, $A$5:$A$27, $W88, $A$27, 3)</f>
        <v>1.2478867162522616</v>
      </c>
      <c r="AK88" s="118">
        <f ca="1">[1]!ldf(O$5:O$27, $A$5:$A$27, $W88, $A$27, 3)</f>
        <v>1.2838660017367782</v>
      </c>
      <c r="AL88" s="118">
        <f ca="1">[1]!ldf(P$5:P$27, $A$5:$A$27, $W88, $A$27, 3)</f>
        <v>1.2330776681435891</v>
      </c>
      <c r="AM88" s="118">
        <f ca="1">[1]!ldf(Q$5:Q$27, $A$5:$A$27, $W88, $A$27, 3)</f>
        <v>1.305180289663624</v>
      </c>
      <c r="AN88" s="118">
        <f ca="1">[1]!ldf(R$5:R$27, $A$5:$A$27, $W88, $A$27, 3)</f>
        <v>1.2940794200817243</v>
      </c>
      <c r="AO88" s="118">
        <f ca="1">[1]!ldf(S$5:S$27, $A$5:$A$27, $W88, $A$27, 3)</f>
        <v>1.3977663242926563</v>
      </c>
      <c r="AP88" s="118">
        <f ca="1">[1]!ldf(T$5:T$27, $A$5:$A$27, $W88, $A$27, 3)</f>
        <v>1.3616796546495449</v>
      </c>
    </row>
    <row r="89" spans="22:42" ht="12.75" customHeight="1" x14ac:dyDescent="0.2">
      <c r="V89" s="145">
        <f t="shared" si="69"/>
        <v>1</v>
      </c>
      <c r="W89" s="3">
        <f>SMALL(ages, SUM($V$5:V89))</f>
        <v>169</v>
      </c>
      <c r="X89" s="118">
        <f ca="1">[1]!ldf(B$5:B$27, $A$5:$A$27, $W89, $A$27, 3)</f>
        <v>1.0476409538099567</v>
      </c>
      <c r="Y89" s="118">
        <f ca="1">[1]!ldf(C$5:C$27, $A$5:$A$27, $W89, $A$27, 3)</f>
        <v>1.0325468770904338</v>
      </c>
      <c r="Z89" s="118">
        <f ca="1">[1]!ldf(D$5:D$27, $A$5:$A$27, $W89, $A$27, 3)</f>
        <v>1.0282565282145653</v>
      </c>
      <c r="AA89" s="118">
        <f ca="1">[1]!ldf(E$5:E$27, $A$5:$A$27, $W89, $A$27, 3)</f>
        <v>1.0191186252254167</v>
      </c>
      <c r="AB89" s="118">
        <f ca="1">[1]!ldf(F$5:F$27, $A$5:$A$27, $W89, $A$27, 3)</f>
        <v>1.0131158168477985</v>
      </c>
      <c r="AC89" s="118">
        <f ca="1">[1]!ldf(G$5:G$27, $A$5:$A$27, $W89, $A$27, 3)</f>
        <v>1.0786914089073056</v>
      </c>
      <c r="AD89" s="118">
        <f ca="1">[1]!ldf(H$5:H$27, $A$5:$A$27, $W89, $A$27, 3)</f>
        <v>1.0646605934119227</v>
      </c>
      <c r="AE89" s="118">
        <f ca="1">[1]!ldf(I$5:I$27, $A$5:$A$27, $W89, $A$27, 3)</f>
        <v>1.0592630532959009</v>
      </c>
      <c r="AF89" s="118">
        <f ca="1">[1]!ldf(J$5:J$27, $A$5:$A$27, $W89, $A$27, 3)</f>
        <v>1.0425613590986347</v>
      </c>
      <c r="AG89" s="118">
        <f ca="1">[1]!ldf(K$5:K$27, $A$5:$A$27, $W89, $A$27, 3)</f>
        <v>1.0302303470614194</v>
      </c>
      <c r="AH89" s="118">
        <f ca="1">[1]!ldf(L$5:L$27, $A$5:$A$27, $W89, $A$27, 3)</f>
        <v>1</v>
      </c>
      <c r="AI89" s="118">
        <f ca="1">[1]!ldf(M$5:M$27, $A$5:$A$27, $W89, $A$27, 3)</f>
        <v>1.2603529819770163</v>
      </c>
      <c r="AJ89" s="118">
        <f ca="1">[1]!ldf(N$5:N$27, $A$5:$A$27, $W89, $A$27, 3)</f>
        <v>1.2465330696743777</v>
      </c>
      <c r="AK89" s="118">
        <f ca="1">[1]!ldf(O$5:O$27, $A$5:$A$27, $W89, $A$27, 3)</f>
        <v>1.2820148764445289</v>
      </c>
      <c r="AL89" s="118">
        <f ca="1">[1]!ldf(P$5:P$27, $A$5:$A$27, $W89, $A$27, 3)</f>
        <v>1.2314856494016908</v>
      </c>
      <c r="AM89" s="118">
        <f ca="1">[1]!ldf(Q$5:Q$27, $A$5:$A$27, $W89, $A$27, 3)</f>
        <v>1.3028721781688752</v>
      </c>
      <c r="AN89" s="118">
        <f ca="1">[1]!ldf(R$5:R$27, $A$5:$A$27, $W89, $A$27, 3)</f>
        <v>1.2917092165422914</v>
      </c>
      <c r="AO89" s="118">
        <f ca="1">[1]!ldf(S$5:S$27, $A$5:$A$27, $W89, $A$27, 3)</f>
        <v>1.3943182192536214</v>
      </c>
      <c r="AP89" s="118">
        <f ca="1">[1]!ldf(T$5:T$27, $A$5:$A$27, $W89, $A$27, 3)</f>
        <v>1.3586273971599359</v>
      </c>
    </row>
    <row r="90" spans="22:42" ht="12.75" customHeight="1" x14ac:dyDescent="0.2">
      <c r="V90" s="145">
        <f t="shared" si="69"/>
        <v>2</v>
      </c>
      <c r="W90" s="3">
        <f>SMALL(ages, SUM($V$5:V90))</f>
        <v>171</v>
      </c>
      <c r="X90" s="118">
        <f ca="1">[1]!ldf(B$5:B$27, $A$5:$A$27, $W90, $A$27, 3)</f>
        <v>1.0469141536196465</v>
      </c>
      <c r="Y90" s="118">
        <f ca="1">[1]!ldf(C$5:C$27, $A$5:$A$27, $W90, $A$27, 3)</f>
        <v>1.0319377405789993</v>
      </c>
      <c r="Z90" s="118">
        <f ca="1">[1]!ldf(D$5:D$27, $A$5:$A$27, $W90, $A$27, 3)</f>
        <v>1.0276757077827952</v>
      </c>
      <c r="AA90" s="118">
        <f ca="1">[1]!ldf(E$5:E$27, $A$5:$A$27, $W90, $A$27, 3)</f>
        <v>1.0186772797422321</v>
      </c>
      <c r="AB90" s="118">
        <f ca="1">[1]!ldf(F$5:F$27, $A$5:$A$27, $W90, $A$27, 3)</f>
        <v>1.0127641803595113</v>
      </c>
      <c r="AC90" s="118">
        <f ca="1">[1]!ldf(G$5:G$27, $A$5:$A$27, $W90, $A$27, 3)</f>
        <v>1.0771363678548513</v>
      </c>
      <c r="AD90" s="118">
        <f ca="1">[1]!ldf(H$5:H$27, $A$5:$A$27, $W90, $A$27, 3)</f>
        <v>1.0632610448242465</v>
      </c>
      <c r="AE90" s="118">
        <f ca="1">[1]!ldf(I$5:I$27, $A$5:$A$27, $W90, $A$27, 3)</f>
        <v>1.0579447170100176</v>
      </c>
      <c r="AF90" s="118">
        <f ca="1">[1]!ldf(J$5:J$27, $A$5:$A$27, $W90, $A$27, 3)</f>
        <v>1.0414642351593326</v>
      </c>
      <c r="AG90" s="118">
        <f ca="1">[1]!ldf(K$5:K$27, $A$5:$A$27, $W90, $A$27, 3)</f>
        <v>1.0292675219891212</v>
      </c>
      <c r="AH90" s="118">
        <f ca="1">[1]!ldf(L$5:L$27, $A$5:$A$27, $W90, $A$27, 3)</f>
        <v>1</v>
      </c>
      <c r="AI90" s="118">
        <f ca="1">[1]!ldf(M$5:M$27, $A$5:$A$27, $W90, $A$27, 3)</f>
        <v>1.2572906600819735</v>
      </c>
      <c r="AJ90" s="118">
        <f ca="1">[1]!ldf(N$5:N$27, $A$5:$A$27, $W90, $A$27, 3)</f>
        <v>1.2438499966140055</v>
      </c>
      <c r="AK90" s="118">
        <f ca="1">[1]!ldf(O$5:O$27, $A$5:$A$27, $W90, $A$27, 3)</f>
        <v>1.2783525197889996</v>
      </c>
      <c r="AL90" s="118">
        <f ca="1">[1]!ldf(P$5:P$27, $A$5:$A$27, $W90, $A$27, 3)</f>
        <v>1.2283370713846138</v>
      </c>
      <c r="AM90" s="118">
        <f ca="1">[1]!ldf(Q$5:Q$27, $A$5:$A$27, $W90, $A$27, 3)</f>
        <v>1.2983139054110533</v>
      </c>
      <c r="AN90" s="118">
        <f ca="1">[1]!ldf(R$5:R$27, $A$5:$A$27, $W90, $A$27, 3)</f>
        <v>1.2870320402782991</v>
      </c>
      <c r="AO90" s="118">
        <f ca="1">[1]!ldf(S$5:S$27, $A$5:$A$27, $W90, $A$27, 3)</f>
        <v>1.3875231479971384</v>
      </c>
      <c r="AP90" s="118">
        <f ca="1">[1]!ldf(T$5:T$27, $A$5:$A$27, $W90, $A$27, 3)</f>
        <v>1.3526094208435824</v>
      </c>
    </row>
    <row r="91" spans="22:42" ht="12.75" customHeight="1" x14ac:dyDescent="0.2">
      <c r="V91" s="145">
        <f t="shared" si="69"/>
        <v>2</v>
      </c>
      <c r="W91" s="3">
        <f>SMALL(ages, SUM($V$5:V91))</f>
        <v>172</v>
      </c>
      <c r="X91" s="118">
        <f ca="1">[1]!ldf(B$5:B$27, $A$5:$A$27, $W91, $A$27, 3)</f>
        <v>1.0465550140676521</v>
      </c>
      <c r="Y91" s="118">
        <f ca="1">[1]!ldf(C$5:C$27, $A$5:$A$27, $W91, $A$27, 3)</f>
        <v>1.031637526277283</v>
      </c>
      <c r="Z91" s="118">
        <f ca="1">[1]!ldf(D$5:D$27, $A$5:$A$27, $W91, $A$27, 3)</f>
        <v>1.0273898496967246</v>
      </c>
      <c r="AA91" s="118">
        <f ca="1">[1]!ldf(E$5:E$27, $A$5:$A$27, $W91, $A$27, 3)</f>
        <v>1.0184604770702439</v>
      </c>
      <c r="AB91" s="118">
        <f ca="1">[1]!ldf(F$5:F$27, $A$5:$A$27, $W91, $A$27, 3)</f>
        <v>1.0125919353790107</v>
      </c>
      <c r="AC91" s="118">
        <f ca="1">[1]!ldf(G$5:G$27, $A$5:$A$27, $W91, $A$27, 3)</f>
        <v>1.0763708136472154</v>
      </c>
      <c r="AD91" s="118">
        <f ca="1">[1]!ldf(H$5:H$27, $A$5:$A$27, $W91, $A$27, 3)</f>
        <v>1.0625730033807321</v>
      </c>
      <c r="AE91" s="118">
        <f ca="1">[1]!ldf(I$5:I$27, $A$5:$A$27, $W91, $A$27, 3)</f>
        <v>1.0572968835521406</v>
      </c>
      <c r="AF91" s="118">
        <f ca="1">[1]!ldf(J$5:J$27, $A$5:$A$27, $W91, $A$27, 3)</f>
        <v>1.0409265323544992</v>
      </c>
      <c r="AG91" s="118">
        <f ca="1">[1]!ldf(K$5:K$27, $A$5:$A$27, $W91, $A$27, 3)</f>
        <v>1.0287978317225419</v>
      </c>
      <c r="AH91" s="118">
        <f ca="1">[1]!ldf(L$5:L$27, $A$5:$A$27, $W91, $A$27, 3)</f>
        <v>1</v>
      </c>
      <c r="AI91" s="118">
        <f ca="1">[1]!ldf(M$5:M$27, $A$5:$A$27, $W91, $A$27, 3)</f>
        <v>1.2557743555656757</v>
      </c>
      <c r="AJ91" s="118">
        <f ca="1">[1]!ldf(N$5:N$27, $A$5:$A$27, $W91, $A$27, 3)</f>
        <v>1.2425204596447443</v>
      </c>
      <c r="AK91" s="118">
        <f ca="1">[1]!ldf(O$5:O$27, $A$5:$A$27, $W91, $A$27, 3)</f>
        <v>1.27654106709134</v>
      </c>
      <c r="AL91" s="118">
        <f ca="1">[1]!ldf(P$5:P$27, $A$5:$A$27, $W91, $A$27, 3)</f>
        <v>1.2267803116993223</v>
      </c>
      <c r="AM91" s="118">
        <f ca="1">[1]!ldf(Q$5:Q$27, $A$5:$A$27, $W91, $A$27, 3)</f>
        <v>1.296063367702708</v>
      </c>
      <c r="AN91" s="118">
        <f ca="1">[1]!ldf(R$5:R$27, $A$5:$A$27, $W91, $A$27, 3)</f>
        <v>1.2847246323216399</v>
      </c>
      <c r="AO91" s="118">
        <f ca="1">[1]!ldf(S$5:S$27, $A$5:$A$27, $W91, $A$27, 3)</f>
        <v>1.384175400190047</v>
      </c>
      <c r="AP91" s="118">
        <f ca="1">[1]!ldf(T$5:T$27, $A$5:$A$27, $W91, $A$27, 3)</f>
        <v>1.3496430596930769</v>
      </c>
    </row>
    <row r="92" spans="22:42" ht="12.75" customHeight="1" x14ac:dyDescent="0.2">
      <c r="V92" s="145">
        <f t="shared" si="69"/>
        <v>1</v>
      </c>
      <c r="W92" s="3">
        <f>SMALL(ages, SUM($V$5:V92))</f>
        <v>175</v>
      </c>
      <c r="X92" s="118">
        <f ca="1">[1]!ldf(B$5:B$27, $A$5:$A$27, $W92, $A$27, 3)</f>
        <v>1.0454943611663761</v>
      </c>
      <c r="Y92" s="118">
        <f ca="1">[1]!ldf(C$5:C$27, $A$5:$A$27, $W92, $A$27, 3)</f>
        <v>1.0307539590456567</v>
      </c>
      <c r="Z92" s="118">
        <f ca="1">[1]!ldf(D$5:D$27, $A$5:$A$27, $W92, $A$27, 3)</f>
        <v>1.0265500955525835</v>
      </c>
      <c r="AA92" s="118">
        <f ca="1">[1]!ldf(E$5:E$27, $A$5:$A$27, $W92, $A$27, 3)</f>
        <v>1.0178251829014258</v>
      </c>
      <c r="AB92" s="118">
        <f ca="1">[1]!ldf(F$5:F$27, $A$5:$A$27, $W92, $A$27, 3)</f>
        <v>1.0120891037816013</v>
      </c>
      <c r="AC92" s="118">
        <f ca="1">[1]!ldf(G$5:G$27, $A$5:$A$27, $W92, $A$27, 3)</f>
        <v>1.0741209771653186</v>
      </c>
      <c r="AD92" s="118">
        <f ca="1">[1]!ldf(H$5:H$27, $A$5:$A$27, $W92, $A$27, 3)</f>
        <v>1.0605547111174987</v>
      </c>
      <c r="AE92" s="118">
        <f ca="1">[1]!ldf(I$5:I$27, $A$5:$A$27, $W92, $A$27, 3)</f>
        <v>1.0553976368817455</v>
      </c>
      <c r="AF92" s="118">
        <f ca="1">[1]!ldf(J$5:J$27, $A$5:$A$27, $W92, $A$27, 3)</f>
        <v>1.039355679259929</v>
      </c>
      <c r="AG92" s="118">
        <f ca="1">[1]!ldf(K$5:K$27, $A$5:$A$27, $W92, $A$27, 3)</f>
        <v>1.0274340986706185</v>
      </c>
      <c r="AH92" s="118">
        <f ca="1">[1]!ldf(L$5:L$27, $A$5:$A$27, $W92, $A$27, 3)</f>
        <v>1</v>
      </c>
      <c r="AI92" s="118">
        <f ca="1">[1]!ldf(M$5:M$27, $A$5:$A$27, $W92, $A$27, 3)</f>
        <v>1.2512839869428294</v>
      </c>
      <c r="AJ92" s="118">
        <f ca="1">[1]!ldf(N$5:N$27, $A$5:$A$27, $W92, $A$27, 3)</f>
        <v>1.238579193437825</v>
      </c>
      <c r="AK92" s="118">
        <f ca="1">[1]!ldf(O$5:O$27, $A$5:$A$27, $W92, $A$27, 3)</f>
        <v>1.2711843064678745</v>
      </c>
      <c r="AL92" s="118">
        <f ca="1">[1]!ldf(P$5:P$27, $A$5:$A$27, $W92, $A$27, 3)</f>
        <v>1.2221789684605799</v>
      </c>
      <c r="AM92" s="118">
        <f ca="1">[1]!ldf(Q$5:Q$27, $A$5:$A$27, $W92, $A$27, 3)</f>
        <v>1.2894239363770992</v>
      </c>
      <c r="AN92" s="118">
        <f ca="1">[1]!ldf(R$5:R$27, $A$5:$A$27, $W92, $A$27, 3)</f>
        <v>1.2779245737501148</v>
      </c>
      <c r="AO92" s="118">
        <f ca="1">[1]!ldf(S$5:S$27, $A$5:$A$27, $W92, $A$27, 3)</f>
        <v>1.3743267323650667</v>
      </c>
      <c r="AP92" s="118">
        <f ca="1">[1]!ldf(T$5:T$27, $A$5:$A$27, $W92, $A$27, 3)</f>
        <v>1.3409107200011414</v>
      </c>
    </row>
    <row r="93" spans="22:42" ht="12.75" customHeight="1" x14ac:dyDescent="0.2">
      <c r="V93" s="145">
        <f t="shared" si="69"/>
        <v>3</v>
      </c>
      <c r="W93" s="3">
        <f>SMALL(ages, SUM($V$5:V93))</f>
        <v>177</v>
      </c>
      <c r="X93" s="118">
        <f ca="1">[1]!ldf(B$5:B$27, $A$5:$A$27, $W93, $A$27, 3)</f>
        <v>1.0448010043516125</v>
      </c>
      <c r="Y93" s="118">
        <f ca="1">[1]!ldf(C$5:C$27, $A$5:$A$27, $W93, $A$27, 3)</f>
        <v>1.030178866327129</v>
      </c>
      <c r="Z93" s="118">
        <f ca="1">[1]!ldf(D$5:D$27, $A$5:$A$27, $W93, $A$27, 3)</f>
        <v>1.0260047931049485</v>
      </c>
      <c r="AA93" s="118">
        <f ca="1">[1]!ldf(E$5:E$27, $A$5:$A$27, $W93, $A$27, 3)</f>
        <v>1.0174139504335162</v>
      </c>
      <c r="AB93" s="118">
        <f ca="1">[1]!ldf(F$5:F$27, $A$5:$A$27, $W93, $A$27, 3)</f>
        <v>1.0117651531371343</v>
      </c>
      <c r="AC93" s="118">
        <f ca="1">[1]!ldf(G$5:G$27, $A$5:$A$27, $W93, $A$27, 3)</f>
        <v>1.0726592627445568</v>
      </c>
      <c r="AD93" s="118">
        <f ca="1">[1]!ldf(H$5:H$27, $A$5:$A$27, $W93, $A$27, 3)</f>
        <v>1.059246483591944</v>
      </c>
      <c r="AE93" s="118">
        <f ca="1">[1]!ldf(I$5:I$27, $A$5:$A$27, $W93, $A$27, 3)</f>
        <v>1.0541674697706505</v>
      </c>
      <c r="AF93" s="118">
        <f ca="1">[1]!ldf(J$5:J$27, $A$5:$A$27, $W93, $A$27, 3)</f>
        <v>1.0383427006753783</v>
      </c>
      <c r="AG93" s="118">
        <f ca="1">[1]!ldf(K$5:K$27, $A$5:$A$27, $W93, $A$27, 3)</f>
        <v>1.0265614767992113</v>
      </c>
      <c r="AH93" s="118">
        <f ca="1">[1]!ldf(L$5:L$27, $A$5:$A$27, $W93, $A$27, 3)</f>
        <v>1</v>
      </c>
      <c r="AI93" s="118">
        <f ca="1">[1]!ldf(M$5:M$27, $A$5:$A$27, $W93, $A$27, 3)</f>
        <v>1.2483384742054109</v>
      </c>
      <c r="AJ93" s="118">
        <f ca="1">[1]!ldf(N$5:N$27, $A$5:$A$27, $W93, $A$27, 3)</f>
        <v>1.2359906007087396</v>
      </c>
      <c r="AK93" s="118">
        <f ca="1">[1]!ldf(O$5:O$27, $A$5:$A$27, $W93, $A$27, 3)</f>
        <v>1.2676767311360462</v>
      </c>
      <c r="AL93" s="118">
        <f ca="1">[1]!ldf(P$5:P$27, $A$5:$A$27, $W93, $A$27, 3)</f>
        <v>1.21916788781317</v>
      </c>
      <c r="AM93" s="118">
        <f ca="1">[1]!ldf(Q$5:Q$27, $A$5:$A$27, $W93, $A$27, 3)</f>
        <v>1.2850893321222132</v>
      </c>
      <c r="AN93" s="118">
        <f ca="1">[1]!ldf(R$5:R$27, $A$5:$A$27, $W93, $A$27, 3)</f>
        <v>1.2734909282133855</v>
      </c>
      <c r="AO93" s="118">
        <f ca="1">[1]!ldf(S$5:S$27, $A$5:$A$27, $W93, $A$27, 3)</f>
        <v>1.3679193923026405</v>
      </c>
      <c r="AP93" s="118">
        <f ca="1">[1]!ldf(T$5:T$27, $A$5:$A$27, $W93, $A$27, 3)</f>
        <v>1.3352250594321484</v>
      </c>
    </row>
    <row r="94" spans="22:42" ht="12.75" customHeight="1" x14ac:dyDescent="0.2">
      <c r="V94" s="145">
        <f t="shared" si="69"/>
        <v>2</v>
      </c>
      <c r="W94" s="3">
        <f>SMALL(ages, SUM($V$5:V94))</f>
        <v>180</v>
      </c>
      <c r="X94" s="118">
        <f ca="1">[1]!ldf(B$5:B$27, $A$5:$A$27, $W94, $A$27, 3)</f>
        <v>1.043781142943822</v>
      </c>
      <c r="Y94" s="118">
        <f ca="1">[1]!ldf(C$5:C$27, $A$5:$A$27, $W94, $A$27, 3)</f>
        <v>1.0293366129409076</v>
      </c>
      <c r="Z94" s="118">
        <f ca="1">[1]!ldf(D$5:D$27, $A$5:$A$27, $W94, $A$27, 3)</f>
        <v>1.0252080228384921</v>
      </c>
      <c r="AA94" s="118">
        <f ca="1">[1]!ldf(E$5:E$27, $A$5:$A$27, $W94, $A$27, 3)</f>
        <v>1.0168149677284335</v>
      </c>
      <c r="AB94" s="118">
        <f ca="1">[1]!ldf(F$5:F$27, $A$5:$A$27, $W94, $A$27, 3)</f>
        <v>1.0112955211351899</v>
      </c>
      <c r="AC94" s="118">
        <f ca="1">[1]!ldf(G$5:G$27, $A$5:$A$27, $W94, $A$27, 3)</f>
        <v>1.0705223107673811</v>
      </c>
      <c r="AD94" s="118">
        <f ca="1">[1]!ldf(H$5:H$27, $A$5:$A$27, $W94, $A$27, 3)</f>
        <v>1.0573383587239282</v>
      </c>
      <c r="AE94" s="118">
        <f ca="1">[1]!ldf(I$5:I$27, $A$5:$A$27, $W94, $A$27, 3)</f>
        <v>1.0523745046768311</v>
      </c>
      <c r="AF94" s="118">
        <f ca="1">[1]!ldf(J$5:J$27, $A$5:$A$27, $W94, $A$27, 3)</f>
        <v>1.0368727679774741</v>
      </c>
      <c r="AG94" s="118">
        <f ca="1">[1]!ldf(K$5:K$27, $A$5:$A$27, $W94, $A$27, 3)</f>
        <v>1.0253049450151908</v>
      </c>
      <c r="AH94" s="118">
        <f ca="1">[1]!ldf(L$5:L$27, $A$5:$A$27, $W94, $A$27, 3)</f>
        <v>1</v>
      </c>
      <c r="AI94" s="118">
        <f ca="1">[1]!ldf(M$5:M$27, $A$5:$A$27, $W94, $A$27, 3)</f>
        <v>1.2439908908004151</v>
      </c>
      <c r="AJ94" s="118">
        <f ca="1">[1]!ldf(N$5:N$27, $A$5:$A$27, $W94, $A$27, 3)</f>
        <v>1.2321650363790204</v>
      </c>
      <c r="AK94" s="118">
        <f ca="1">[1]!ldf(O$5:O$27, $A$5:$A$27, $W94, $A$27, 3)</f>
        <v>1.2625086804036485</v>
      </c>
      <c r="AL94" s="118">
        <f ca="1">[1]!ldf(P$5:P$27, $A$5:$A$27, $W94, $A$27, 3)</f>
        <v>1.2147341019797366</v>
      </c>
      <c r="AM94" s="118">
        <f ca="1">[1]!ldf(Q$5:Q$27, $A$5:$A$27, $W94, $A$27, 3)</f>
        <v>1.2787214404372913</v>
      </c>
      <c r="AN94" s="118">
        <f ca="1">[1]!ldf(R$5:R$27, $A$5:$A$27, $W94, $A$27, 3)</f>
        <v>1.2669860081771773</v>
      </c>
      <c r="AO94" s="118">
        <f ca="1">[1]!ldf(S$5:S$27, $A$5:$A$27, $W94, $A$27, 3)</f>
        <v>1.3585388525613293</v>
      </c>
      <c r="AP94" s="118">
        <f ca="1">[1]!ldf(T$5:T$27, $A$5:$A$27, $W94, $A$27, 3)</f>
        <v>1.3268944899139183</v>
      </c>
    </row>
    <row r="95" spans="22:42" ht="12.75" customHeight="1" x14ac:dyDescent="0.2">
      <c r="V95" s="145">
        <f>COUNTIF(ages, W94)</f>
        <v>1</v>
      </c>
      <c r="W95" s="3">
        <f>SMALL(ages, SUM($V$5:V95))</f>
        <v>181</v>
      </c>
      <c r="X95" s="118">
        <f ca="1">[1]!ldf(B$5:B$27, $A$5:$A$27, $W95, $A$27, 3)</f>
        <v>1.0434543005835559</v>
      </c>
      <c r="Y95" s="118">
        <f ca="1">[1]!ldf(C$5:C$27, $A$5:$A$27, $W95, $A$27, 3)</f>
        <v>1.0290815017715385</v>
      </c>
      <c r="Z95" s="118">
        <f ca="1">[1]!ldf(D$5:D$27, $A$5:$A$27, $W95, $A$27, 3)</f>
        <v>1.0249819221856278</v>
      </c>
      <c r="AA95" s="118">
        <f ca="1">[1]!ldf(E$5:E$27, $A$5:$A$27, $W95, $A$27, 3)</f>
        <v>1.0166320720490298</v>
      </c>
      <c r="AB95" s="118">
        <f ca="1">[1]!ldf(F$5:F$27, $A$5:$A$27, $W95, $A$27, 3)</f>
        <v>1.0111397752513251</v>
      </c>
      <c r="AC95" s="118">
        <f ca="1">[1]!ldf(G$5:G$27, $A$5:$A$27, $W95, $A$27, 3)</f>
        <v>1.0698166257957304</v>
      </c>
      <c r="AD95" s="118">
        <f ca="1">[1]!ldf(H$5:H$27, $A$5:$A$27, $W95, $A$27, 3)</f>
        <v>1.0567236031743401</v>
      </c>
      <c r="AE95" s="118">
        <f ca="1">[1]!ldf(I$5:I$27, $A$5:$A$27, $W95, $A$27, 3)</f>
        <v>1.0517964972376925</v>
      </c>
      <c r="AF95" s="118">
        <f ca="1">[1]!ldf(J$5:J$27, $A$5:$A$27, $W95, $A$27, 3)</f>
        <v>1.0364139193412611</v>
      </c>
      <c r="AG95" s="118">
        <f ca="1">[1]!ldf(K$5:K$27, $A$5:$A$27, $W95, $A$27, 3)</f>
        <v>1.0249375706263224</v>
      </c>
      <c r="AH95" s="118">
        <f ca="1">[1]!ldf(L$5:L$27, $A$5:$A$27, $W95, $A$27, 3)</f>
        <v>1</v>
      </c>
      <c r="AI95" s="118">
        <f ca="1">[1]!ldf(M$5:M$27, $A$5:$A$27, $W95, $A$27, 3)</f>
        <v>1.2422690502704492</v>
      </c>
      <c r="AJ95" s="118">
        <f ca="1">[1]!ldf(N$5:N$27, $A$5:$A$27, $W95, $A$27, 3)</f>
        <v>1.2305236825151273</v>
      </c>
      <c r="AK95" s="118">
        <f ca="1">[1]!ldf(O$5:O$27, $A$5:$A$27, $W95, $A$27, 3)</f>
        <v>1.2607374288542037</v>
      </c>
      <c r="AL95" s="118">
        <f ca="1">[1]!ldf(P$5:P$27, $A$5:$A$27, $W95, $A$27, 3)</f>
        <v>1.2133198202715534</v>
      </c>
      <c r="AM95" s="118">
        <f ca="1">[1]!ldf(Q$5:Q$27, $A$5:$A$27, $W95, $A$27, 3)</f>
        <v>1.276299222561377</v>
      </c>
      <c r="AN95" s="118">
        <f ca="1">[1]!ldf(R$5:R$27, $A$5:$A$27, $W95, $A$27, 3)</f>
        <v>1.2646345720235161</v>
      </c>
      <c r="AO95" s="118">
        <f ca="1">[1]!ldf(S$5:S$27, $A$5:$A$27, $W95, $A$27, 3)</f>
        <v>1.3551137204213817</v>
      </c>
      <c r="AP95" s="118">
        <f ca="1">[1]!ldf(T$5:T$27, $A$5:$A$27, $W95, $A$27, 3)</f>
        <v>1.3237399469649662</v>
      </c>
    </row>
    <row r="96" spans="22:42" ht="12.75" customHeight="1" x14ac:dyDescent="0.2">
      <c r="V96" s="145">
        <f>COUNTIF(ages, W95)</f>
        <v>2</v>
      </c>
      <c r="W96" s="3">
        <f>SMALL(ages, SUM($V$5:V96))</f>
        <v>183</v>
      </c>
      <c r="X96" s="118">
        <f ca="1">[1]!ldf(B$5:B$27, $A$5:$A$27, $W96, $A$27, 3)</f>
        <v>1.0428080663399792</v>
      </c>
      <c r="Y96" s="118">
        <f ca="1">[1]!ldf(C$5:C$27, $A$5:$A$27, $W96, $A$27, 3)</f>
        <v>1.0285780071734472</v>
      </c>
      <c r="Z96" s="118">
        <f ca="1">[1]!ldf(D$5:D$27, $A$5:$A$27, $W96, $A$27, 3)</f>
        <v>1.0245358589416642</v>
      </c>
      <c r="AA96" s="118">
        <f ca="1">[1]!ldf(E$5:E$27, $A$5:$A$27, $W96, $A$27, 3)</f>
        <v>1.0162722745520525</v>
      </c>
      <c r="AB96" s="118">
        <f ca="1">[1]!ldf(F$5:F$27, $A$5:$A$27, $W96, $A$27, 3)</f>
        <v>1.0108347305722838</v>
      </c>
      <c r="AC96" s="118">
        <f ca="1">[1]!ldf(G$5:G$27, $A$5:$A$27, $W96, $A$27, 3)</f>
        <v>1.0684270370506452</v>
      </c>
      <c r="AD96" s="118">
        <f ca="1">[1]!ldf(H$5:H$27, $A$5:$A$27, $W96, $A$27, 3)</f>
        <v>1.0555143074321864</v>
      </c>
      <c r="AE96" s="118">
        <f ca="1">[1]!ldf(I$5:I$27, $A$5:$A$27, $W96, $A$27, 3)</f>
        <v>1.0506600039033942</v>
      </c>
      <c r="AF96" s="118">
        <f ca="1">[1]!ldf(J$5:J$27, $A$5:$A$27, $W96, $A$27, 3)</f>
        <v>1.0355135713645214</v>
      </c>
      <c r="AG96" s="118">
        <f ca="1">[1]!ldf(K$5:K$27, $A$5:$A$27, $W96, $A$27, 3)</f>
        <v>1.0242189322454078</v>
      </c>
      <c r="AH96" s="118">
        <f ca="1">[1]!ldf(L$5:L$27, $A$5:$A$27, $W96, $A$27, 3)</f>
        <v>1</v>
      </c>
      <c r="AI96" s="118">
        <f ca="1">[1]!ldf(M$5:M$27, $A$5:$A$27, $W96, $A$27, 3)</f>
        <v>1.2388651045897143</v>
      </c>
      <c r="AJ96" s="118">
        <f ca="1">[1]!ldf(N$5:N$27, $A$5:$A$27, $W96, $A$27, 3)</f>
        <v>1.2272787995349916</v>
      </c>
      <c r="AK96" s="118">
        <f ca="1">[1]!ldf(O$5:O$27, $A$5:$A$27, $W96, $A$27, 3)</f>
        <v>1.2572342058155492</v>
      </c>
      <c r="AL96" s="118">
        <f ca="1">[1]!ldf(P$5:P$27, $A$5:$A$27, $W96, $A$27, 3)</f>
        <v>1.2105214796409922</v>
      </c>
      <c r="AM96" s="118">
        <f ca="1">[1]!ldf(Q$5:Q$27, $A$5:$A$27, $W96, $A$27, 3)</f>
        <v>1.2715241753040578</v>
      </c>
      <c r="AN96" s="118">
        <f ca="1">[1]!ldf(R$5:R$27, $A$5:$A$27, $W96, $A$27, 3)</f>
        <v>1.2599997612869254</v>
      </c>
      <c r="AO96" s="118">
        <f ca="1">[1]!ldf(S$5:S$27, $A$5:$A$27, $W96, $A$27, 3)</f>
        <v>1.3483732339444978</v>
      </c>
      <c r="AP96" s="118">
        <f ca="1">[1]!ldf(T$5:T$27, $A$5:$A$27, $W96, $A$27, 3)</f>
        <v>1.3175322898269424</v>
      </c>
    </row>
    <row r="97" spans="22:42" ht="12.75" customHeight="1" x14ac:dyDescent="0.2">
      <c r="V97" s="145">
        <f t="shared" ref="V97:V123" si="70">COUNTIF(ages, W96)</f>
        <v>2</v>
      </c>
      <c r="W97" s="3">
        <f>SMALL(ages, SUM($V$5:V97))</f>
        <v>184</v>
      </c>
      <c r="X97" s="118">
        <f ca="1">[1]!ldf(B$5:B$27, $A$5:$A$27, $W97, $A$27, 3)</f>
        <v>1.0424886352138731</v>
      </c>
      <c r="Y97" s="118">
        <f ca="1">[1]!ldf(C$5:C$27, $A$5:$A$27, $W97, $A$27, 3)</f>
        <v>1.0283295832112738</v>
      </c>
      <c r="Z97" s="118">
        <f ca="1">[1]!ldf(D$5:D$27, $A$5:$A$27, $W97, $A$27, 3)</f>
        <v>1.0243158584114995</v>
      </c>
      <c r="AA97" s="118">
        <f ca="1">[1]!ldf(E$5:E$27, $A$5:$A$27, $W97, $A$27, 3)</f>
        <v>1.016095328322759</v>
      </c>
      <c r="AB97" s="118">
        <f ca="1">[1]!ldf(F$5:F$27, $A$5:$A$27, $W97, $A$27, 3)</f>
        <v>1.0106853717104405</v>
      </c>
      <c r="AC97" s="118">
        <f ca="1">[1]!ldf(G$5:G$27, $A$5:$A$27, $W97, $A$27, 3)</f>
        <v>1.0677429749633467</v>
      </c>
      <c r="AD97" s="118">
        <f ca="1">[1]!ldf(H$5:H$27, $A$5:$A$27, $W97, $A$27, 3)</f>
        <v>1.0549196120921074</v>
      </c>
      <c r="AE97" s="118">
        <f ca="1">[1]!ldf(I$5:I$27, $A$5:$A$27, $W97, $A$27, 3)</f>
        <v>1.0501013646696569</v>
      </c>
      <c r="AF97" s="118">
        <f ca="1">[1]!ldf(J$5:J$27, $A$5:$A$27, $W97, $A$27, 3)</f>
        <v>1.0350719212107389</v>
      </c>
      <c r="AG97" s="118">
        <f ca="1">[1]!ldf(K$5:K$27, $A$5:$A$27, $W97, $A$27, 3)</f>
        <v>1.0238675073027417</v>
      </c>
      <c r="AH97" s="118">
        <f ca="1">[1]!ldf(L$5:L$27, $A$5:$A$27, $W97, $A$27, 3)</f>
        <v>1</v>
      </c>
      <c r="AI97" s="118">
        <f ca="1">[1]!ldf(M$5:M$27, $A$5:$A$27, $W97, $A$27, 3)</f>
        <v>1.2371827659861403</v>
      </c>
      <c r="AJ97" s="118">
        <f ca="1">[1]!ldf(N$5:N$27, $A$5:$A$27, $W97, $A$27, 3)</f>
        <v>1.2256750493073205</v>
      </c>
      <c r="AK97" s="118">
        <f ca="1">[1]!ldf(O$5:O$27, $A$5:$A$27, $W97, $A$27, 3)</f>
        <v>1.255502011357007</v>
      </c>
      <c r="AL97" s="118">
        <f ca="1">[1]!ldf(P$5:P$27, $A$5:$A$27, $W97, $A$27, 3)</f>
        <v>1.2091372578035926</v>
      </c>
      <c r="AM97" s="118">
        <f ca="1">[1]!ldf(Q$5:Q$27, $A$5:$A$27, $W97, $A$27, 3)</f>
        <v>1.2691708350942885</v>
      </c>
      <c r="AN97" s="118">
        <f ca="1">[1]!ldf(R$5:R$27, $A$5:$A$27, $W97, $A$27, 3)</f>
        <v>1.2577158820199006</v>
      </c>
      <c r="AO97" s="118">
        <f ca="1">[1]!ldf(S$5:S$27, $A$5:$A$27, $W97, $A$27, 3)</f>
        <v>1.3450569592831128</v>
      </c>
      <c r="AP97" s="118">
        <f ca="1">[1]!ldf(T$5:T$27, $A$5:$A$27, $W97, $A$27, 3)</f>
        <v>1.3144783280786818</v>
      </c>
    </row>
    <row r="98" spans="22:42" ht="12.75" customHeight="1" x14ac:dyDescent="0.2">
      <c r="V98" s="145">
        <f t="shared" si="70"/>
        <v>4</v>
      </c>
      <c r="W98" s="3">
        <f>SMALL(ages, SUM($V$5:V98))</f>
        <v>187</v>
      </c>
      <c r="X98" s="118">
        <f ca="1">[1]!ldf(B$5:B$27, $A$5:$A$27, $W98, $A$27, 3)</f>
        <v>1.0415448538279652</v>
      </c>
      <c r="Y98" s="118">
        <f ca="1">[1]!ldf(C$5:C$27, $A$5:$A$27, $W98, $A$27, 3)</f>
        <v>1.027597365491361</v>
      </c>
      <c r="Z98" s="118">
        <f ca="1">[1]!ldf(D$5:D$27, $A$5:$A$27, $W98, $A$27, 3)</f>
        <v>1.0236677573915456</v>
      </c>
      <c r="AA98" s="118">
        <f ca="1">[1]!ldf(E$5:E$27, $A$5:$A$27, $W98, $A$27, 3)</f>
        <v>1.0155760385555581</v>
      </c>
      <c r="AB98" s="118">
        <f ca="1">[1]!ldf(F$5:F$27, $A$5:$A$27, $W98, $A$27, 3)</f>
        <v>1.0102495975830834</v>
      </c>
      <c r="AC98" s="118">
        <f ca="1">[1]!ldf(G$5:G$27, $A$5:$A$27, $W98, $A$27, 3)</f>
        <v>1.0657327877396354</v>
      </c>
      <c r="AD98" s="118">
        <f ca="1">[1]!ldf(H$5:H$27, $A$5:$A$27, $W98, $A$27, 3)</f>
        <v>1.0531744255237137</v>
      </c>
      <c r="AE98" s="118">
        <f ca="1">[1]!ldf(I$5:I$27, $A$5:$A$27, $W98, $A$27, 3)</f>
        <v>1.0484629770108389</v>
      </c>
      <c r="AF98" s="118">
        <f ca="1">[1]!ldf(J$5:J$27, $A$5:$A$27, $W98, $A$27, 3)</f>
        <v>1.0337801829481874</v>
      </c>
      <c r="AG98" s="118">
        <f ca="1">[1]!ldf(K$5:K$27, $A$5:$A$27, $W98, $A$27, 3)</f>
        <v>1.0228438700024272</v>
      </c>
      <c r="AH98" s="118">
        <f ca="1">[1]!ldf(L$5:L$27, $A$5:$A$27, $W98, $A$27, 3)</f>
        <v>1</v>
      </c>
      <c r="AI98" s="118">
        <f ca="1">[1]!ldf(M$5:M$27, $A$5:$A$27, $W98, $A$27, 3)</f>
        <v>1.2322129118656531</v>
      </c>
      <c r="AJ98" s="118">
        <f ca="1">[1]!ldf(N$5:N$27, $A$5:$A$27, $W98, $A$27, 3)</f>
        <v>1.2209372609416629</v>
      </c>
      <c r="AK98" s="118">
        <f ca="1">[1]!ldf(O$5:O$27, $A$5:$A$27, $W98, $A$27, 3)</f>
        <v>1.2503817819865983</v>
      </c>
      <c r="AL98" s="118">
        <f ca="1">[1]!ldf(P$5:P$27, $A$5:$A$27, $W98, $A$27, 3)</f>
        <v>1.2050434249204922</v>
      </c>
      <c r="AM98" s="118">
        <f ca="1">[1]!ldf(Q$5:Q$27, $A$5:$A$27, $W98, $A$27, 3)</f>
        <v>1.2622445532625941</v>
      </c>
      <c r="AN98" s="118">
        <f ca="1">[1]!ldf(R$5:R$27, $A$5:$A$27, $W98, $A$27, 3)</f>
        <v>1.250995390137978</v>
      </c>
      <c r="AO98" s="118">
        <f ca="1">[1]!ldf(S$5:S$27, $A$5:$A$27, $W98, $A$27, 3)</f>
        <v>1.3353186325747148</v>
      </c>
      <c r="AP98" s="118">
        <f ca="1">[1]!ldf(T$5:T$27, $A$5:$A$27, $W98, $A$27, 3)</f>
        <v>1.3055109573998789</v>
      </c>
    </row>
    <row r="99" spans="22:42" ht="12.75" customHeight="1" x14ac:dyDescent="0.2">
      <c r="V99" s="145">
        <f t="shared" si="70"/>
        <v>3</v>
      </c>
      <c r="W99" s="3">
        <f>SMALL(ages, SUM($V$5:V99))</f>
        <v>189</v>
      </c>
      <c r="X99" s="118">
        <f ca="1">[1]!ldf(B$5:B$27, $A$5:$A$27, $W99, $A$27, 3)</f>
        <v>1.040927569485149</v>
      </c>
      <c r="Y99" s="118">
        <f ca="1">[1]!ldf(C$5:C$27, $A$5:$A$27, $W99, $A$27, 3)</f>
        <v>1.0271199032575418</v>
      </c>
      <c r="Z99" s="118">
        <f ca="1">[1]!ldf(D$5:D$27, $A$5:$A$27, $W99, $A$27, 3)</f>
        <v>1.0232454242766778</v>
      </c>
      <c r="AA99" s="118">
        <f ca="1">[1]!ldf(E$5:E$27, $A$5:$A$27, $W99, $A$27, 3)</f>
        <v>1.0152392567998161</v>
      </c>
      <c r="AB99" s="118">
        <f ca="1">[1]!ldf(F$5:F$27, $A$5:$A$27, $W99, $A$27, 3)</f>
        <v>1.0099690489653559</v>
      </c>
      <c r="AC99" s="118">
        <f ca="1">[1]!ldf(G$5:G$27, $A$5:$A$27, $W99, $A$27, 3)</f>
        <v>1.0644269054165671</v>
      </c>
      <c r="AD99" s="118">
        <f ca="1">[1]!ldf(H$5:H$27, $A$5:$A$27, $W99, $A$27, 3)</f>
        <v>1.0520426438955393</v>
      </c>
      <c r="AE99" s="118">
        <f ca="1">[1]!ldf(I$5:I$27, $A$5:$A$27, $W99, $A$27, 3)</f>
        <v>1.047401262743944</v>
      </c>
      <c r="AF99" s="118">
        <f ca="1">[1]!ldf(J$5:J$27, $A$5:$A$27, $W99, $A$27, 3)</f>
        <v>1.0329459851344109</v>
      </c>
      <c r="AG99" s="118">
        <f ca="1">[1]!ldf(K$5:K$27, $A$5:$A$27, $W99, $A$27, 3)</f>
        <v>1.0221862177651264</v>
      </c>
      <c r="AH99" s="118">
        <f ca="1">[1]!ldf(L$5:L$27, $A$5:$A$27, $W99, $A$27, 3)</f>
        <v>1</v>
      </c>
      <c r="AI99" s="118">
        <f ca="1">[1]!ldf(M$5:M$27, $A$5:$A$27, $W99, $A$27, 3)</f>
        <v>1.2289628548569982</v>
      </c>
      <c r="AJ99" s="118">
        <f ca="1">[1]!ldf(N$5:N$27, $A$5:$A$27, $W99, $A$27, 3)</f>
        <v>1.2178388906477415</v>
      </c>
      <c r="AK99" s="118">
        <f ca="1">[1]!ldf(O$5:O$27, $A$5:$A$27, $W99, $A$27, 3)</f>
        <v>1.2470308508520609</v>
      </c>
      <c r="AL99" s="118">
        <f ca="1">[1]!ldf(P$5:P$27, $A$5:$A$27, $W99, $A$27, 3)</f>
        <v>1.2023624442449545</v>
      </c>
      <c r="AM99" s="118">
        <f ca="1">[1]!ldf(Q$5:Q$27, $A$5:$A$27, $W99, $A$27, 3)</f>
        <v>1.2577360502038735</v>
      </c>
      <c r="AN99" s="118">
        <f ca="1">[1]!ldf(R$5:R$27, $A$5:$A$27, $W99, $A$27, 3)</f>
        <v>1.2466219495255215</v>
      </c>
      <c r="AO99" s="118">
        <f ca="1">[1]!ldf(S$5:S$27, $A$5:$A$27, $W99, $A$27, 3)</f>
        <v>1.3289974819170327</v>
      </c>
      <c r="AP99" s="118">
        <f ca="1">[1]!ldf(T$5:T$27, $A$5:$A$27, $W99, $A$27, 3)</f>
        <v>1.2996908008034678</v>
      </c>
    </row>
    <row r="100" spans="22:42" ht="12.75" customHeight="1" x14ac:dyDescent="0.2">
      <c r="V100" s="145">
        <f t="shared" si="70"/>
        <v>2</v>
      </c>
      <c r="W100" s="3">
        <f>SMALL(ages, SUM($V$5:V100))</f>
        <v>192</v>
      </c>
      <c r="X100" s="118">
        <f ca="1">[1]!ldf(B$5:B$27, $A$5:$A$27, $W100, $A$27, 3)</f>
        <v>1.0400191248388062</v>
      </c>
      <c r="Y100" s="118">
        <f ca="1">[1]!ldf(C$5:C$27, $A$5:$A$27, $W100, $A$27, 3)</f>
        <v>1.0264193514236082</v>
      </c>
      <c r="Z100" s="118">
        <f ca="1">[1]!ldf(D$5:D$27, $A$5:$A$27, $W100, $A$27, 3)</f>
        <v>1.022626168019215</v>
      </c>
      <c r="AA100" s="118">
        <f ca="1">[1]!ldf(E$5:E$27, $A$5:$A$27, $W100, $A$27, 3)</f>
        <v>1.0147477867925956</v>
      </c>
      <c r="AB100" s="118">
        <f ca="1">[1]!ldf(F$5:F$27, $A$5:$A$27, $W100, $A$27, 3)</f>
        <v>1.0095626261415263</v>
      </c>
      <c r="AC100" s="118">
        <f ca="1">[1]!ldf(G$5:G$27, $A$5:$A$27, $W100, $A$27, 3)</f>
        <v>1.0625179723927809</v>
      </c>
      <c r="AD100" s="118">
        <f ca="1">[1]!ldf(H$5:H$27, $A$5:$A$27, $W100, $A$27, 3)</f>
        <v>1.0503910462700761</v>
      </c>
      <c r="AE100" s="118">
        <f ca="1">[1]!ldf(I$5:I$27, $A$5:$A$27, $W100, $A$27, 3)</f>
        <v>1.0458530870462686</v>
      </c>
      <c r="AF100" s="118">
        <f ca="1">[1]!ldf(J$5:J$27, $A$5:$A$27, $W100, $A$27, 3)</f>
        <v>1.0317337421869763</v>
      </c>
      <c r="AG100" s="118">
        <f ca="1">[1]!ldf(K$5:K$27, $A$5:$A$27, $W100, $A$27, 3)</f>
        <v>1.0212354336313814</v>
      </c>
      <c r="AH100" s="118">
        <f ca="1">[1]!ldf(L$5:L$27, $A$5:$A$27, $W100, $A$27, 3)</f>
        <v>1</v>
      </c>
      <c r="AI100" s="118">
        <f ca="1">[1]!ldf(M$5:M$27, $A$5:$A$27, $W100, $A$27, 3)</f>
        <v>1.2241803451920497</v>
      </c>
      <c r="AJ100" s="118">
        <f ca="1">[1]!ldf(N$5:N$27, $A$5:$A$27, $W100, $A$27, 3)</f>
        <v>1.2132794903287611</v>
      </c>
      <c r="AK100" s="118">
        <f ca="1">[1]!ldf(O$5:O$27, $A$5:$A$27, $W100, $A$27, 3)</f>
        <v>1.2420961885176558</v>
      </c>
      <c r="AL100" s="118">
        <f ca="1">[1]!ldf(P$5:P$27, $A$5:$A$27, $W100, $A$27, 3)</f>
        <v>1.1984117964076881</v>
      </c>
      <c r="AM100" s="118">
        <f ca="1">[1]!ldf(Q$5:Q$27, $A$5:$A$27, $W100, $A$27, 3)</f>
        <v>1.2511321022752919</v>
      </c>
      <c r="AN100" s="118">
        <f ca="1">[1]!ldf(R$5:R$27, $A$5:$A$27, $W100, $A$27, 3)</f>
        <v>1.2402174577430047</v>
      </c>
      <c r="AO100" s="118">
        <f ca="1">[1]!ldf(S$5:S$27, $A$5:$A$27, $W100, $A$27, 3)</f>
        <v>1.3197639511680914</v>
      </c>
      <c r="AP100" s="118">
        <f ca="1">[1]!ldf(T$5:T$27, $A$5:$A$27, $W100, $A$27, 3)</f>
        <v>1.2911899564315186</v>
      </c>
    </row>
    <row r="101" spans="22:42" ht="12.75" customHeight="1" x14ac:dyDescent="0.2">
      <c r="V101" s="145">
        <f t="shared" si="70"/>
        <v>1</v>
      </c>
      <c r="W101" s="3">
        <f>SMALL(ages, SUM($V$5:V101))</f>
        <v>193</v>
      </c>
      <c r="X101" s="118">
        <f ca="1">[1]!ldf(B$5:B$27, $A$5:$A$27, $W101, $A$27, 3)</f>
        <v>1.0396901953622515</v>
      </c>
      <c r="Y101" s="118">
        <f ca="1">[1]!ldf(C$5:C$27, $A$5:$A$27, $W101, $A$27, 3)</f>
        <v>1.0261228969274887</v>
      </c>
      <c r="Z101" s="118">
        <f ca="1">[1]!ldf(D$5:D$27, $A$5:$A$27, $W101, $A$27, 3)</f>
        <v>1.022387222431614</v>
      </c>
      <c r="AA101" s="118">
        <f ca="1">[1]!ldf(E$5:E$27, $A$5:$A$27, $W101, $A$27, 3)</f>
        <v>1.0145734022709791</v>
      </c>
      <c r="AB101" s="118">
        <f ca="1">[1]!ldf(F$5:F$27, $A$5:$A$27, $W101, $A$27, 3)</f>
        <v>1.0094329891671163</v>
      </c>
      <c r="AC101" s="118">
        <f ca="1">[1]!ldf(G$5:G$27, $A$5:$A$27, $W101, $A$27, 3)</f>
        <v>1.0618946786635386</v>
      </c>
      <c r="AD101" s="118">
        <f ca="1">[1]!ldf(H$5:H$27, $A$5:$A$27, $W101, $A$27, 3)</f>
        <v>1.0498529971011641</v>
      </c>
      <c r="AE101" s="118">
        <f ca="1">[1]!ldf(I$5:I$27, $A$5:$A$27, $W101, $A$27, 3)</f>
        <v>1.045348591226958</v>
      </c>
      <c r="AF101" s="118">
        <f ca="1">[1]!ldf(J$5:J$27, $A$5:$A$27, $W101, $A$27, 3)</f>
        <v>1.0313398064971648</v>
      </c>
      <c r="AG101" s="118">
        <f ca="1">[1]!ldf(K$5:K$27, $A$5:$A$27, $W101, $A$27, 3)</f>
        <v>1.0209277412675501</v>
      </c>
      <c r="AH101" s="118">
        <f ca="1">[1]!ldf(L$5:L$27, $A$5:$A$27, $W101, $A$27, 3)</f>
        <v>1</v>
      </c>
      <c r="AI101" s="118">
        <f ca="1">[1]!ldf(M$5:M$27, $A$5:$A$27, $W101, $A$27, 3)</f>
        <v>1.2231879043865863</v>
      </c>
      <c r="AJ101" s="118">
        <f ca="1">[1]!ldf(N$5:N$27, $A$5:$A$27, $W101, $A$27, 3)</f>
        <v>1.2117952970979662</v>
      </c>
      <c r="AK101" s="118">
        <f ca="1">[1]!ldf(O$5:O$27, $A$5:$A$27, $W101, $A$27, 3)</f>
        <v>1.2402596188038031</v>
      </c>
      <c r="AL101" s="118">
        <f ca="1">[1]!ldf(P$5:P$27, $A$5:$A$27, $W101, $A$27, 3)</f>
        <v>1.1968549116907015</v>
      </c>
      <c r="AM101" s="118">
        <f ca="1">[1]!ldf(Q$5:Q$27, $A$5:$A$27, $W101, $A$27, 3)</f>
        <v>1.248944292289758</v>
      </c>
      <c r="AN101" s="118">
        <f ca="1">[1]!ldf(R$5:R$27, $A$5:$A$27, $W101, $A$27, 3)</f>
        <v>1.238104997913829</v>
      </c>
      <c r="AO101" s="118">
        <f ca="1">[1]!ldf(S$5:S$27, $A$5:$A$27, $W101, $A$27, 3)</f>
        <v>1.3167236953992802</v>
      </c>
      <c r="AP101" s="118">
        <f ca="1">[1]!ldf(T$5:T$27, $A$5:$A$27, $W101, $A$27, 3)</f>
        <v>1.2883801818486993</v>
      </c>
    </row>
    <row r="102" spans="22:42" ht="12.75" customHeight="1" x14ac:dyDescent="0.2">
      <c r="V102" s="145">
        <f t="shared" si="70"/>
        <v>2</v>
      </c>
      <c r="W102" s="3">
        <f>SMALL(ages, SUM($V$5:V102))</f>
        <v>195</v>
      </c>
      <c r="X102" s="118">
        <f ca="1">[1]!ldf(B$5:B$27, $A$5:$A$27, $W102, $A$27, 3)</f>
        <v>1.0390405757608114</v>
      </c>
      <c r="Y102" s="118">
        <f ca="1">[1]!ldf(C$5:C$27, $A$5:$A$27, $W102, $A$27, 3)</f>
        <v>1.025540053438571</v>
      </c>
      <c r="Z102" s="118">
        <f ca="1">[1]!ldf(D$5:D$27, $A$5:$A$27, $W102, $A$27, 3)</f>
        <v>1.0219169553729717</v>
      </c>
      <c r="AA102" s="118">
        <f ca="1">[1]!ldf(E$5:E$27, $A$5:$A$27, $W102, $A$27, 3)</f>
        <v>1.0142308379560327</v>
      </c>
      <c r="AB102" s="118">
        <f ca="1">[1]!ldf(F$5:F$27, $A$5:$A$27, $W102, $A$27, 3)</f>
        <v>1.0091789875385333</v>
      </c>
      <c r="AC102" s="118">
        <f ca="1">[1]!ldf(G$5:G$27, $A$5:$A$27, $W102, $A$27, 3)</f>
        <v>1.06066719696627</v>
      </c>
      <c r="AD102" s="118">
        <f ca="1">[1]!ldf(H$5:H$27, $A$5:$A$27, $W102, $A$27, 3)</f>
        <v>1.0487944682102228</v>
      </c>
      <c r="AE102" s="118">
        <f ca="1">[1]!ldf(I$5:I$27, $A$5:$A$27, $W102, $A$27, 3)</f>
        <v>1.0443565398916093</v>
      </c>
      <c r="AF102" s="118">
        <f ca="1">[1]!ldf(J$5:J$27, $A$5:$A$27, $W102, $A$27, 3)</f>
        <v>1.0305667604585778</v>
      </c>
      <c r="AG102" s="118">
        <f ca="1">[1]!ldf(K$5:K$27, $A$5:$A$27, $W102, $A$27, 3)</f>
        <v>1.0203257989573917</v>
      </c>
      <c r="AH102" s="118">
        <f ca="1">[1]!ldf(L$5:L$27, $A$5:$A$27, $W102, $A$27, 3)</f>
        <v>1</v>
      </c>
      <c r="AI102" s="118">
        <f ca="1">[1]!ldf(M$5:M$27, $A$5:$A$27, $W102, $A$27, 3)</f>
        <v>1.2212173336468559</v>
      </c>
      <c r="AJ102" s="118">
        <f ca="1">[1]!ldf(N$5:N$27, $A$5:$A$27, $W102, $A$27, 3)</f>
        <v>1.2088604013474602</v>
      </c>
      <c r="AK102" s="118">
        <f ca="1">[1]!ldf(O$5:O$27, $A$5:$A$27, $W102, $A$27, 3)</f>
        <v>1.2366320032063529</v>
      </c>
      <c r="AL102" s="118">
        <f ca="1">[1]!ldf(P$5:P$27, $A$5:$A$27, $W102, $A$27, 3)</f>
        <v>1.1937805647833619</v>
      </c>
      <c r="AM102" s="118">
        <f ca="1">[1]!ldf(Q$5:Q$27, $A$5:$A$27, $W102, $A$27, 3)</f>
        <v>1.2446310584637648</v>
      </c>
      <c r="AN102" s="118">
        <f ca="1">[1]!ldf(R$5:R$27, $A$5:$A$27, $W102, $A$27, 3)</f>
        <v>1.2339407048658688</v>
      </c>
      <c r="AO102" s="118">
        <f ca="1">[1]!ldf(S$5:S$27, $A$5:$A$27, $W102, $A$27, 3)</f>
        <v>1.3107393513307339</v>
      </c>
      <c r="AP102" s="118">
        <f ca="1">[1]!ldf(T$5:T$27, $A$5:$A$27, $W102, $A$27, 3)</f>
        <v>1.2828502245184668</v>
      </c>
    </row>
    <row r="103" spans="22:42" ht="12.75" customHeight="1" x14ac:dyDescent="0.2">
      <c r="V103" s="145">
        <f t="shared" si="70"/>
        <v>2</v>
      </c>
      <c r="W103" s="3">
        <f>SMALL(ages, SUM($V$5:V103))</f>
        <v>196</v>
      </c>
      <c r="X103" s="118">
        <f ca="1">[1]!ldf(B$5:B$27, $A$5:$A$27, $W103, $A$27, 3)</f>
        <v>1.0387198380831566</v>
      </c>
      <c r="Y103" s="118">
        <f ca="1">[1]!ldf(C$5:C$27, $A$5:$A$27, $W103, $A$27, 3)</f>
        <v>1.0252535865401733</v>
      </c>
      <c r="Z103" s="118">
        <f ca="1">[1]!ldf(D$5:D$27, $A$5:$A$27, $W103, $A$27, 3)</f>
        <v>1.0216855786271153</v>
      </c>
      <c r="AA103" s="118">
        <f ca="1">[1]!ldf(E$5:E$27, $A$5:$A$27, $W103, $A$27, 3)</f>
        <v>1.0140626083333828</v>
      </c>
      <c r="AB103" s="118">
        <f ca="1">[1]!ldf(F$5:F$27, $A$5:$A$27, $W103, $A$27, 3)</f>
        <v>1.0090545746999535</v>
      </c>
      <c r="AC103" s="118">
        <f ca="1">[1]!ldf(G$5:G$27, $A$5:$A$27, $W103, $A$27, 3)</f>
        <v>1.0600628718238569</v>
      </c>
      <c r="AD103" s="118">
        <f ca="1">[1]!ldf(H$5:H$27, $A$5:$A$27, $W103, $A$27, 3)</f>
        <v>1.0482738552521007</v>
      </c>
      <c r="AE103" s="118">
        <f ca="1">[1]!ldf(I$5:I$27, $A$5:$A$27, $W103, $A$27, 3)</f>
        <v>1.0438688527116744</v>
      </c>
      <c r="AF103" s="118">
        <f ca="1">[1]!ldf(J$5:J$27, $A$5:$A$27, $W103, $A$27, 3)</f>
        <v>1.0301875223587018</v>
      </c>
      <c r="AG103" s="118">
        <f ca="1">[1]!ldf(K$5:K$27, $A$5:$A$27, $W103, $A$27, 3)</f>
        <v>1.0200314156741195</v>
      </c>
      <c r="AH103" s="118">
        <f ca="1">[1]!ldf(L$5:L$27, $A$5:$A$27, $W103, $A$27, 3)</f>
        <v>1</v>
      </c>
      <c r="AI103" s="118">
        <f ca="1">[1]!ldf(M$5:M$27, $A$5:$A$27, $W103, $A$27, 3)</f>
        <v>1.2202391514763109</v>
      </c>
      <c r="AJ103" s="118">
        <f ca="1">[1]!ldf(N$5:N$27, $A$5:$A$27, $W103, $A$27, 3)</f>
        <v>1.2074095083052694</v>
      </c>
      <c r="AK103" s="118">
        <f ca="1">[1]!ldf(O$5:O$27, $A$5:$A$27, $W103, $A$27, 3)</f>
        <v>1.234840670231568</v>
      </c>
      <c r="AL103" s="118">
        <f ca="1">[1]!ldf(P$5:P$27, $A$5:$A$27, $W103, $A$27, 3)</f>
        <v>1.192262852272741</v>
      </c>
      <c r="AM103" s="118">
        <f ca="1">[1]!ldf(Q$5:Q$27, $A$5:$A$27, $W103, $A$27, 3)</f>
        <v>1.2425051809016756</v>
      </c>
      <c r="AN103" s="118">
        <f ca="1">[1]!ldf(R$5:R$27, $A$5:$A$27, $W103, $A$27, 3)</f>
        <v>1.2318884293138834</v>
      </c>
      <c r="AO103" s="118">
        <f ca="1">[1]!ldf(S$5:S$27, $A$5:$A$27, $W103, $A$27, 3)</f>
        <v>1.3077944736866622</v>
      </c>
      <c r="AP103" s="118">
        <f ca="1">[1]!ldf(T$5:T$27, $A$5:$A$27, $W103, $A$27, 3)</f>
        <v>1.2801293054460907</v>
      </c>
    </row>
    <row r="104" spans="22:42" ht="12.75" customHeight="1" x14ac:dyDescent="0.2">
      <c r="V104" s="145">
        <f t="shared" si="70"/>
        <v>4</v>
      </c>
      <c r="W104" s="3">
        <f>SMALL(ages, SUM($V$5:V104))</f>
        <v>199</v>
      </c>
      <c r="X104" s="118">
        <f ca="1">[1]!ldf(B$5:B$27, $A$5:$A$27, $W104, $A$27, 3)</f>
        <v>1.037773632806116</v>
      </c>
      <c r="Y104" s="118">
        <f ca="1">[1]!ldf(C$5:C$27, $A$5:$A$27, $W104, $A$27, 3)</f>
        <v>1.0244135476680942</v>
      </c>
      <c r="Z104" s="118">
        <f ca="1">[1]!ldf(D$5:D$27, $A$5:$A$27, $W104, $A$27, 3)</f>
        <v>1.0210061504032959</v>
      </c>
      <c r="AA104" s="118">
        <f ca="1">[1]!ldf(E$5:E$27, $A$5:$A$27, $W104, $A$27, 3)</f>
        <v>1.0135698370677138</v>
      </c>
      <c r="AB104" s="118">
        <f ca="1">[1]!ldf(F$5:F$27, $A$5:$A$27, $W104, $A$27, 3)</f>
        <v>1.0086914060019649</v>
      </c>
      <c r="AC104" s="118">
        <f ca="1">[1]!ldf(G$5:G$27, $A$5:$A$27, $W104, $A$27, 3)</f>
        <v>1.0582867529855606</v>
      </c>
      <c r="AD104" s="118">
        <f ca="1">[1]!ldf(H$5:H$27, $A$5:$A$27, $W104, $A$27, 3)</f>
        <v>1.0467458399424621</v>
      </c>
      <c r="AE104" s="118">
        <f ca="1">[1]!ldf(I$5:I$27, $A$5:$A$27, $W104, $A$27, 3)</f>
        <v>1.0424383723016717</v>
      </c>
      <c r="AF104" s="118">
        <f ca="1">[1]!ldf(J$5:J$27, $A$5:$A$27, $W104, $A$27, 3)</f>
        <v>1.0290781993692373</v>
      </c>
      <c r="AG104" s="118">
        <f ca="1">[1]!ldf(K$5:K$27, $A$5:$A$27, $W104, $A$27, 3)</f>
        <v>1.0191738387507183</v>
      </c>
      <c r="AH104" s="118">
        <f ca="1">[1]!ldf(L$5:L$27, $A$5:$A$27, $W104, $A$27, 3)</f>
        <v>1</v>
      </c>
      <c r="AI104" s="118">
        <f ca="1">[1]!ldf(M$5:M$27, $A$5:$A$27, $W104, $A$27, 3)</f>
        <v>1.2173327078785503</v>
      </c>
      <c r="AJ104" s="118">
        <f ca="1">[1]!ldf(N$5:N$27, $A$5:$A$27, $W104, $A$27, 3)</f>
        <v>1.2031219253649639</v>
      </c>
      <c r="AK104" s="118">
        <f ca="1">[1]!ldf(O$5:O$27, $A$5:$A$27, $W104, $A$27, 3)</f>
        <v>1.2295548816332615</v>
      </c>
      <c r="AL104" s="118">
        <f ca="1">[1]!ldf(P$5:P$27, $A$5:$A$27, $W104, $A$27, 3)</f>
        <v>1.1877860857678781</v>
      </c>
      <c r="AM104" s="118">
        <f ca="1">[1]!ldf(Q$5:Q$27, $A$5:$A$27, $W104, $A$27, 3)</f>
        <v>1.2362478445197458</v>
      </c>
      <c r="AN104" s="118">
        <f ca="1">[1]!ldf(R$5:R$27, $A$5:$A$27, $W104, $A$27, 3)</f>
        <v>1.2258484923045965</v>
      </c>
      <c r="AO104" s="118">
        <f ca="1">[1]!ldf(S$5:S$27, $A$5:$A$27, $W104, $A$27, 3)</f>
        <v>1.2991444035162381</v>
      </c>
      <c r="AP104" s="118">
        <f ca="1">[1]!ldf(T$5:T$27, $A$5:$A$27, $W104, $A$27, 3)</f>
        <v>1.2721384815236427</v>
      </c>
    </row>
    <row r="105" spans="22:42" ht="12.75" customHeight="1" x14ac:dyDescent="0.2">
      <c r="V105" s="145">
        <f t="shared" si="70"/>
        <v>3</v>
      </c>
      <c r="W105" s="3">
        <f>SMALL(ages, SUM($V$5:V105))</f>
        <v>201</v>
      </c>
      <c r="X105" s="118">
        <f ca="1">[1]!ldf(B$5:B$27, $A$5:$A$27, $W105, $A$27, 3)</f>
        <v>1.0371559394206242</v>
      </c>
      <c r="Y105" s="118">
        <f ca="1">[1]!ldf(C$5:C$27, $A$5:$A$27, $W105, $A$27, 3)</f>
        <v>1.0238692844879049</v>
      </c>
      <c r="Z105" s="118">
        <f ca="1">[1]!ldf(D$5:D$27, $A$5:$A$27, $W105, $A$27, 3)</f>
        <v>1.020565185082396</v>
      </c>
      <c r="AA105" s="118">
        <f ca="1">[1]!ldf(E$5:E$27, $A$5:$A$27, $W105, $A$27, 3)</f>
        <v>1.0132510164351045</v>
      </c>
      <c r="AB105" s="118">
        <f ca="1">[1]!ldf(F$5:F$27, $A$5:$A$27, $W105, $A$27, 3)</f>
        <v>1.0084574564951745</v>
      </c>
      <c r="AC105" s="118">
        <f ca="1">[1]!ldf(G$5:G$27, $A$5:$A$27, $W105, $A$27, 3)</f>
        <v>1.0571327313510723</v>
      </c>
      <c r="AD105" s="118">
        <f ca="1">[1]!ldf(H$5:H$27, $A$5:$A$27, $W105, $A$27, 3)</f>
        <v>1.0457547132107949</v>
      </c>
      <c r="AE105" s="118">
        <f ca="1">[1]!ldf(I$5:I$27, $A$5:$A$27, $W105, $A$27, 3)</f>
        <v>1.0415112415591221</v>
      </c>
      <c r="AF105" s="118">
        <f ca="1">[1]!ldf(J$5:J$27, $A$5:$A$27, $W105, $A$27, 3)</f>
        <v>1.0283617033144441</v>
      </c>
      <c r="AG105" s="118">
        <f ca="1">[1]!ldf(K$5:K$27, $A$5:$A$27, $W105, $A$27, 3)</f>
        <v>1.018622802613153</v>
      </c>
      <c r="AH105" s="118">
        <f ca="1">[1]!ldf(L$5:L$27, $A$5:$A$27, $W105, $A$27, 3)</f>
        <v>1</v>
      </c>
      <c r="AI105" s="118">
        <f ca="1">[1]!ldf(M$5:M$27, $A$5:$A$27, $W105, $A$27, 3)</f>
        <v>1.2154182429917828</v>
      </c>
      <c r="AJ105" s="118">
        <f ca="1">[1]!ldf(N$5:N$27, $A$5:$A$27, $W105, $A$27, 3)</f>
        <v>1.2003168662368777</v>
      </c>
      <c r="AK105" s="118">
        <f ca="1">[1]!ldf(O$5:O$27, $A$5:$A$27, $W105, $A$27, 3)</f>
        <v>1.2261031549173438</v>
      </c>
      <c r="AL105" s="118">
        <f ca="1">[1]!ldf(P$5:P$27, $A$5:$A$27, $W105, $A$27, 3)</f>
        <v>1.1848640171304217</v>
      </c>
      <c r="AM105" s="118">
        <f ca="1">[1]!ldf(Q$5:Q$27, $A$5:$A$27, $W105, $A$27, 3)</f>
        <v>1.2321743729875256</v>
      </c>
      <c r="AN105" s="118">
        <f ca="1">[1]!ldf(R$5:R$27, $A$5:$A$27, $W105, $A$27, 3)</f>
        <v>1.2219171691556785</v>
      </c>
      <c r="AO105" s="118">
        <f ca="1">[1]!ldf(S$5:S$27, $A$5:$A$27, $W105, $A$27, 3)</f>
        <v>1.293527758600433</v>
      </c>
      <c r="AP105" s="118">
        <f ca="1">[1]!ldf(T$5:T$27, $A$5:$A$27, $W105, $A$27, 3)</f>
        <v>1.266951059914363</v>
      </c>
    </row>
    <row r="106" spans="22:42" ht="12.75" customHeight="1" x14ac:dyDescent="0.2">
      <c r="V106" s="145">
        <f t="shared" si="70"/>
        <v>2</v>
      </c>
      <c r="W106" s="3">
        <f>SMALL(ages, SUM($V$5:V106))</f>
        <v>204</v>
      </c>
      <c r="X106" s="118">
        <f ca="1">[1]!ldf(B$5:B$27, $A$5:$A$27, $W106, $A$27, 3)</f>
        <v>1.0362486146364904</v>
      </c>
      <c r="Y106" s="118">
        <f ca="1">[1]!ldf(C$5:C$27, $A$5:$A$27, $W106, $A$27, 3)</f>
        <v>1.0230758096585728</v>
      </c>
      <c r="Z106" s="118">
        <f ca="1">[1]!ldf(D$5:D$27, $A$5:$A$27, $W106, $A$27, 3)</f>
        <v>1.0199212009725269</v>
      </c>
      <c r="AA106" s="118">
        <f ca="1">[1]!ldf(E$5:E$27, $A$5:$A$27, $W106, $A$27, 3)</f>
        <v>1.0127868633190751</v>
      </c>
      <c r="AB106" s="118">
        <f ca="1">[1]!ldf(F$5:F$27, $A$5:$A$27, $W106, $A$27, 3)</f>
        <v>1.0081183337586399</v>
      </c>
      <c r="AC106" s="118">
        <f ca="1">[1]!ldf(G$5:G$27, $A$5:$A$27, $W106, $A$27, 3)</f>
        <v>1.0554455069753375</v>
      </c>
      <c r="AD106" s="118">
        <f ca="1">[1]!ldf(H$5:H$27, $A$5:$A$27, $W106, $A$27, 3)</f>
        <v>1.0443081105504144</v>
      </c>
      <c r="AE106" s="118">
        <f ca="1">[1]!ldf(I$5:I$27, $A$5:$A$27, $W106, $A$27, 3)</f>
        <v>1.040159108374157</v>
      </c>
      <c r="AF106" s="118">
        <f ca="1">[1]!ldf(J$5:J$27, $A$5:$A$27, $W106, $A$27, 3)</f>
        <v>1.0273203611294961</v>
      </c>
      <c r="AG106" s="118">
        <f ca="1">[1]!ldf(K$5:K$27, $A$5:$A$27, $W106, $A$27, 3)</f>
        <v>1.017826056254413</v>
      </c>
      <c r="AH106" s="118">
        <f ca="1">[1]!ldf(L$5:L$27, $A$5:$A$27, $W106, $A$27, 3)</f>
        <v>1</v>
      </c>
      <c r="AI106" s="118">
        <f ca="1">[1]!ldf(M$5:M$27, $A$5:$A$27, $W106, $A$27, 3)</f>
        <v>1.2125807894405078</v>
      </c>
      <c r="AJ106" s="118">
        <f ca="1">[1]!ldf(N$5:N$27, $A$5:$A$27, $W106, $A$27, 3)</f>
        <v>1.1961874779847395</v>
      </c>
      <c r="AK106" s="118">
        <f ca="1">[1]!ldf(O$5:O$27, $A$5:$A$27, $W106, $A$27, 3)</f>
        <v>1.2210310790764891</v>
      </c>
      <c r="AL106" s="118">
        <f ca="1">[1]!ldf(P$5:P$27, $A$5:$A$27, $W106, $A$27, 3)</f>
        <v>1.180572236704641</v>
      </c>
      <c r="AM106" s="118">
        <f ca="1">[1]!ldf(Q$5:Q$27, $A$5:$A$27, $W106, $A$27, 3)</f>
        <v>1.2262070964230729</v>
      </c>
      <c r="AN106" s="118">
        <f ca="1">[1]!ldf(R$5:R$27, $A$5:$A$27, $W106, $A$27, 3)</f>
        <v>1.2161590440941854</v>
      </c>
      <c r="AO106" s="118">
        <f ca="1">[1]!ldf(S$5:S$27, $A$5:$A$27, $W106, $A$27, 3)</f>
        <v>1.2853206687487206</v>
      </c>
      <c r="AP106" s="118">
        <f ca="1">[1]!ldf(T$5:T$27, $A$5:$A$27, $W106, $A$27, 3)</f>
        <v>1.2593728777244793</v>
      </c>
    </row>
    <row r="107" spans="22:42" ht="12.75" customHeight="1" x14ac:dyDescent="0.2">
      <c r="V107" s="145">
        <f t="shared" si="70"/>
        <v>1</v>
      </c>
      <c r="W107" s="3">
        <f>SMALL(ages, SUM($V$5:V107))</f>
        <v>205</v>
      </c>
      <c r="X107" s="118">
        <f ca="1">[1]!ldf(B$5:B$27, $A$5:$A$27, $W107, $A$27, 3)</f>
        <v>1.0359512089861054</v>
      </c>
      <c r="Y107" s="118">
        <f ca="1">[1]!ldf(C$5:C$27, $A$5:$A$27, $W107, $A$27, 3)</f>
        <v>1.0228437875556831</v>
      </c>
      <c r="Z107" s="118">
        <f ca="1">[1]!ldf(D$5:D$27, $A$5:$A$27, $W107, $A$27, 3)</f>
        <v>1.0197110959628561</v>
      </c>
      <c r="AA107" s="118">
        <f ca="1">[1]!ldf(E$5:E$27, $A$5:$A$27, $W107, $A$27, 3)</f>
        <v>1.0126358097580379</v>
      </c>
      <c r="AB107" s="118">
        <f ca="1">[1]!ldf(F$5:F$27, $A$5:$A$27, $W107, $A$27, 3)</f>
        <v>1.0080083540952296</v>
      </c>
      <c r="AC107" s="118">
        <f ca="1">[1]!ldf(G$5:G$27, $A$5:$A$27, $W107, $A$27, 3)</f>
        <v>1.0548945319942051</v>
      </c>
      <c r="AD107" s="118">
        <f ca="1">[1]!ldf(H$5:H$27, $A$5:$A$27, $W107, $A$27, 3)</f>
        <v>1.0438348061851239</v>
      </c>
      <c r="AE107" s="118">
        <f ca="1">[1]!ldf(I$5:I$27, $A$5:$A$27, $W107, $A$27, 3)</f>
        <v>1.039718443254336</v>
      </c>
      <c r="AF107" s="118">
        <f ca="1">[1]!ldf(J$5:J$27, $A$5:$A$27, $W107, $A$27, 3)</f>
        <v>1.026981925951244</v>
      </c>
      <c r="AG107" s="118">
        <f ca="1">[1]!ldf(K$5:K$27, $A$5:$A$27, $W107, $A$27, 3)</f>
        <v>1.0175681882521737</v>
      </c>
      <c r="AH107" s="118">
        <f ca="1">[1]!ldf(L$5:L$27, $A$5:$A$27, $W107, $A$27, 3)</f>
        <v>1</v>
      </c>
      <c r="AI107" s="118">
        <f ca="1">[1]!ldf(M$5:M$27, $A$5:$A$27, $W107, $A$27, 3)</f>
        <v>1.2110478739163391</v>
      </c>
      <c r="AJ107" s="118">
        <f ca="1">[1]!ldf(N$5:N$27, $A$5:$A$27, $W107, $A$27, 3)</f>
        <v>1.1947945797146446</v>
      </c>
      <c r="AK107" s="118">
        <f ca="1">[1]!ldf(O$5:O$27, $A$5:$A$27, $W107, $A$27, 3)</f>
        <v>1.2193476023813949</v>
      </c>
      <c r="AL107" s="118">
        <f ca="1">[1]!ldf(P$5:P$27, $A$5:$A$27, $W107, $A$27, 3)</f>
        <v>1.179150383760518</v>
      </c>
      <c r="AM107" s="118">
        <f ca="1">[1]!ldf(Q$5:Q$27, $A$5:$A$27, $W107, $A$27, 3)</f>
        <v>1.2242670358177192</v>
      </c>
      <c r="AN107" s="118">
        <f ca="1">[1]!ldf(R$5:R$27, $A$5:$A$27, $W107, $A$27, 3)</f>
        <v>1.2142612199427669</v>
      </c>
      <c r="AO107" s="118">
        <f ca="1">[1]!ldf(S$5:S$27, $A$5:$A$27, $W107, $A$27, 3)</f>
        <v>1.2826209052811943</v>
      </c>
      <c r="AP107" s="118">
        <f ca="1">[1]!ldf(T$5:T$27, $A$5:$A$27, $W107, $A$27, 3)</f>
        <v>1.2568727549393786</v>
      </c>
    </row>
    <row r="108" spans="22:42" ht="12.75" customHeight="1" x14ac:dyDescent="0.2">
      <c r="V108" s="145">
        <f t="shared" si="70"/>
        <v>1</v>
      </c>
      <c r="W108" s="3">
        <f>SMALL(ages, SUM($V$5:V108))</f>
        <v>207</v>
      </c>
      <c r="X108" s="118">
        <f ca="1">[1]!ldf(B$5:B$27, $A$5:$A$27, $W108, $A$27, 3)</f>
        <v>1.035363821808879</v>
      </c>
      <c r="Y108" s="118">
        <f ca="1">[1]!ldf(C$5:C$27, $A$5:$A$27, $W108, $A$27, 3)</f>
        <v>1.0223867947226624</v>
      </c>
      <c r="Z108" s="118">
        <f ca="1">[1]!ldf(D$5:D$27, $A$5:$A$27, $W108, $A$27, 3)</f>
        <v>1.0192975728543467</v>
      </c>
      <c r="AA108" s="118">
        <f ca="1">[1]!ldf(E$5:E$27, $A$5:$A$27, $W108, $A$27, 3)</f>
        <v>1.0123390672429582</v>
      </c>
      <c r="AB108" s="118">
        <f ca="1">[1]!ldf(F$5:F$27, $A$5:$A$27, $W108, $A$27, 3)</f>
        <v>1.0077928614681224</v>
      </c>
      <c r="AC108" s="118">
        <f ca="1">[1]!ldf(G$5:G$27, $A$5:$A$27, $W108, $A$27, 3)</f>
        <v>1.0538093668501562</v>
      </c>
      <c r="AD108" s="118">
        <f ca="1">[1]!ldf(H$5:H$27, $A$5:$A$27, $W108, $A$27, 3)</f>
        <v>1.0429036194404682</v>
      </c>
      <c r="AE108" s="118">
        <f ca="1">[1]!ldf(I$5:I$27, $A$5:$A$27, $W108, $A$27, 3)</f>
        <v>1.0388518344222903</v>
      </c>
      <c r="AF108" s="118">
        <f ca="1">[1]!ldf(J$5:J$27, $A$5:$A$27, $W108, $A$27, 3)</f>
        <v>1.0263177406671307</v>
      </c>
      <c r="AG108" s="118">
        <f ca="1">[1]!ldf(K$5:K$27, $A$5:$A$27, $W108, $A$27, 3)</f>
        <v>1.0170636821758179</v>
      </c>
      <c r="AH108" s="118">
        <f ca="1">[1]!ldf(L$5:L$27, $A$5:$A$27, $W108, $A$27, 3)</f>
        <v>1</v>
      </c>
      <c r="AI108" s="118">
        <f ca="1">[1]!ldf(M$5:M$27, $A$5:$A$27, $W108, $A$27, 3)</f>
        <v>1.208017873714871</v>
      </c>
      <c r="AJ108" s="118">
        <f ca="1">[1]!ldf(N$5:N$27, $A$5:$A$27, $W108, $A$27, 3)</f>
        <v>1.1920406879865688</v>
      </c>
      <c r="AK108" s="118">
        <f ca="1">[1]!ldf(O$5:O$27, $A$5:$A$27, $W108, $A$27, 3)</f>
        <v>1.216022302366164</v>
      </c>
      <c r="AL108" s="118">
        <f ca="1">[1]!ldf(P$5:P$27, $A$5:$A$27, $W108, $A$27, 3)</f>
        <v>1.1763426122843557</v>
      </c>
      <c r="AM108" s="118">
        <f ca="1">[1]!ldf(Q$5:Q$27, $A$5:$A$27, $W108, $A$27, 3)</f>
        <v>1.2204410158210923</v>
      </c>
      <c r="AN108" s="118">
        <f ca="1">[1]!ldf(R$5:R$27, $A$5:$A$27, $W108, $A$27, 3)</f>
        <v>1.2105195907363544</v>
      </c>
      <c r="AO108" s="118">
        <f ca="1">[1]!ldf(S$5:S$27, $A$5:$A$27, $W108, $A$27, 3)</f>
        <v>1.277305683112965</v>
      </c>
      <c r="AP108" s="118">
        <f ca="1">[1]!ldf(T$5:T$27, $A$5:$A$27, $W108, $A$27, 3)</f>
        <v>1.2519515161838479</v>
      </c>
    </row>
    <row r="109" spans="22:42" ht="12.75" customHeight="1" x14ac:dyDescent="0.2">
      <c r="V109" s="145">
        <f t="shared" si="70"/>
        <v>1</v>
      </c>
      <c r="W109" s="3">
        <f>SMALL(ages, SUM($V$5:V109))</f>
        <v>208</v>
      </c>
      <c r="X109" s="118">
        <f ca="1">[1]!ldf(B$5:B$27, $A$5:$A$27, $W109, $A$27, 3)</f>
        <v>1.0350737977074662</v>
      </c>
      <c r="Y109" s="118">
        <f ca="1">[1]!ldf(C$5:C$27, $A$5:$A$27, $W109, $A$27, 3)</f>
        <v>1.022161775283595</v>
      </c>
      <c r="Z109" s="118">
        <f ca="1">[1]!ldf(D$5:D$27, $A$5:$A$27, $W109, $A$27, 3)</f>
        <v>1.0190941065099401</v>
      </c>
      <c r="AA109" s="118">
        <f ca="1">[1]!ldf(E$5:E$27, $A$5:$A$27, $W109, $A$27, 3)</f>
        <v>1.0121933353614605</v>
      </c>
      <c r="AB109" s="118">
        <f ca="1">[1]!ldf(F$5:F$27, $A$5:$A$27, $W109, $A$27, 3)</f>
        <v>1.00768730779243</v>
      </c>
      <c r="AC109" s="118">
        <f ca="1">[1]!ldf(G$5:G$27, $A$5:$A$27, $W109, $A$27, 3)</f>
        <v>1.0532750575089058</v>
      </c>
      <c r="AD109" s="118">
        <f ca="1">[1]!ldf(H$5:H$27, $A$5:$A$27, $W109, $A$27, 3)</f>
        <v>1.0424456208860193</v>
      </c>
      <c r="AE109" s="118">
        <f ca="1">[1]!ldf(I$5:I$27, $A$5:$A$27, $W109, $A$27, 3)</f>
        <v>1.0384257773657664</v>
      </c>
      <c r="AF109" s="118">
        <f ca="1">[1]!ldf(J$5:J$27, $A$5:$A$27, $W109, $A$27, 3)</f>
        <v>1.0259918820849809</v>
      </c>
      <c r="AG109" s="118">
        <f ca="1">[1]!ldf(K$5:K$27, $A$5:$A$27, $W109, $A$27, 3)</f>
        <v>1.0168169333869523</v>
      </c>
      <c r="AH109" s="118">
        <f ca="1">[1]!ldf(L$5:L$27, $A$5:$A$27, $W109, $A$27, 3)</f>
        <v>1</v>
      </c>
      <c r="AI109" s="118">
        <f ca="1">[1]!ldf(M$5:M$27, $A$5:$A$27, $W109, $A$27, 3)</f>
        <v>1.2065205779497767</v>
      </c>
      <c r="AJ109" s="118">
        <f ca="1">[1]!ldf(N$5:N$27, $A$5:$A$27, $W109, $A$27, 3)</f>
        <v>1.1906795114011943</v>
      </c>
      <c r="AK109" s="118">
        <f ca="1">[1]!ldf(O$5:O$27, $A$5:$A$27, $W109, $A$27, 3)</f>
        <v>1.2143802185741925</v>
      </c>
      <c r="AL109" s="118">
        <f ca="1">[1]!ldf(P$5:P$27, $A$5:$A$27, $W109, $A$27, 3)</f>
        <v>1.1749564675408644</v>
      </c>
      <c r="AM109" s="118">
        <f ca="1">[1]!ldf(Q$5:Q$27, $A$5:$A$27, $W109, $A$27, 3)</f>
        <v>1.2185546745489979</v>
      </c>
      <c r="AN109" s="118">
        <f ca="1">[1]!ldf(R$5:R$27, $A$5:$A$27, $W109, $A$27, 3)</f>
        <v>1.208675397779174</v>
      </c>
      <c r="AO109" s="118">
        <f ca="1">[1]!ldf(S$5:S$27, $A$5:$A$27, $W109, $A$27, 3)</f>
        <v>1.2746895468307826</v>
      </c>
      <c r="AP109" s="118">
        <f ca="1">[1]!ldf(T$5:T$27, $A$5:$A$27, $W109, $A$27, 3)</f>
        <v>1.2495297620421524</v>
      </c>
    </row>
    <row r="110" spans="22:42" ht="12.75" customHeight="1" x14ac:dyDescent="0.2">
      <c r="V110" s="145">
        <f t="shared" si="70"/>
        <v>4</v>
      </c>
      <c r="W110" s="3">
        <f>SMALL(ages, SUM($V$5:V110))</f>
        <v>211</v>
      </c>
      <c r="X110" s="118">
        <f ca="1">[1]!ldf(B$5:B$27, $A$5:$A$27, $W110, $A$27, 3)</f>
        <v>1.0342181519606386</v>
      </c>
      <c r="Y110" s="118">
        <f ca="1">[1]!ldf(C$5:C$27, $A$5:$A$27, $W110, $A$27, 3)</f>
        <v>1.021500338109169</v>
      </c>
      <c r="Z110" s="118">
        <f ca="1">[1]!ldf(D$5:D$27, $A$5:$A$27, $W110, $A$27, 3)</f>
        <v>1.018496604491367</v>
      </c>
      <c r="AA110" s="118">
        <f ca="1">[1]!ldf(E$5:E$27, $A$5:$A$27, $W110, $A$27, 3)</f>
        <v>1.011766445166381</v>
      </c>
      <c r="AB110" s="118">
        <f ca="1">[1]!ldf(F$5:F$27, $A$5:$A$27, $W110, $A$27, 3)</f>
        <v>1.007379178947134</v>
      </c>
      <c r="AC110" s="118">
        <f ca="1">[1]!ldf(G$5:G$27, $A$5:$A$27, $W110, $A$27, 3)</f>
        <v>1.0517045216840899</v>
      </c>
      <c r="AD110" s="118">
        <f ca="1">[1]!ldf(H$5:H$27, $A$5:$A$27, $W110, $A$27, 3)</f>
        <v>1.0411013220988583</v>
      </c>
      <c r="AE110" s="118">
        <f ca="1">[1]!ldf(I$5:I$27, $A$5:$A$27, $W110, $A$27, 3)</f>
        <v>1.0371759301097883</v>
      </c>
      <c r="AF110" s="118">
        <f ca="1">[1]!ldf(J$5:J$27, $A$5:$A$27, $W110, $A$27, 3)</f>
        <v>1.0250386069173203</v>
      </c>
      <c r="AG110" s="118">
        <f ca="1">[1]!ldf(K$5:K$27, $A$5:$A$27, $W110, $A$27, 3)</f>
        <v>1.016098057352897</v>
      </c>
      <c r="AH110" s="118">
        <f ca="1">[1]!ldf(L$5:L$27, $A$5:$A$27, $W110, $A$27, 3)</f>
        <v>1</v>
      </c>
      <c r="AI110" s="118">
        <f ca="1">[1]!ldf(M$5:M$27, $A$5:$A$27, $W110, $A$27, 3)</f>
        <v>1.2020982643951934</v>
      </c>
      <c r="AJ110" s="118">
        <f ca="1">[1]!ldf(N$5:N$27, $A$5:$A$27, $W110, $A$27, 3)</f>
        <v>1.1866579792922702</v>
      </c>
      <c r="AK110" s="118">
        <f ca="1">[1]!ldf(O$5:O$27, $A$5:$A$27, $W110, $A$27, 3)</f>
        <v>1.2095346993041336</v>
      </c>
      <c r="AL110" s="118">
        <f ca="1">[1]!ldf(P$5:P$27, $A$5:$A$27, $W110, $A$27, 3)</f>
        <v>1.1708676660230011</v>
      </c>
      <c r="AM110" s="118">
        <f ca="1">[1]!ldf(Q$5:Q$27, $A$5:$A$27, $W110, $A$27, 3)</f>
        <v>1.2130000841326232</v>
      </c>
      <c r="AN110" s="118">
        <f ca="1">[1]!ldf(R$5:R$27, $A$5:$A$27, $W110, $A$27, 3)</f>
        <v>1.2032470293919413</v>
      </c>
      <c r="AO110" s="118">
        <f ca="1">[1]!ldf(S$5:S$27, $A$5:$A$27, $W110, $A$27, 3)</f>
        <v>1.2670030732194038</v>
      </c>
      <c r="AP110" s="118">
        <f ca="1">[1]!ldf(T$5:T$27, $A$5:$A$27, $W110, $A$27, 3)</f>
        <v>1.2424162272300132</v>
      </c>
    </row>
    <row r="111" spans="22:42" ht="12.75" customHeight="1" x14ac:dyDescent="0.2">
      <c r="V111" s="145">
        <f t="shared" si="70"/>
        <v>2</v>
      </c>
      <c r="W111" s="3">
        <f>SMALL(ages, SUM($V$5:V111))</f>
        <v>213</v>
      </c>
      <c r="X111" s="118">
        <f ca="1">[1]!ldf(B$5:B$27, $A$5:$A$27, $W111, $A$27, 3)</f>
        <v>1.0336595378949458</v>
      </c>
      <c r="Y111" s="118">
        <f ca="1">[1]!ldf(C$5:C$27, $A$5:$A$27, $W111, $A$27, 3)</f>
        <v>1.0210704970903284</v>
      </c>
      <c r="Z111" s="118">
        <f ca="1">[1]!ldf(D$5:D$27, $A$5:$A$27, $W111, $A$27, 3)</f>
        <v>1.0181087860691085</v>
      </c>
      <c r="AA111" s="118">
        <f ca="1">[1]!ldf(E$5:E$27, $A$5:$A$27, $W111, $A$27, 3)</f>
        <v>1.011490234659236</v>
      </c>
      <c r="AB111" s="118">
        <f ca="1">[1]!ldf(F$5:F$27, $A$5:$A$27, $W111, $A$27, 3)</f>
        <v>1.0071806767047637</v>
      </c>
      <c r="AC111" s="118">
        <f ca="1">[1]!ldf(G$5:G$27, $A$5:$A$27, $W111, $A$27, 3)</f>
        <v>1.0506839207098266</v>
      </c>
      <c r="AD111" s="118">
        <f ca="1">[1]!ldf(H$5:H$27, $A$5:$A$27, $W111, $A$27, 3)</f>
        <v>1.040229315264918</v>
      </c>
      <c r="AE111" s="118">
        <f ca="1">[1]!ldf(I$5:I$27, $A$5:$A$27, $W111, $A$27, 3)</f>
        <v>1.0363657607774743</v>
      </c>
      <c r="AF111" s="118">
        <f ca="1">[1]!ldf(J$5:J$27, $A$5:$A$27, $W111, $A$27, 3)</f>
        <v>1.0244228250030982</v>
      </c>
      <c r="AG111" s="118">
        <f ca="1">[1]!ldf(K$5:K$27, $A$5:$A$27, $W111, $A$27, 3)</f>
        <v>1.0156360926886017</v>
      </c>
      <c r="AH111" s="118">
        <f ca="1">[1]!ldf(L$5:L$27, $A$5:$A$27, $W111, $A$27, 3)</f>
        <v>1</v>
      </c>
      <c r="AI111" s="118">
        <f ca="1">[1]!ldf(M$5:M$27, $A$5:$A$27, $W111, $A$27, 3)</f>
        <v>1.1992070184934946</v>
      </c>
      <c r="AJ111" s="118">
        <f ca="1">[1]!ldf(N$5:N$27, $A$5:$A$27, $W111, $A$27, 3)</f>
        <v>1.1840277410216957</v>
      </c>
      <c r="AK111" s="118">
        <f ca="1">[1]!ldf(O$5:O$27, $A$5:$A$27, $W111, $A$27, 3)</f>
        <v>1.2063703805530568</v>
      </c>
      <c r="AL111" s="118">
        <f ca="1">[1]!ldf(P$5:P$27, $A$5:$A$27, $W111, $A$27, 3)</f>
        <v>1.1681987404057126</v>
      </c>
      <c r="AM111" s="118">
        <f ca="1">[1]!ldf(Q$5:Q$27, $A$5:$A$27, $W111, $A$27, 3)</f>
        <v>1.2093822299238148</v>
      </c>
      <c r="AN111" s="118">
        <f ca="1">[1]!ldf(R$5:R$27, $A$5:$A$27, $W111, $A$27, 3)</f>
        <v>1.1997131100138287</v>
      </c>
      <c r="AO111" s="118">
        <f ca="1">[1]!ldf(S$5:S$27, $A$5:$A$27, $W111, $A$27, 3)</f>
        <v>1.2620104939418355</v>
      </c>
      <c r="AP111" s="118">
        <f ca="1">[1]!ldf(T$5:T$27, $A$5:$A$27, $W111, $A$27, 3)</f>
        <v>1.2377972876244929</v>
      </c>
    </row>
    <row r="112" spans="22:42" ht="12.75" customHeight="1" x14ac:dyDescent="0.2">
      <c r="V112" s="145">
        <f t="shared" si="70"/>
        <v>2</v>
      </c>
      <c r="W112" s="3">
        <f>SMALL(ages, SUM($V$5:V112))</f>
        <v>216</v>
      </c>
      <c r="X112" s="118">
        <f ca="1">[1]!ldf(B$5:B$27, $A$5:$A$27, $W112, $A$27, 3)</f>
        <v>1.0328389383972381</v>
      </c>
      <c r="Y112" s="118">
        <f ca="1">[1]!ldf(C$5:C$27, $A$5:$A$27, $W112, $A$27, 3)</f>
        <v>1.0204419547243728</v>
      </c>
      <c r="Z112" s="118">
        <f ca="1">[1]!ldf(D$5:D$27, $A$5:$A$27, $W112, $A$27, 3)</f>
        <v>1.0175423818501279</v>
      </c>
      <c r="AA112" s="118">
        <f ca="1">[1]!ldf(E$5:E$27, $A$5:$A$27, $W112, $A$27, 3)</f>
        <v>1.0110880947112384</v>
      </c>
      <c r="AB112" s="118">
        <f ca="1">[1]!ldf(F$5:F$27, $A$5:$A$27, $W112, $A$27, 3)</f>
        <v>1.006892924437552</v>
      </c>
      <c r="AC112" s="118">
        <f ca="1">[1]!ldf(G$5:G$27, $A$5:$A$27, $W112, $A$27, 3)</f>
        <v>1.0491915416179076</v>
      </c>
      <c r="AD112" s="118">
        <f ca="1">[1]!ldf(H$5:H$27, $A$5:$A$27, $W112, $A$27, 3)</f>
        <v>1.0389565132340761</v>
      </c>
      <c r="AE112" s="118">
        <f ca="1">[1]!ldf(I$5:I$27, $A$5:$A$27, $W112, $A$27, 3)</f>
        <v>1.0351840473707106</v>
      </c>
      <c r="AF112" s="118">
        <f ca="1">[1]!ldf(J$5:J$27, $A$5:$A$27, $W112, $A$27, 3)</f>
        <v>1.0235277539195837</v>
      </c>
      <c r="AG112" s="118">
        <f ca="1">[1]!ldf(K$5:K$27, $A$5:$A$27, $W112, $A$27, 3)</f>
        <v>1.0149680649568718</v>
      </c>
      <c r="AH112" s="118">
        <f ca="1">[1]!ldf(L$5:L$27, $A$5:$A$27, $W112, $A$27, 3)</f>
        <v>1</v>
      </c>
      <c r="AI112" s="118">
        <f ca="1">[1]!ldf(M$5:M$27, $A$5:$A$27, $W112, $A$27, 3)</f>
        <v>1.1949536111355157</v>
      </c>
      <c r="AJ112" s="118">
        <f ca="1">[1]!ldf(N$5:N$27, $A$5:$A$27, $W112, $A$27, 3)</f>
        <v>1.1801568345957334</v>
      </c>
      <c r="AK112" s="118">
        <f ca="1">[1]!ldf(O$5:O$27, $A$5:$A$27, $W112, $A$27, 3)</f>
        <v>1.2017205060643137</v>
      </c>
      <c r="AL112" s="118">
        <f ca="1">[1]!ldf(P$5:P$27, $A$5:$A$27, $W112, $A$27, 3)</f>
        <v>1.1642786475622215</v>
      </c>
      <c r="AM112" s="118">
        <f ca="1">[1]!ldf(Q$5:Q$27, $A$5:$A$27, $W112, $A$27, 3)</f>
        <v>1.20407971470723</v>
      </c>
      <c r="AN112" s="118">
        <f ca="1">[1]!ldf(R$5:R$27, $A$5:$A$27, $W112, $A$27, 3)</f>
        <v>1.1945361254163707</v>
      </c>
      <c r="AO112" s="118">
        <f ca="1">[1]!ldf(S$5:S$27, $A$5:$A$27, $W112, $A$27, 3)</f>
        <v>1.2547130137485596</v>
      </c>
      <c r="AP112" s="118">
        <f ca="1">[1]!ldf(T$5:T$27, $A$5:$A$27, $W112, $A$27, 3)</f>
        <v>1.2310481496398054</v>
      </c>
    </row>
    <row r="113" spans="22:42" ht="12.75" customHeight="1" x14ac:dyDescent="0.2">
      <c r="V113" s="145">
        <f t="shared" si="70"/>
        <v>1</v>
      </c>
      <c r="W113" s="3">
        <f>SMALL(ages, SUM($V$5:V113))</f>
        <v>217</v>
      </c>
      <c r="X113" s="118">
        <f ca="1">[1]!ldf(B$5:B$27, $A$5:$A$27, $W113, $A$27, 3)</f>
        <v>1.0325699453525068</v>
      </c>
      <c r="Y113" s="118">
        <f ca="1">[1]!ldf(C$5:C$27, $A$5:$A$27, $W113, $A$27, 3)</f>
        <v>1.0202366766095592</v>
      </c>
      <c r="Z113" s="118">
        <f ca="1">[1]!ldf(D$5:D$27, $A$5:$A$27, $W113, $A$27, 3)</f>
        <v>1.0173575787471807</v>
      </c>
      <c r="AA113" s="118">
        <f ca="1">[1]!ldf(E$5:E$27, $A$5:$A$27, $W113, $A$27, 3)</f>
        <v>1.010957217407054</v>
      </c>
      <c r="AB113" s="118">
        <f ca="1">[1]!ldf(F$5:F$27, $A$5:$A$27, $W113, $A$27, 3)</f>
        <v>1.0067996014179141</v>
      </c>
      <c r="AC113" s="118">
        <f ca="1">[1]!ldf(G$5:G$27, $A$5:$A$27, $W113, $A$27, 3)</f>
        <v>1.0487041378420969</v>
      </c>
      <c r="AD113" s="118">
        <f ca="1">[1]!ldf(H$5:H$27, $A$5:$A$27, $W113, $A$27, 3)</f>
        <v>1.0385414244814144</v>
      </c>
      <c r="AE113" s="118">
        <f ca="1">[1]!ldf(I$5:I$27, $A$5:$A$27, $W113, $A$27, 3)</f>
        <v>1.0347988822716874</v>
      </c>
      <c r="AF113" s="118">
        <f ca="1">[1]!ldf(J$5:J$27, $A$5:$A$27, $W113, $A$27, 3)</f>
        <v>1.0232368299037407</v>
      </c>
      <c r="AG113" s="118">
        <f ca="1">[1]!ldf(K$5:K$27, $A$5:$A$27, $W113, $A$27, 3)</f>
        <v>1.0147518390836252</v>
      </c>
      <c r="AH113" s="118">
        <f ca="1">[1]!ldf(L$5:L$27, $A$5:$A$27, $W113, $A$27, 3)</f>
        <v>1</v>
      </c>
      <c r="AI113" s="118">
        <f ca="1">[1]!ldf(M$5:M$27, $A$5:$A$27, $W113, $A$27, 3)</f>
        <v>1.1935086488236952</v>
      </c>
      <c r="AJ113" s="118">
        <f ca="1">[1]!ldf(N$5:N$27, $A$5:$A$27, $W113, $A$27, 3)</f>
        <v>1.1788544024001961</v>
      </c>
      <c r="AK113" s="118">
        <f ca="1">[1]!ldf(O$5:O$27, $A$5:$A$27, $W113, $A$27, 3)</f>
        <v>1.2001794366925358</v>
      </c>
      <c r="AL113" s="118">
        <f ca="1">[1]!ldf(P$5:P$27, $A$5:$A$27, $W113, $A$27, 3)</f>
        <v>1.1629817247888876</v>
      </c>
      <c r="AM113" s="118">
        <f ca="1">[1]!ldf(Q$5:Q$27, $A$5:$A$27, $W113, $A$27, 3)</f>
        <v>1.2023303932810689</v>
      </c>
      <c r="AN113" s="118">
        <f ca="1">[1]!ldf(R$5:R$27, $A$5:$A$27, $W113, $A$27, 3)</f>
        <v>1.1928308845844511</v>
      </c>
      <c r="AO113" s="118">
        <f ca="1">[1]!ldf(S$5:S$27, $A$5:$A$27, $W113, $A$27, 3)</f>
        <v>1.2523141471426575</v>
      </c>
      <c r="AP113" s="118">
        <f ca="1">[1]!ldf(T$5:T$27, $A$5:$A$27, $W113, $A$27, 3)</f>
        <v>1.2288247242080297</v>
      </c>
    </row>
    <row r="114" spans="22:42" ht="12.75" customHeight="1" x14ac:dyDescent="0.2">
      <c r="V114" s="145">
        <f t="shared" si="70"/>
        <v>1</v>
      </c>
      <c r="W114" s="3">
        <f>SMALL(ages, SUM($V$5:V114))</f>
        <v>219</v>
      </c>
      <c r="X114" s="118">
        <f ca="1">[1]!ldf(B$5:B$27, $A$5:$A$27, $W114, $A$27, 3)</f>
        <v>1.0320386531217238</v>
      </c>
      <c r="Y114" s="118">
        <f ca="1">[1]!ldf(C$5:C$27, $A$5:$A$27, $W114, $A$27, 3)</f>
        <v>1.0198323435886738</v>
      </c>
      <c r="Z114" s="118">
        <f ca="1">[1]!ldf(D$5:D$27, $A$5:$A$27, $W114, $A$27, 3)</f>
        <v>1.0169938410129715</v>
      </c>
      <c r="AA114" s="118">
        <f ca="1">[1]!ldf(E$5:E$27, $A$5:$A$27, $W114, $A$27, 3)</f>
        <v>1.0107001033426366</v>
      </c>
      <c r="AB114" s="118">
        <f ca="1">[1]!ldf(F$5:F$27, $A$5:$A$27, $W114, $A$27, 3)</f>
        <v>1.0066167411466673</v>
      </c>
      <c r="AC114" s="118">
        <f ca="1">[1]!ldf(G$5:G$27, $A$5:$A$27, $W114, $A$27, 3)</f>
        <v>1.0477440964798228</v>
      </c>
      <c r="AD114" s="118">
        <f ca="1">[1]!ldf(H$5:H$27, $A$5:$A$27, $W114, $A$27, 3)</f>
        <v>1.0377247069649267</v>
      </c>
      <c r="AE114" s="118">
        <f ca="1">[1]!ldf(I$5:I$27, $A$5:$A$27, $W114, $A$27, 3)</f>
        <v>1.0340413613830948</v>
      </c>
      <c r="AF114" s="118">
        <f ca="1">[1]!ldf(J$5:J$27, $A$5:$A$27, $W114, $A$27, 3)</f>
        <v>1.0226658479043749</v>
      </c>
      <c r="AG114" s="118">
        <f ca="1">[1]!ldf(K$5:K$27, $A$5:$A$27, $W114, $A$27, 3)</f>
        <v>1.0143287785642567</v>
      </c>
      <c r="AH114" s="118">
        <f ca="1">[1]!ldf(L$5:L$27, $A$5:$A$27, $W114, $A$27, 3)</f>
        <v>1</v>
      </c>
      <c r="AI114" s="118">
        <f ca="1">[1]!ldf(M$5:M$27, $A$5:$A$27, $W114, $A$27, 3)</f>
        <v>1.1906532574131981</v>
      </c>
      <c r="AJ114" s="118">
        <f ca="1">[1]!ldf(N$5:N$27, $A$5:$A$27, $W114, $A$27, 3)</f>
        <v>1.1762797656786124</v>
      </c>
      <c r="AK114" s="118">
        <f ca="1">[1]!ldf(O$5:O$27, $A$5:$A$27, $W114, $A$27, 3)</f>
        <v>1.1971353314491431</v>
      </c>
      <c r="AL114" s="118">
        <f ca="1">[1]!ldf(P$5:P$27, $A$5:$A$27, $W114, $A$27, 3)</f>
        <v>1.1604205734539872</v>
      </c>
      <c r="AM114" s="118">
        <f ca="1">[1]!ldf(Q$5:Q$27, $A$5:$A$27, $W114, $A$27, 3)</f>
        <v>1.1988801999349379</v>
      </c>
      <c r="AN114" s="118">
        <f ca="1">[1]!ldf(R$5:R$27, $A$5:$A$27, $W114, $A$27, 3)</f>
        <v>1.1894685592702872</v>
      </c>
      <c r="AO114" s="118">
        <f ca="1">[1]!ldf(S$5:S$27, $A$5:$A$27, $W114, $A$27, 3)</f>
        <v>1.2475904017212578</v>
      </c>
      <c r="AP114" s="118">
        <f ca="1">[1]!ldf(T$5:T$27, $A$5:$A$27, $W114, $A$27, 3)</f>
        <v>1.2244474954785223</v>
      </c>
    </row>
    <row r="115" spans="22:42" ht="12.75" customHeight="1" x14ac:dyDescent="0.2">
      <c r="V115" s="145">
        <f t="shared" si="70"/>
        <v>1</v>
      </c>
      <c r="W115" s="3">
        <f>SMALL(ages, SUM($V$5:V115))</f>
        <v>220</v>
      </c>
      <c r="X115" s="118">
        <f ca="1">[1]!ldf(B$5:B$27, $A$5:$A$27, $W115, $A$27, 3)</f>
        <v>1.0317763157731286</v>
      </c>
      <c r="Y115" s="118">
        <f ca="1">[1]!ldf(C$5:C$27, $A$5:$A$27, $W115, $A$27, 3)</f>
        <v>1.0196332458967821</v>
      </c>
      <c r="Z115" s="118">
        <f ca="1">[1]!ldf(D$5:D$27, $A$5:$A$27, $W115, $A$27, 3)</f>
        <v>1.016814864223001</v>
      </c>
      <c r="AA115" s="118">
        <f ca="1">[1]!ldf(E$5:E$27, $A$5:$A$27, $W115, $A$27, 3)</f>
        <v>1.0105738295654292</v>
      </c>
      <c r="AB115" s="118">
        <f ca="1">[1]!ldf(F$5:F$27, $A$5:$A$27, $W115, $A$27, 3)</f>
        <v>1.0065271694685793</v>
      </c>
      <c r="AC115" s="118">
        <f ca="1">[1]!ldf(G$5:G$27, $A$5:$A$27, $W115, $A$27, 3)</f>
        <v>1.0472713550969925</v>
      </c>
      <c r="AD115" s="118">
        <f ca="1">[1]!ldf(H$5:H$27, $A$5:$A$27, $W115, $A$27, 3)</f>
        <v>1.0373229777055413</v>
      </c>
      <c r="AE115" s="118">
        <f ca="1">[1]!ldf(I$5:I$27, $A$5:$A$27, $W115, $A$27, 3)</f>
        <v>1.0336689077955337</v>
      </c>
      <c r="AF115" s="118">
        <f ca="1">[1]!ldf(J$5:J$27, $A$5:$A$27, $W115, $A$27, 3)</f>
        <v>1.022385697617284</v>
      </c>
      <c r="AG115" s="118">
        <f ca="1">[1]!ldf(K$5:K$27, $A$5:$A$27, $W115, $A$27, 3)</f>
        <v>1.0141218518079127</v>
      </c>
      <c r="AH115" s="118">
        <f ca="1">[1]!ldf(L$5:L$27, $A$5:$A$27, $W115, $A$27, 3)</f>
        <v>1</v>
      </c>
      <c r="AI115" s="118">
        <f ca="1">[1]!ldf(M$5:M$27, $A$5:$A$27, $W115, $A$27, 3)</f>
        <v>1.1892426216045735</v>
      </c>
      <c r="AJ115" s="118">
        <f ca="1">[1]!ldf(N$5:N$27, $A$5:$A$27, $W115, $A$27, 3)</f>
        <v>1.1750073864216493</v>
      </c>
      <c r="AK115" s="118">
        <f ca="1">[1]!ldf(O$5:O$27, $A$5:$A$27, $W115, $A$27, 3)</f>
        <v>1.1956320599078571</v>
      </c>
      <c r="AL115" s="118">
        <f ca="1">[1]!ldf(P$5:P$27, $A$5:$A$27, $W115, $A$27, 3)</f>
        <v>1.1591561409505655</v>
      </c>
      <c r="AM115" s="118">
        <f ca="1">[1]!ldf(Q$5:Q$27, $A$5:$A$27, $W115, $A$27, 3)</f>
        <v>1.1971789908796571</v>
      </c>
      <c r="AN115" s="118">
        <f ca="1">[1]!ldf(R$5:R$27, $A$5:$A$27, $W115, $A$27, 3)</f>
        <v>1.1878111342915207</v>
      </c>
      <c r="AO115" s="118">
        <f ca="1">[1]!ldf(S$5:S$27, $A$5:$A$27, $W115, $A$27, 3)</f>
        <v>1.2452649403616032</v>
      </c>
      <c r="AP115" s="118">
        <f ca="1">[1]!ldf(T$5:T$27, $A$5:$A$27, $W115, $A$27, 3)</f>
        <v>1.2222931396035992</v>
      </c>
    </row>
    <row r="116" spans="22:42" ht="12.75" customHeight="1" x14ac:dyDescent="0.2">
      <c r="V116" s="145">
        <f t="shared" si="70"/>
        <v>4</v>
      </c>
      <c r="W116" s="3">
        <f>SMALL(ages, SUM($V$5:V116))</f>
        <v>223</v>
      </c>
      <c r="X116" s="118">
        <f ca="1">[1]!ldf(B$5:B$27, $A$5:$A$27, $W116, $A$27, 3)</f>
        <v>1.0310023134182018</v>
      </c>
      <c r="Y116" s="118">
        <f ca="1">[1]!ldf(C$5:C$27, $A$5:$A$27, $W116, $A$27, 3)</f>
        <v>1.0190479761588382</v>
      </c>
      <c r="Z116" s="118">
        <f ca="1">[1]!ldf(D$5:D$27, $A$5:$A$27, $W116, $A$27, 3)</f>
        <v>1.016289254106663</v>
      </c>
      <c r="AA116" s="118">
        <f ca="1">[1]!ldf(E$5:E$27, $A$5:$A$27, $W116, $A$27, 3)</f>
        <v>1.0102039238753855</v>
      </c>
      <c r="AB116" s="118">
        <f ca="1">[1]!ldf(F$5:F$27, $A$5:$A$27, $W116, $A$27, 3)</f>
        <v>1.0062656866748689</v>
      </c>
      <c r="AC116" s="118">
        <f ca="1">[1]!ldf(G$5:G$27, $A$5:$A$27, $W116, $A$27, 3)</f>
        <v>1.0458816376533544</v>
      </c>
      <c r="AD116" s="118">
        <f ca="1">[1]!ldf(H$5:H$27, $A$5:$A$27, $W116, $A$27, 3)</f>
        <v>1.0361437174368968</v>
      </c>
      <c r="AE116" s="118">
        <f ca="1">[1]!ldf(I$5:I$27, $A$5:$A$27, $W116, $A$27, 3)</f>
        <v>1.0325762000395451</v>
      </c>
      <c r="AF116" s="118">
        <f ca="1">[1]!ldf(J$5:J$27, $A$5:$A$27, $W116, $A$27, 3)</f>
        <v>1.02156606856347</v>
      </c>
      <c r="AG116" s="118">
        <f ca="1">[1]!ldf(K$5:K$27, $A$5:$A$27, $W116, $A$27, 3)</f>
        <v>1.0135189474147248</v>
      </c>
      <c r="AH116" s="118">
        <f ca="1">[1]!ldf(L$5:L$27, $A$5:$A$27, $W116, $A$27, 3)</f>
        <v>1</v>
      </c>
      <c r="AI116" s="118">
        <f ca="1">[1]!ldf(M$5:M$27, $A$5:$A$27, $W116, $A$27, 3)</f>
        <v>1.1850777362062928</v>
      </c>
      <c r="AJ116" s="118">
        <f ca="1">[1]!ldf(N$5:N$27, $A$5:$A$27, $W116, $A$27, 3)</f>
        <v>1.1712489751329591</v>
      </c>
      <c r="AK116" s="118">
        <f ca="1">[1]!ldf(O$5:O$27, $A$5:$A$27, $W116, $A$27, 3)</f>
        <v>1.1911959824224738</v>
      </c>
      <c r="AL116" s="118">
        <f ca="1">[1]!ldf(P$5:P$27, $A$5:$A$27, $W116, $A$27, 3)</f>
        <v>1.1554262155472559</v>
      </c>
      <c r="AM116" s="118">
        <f ca="1">[1]!ldf(Q$5:Q$27, $A$5:$A$27, $W116, $A$27, 3)</f>
        <v>1.1921689344701096</v>
      </c>
      <c r="AN116" s="118">
        <f ca="1">[1]!ldf(R$5:R$27, $A$5:$A$27, $W116, $A$27, 3)</f>
        <v>1.1829318111957161</v>
      </c>
      <c r="AO116" s="118">
        <f ca="1">[1]!ldf(S$5:S$27, $A$5:$A$27, $W116, $A$27, 3)</f>
        <v>1.2384307915232697</v>
      </c>
      <c r="AP116" s="118">
        <f ca="1">[1]!ldf(T$5:T$27, $A$5:$A$27, $W116, $A$27, 3)</f>
        <v>1.2159638714659462</v>
      </c>
    </row>
    <row r="117" spans="22:42" ht="12.75" customHeight="1" x14ac:dyDescent="0.2">
      <c r="V117" s="145">
        <f t="shared" si="70"/>
        <v>2</v>
      </c>
      <c r="W117" s="3">
        <f>SMALL(ages, SUM($V$5:V117))</f>
        <v>225</v>
      </c>
      <c r="X117" s="118">
        <f ca="1">[1]!ldf(B$5:B$27, $A$5:$A$27, $W117, $A$27, 3)</f>
        <v>1.0304969688109396</v>
      </c>
      <c r="Y117" s="118">
        <f ca="1">[1]!ldf(C$5:C$27, $A$5:$A$27, $W117, $A$27, 3)</f>
        <v>1.0186676102929977</v>
      </c>
      <c r="Z117" s="118">
        <f ca="1">[1]!ldf(D$5:D$27, $A$5:$A$27, $W117, $A$27, 3)</f>
        <v>1.0159480787607726</v>
      </c>
      <c r="AA117" s="118">
        <f ca="1">[1]!ldf(E$5:E$27, $A$5:$A$27, $W117, $A$27, 3)</f>
        <v>1.0099645730311517</v>
      </c>
      <c r="AB117" s="118">
        <f ca="1">[1]!ldf(F$5:F$27, $A$5:$A$27, $W117, $A$27, 3)</f>
        <v>1.0060972283009966</v>
      </c>
      <c r="AC117" s="118">
        <f ca="1">[1]!ldf(G$5:G$27, $A$5:$A$27, $W117, $A$27, 3)</f>
        <v>1.044978417644765</v>
      </c>
      <c r="AD117" s="118">
        <f ca="1">[1]!ldf(H$5:H$27, $A$5:$A$27, $W117, $A$27, 3)</f>
        <v>1.0353786697254586</v>
      </c>
      <c r="AE117" s="118">
        <f ca="1">[1]!ldf(I$5:I$27, $A$5:$A$27, $W117, $A$27, 3)</f>
        <v>1.0318678051910042</v>
      </c>
      <c r="AF117" s="118">
        <f ca="1">[1]!ldf(J$5:J$27, $A$5:$A$27, $W117, $A$27, 3)</f>
        <v>1.0210365616929622</v>
      </c>
      <c r="AG117" s="118">
        <f ca="1">[1]!ldf(K$5:K$27, $A$5:$A$27, $W117, $A$27, 3)</f>
        <v>1.013131472708775</v>
      </c>
      <c r="AH117" s="118">
        <f ca="1">[1]!ldf(L$5:L$27, $A$5:$A$27, $W117, $A$27, 3)</f>
        <v>1</v>
      </c>
      <c r="AI117" s="118">
        <f ca="1">[1]!ldf(M$5:M$27, $A$5:$A$27, $W117, $A$27, 3)</f>
        <v>1.1823560041368215</v>
      </c>
      <c r="AJ117" s="118">
        <f ca="1">[1]!ldf(N$5:N$27, $A$5:$A$27, $W117, $A$27, 3)</f>
        <v>1.1687914652629097</v>
      </c>
      <c r="AK117" s="118">
        <f ca="1">[1]!ldf(O$5:O$27, $A$5:$A$27, $W117, $A$27, 3)</f>
        <v>1.1882989140289242</v>
      </c>
      <c r="AL117" s="118">
        <f ca="1">[1]!ldf(P$5:P$27, $A$5:$A$27, $W117, $A$27, 3)</f>
        <v>1.1529914297419237</v>
      </c>
      <c r="AM117" s="118">
        <f ca="1">[1]!ldf(Q$5:Q$27, $A$5:$A$27, $W117, $A$27, 3)</f>
        <v>1.1889052627135444</v>
      </c>
      <c r="AN117" s="118">
        <f ca="1">[1]!ldf(R$5:R$27, $A$5:$A$27, $W117, $A$27, 3)</f>
        <v>1.179754764176272</v>
      </c>
      <c r="AO117" s="118">
        <f ca="1">[1]!ldf(S$5:S$27, $A$5:$A$27, $W117, $A$27, 3)</f>
        <v>1.2339904585096946</v>
      </c>
      <c r="AP117" s="118">
        <f ca="1">[1]!ldf(T$5:T$27, $A$5:$A$27, $W117, $A$27, 3)</f>
        <v>1.2118532383960405</v>
      </c>
    </row>
    <row r="118" spans="22:42" ht="12.75" customHeight="1" x14ac:dyDescent="0.2">
      <c r="V118" s="145">
        <f t="shared" si="70"/>
        <v>2</v>
      </c>
      <c r="W118" s="3">
        <f>SMALL(ages, SUM($V$5:V118))</f>
        <v>228</v>
      </c>
      <c r="X118" s="118">
        <f ca="1">[1]!ldf(B$5:B$27, $A$5:$A$27, $W118, $A$27, 3)</f>
        <v>1.0297545758654452</v>
      </c>
      <c r="Y118" s="118">
        <f ca="1">[1]!ldf(C$5:C$27, $A$5:$A$27, $W118, $A$27, 3)</f>
        <v>1.0181113812394516</v>
      </c>
      <c r="Z118" s="118">
        <f ca="1">[1]!ldf(D$5:D$27, $A$5:$A$27, $W118, $A$27, 3)</f>
        <v>1.0154497685582162</v>
      </c>
      <c r="AA118" s="118">
        <f ca="1">[1]!ldf(E$5:E$27, $A$5:$A$27, $W118, $A$27, 3)</f>
        <v>1.009616082303268</v>
      </c>
      <c r="AB118" s="118">
        <f ca="1">[1]!ldf(F$5:F$27, $A$5:$A$27, $W118, $A$27, 3)</f>
        <v>1.0058530192748556</v>
      </c>
      <c r="AC118" s="118">
        <f ca="1">[1]!ldf(G$5:G$27, $A$5:$A$27, $W118, $A$27, 3)</f>
        <v>1.0436575054959856</v>
      </c>
      <c r="AD118" s="118">
        <f ca="1">[1]!ldf(H$5:H$27, $A$5:$A$27, $W118, $A$27, 3)</f>
        <v>1.0342618513365587</v>
      </c>
      <c r="AE118" s="118">
        <f ca="1">[1]!ldf(I$5:I$27, $A$5:$A$27, $W118, $A$27, 3)</f>
        <v>1.0308344191659142</v>
      </c>
      <c r="AF118" s="118">
        <f ca="1">[1]!ldf(J$5:J$27, $A$5:$A$27, $W118, $A$27, 3)</f>
        <v>1.0202668179869283</v>
      </c>
      <c r="AG118" s="118">
        <f ca="1">[1]!ldf(K$5:K$27, $A$5:$A$27, $W118, $A$27, 3)</f>
        <v>1.0125711121723564</v>
      </c>
      <c r="AH118" s="118">
        <f ca="1">[1]!ldf(L$5:L$27, $A$5:$A$27, $W118, $A$27, 3)</f>
        <v>1</v>
      </c>
      <c r="AI118" s="118">
        <f ca="1">[1]!ldf(M$5:M$27, $A$5:$A$27, $W118, $A$27, 3)</f>
        <v>1.1783537526169625</v>
      </c>
      <c r="AJ118" s="118">
        <f ca="1">[1]!ldf(N$5:N$27, $A$5:$A$27, $W118, $A$27, 3)</f>
        <v>1.1651757024742571</v>
      </c>
      <c r="AK118" s="118">
        <f ca="1">[1]!ldf(O$5:O$27, $A$5:$A$27, $W118, $A$27, 3)</f>
        <v>1.1840415788990739</v>
      </c>
      <c r="AL118" s="118">
        <f ca="1">[1]!ldf(P$5:P$27, $A$5:$A$27, $W118, $A$27, 3)</f>
        <v>1.1494150868405915</v>
      </c>
      <c r="AM118" s="118">
        <f ca="1">[1]!ldf(Q$5:Q$27, $A$5:$A$27, $W118, $A$27, 3)</f>
        <v>1.1841211714262698</v>
      </c>
      <c r="AN118" s="118">
        <f ca="1">[1]!ldf(R$5:R$27, $A$5:$A$27, $W118, $A$27, 3)</f>
        <v>1.1750997856771843</v>
      </c>
      <c r="AO118" s="118">
        <f ca="1">[1]!ldf(S$5:S$27, $A$5:$A$27, $W118, $A$27, 3)</f>
        <v>1.2274982526013927</v>
      </c>
      <c r="AP118" s="118">
        <f ca="1">[1]!ldf(T$5:T$27, $A$5:$A$27, $W118, $A$27, 3)</f>
        <v>1.2058455285571568</v>
      </c>
    </row>
    <row r="119" spans="22:42" x14ac:dyDescent="0.2">
      <c r="V119" s="145">
        <f t="shared" si="70"/>
        <v>1</v>
      </c>
      <c r="W119" s="3">
        <f>SMALL(ages, SUM($V$5:V119))</f>
        <v>229</v>
      </c>
      <c r="X119" s="118">
        <f ca="1">[1]!ldf(B$5:B$27, $A$5:$A$27, $W119, $A$27, 3)</f>
        <v>1.0295112070992984</v>
      </c>
      <c r="Y119" s="118">
        <f ca="1">[1]!ldf(C$5:C$27, $A$5:$A$27, $W119, $A$27, 3)</f>
        <v>1.0179297118275452</v>
      </c>
      <c r="Z119" s="118">
        <f ca="1">[1]!ldf(D$5:D$27, $A$5:$A$27, $W119, $A$27, 3)</f>
        <v>1.0152871756745605</v>
      </c>
      <c r="AA119" s="118">
        <f ca="1">[1]!ldf(E$5:E$27, $A$5:$A$27, $W119, $A$27, 3)</f>
        <v>1.0095026613027083</v>
      </c>
      <c r="AB119" s="118">
        <f ca="1">[1]!ldf(F$5:F$27, $A$5:$A$27, $W119, $A$27, 3)</f>
        <v>1.0057738158243643</v>
      </c>
      <c r="AC119" s="118">
        <f ca="1">[1]!ldf(G$5:G$27, $A$5:$A$27, $W119, $A$27, 3)</f>
        <v>1.0432260571788101</v>
      </c>
      <c r="AD119" s="118">
        <f ca="1">[1]!ldf(H$5:H$27, $A$5:$A$27, $W119, $A$27, 3)</f>
        <v>1.033897597230264</v>
      </c>
      <c r="AE119" s="118">
        <f ca="1">[1]!ldf(I$5:I$27, $A$5:$A$27, $W119, $A$27, 3)</f>
        <v>1.030497568538256</v>
      </c>
      <c r="AF119" s="118">
        <f ca="1">[1]!ldf(J$5:J$27, $A$5:$A$27, $W119, $A$27, 3)</f>
        <v>1.020016609110389</v>
      </c>
      <c r="AG119" s="118">
        <f ca="1">[1]!ldf(K$5:K$27, $A$5:$A$27, $W119, $A$27, 3)</f>
        <v>1.0123897232283305</v>
      </c>
      <c r="AH119" s="118">
        <f ca="1">[1]!ldf(L$5:L$27, $A$5:$A$27, $W119, $A$27, 3)</f>
        <v>1</v>
      </c>
      <c r="AI119" s="118">
        <f ca="1">[1]!ldf(M$5:M$27, $A$5:$A$27, $W119, $A$27, 3)</f>
        <v>1.176997195468747</v>
      </c>
      <c r="AJ119" s="118">
        <f ca="1">[1]!ldf(N$5:N$27, $A$5:$A$27, $W119, $A$27, 3)</f>
        <v>1.1639615099276293</v>
      </c>
      <c r="AK119" s="118">
        <f ca="1">[1]!ldf(O$5:O$27, $A$5:$A$27, $W119, $A$27, 3)</f>
        <v>1.1826323124283622</v>
      </c>
      <c r="AL119" s="118">
        <f ca="1">[1]!ldf(P$5:P$27, $A$5:$A$27, $W119, $A$27, 3)</f>
        <v>1.1482332295468571</v>
      </c>
      <c r="AM119" s="118">
        <f ca="1">[1]!ldf(Q$5:Q$27, $A$5:$A$27, $W119, $A$27, 3)</f>
        <v>1.1825439291771922</v>
      </c>
      <c r="AN119" s="118">
        <f ca="1">[1]!ldf(R$5:R$27, $A$5:$A$27, $W119, $A$27, 3)</f>
        <v>1.1735672509978554</v>
      </c>
      <c r="AO119" s="118">
        <f ca="1">[1]!ldf(S$5:S$27, $A$5:$A$27, $W119, $A$27, 3)</f>
        <v>1.2253652136083131</v>
      </c>
      <c r="AP119" s="118">
        <f ca="1">[1]!ldf(T$5:T$27, $A$5:$A$27, $W119, $A$27, 3)</f>
        <v>1.2038685387377179</v>
      </c>
    </row>
    <row r="120" spans="22:42" x14ac:dyDescent="0.2">
      <c r="V120" s="145">
        <f t="shared" si="70"/>
        <v>1</v>
      </c>
      <c r="W120" s="3">
        <f>SMALL(ages, SUM($V$5:V120))</f>
        <v>231</v>
      </c>
      <c r="X120" s="118">
        <f ca="1">[1]!ldf(B$5:B$27, $A$5:$A$27, $W120, $A$27, 3)</f>
        <v>1.029030508525147</v>
      </c>
      <c r="Y120" s="118">
        <f ca="1">[1]!ldf(C$5:C$27, $A$5:$A$27, $W120, $A$27, 3)</f>
        <v>1.0175718684107828</v>
      </c>
      <c r="Z120" s="118">
        <f ca="1">[1]!ldf(D$5:D$27, $A$5:$A$27, $W120, $A$27, 3)</f>
        <v>1.0149671428735165</v>
      </c>
      <c r="AA120" s="118">
        <f ca="1">[1]!ldf(E$5:E$27, $A$5:$A$27, $W120, $A$27, 3)</f>
        <v>1.0092798352441397</v>
      </c>
      <c r="AB120" s="118">
        <f ca="1">[1]!ldf(F$5:F$27, $A$5:$A$27, $W120, $A$27, 3)</f>
        <v>1.0056186187108298</v>
      </c>
      <c r="AC120" s="118">
        <f ca="1">[1]!ldf(G$5:G$27, $A$5:$A$27, $W120, $A$27, 3)</f>
        <v>1.0423761669276141</v>
      </c>
      <c r="AD120" s="118">
        <f ca="1">[1]!ldf(H$5:H$27, $A$5:$A$27, $W120, $A$27, 3)</f>
        <v>1.0331808502260051</v>
      </c>
      <c r="AE120" s="118">
        <f ca="1">[1]!ldf(I$5:I$27, $A$5:$A$27, $W120, $A$27, 3)</f>
        <v>1.029835025265927</v>
      </c>
      <c r="AF120" s="118">
        <f ca="1">[1]!ldf(J$5:J$27, $A$5:$A$27, $W120, $A$27, 3)</f>
        <v>1.0195255082927399</v>
      </c>
      <c r="AG120" s="118">
        <f ca="1">[1]!ldf(K$5:K$27, $A$5:$A$27, $W120, $A$27, 3)</f>
        <v>1.0120348057204434</v>
      </c>
      <c r="AH120" s="118">
        <f ca="1">[1]!ldf(L$5:L$27, $A$5:$A$27, $W120, $A$27, 3)</f>
        <v>1</v>
      </c>
      <c r="AI120" s="118">
        <f ca="1">[1]!ldf(M$5:M$27, $A$5:$A$27, $W120, $A$27, 3)</f>
        <v>1.1743171797944549</v>
      </c>
      <c r="AJ120" s="118">
        <f ca="1">[1]!ldf(N$5:N$27, $A$5:$A$27, $W120, $A$27, 3)</f>
        <v>1.1615616415722227</v>
      </c>
      <c r="AK120" s="118">
        <f ca="1">[1]!ldf(O$5:O$27, $A$5:$A$27, $W120, $A$27, 3)</f>
        <v>1.179848456001263</v>
      </c>
      <c r="AL120" s="118">
        <f ca="1">[1]!ldf(P$5:P$27, $A$5:$A$27, $W120, $A$27, 3)</f>
        <v>1.1458992214804868</v>
      </c>
      <c r="AM120" s="118">
        <f ca="1">[1]!ldf(Q$5:Q$27, $A$5:$A$27, $W120, $A$27, 3)</f>
        <v>1.1794328415101394</v>
      </c>
      <c r="AN120" s="118">
        <f ca="1">[1]!ldf(R$5:R$27, $A$5:$A$27, $W120, $A$27, 3)</f>
        <v>1.1705451401099292</v>
      </c>
      <c r="AO120" s="118">
        <f ca="1">[1]!ldf(S$5:S$27, $A$5:$A$27, $W120, $A$27, 3)</f>
        <v>1.221164157739304</v>
      </c>
      <c r="AP120" s="118">
        <f ca="1">[1]!ldf(T$5:T$27, $A$5:$A$27, $W120, $A$27, 3)</f>
        <v>1.1999759061747708</v>
      </c>
    </row>
    <row r="121" spans="22:42" x14ac:dyDescent="0.2">
      <c r="V121" s="145">
        <f t="shared" si="70"/>
        <v>1</v>
      </c>
      <c r="W121" s="3">
        <f>SMALL(ages, SUM($V$5:V121))</f>
        <v>232</v>
      </c>
      <c r="X121" s="118">
        <f ca="1">[1]!ldf(B$5:B$27, $A$5:$A$27, $W121, $A$27, 3)</f>
        <v>1.0287931444723857</v>
      </c>
      <c r="Y121" s="118">
        <f ca="1">[1]!ldf(C$5:C$27, $A$5:$A$27, $W121, $A$27, 3)</f>
        <v>1.0173956567827895</v>
      </c>
      <c r="Z121" s="118">
        <f ca="1">[1]!ldf(D$5:D$27, $A$5:$A$27, $W121, $A$27, 3)</f>
        <v>1.0148096660786645</v>
      </c>
      <c r="AA121" s="118">
        <f ca="1">[1]!ldf(E$5:E$27, $A$5:$A$27, $W121, $A$27, 3)</f>
        <v>1.009170398239184</v>
      </c>
      <c r="AB121" s="118">
        <f ca="1">[1]!ldf(F$5:F$27, $A$5:$A$27, $W121, $A$27, 3)</f>
        <v>1.0055425959161362</v>
      </c>
      <c r="AC121" s="118">
        <f ca="1">[1]!ldf(G$5:G$27, $A$5:$A$27, $W121, $A$27, 3)</f>
        <v>1.0419576343939214</v>
      </c>
      <c r="AD121" s="118">
        <f ca="1">[1]!ldf(H$5:H$27, $A$5:$A$27, $W121, $A$27, 3)</f>
        <v>1.0328282702120706</v>
      </c>
      <c r="AE121" s="118">
        <f ca="1">[1]!ldf(I$5:I$27, $A$5:$A$27, $W121, $A$27, 3)</f>
        <v>1.0295092480644528</v>
      </c>
      <c r="AF121" s="118">
        <f ca="1">[1]!ldf(J$5:J$27, $A$5:$A$27, $W121, $A$27, 3)</f>
        <v>1.0192845376652797</v>
      </c>
      <c r="AG121" s="118">
        <f ca="1">[1]!ldf(K$5:K$27, $A$5:$A$27, $W121, $A$27, 3)</f>
        <v>1.0118612003976113</v>
      </c>
      <c r="AH121" s="118">
        <f ca="1">[1]!ldf(L$5:L$27, $A$5:$A$27, $W121, $A$27, 3)</f>
        <v>1</v>
      </c>
      <c r="AI121" s="118">
        <f ca="1">[1]!ldf(M$5:M$27, $A$5:$A$27, $W121, $A$27, 3)</f>
        <v>1.1729935202817996</v>
      </c>
      <c r="AJ121" s="118">
        <f ca="1">[1]!ldf(N$5:N$27, $A$5:$A$27, $W121, $A$27, 3)</f>
        <v>1.1603757999639137</v>
      </c>
      <c r="AK121" s="118">
        <f ca="1">[1]!ldf(O$5:O$27, $A$5:$A$27, $W121, $A$27, 3)</f>
        <v>1.1784736532194626</v>
      </c>
      <c r="AL121" s="118">
        <f ca="1">[1]!ldf(P$5:P$27, $A$5:$A$27, $W121, $A$27, 3)</f>
        <v>1.1447468871341131</v>
      </c>
      <c r="AM121" s="118">
        <f ca="1">[1]!ldf(Q$5:Q$27, $A$5:$A$27, $W121, $A$27, 3)</f>
        <v>1.1778986982939839</v>
      </c>
      <c r="AN121" s="118">
        <f ca="1">[1]!ldf(R$5:R$27, $A$5:$A$27, $W121, $A$27, 3)</f>
        <v>1.169055264643754</v>
      </c>
      <c r="AO121" s="118">
        <f ca="1">[1]!ldf(S$5:S$27, $A$5:$A$27, $W121, $A$27, 3)</f>
        <v>1.219095639013088</v>
      </c>
      <c r="AP121" s="118">
        <f ca="1">[1]!ldf(T$5:T$27, $A$5:$A$27, $W121, $A$27, 3)</f>
        <v>1.1980597849345458</v>
      </c>
    </row>
    <row r="122" spans="22:42" x14ac:dyDescent="0.2">
      <c r="V122" s="145">
        <f t="shared" si="70"/>
        <v>4</v>
      </c>
      <c r="W122" s="3">
        <f>SMALL(ages, SUM($V$5:V122))</f>
        <v>235</v>
      </c>
      <c r="X122" s="118">
        <f ca="1">[1]!ldf(B$5:B$27, $A$5:$A$27, $W122, $A$27, 3)</f>
        <v>1.0280927909820521</v>
      </c>
      <c r="Y122" s="118">
        <f ca="1">[1]!ldf(C$5:C$27, $A$5:$A$27, $W122, $A$27, 3)</f>
        <v>1.0168776406511795</v>
      </c>
      <c r="Z122" s="118">
        <f ca="1">[1]!ldf(D$5:D$27, $A$5:$A$27, $W122, $A$27, 3)</f>
        <v>1.0143471771057353</v>
      </c>
      <c r="AA122" s="118">
        <f ca="1">[1]!ldf(E$5:E$27, $A$5:$A$27, $W122, $A$27, 3)</f>
        <v>1.0088498036954106</v>
      </c>
      <c r="AB122" s="118">
        <f ca="1">[1]!ldf(F$5:F$27, $A$5:$A$27, $W122, $A$27, 3)</f>
        <v>1.0053206599797482</v>
      </c>
      <c r="AC122" s="118">
        <f ca="1">[1]!ldf(G$5:G$27, $A$5:$A$27, $W122, $A$27, 3)</f>
        <v>1.0407271541283447</v>
      </c>
      <c r="AD122" s="118">
        <f ca="1">[1]!ldf(H$5:H$27, $A$5:$A$27, $W122, $A$27, 3)</f>
        <v>1.0317931921049863</v>
      </c>
      <c r="AE122" s="118">
        <f ca="1">[1]!ldf(I$5:I$27, $A$5:$A$27, $W122, $A$27, 3)</f>
        <v>1.0285533974132428</v>
      </c>
      <c r="AF122" s="118">
        <f ca="1">[1]!ldf(J$5:J$27, $A$5:$A$27, $W122, $A$27, 3)</f>
        <v>1.0185794835700575</v>
      </c>
      <c r="AG122" s="118">
        <f ca="1">[1]!ldf(K$5:K$27, $A$5:$A$27, $W122, $A$27, 3)</f>
        <v>1.0113553496051397</v>
      </c>
      <c r="AH122" s="118">
        <f ca="1">[1]!ldf(L$5:L$27, $A$5:$A$27, $W122, $A$27, 3)</f>
        <v>1</v>
      </c>
      <c r="AI122" s="118">
        <f ca="1">[1]!ldf(M$5:M$27, $A$5:$A$27, $W122, $A$27, 3)</f>
        <v>1.169086751398172</v>
      </c>
      <c r="AJ122" s="118">
        <f ca="1">[1]!ldf(N$5:N$27, $A$5:$A$27, $W122, $A$27, 3)</f>
        <v>1.1568736681395599</v>
      </c>
      <c r="AK122" s="118">
        <f ca="1">[1]!ldf(O$5:O$27, $A$5:$A$27, $W122, $A$27, 3)</f>
        <v>1.1744164935308059</v>
      </c>
      <c r="AL122" s="118">
        <f ca="1">[1]!ldf(P$5:P$27, $A$5:$A$27, $W122, $A$27, 3)</f>
        <v>1.1413474818822886</v>
      </c>
      <c r="AM122" s="118">
        <f ca="1">[1]!ldf(Q$5:Q$27, $A$5:$A$27, $W122, $A$27, 3)</f>
        <v>1.1733801216576065</v>
      </c>
      <c r="AN122" s="118">
        <f ca="1">[1]!ldf(R$5:R$27, $A$5:$A$27, $W122, $A$27, 3)</f>
        <v>1.1646686005785916</v>
      </c>
      <c r="AO122" s="118">
        <f ca="1">[1]!ldf(S$5:S$27, $A$5:$A$27, $W122, $A$27, 3)</f>
        <v>1.2130151800594493</v>
      </c>
      <c r="AP122" s="118">
        <f ca="1">[1]!ldf(T$5:T$27, $A$5:$A$27, $W122, $A$27, 3)</f>
        <v>1.1924293989233996</v>
      </c>
    </row>
    <row r="123" spans="22:42" x14ac:dyDescent="0.2">
      <c r="V123" s="145">
        <f t="shared" si="70"/>
        <v>2</v>
      </c>
      <c r="W123" s="3">
        <f>SMALL(ages, SUM($V$5:V123))</f>
        <v>237</v>
      </c>
      <c r="X123" s="118">
        <f ca="1">[1]!ldf(B$5:B$27, $A$5:$A$27, $W123, $A$27, 3)</f>
        <v>1.0276355053147641</v>
      </c>
      <c r="Y123" s="118">
        <f ca="1">[1]!ldf(C$5:C$27, $A$5:$A$27, $W123, $A$27, 3)</f>
        <v>1.0165409647741854</v>
      </c>
      <c r="Z123" s="118">
        <f ca="1">[1]!ldf(D$5:D$27, $A$5:$A$27, $W123, $A$27, 3)</f>
        <v>1.0140469587580745</v>
      </c>
      <c r="AA123" s="118">
        <f ca="1">[1]!ldf(E$5:E$27, $A$5:$A$27, $W123, $A$27, 3)</f>
        <v>1.0086423518125434</v>
      </c>
      <c r="AB123" s="118">
        <f ca="1">[1]!ldf(F$5:F$27, $A$5:$A$27, $W123, $A$27, 3)</f>
        <v>1.0051776747841983</v>
      </c>
      <c r="AC123" s="118">
        <f ca="1">[1]!ldf(G$5:G$27, $A$5:$A$27, $W123, $A$27, 3)</f>
        <v>1.0399273307111387</v>
      </c>
      <c r="AD123" s="118">
        <f ca="1">[1]!ldf(H$5:H$27, $A$5:$A$27, $W123, $A$27, 3)</f>
        <v>1.0311216082338921</v>
      </c>
      <c r="AE123" s="118">
        <f ca="1">[1]!ldf(I$5:I$27, $A$5:$A$27, $W123, $A$27, 3)</f>
        <v>1.0279336602717215</v>
      </c>
      <c r="AF123" s="118">
        <f ca="1">[1]!ldf(J$5:J$27, $A$5:$A$27, $W123, $A$27, 3)</f>
        <v>1.0181239545580945</v>
      </c>
      <c r="AG123" s="118">
        <f ca="1">[1]!ldf(K$5:K$27, $A$5:$A$27, $W123, $A$27, 3)</f>
        <v>1.011030224048018</v>
      </c>
      <c r="AH123" s="118">
        <f ca="1">[1]!ldf(L$5:L$27, $A$5:$A$27, $W123, $A$27, 3)</f>
        <v>1</v>
      </c>
      <c r="AI123" s="118">
        <f ca="1">[1]!ldf(M$5:M$27, $A$5:$A$27, $W123, $A$27, 3)</f>
        <v>1.1665347812241935</v>
      </c>
      <c r="AJ123" s="118">
        <f ca="1">[1]!ldf(N$5:N$27, $A$5:$A$27, $W123, $A$27, 3)</f>
        <v>1.154584276356053</v>
      </c>
      <c r="AK123" s="118">
        <f ca="1">[1]!ldf(O$5:O$27, $A$5:$A$27, $W123, $A$27, 3)</f>
        <v>1.171766738955567</v>
      </c>
      <c r="AL123" s="118">
        <f ca="1">[1]!ldf(P$5:P$27, $A$5:$A$27, $W123, $A$27, 3)</f>
        <v>1.139128328139267</v>
      </c>
      <c r="AM123" s="118">
        <f ca="1">[1]!ldf(Q$5:Q$27, $A$5:$A$27, $W123, $A$27, 3)</f>
        <v>1.170436191514755</v>
      </c>
      <c r="AN123" s="118">
        <f ca="1">[1]!ldf(R$5:R$27, $A$5:$A$27, $W123, $A$27, 3)</f>
        <v>1.161811863730837</v>
      </c>
      <c r="AO123" s="118">
        <f ca="1">[1]!ldf(S$5:S$27, $A$5:$A$27, $W123, $A$27, 3)</f>
        <v>1.2090634048940887</v>
      </c>
      <c r="AP123" s="118">
        <f ca="1">[1]!ldf(T$5:T$27, $A$5:$A$27, $W123, $A$27, 3)</f>
        <v>1.1887718509971381</v>
      </c>
    </row>
    <row r="124" spans="22:42" x14ac:dyDescent="0.2">
      <c r="V124" s="145">
        <f t="shared" ref="V124:V140" si="71">COUNTIF(ages, W123)</f>
        <v>2</v>
      </c>
      <c r="W124" s="3">
        <f>SMALL(ages, SUM($V$5:V124))</f>
        <v>240</v>
      </c>
      <c r="X124" s="118">
        <f ca="1">[1]!ldf(B$5:B$27, $A$5:$A$27, $W124, $A$27, 3)</f>
        <v>1.0269636772703599</v>
      </c>
      <c r="Y124" s="118">
        <f ca="1">[1]!ldf(C$5:C$27, $A$5:$A$27, $W124, $A$27, 3)</f>
        <v>1.016048600317633</v>
      </c>
      <c r="Z124" s="118">
        <f ca="1">[1]!ldf(D$5:D$27, $A$5:$A$27, $W124, $A$27, 3)</f>
        <v>1.0136084476379914</v>
      </c>
      <c r="AA124" s="118">
        <f ca="1">[1]!ldf(E$5:E$27, $A$5:$A$27, $W124, $A$27, 3)</f>
        <v>1.0083402938113044</v>
      </c>
      <c r="AB124" s="118">
        <f ca="1">[1]!ldf(F$5:F$27, $A$5:$A$27, $W124, $A$27, 3)</f>
        <v>1.0049703870618625</v>
      </c>
      <c r="AC124" s="118">
        <f ca="1">[1]!ldf(G$5:G$27, $A$5:$A$27, $W124, $A$27, 3)</f>
        <v>1.0387574935652251</v>
      </c>
      <c r="AD124" s="118">
        <f ca="1">[1]!ldf(H$5:H$27, $A$5:$A$27, $W124, $A$27, 3)</f>
        <v>1.0301411229719022</v>
      </c>
      <c r="AE124" s="118">
        <f ca="1">[1]!ldf(I$5:I$27, $A$5:$A$27, $W124, $A$27, 3)</f>
        <v>1.0270295126331288</v>
      </c>
      <c r="AF124" s="118">
        <f ca="1">[1]!ldf(J$5:J$27, $A$5:$A$27, $W124, $A$27, 3)</f>
        <v>1.0174616945843427</v>
      </c>
      <c r="AG124" s="118">
        <f ca="1">[1]!ldf(K$5:K$27, $A$5:$A$27, $W124, $A$27, 3)</f>
        <v>1.0105599969786636</v>
      </c>
      <c r="AH124" s="118">
        <f ca="1">[1]!ldf(L$5:L$27, $A$5:$A$27, $W124, $A$27, 3)</f>
        <v>1</v>
      </c>
      <c r="AI124" s="118">
        <f ca="1">[1]!ldf(M$5:M$27, $A$5:$A$27, $W124, $A$27, 3)</f>
        <v>1.1627837537193579</v>
      </c>
      <c r="AJ124" s="118">
        <f ca="1">[1]!ldf(N$5:N$27, $A$5:$A$27, $W124, $A$27, 3)</f>
        <v>1.1512166724839508</v>
      </c>
      <c r="AK124" s="118">
        <f ca="1">[1]!ldf(O$5:O$27, $A$5:$A$27, $W124, $A$27, 3)</f>
        <v>1.1678726395601655</v>
      </c>
      <c r="AL124" s="118">
        <f ca="1">[1]!ldf(P$5:P$27, $A$5:$A$27, $W124, $A$27, 3)</f>
        <v>1.1358685504336772</v>
      </c>
      <c r="AM124" s="118">
        <f ca="1">[1]!ldf(Q$5:Q$27, $A$5:$A$27, $W124, $A$27, 3)</f>
        <v>1.1661202068351308</v>
      </c>
      <c r="AN124" s="118">
        <f ca="1">[1]!ldf(R$5:R$27, $A$5:$A$27, $W124, $A$27, 3)</f>
        <v>1.1576255352304228</v>
      </c>
      <c r="AO124" s="118">
        <f ca="1">[1]!ldf(S$5:S$27, $A$5:$A$27, $W124, $A$27, 3)</f>
        <v>1.20328391482096</v>
      </c>
      <c r="AP124" s="118">
        <f ca="1">[1]!ldf(T$5:T$27, $A$5:$A$27, $W124, $A$27, 3)</f>
        <v>1.1834251867805186</v>
      </c>
    </row>
    <row r="125" spans="22:42" x14ac:dyDescent="0.2">
      <c r="V125" s="145">
        <f t="shared" si="71"/>
        <v>1</v>
      </c>
      <c r="W125" s="3">
        <f>SMALL(ages, SUM($V$5:V125))</f>
        <v>241</v>
      </c>
      <c r="X125" s="118">
        <f ca="1">[1]!ldf(B$5:B$27, $A$5:$A$27, $W125, $A$27, 3)</f>
        <v>1.0267434310976729</v>
      </c>
      <c r="Y125" s="118">
        <f ca="1">[1]!ldf(C$5:C$27, $A$5:$A$27, $W125, $A$27, 3)</f>
        <v>1.0158877830735289</v>
      </c>
      <c r="Z125" s="118">
        <f ca="1">[1]!ldf(D$5:D$27, $A$5:$A$27, $W125, $A$27, 3)</f>
        <v>1.0134653609952033</v>
      </c>
      <c r="AA125" s="118">
        <f ca="1">[1]!ldf(E$5:E$27, $A$5:$A$27, $W125, $A$27, 3)</f>
        <v>1.0082419819958579</v>
      </c>
      <c r="AB125" s="118">
        <f ca="1">[1]!ldf(F$5:F$27, $A$5:$A$27, $W125, $A$27, 3)</f>
        <v>1.0049031565416204</v>
      </c>
      <c r="AC125" s="118">
        <f ca="1">[1]!ldf(G$5:G$27, $A$5:$A$27, $W125, $A$27, 3)</f>
        <v>1.0383753554167576</v>
      </c>
      <c r="AD125" s="118">
        <f ca="1">[1]!ldf(H$5:H$27, $A$5:$A$27, $W125, $A$27, 3)</f>
        <v>1.0298213072490736</v>
      </c>
      <c r="AE125" s="118">
        <f ca="1">[1]!ldf(I$5:I$27, $A$5:$A$27, $W125, $A$27, 3)</f>
        <v>1.0267347657179215</v>
      </c>
      <c r="AF125" s="118">
        <f ca="1">[1]!ldf(J$5:J$27, $A$5:$A$27, $W125, $A$27, 3)</f>
        <v>1.017246409046529</v>
      </c>
      <c r="AG125" s="118">
        <f ca="1">[1]!ldf(K$5:K$27, $A$5:$A$27, $W125, $A$27, 3)</f>
        <v>1.0104077754048353</v>
      </c>
      <c r="AH125" s="118">
        <f ca="1">[1]!ldf(L$5:L$27, $A$5:$A$27, $W125, $A$27, 3)</f>
        <v>1</v>
      </c>
      <c r="AI125" s="118">
        <f ca="1">[1]!ldf(M$5:M$27, $A$5:$A$27, $W125, $A$27, 3)</f>
        <v>1.1615143775783654</v>
      </c>
      <c r="AJ125" s="118">
        <f ca="1">[1]!ldf(N$5:N$27, $A$5:$A$27, $W125, $A$27, 3)</f>
        <v>1.1500875299447522</v>
      </c>
      <c r="AK125" s="118">
        <f ca="1">[1]!ldf(O$5:O$27, $A$5:$A$27, $W125, $A$27, 3)</f>
        <v>1.1665848996232224</v>
      </c>
      <c r="AL125" s="118">
        <f ca="1">[1]!ldf(P$5:P$27, $A$5:$A$27, $W125, $A$27, 3)</f>
        <v>1.134792313990528</v>
      </c>
      <c r="AM125" s="118">
        <f ca="1">[1]!ldf(Q$5:Q$27, $A$5:$A$27, $W125, $A$27, 3)</f>
        <v>1.1646980711362076</v>
      </c>
      <c r="AN125" s="118">
        <f ca="1">[1]!ldf(R$5:R$27, $A$5:$A$27, $W125, $A$27, 3)</f>
        <v>1.1562478526253177</v>
      </c>
      <c r="AO125" s="118">
        <f ca="1">[1]!ldf(S$5:S$27, $A$5:$A$27, $W125, $A$27, 3)</f>
        <v>1.2013857813656761</v>
      </c>
      <c r="AP125" s="118">
        <f ca="1">[1]!ldf(T$5:T$27, $A$5:$A$27, $W125, $A$27, 3)</f>
        <v>1.1816672326689548</v>
      </c>
    </row>
    <row r="126" spans="22:42" x14ac:dyDescent="0.2">
      <c r="V126" s="145">
        <f t="shared" si="71"/>
        <v>1</v>
      </c>
      <c r="W126" s="3">
        <f>SMALL(ages, SUM($V$5:V126))</f>
        <v>243</v>
      </c>
      <c r="X126" s="118">
        <f ca="1">[1]!ldf(B$5:B$27, $A$5:$A$27, $W126, $A$27, 3)</f>
        <v>1.0263083897845597</v>
      </c>
      <c r="Y126" s="118">
        <f ca="1">[1]!ldf(C$5:C$27, $A$5:$A$27, $W126, $A$27, 3)</f>
        <v>1.0155710037389953</v>
      </c>
      <c r="Z126" s="118">
        <f ca="1">[1]!ldf(D$5:D$27, $A$5:$A$27, $W126, $A$27, 3)</f>
        <v>1.0131837145505793</v>
      </c>
      <c r="AA126" s="118">
        <f ca="1">[1]!ldf(E$5:E$27, $A$5:$A$27, $W126, $A$27, 3)</f>
        <v>1.0080488350804826</v>
      </c>
      <c r="AB126" s="118">
        <f ca="1">[1]!ldf(F$5:F$27, $A$5:$A$27, $W126, $A$27, 3)</f>
        <v>1.0047714177661022</v>
      </c>
      <c r="AC126" s="118">
        <f ca="1">[1]!ldf(G$5:G$27, $A$5:$A$27, $W126, $A$27, 3)</f>
        <v>1.037622548084101</v>
      </c>
      <c r="AD126" s="118">
        <f ca="1">[1]!ldf(H$5:H$27, $A$5:$A$27, $W126, $A$27, 3)</f>
        <v>1.0291919631719375</v>
      </c>
      <c r="AE126" s="118">
        <f ca="1">[1]!ldf(I$5:I$27, $A$5:$A$27, $W126, $A$27, 3)</f>
        <v>1.0261550009735854</v>
      </c>
      <c r="AF126" s="118">
        <f ca="1">[1]!ldf(J$5:J$27, $A$5:$A$27, $W126, $A$27, 3)</f>
        <v>1.0168238334068684</v>
      </c>
      <c r="AG126" s="118">
        <f ca="1">[1]!ldf(K$5:K$27, $A$5:$A$27, $W126, $A$27, 3)</f>
        <v>1.0101099161310942</v>
      </c>
      <c r="AH126" s="118">
        <f ca="1">[1]!ldf(L$5:L$27, $A$5:$A$27, $W126, $A$27, 3)</f>
        <v>1</v>
      </c>
      <c r="AI126" s="118">
        <f ca="1">[1]!ldf(M$5:M$27, $A$5:$A$27, $W126, $A$27, 3)</f>
        <v>1.1590072194525727</v>
      </c>
      <c r="AJ126" s="118">
        <f ca="1">[1]!ldf(N$5:N$27, $A$5:$A$27, $W126, $A$27, 3)</f>
        <v>1.147856059415403</v>
      </c>
      <c r="AK126" s="118">
        <f ca="1">[1]!ldf(O$5:O$27, $A$5:$A$27, $W126, $A$27, 3)</f>
        <v>1.164041002400221</v>
      </c>
      <c r="AL126" s="118">
        <f ca="1">[1]!ldf(P$5:P$27, $A$5:$A$27, $W126, $A$27, 3)</f>
        <v>1.1326668077132667</v>
      </c>
      <c r="AM126" s="118">
        <f ca="1">[1]!ldf(Q$5:Q$27, $A$5:$A$27, $W126, $A$27, 3)</f>
        <v>1.1618926853299787</v>
      </c>
      <c r="AN126" s="118">
        <f ca="1">[1]!ldf(R$5:R$27, $A$5:$A$27, $W126, $A$27, 3)</f>
        <v>1.1535308382427338</v>
      </c>
      <c r="AO126" s="118">
        <f ca="1">[1]!ldf(S$5:S$27, $A$5:$A$27, $W126, $A$27, 3)</f>
        <v>1.1976467435952252</v>
      </c>
      <c r="AP126" s="118">
        <f ca="1">[1]!ldf(T$5:T$27, $A$5:$A$27, $W126, $A$27, 3)</f>
        <v>1.1782053990128956</v>
      </c>
    </row>
    <row r="127" spans="22:42" x14ac:dyDescent="0.2">
      <c r="V127" s="145">
        <f t="shared" si="71"/>
        <v>1</v>
      </c>
      <c r="W127" s="3">
        <f>SMALL(ages, SUM($V$5:V127))</f>
        <v>244</v>
      </c>
      <c r="X127" s="118">
        <f ca="1">[1]!ldf(B$5:B$27, $A$5:$A$27, $W127, $A$27, 3)</f>
        <v>1.0260935638845097</v>
      </c>
      <c r="Y127" s="118">
        <f ca="1">[1]!ldf(C$5:C$27, $A$5:$A$27, $W127, $A$27, 3)</f>
        <v>1.0154150085335725</v>
      </c>
      <c r="Z127" s="118">
        <f ca="1">[1]!ldf(D$5:D$27, $A$5:$A$27, $W127, $A$27, 3)</f>
        <v>1.013045122461667</v>
      </c>
      <c r="AA127" s="118">
        <f ca="1">[1]!ldf(E$5:E$27, $A$5:$A$27, $W127, $A$27, 3)</f>
        <v>1.0079539723891331</v>
      </c>
      <c r="AB127" s="118">
        <f ca="1">[1]!ldf(F$5:F$27, $A$5:$A$27, $W127, $A$27, 3)</f>
        <v>1.0047068848450238</v>
      </c>
      <c r="AC127" s="118">
        <f ca="1">[1]!ldf(G$5:G$27, $A$5:$A$27, $W127, $A$27, 3)</f>
        <v>1.0372517996610733</v>
      </c>
      <c r="AD127" s="118">
        <f ca="1">[1]!ldf(H$5:H$27, $A$5:$A$27, $W127, $A$27, 3)</f>
        <v>1.0288823591573397</v>
      </c>
      <c r="AE127" s="118">
        <f ca="1">[1]!ldf(I$5:I$27, $A$5:$A$27, $W127, $A$27, 3)</f>
        <v>1.0258699099029394</v>
      </c>
      <c r="AF127" s="118">
        <f ca="1">[1]!ldf(J$5:J$27, $A$5:$A$27, $W127, $A$27, 3)</f>
        <v>1.0166164761195939</v>
      </c>
      <c r="AG127" s="118">
        <f ca="1">[1]!ldf(K$5:K$27, $A$5:$A$27, $W127, $A$27, 3)</f>
        <v>1.0099642143752063</v>
      </c>
      <c r="AH127" s="118">
        <f ca="1">[1]!ldf(L$5:L$27, $A$5:$A$27, $W127, $A$27, 3)</f>
        <v>1</v>
      </c>
      <c r="AI127" s="118">
        <f ca="1">[1]!ldf(M$5:M$27, $A$5:$A$27, $W127, $A$27, 3)</f>
        <v>1.1577692430064426</v>
      </c>
      <c r="AJ127" s="118">
        <f ca="1">[1]!ldf(N$5:N$27, $A$5:$A$27, $W127, $A$27, 3)</f>
        <v>1.1467535747372735</v>
      </c>
      <c r="AK127" s="118">
        <f ca="1">[1]!ldf(O$5:O$27, $A$5:$A$27, $W127, $A$27, 3)</f>
        <v>1.1627846531542321</v>
      </c>
      <c r="AL127" s="118">
        <f ca="1">[1]!ldf(P$5:P$27, $A$5:$A$27, $W127, $A$27, 3)</f>
        <v>1.1316173728018819</v>
      </c>
      <c r="AM127" s="118">
        <f ca="1">[1]!ldf(Q$5:Q$27, $A$5:$A$27, $W127, $A$27, 3)</f>
        <v>1.1605091719449612</v>
      </c>
      <c r="AN127" s="118">
        <f ca="1">[1]!ldf(R$5:R$27, $A$5:$A$27, $W127, $A$27, 3)</f>
        <v>1.1521912430724774</v>
      </c>
      <c r="AO127" s="118">
        <f ca="1">[1]!ldf(S$5:S$27, $A$5:$A$27, $W127, $A$27, 3)</f>
        <v>1.195805405938553</v>
      </c>
      <c r="AP127" s="118">
        <f ca="1">[1]!ldf(T$5:T$27, $A$5:$A$27, $W127, $A$27, 3)</f>
        <v>1.1765011047952774</v>
      </c>
    </row>
    <row r="128" spans="22:42" x14ac:dyDescent="0.2">
      <c r="V128" s="145">
        <f t="shared" si="71"/>
        <v>4</v>
      </c>
      <c r="W128" s="3">
        <f>SMALL(ages, SUM($V$5:V128))</f>
        <v>247</v>
      </c>
      <c r="X128" s="118">
        <f ca="1">[1]!ldf(B$5:B$27, $A$5:$A$27, $W128, $A$27, 3)</f>
        <v>1.0254596835014238</v>
      </c>
      <c r="Y128" s="118">
        <f ca="1">[1]!ldf(C$5:C$27, $A$5:$A$27, $W128, $A$27, 3)</f>
        <v>1.0149564057194023</v>
      </c>
      <c r="Z128" s="118">
        <f ca="1">[1]!ldf(D$5:D$27, $A$5:$A$27, $W128, $A$27, 3)</f>
        <v>1.0126380807069486</v>
      </c>
      <c r="AA128" s="118">
        <f ca="1">[1]!ldf(E$5:E$27, $A$5:$A$27, $W128, $A$27, 3)</f>
        <v>1.0076760653186407</v>
      </c>
      <c r="AB128" s="118">
        <f ca="1">[1]!ldf(F$5:F$27, $A$5:$A$27, $W128, $A$27, 3)</f>
        <v>1.0045184874894497</v>
      </c>
      <c r="AC128" s="118">
        <f ca="1">[1]!ldf(G$5:G$27, $A$5:$A$27, $W128, $A$27, 3)</f>
        <v>1.0361617090456978</v>
      </c>
      <c r="AD128" s="118">
        <f ca="1">[1]!ldf(H$5:H$27, $A$5:$A$27, $W128, $A$27, 3)</f>
        <v>1.0279733744072177</v>
      </c>
      <c r="AE128" s="118">
        <f ca="1">[1]!ldf(I$5:I$27, $A$5:$A$27, $W128, $A$27, 3)</f>
        <v>1.0250333714845563</v>
      </c>
      <c r="AF128" s="118">
        <f ca="1">[1]!ldf(J$5:J$27, $A$5:$A$27, $W128, $A$27, 3)</f>
        <v>1.0160097323952</v>
      </c>
      <c r="AG128" s="118">
        <f ca="1">[1]!ldf(K$5:K$27, $A$5:$A$27, $W128, $A$27, 3)</f>
        <v>1.0095396462450679</v>
      </c>
      <c r="AH128" s="118">
        <f ca="1">[1]!ldf(L$5:L$27, $A$5:$A$27, $W128, $A$27, 3)</f>
        <v>1</v>
      </c>
      <c r="AI128" s="118">
        <f ca="1">[1]!ldf(M$5:M$27, $A$5:$A$27, $W128, $A$27, 3)</f>
        <v>1.1541165790926853</v>
      </c>
      <c r="AJ128" s="118">
        <f ca="1">[1]!ldf(N$5:N$27, $A$5:$A$27, $W128, $A$27, 3)</f>
        <v>1.1434981994717335</v>
      </c>
      <c r="AK128" s="118">
        <f ca="1">[1]!ldf(O$5:O$27, $A$5:$A$27, $W128, $A$27, 3)</f>
        <v>1.159076872337869</v>
      </c>
      <c r="AL128" s="118">
        <f ca="1">[1]!ldf(P$5:P$27, $A$5:$A$27, $W128, $A$27, 3)</f>
        <v>1.1285213686511502</v>
      </c>
      <c r="AM128" s="118">
        <f ca="1">[1]!ldf(Q$5:Q$27, $A$5:$A$27, $W128, $A$27, 3)</f>
        <v>1.156433802567215</v>
      </c>
      <c r="AN128" s="118">
        <f ca="1">[1]!ldf(R$5:R$27, $A$5:$A$27, $W128, $A$27, 3)</f>
        <v>1.1482465580323709</v>
      </c>
      <c r="AO128" s="118">
        <f ca="1">[1]!ldf(S$5:S$27, $A$5:$A$27, $W128, $A$27, 3)</f>
        <v>1.1903915780556837</v>
      </c>
      <c r="AP128" s="118">
        <f ca="1">[1]!ldf(T$5:T$27, $A$5:$A$27, $W128, $A$27, 3)</f>
        <v>1.171492282567111</v>
      </c>
    </row>
    <row r="129" spans="22:42" x14ac:dyDescent="0.2">
      <c r="V129" s="145">
        <f t="shared" si="71"/>
        <v>2</v>
      </c>
      <c r="W129" s="3">
        <f>SMALL(ages, SUM($V$5:V129))</f>
        <v>249</v>
      </c>
      <c r="X129" s="118">
        <f ca="1">[1]!ldf(B$5:B$27, $A$5:$A$27, $W129, $A$27, 3)</f>
        <v>1.0250457789195258</v>
      </c>
      <c r="Y129" s="118">
        <f ca="1">[1]!ldf(C$5:C$27, $A$5:$A$27, $W129, $A$27, 3)</f>
        <v>1.014658330376297</v>
      </c>
      <c r="Z129" s="118">
        <f ca="1">[1]!ldf(D$5:D$27, $A$5:$A$27, $W129, $A$27, 3)</f>
        <v>1.0123738433981837</v>
      </c>
      <c r="AA129" s="118">
        <f ca="1">[1]!ldf(E$5:E$27, $A$5:$A$27, $W129, $A$27, 3)</f>
        <v>1.0074962296365004</v>
      </c>
      <c r="AB129" s="118">
        <f ca="1">[1]!ldf(F$5:F$27, $A$5:$A$27, $W129, $A$27, 3)</f>
        <v>1.0043971066594319</v>
      </c>
      <c r="AC129" s="118">
        <f ca="1">[1]!ldf(G$5:G$27, $A$5:$A$27, $W129, $A$27, 3)</f>
        <v>1.0354530640722872</v>
      </c>
      <c r="AD129" s="118">
        <f ca="1">[1]!ldf(H$5:H$27, $A$5:$A$27, $W129, $A$27, 3)</f>
        <v>1.0273835451774513</v>
      </c>
      <c r="AE129" s="118">
        <f ca="1">[1]!ldf(I$5:I$27, $A$5:$A$27, $W129, $A$27, 3)</f>
        <v>1.0244909412668977</v>
      </c>
      <c r="AF129" s="118">
        <f ca="1">[1]!ldf(J$5:J$27, $A$5:$A$27, $W129, $A$27, 3)</f>
        <v>1.0156176901720302</v>
      </c>
      <c r="AG129" s="118">
        <f ca="1">[1]!ldf(K$5:K$27, $A$5:$A$27, $W129, $A$27, 3)</f>
        <v>1.0092667456655811</v>
      </c>
      <c r="AH129" s="118">
        <f ca="1">[1]!ldf(L$5:L$27, $A$5:$A$27, $W129, $A$27, 3)</f>
        <v>1</v>
      </c>
      <c r="AI129" s="118">
        <f ca="1">[1]!ldf(M$5:M$27, $A$5:$A$27, $W129, $A$27, 3)</f>
        <v>1.1517315903597172</v>
      </c>
      <c r="AJ129" s="118">
        <f ca="1">[1]!ldf(N$5:N$27, $A$5:$A$27, $W129, $A$27, 3)</f>
        <v>1.1413705940478571</v>
      </c>
      <c r="AK129" s="118">
        <f ca="1">[1]!ldf(O$5:O$27, $A$5:$A$27, $W129, $A$27, 3)</f>
        <v>1.1566551518687029</v>
      </c>
      <c r="AL129" s="118">
        <f ca="1">[1]!ldf(P$5:P$27, $A$5:$A$27, $W129, $A$27, 3)</f>
        <v>1.1265001563253385</v>
      </c>
      <c r="AM129" s="118">
        <f ca="1">[1]!ldf(Q$5:Q$27, $A$5:$A$27, $W129, $A$27, 3)</f>
        <v>1.1537782726150956</v>
      </c>
      <c r="AN129" s="118">
        <f ca="1">[1]!ldf(R$5:R$27, $A$5:$A$27, $W129, $A$27, 3)</f>
        <v>1.14567725912244</v>
      </c>
      <c r="AO129" s="118">
        <f ca="1">[1]!ldf(S$5:S$27, $A$5:$A$27, $W129, $A$27, 3)</f>
        <v>1.1868721195909457</v>
      </c>
      <c r="AP129" s="118">
        <f ca="1">[1]!ldf(T$5:T$27, $A$5:$A$27, $W129, $A$27, 3)</f>
        <v>1.1682378134507332</v>
      </c>
    </row>
    <row r="130" spans="22:42" x14ac:dyDescent="0.2">
      <c r="V130" s="145">
        <f t="shared" si="71"/>
        <v>2</v>
      </c>
      <c r="W130" s="3">
        <f>SMALL(ages, SUM($V$5:V130))</f>
        <v>252</v>
      </c>
      <c r="X130" s="118">
        <f ca="1">[1]!ldf(B$5:B$27, $A$5:$A$27, $W130, $A$27, 3)</f>
        <v>1.0244376539174258</v>
      </c>
      <c r="Y130" s="118">
        <f ca="1">[1]!ldf(C$5:C$27, $A$5:$A$27, $W130, $A$27, 3)</f>
        <v>1.0142223963608517</v>
      </c>
      <c r="Z130" s="118">
        <f ca="1">[1]!ldf(D$5:D$27, $A$5:$A$27, $W130, $A$27, 3)</f>
        <v>1.0119878710024888</v>
      </c>
      <c r="AA130" s="118">
        <f ca="1">[1]!ldf(E$5:E$27, $A$5:$A$27, $W130, $A$27, 3)</f>
        <v>1.0072343731580029</v>
      </c>
      <c r="AB130" s="118">
        <f ca="1">[1]!ldf(F$5:F$27, $A$5:$A$27, $W130, $A$27, 3)</f>
        <v>1.0042211344885716</v>
      </c>
      <c r="AC130" s="118">
        <f ca="1">[1]!ldf(G$5:G$27, $A$5:$A$27, $W130, $A$27, 3)</f>
        <v>1.0344164781552081</v>
      </c>
      <c r="AD130" s="118">
        <f ca="1">[1]!ldf(H$5:H$27, $A$5:$A$27, $W130, $A$27, 3)</f>
        <v>1.026522336619065</v>
      </c>
      <c r="AE130" s="118">
        <f ca="1">[1]!ldf(I$5:I$27, $A$5:$A$27, $W130, $A$27, 3)</f>
        <v>1.0236995068988863</v>
      </c>
      <c r="AF130" s="118">
        <f ca="1">[1]!ldf(J$5:J$27, $A$5:$A$27, $W130, $A$27, 3)</f>
        <v>1.0150476860123816</v>
      </c>
      <c r="AG130" s="118">
        <f ca="1">[1]!ldf(K$5:K$27, $A$5:$A$27, $W130, $A$27, 3)</f>
        <v>1.0088720265477598</v>
      </c>
      <c r="AH130" s="118">
        <f ca="1">[1]!ldf(L$5:L$27, $A$5:$A$27, $W130, $A$27, 3)</f>
        <v>1</v>
      </c>
      <c r="AI130" s="118">
        <f ca="1">[1]!ldf(M$5:M$27, $A$5:$A$27, $W130, $A$27, 3)</f>
        <v>1.1482274643782167</v>
      </c>
      <c r="AJ130" s="118">
        <f ca="1">[1]!ldf(N$5:N$27, $A$5:$A$27, $W130, $A$27, 3)</f>
        <v>1.1382416784131202</v>
      </c>
      <c r="AK130" s="118">
        <f ca="1">[1]!ldf(O$5:O$27, $A$5:$A$27, $W130, $A$27, 3)</f>
        <v>1.1530959698073873</v>
      </c>
      <c r="AL130" s="118">
        <f ca="1">[1]!ldf(P$5:P$27, $A$5:$A$27, $W130, $A$27, 3)</f>
        <v>1.1235309737333468</v>
      </c>
      <c r="AM130" s="118">
        <f ca="1">[1]!ldf(Q$5:Q$27, $A$5:$A$27, $W130, $A$27, 3)</f>
        <v>1.1498845990486457</v>
      </c>
      <c r="AN130" s="118">
        <f ca="1">[1]!ldf(R$5:R$27, $A$5:$A$27, $W130, $A$27, 3)</f>
        <v>1.1419115952078924</v>
      </c>
      <c r="AO130" s="118">
        <f ca="1">[1]!ldf(S$5:S$27, $A$5:$A$27, $W130, $A$27, 3)</f>
        <v>1.1817235716538297</v>
      </c>
      <c r="AP130" s="118">
        <f ca="1">[1]!ldf(T$5:T$27, $A$5:$A$27, $W130, $A$27, 3)</f>
        <v>1.1634794023678035</v>
      </c>
    </row>
    <row r="131" spans="22:42" x14ac:dyDescent="0.2">
      <c r="V131" s="145">
        <f t="shared" si="71"/>
        <v>1</v>
      </c>
      <c r="W131" s="3">
        <f>SMALL(ages, SUM($V$5:V131))</f>
        <v>253</v>
      </c>
      <c r="X131" s="118">
        <f ca="1">[1]!ldf(B$5:B$27, $A$5:$A$27, $W131, $A$27, 3)</f>
        <v>1.024238283573863</v>
      </c>
      <c r="Y131" s="118">
        <f ca="1">[1]!ldf(C$5:C$27, $A$5:$A$27, $W131, $A$27, 3)</f>
        <v>1.0140800053900854</v>
      </c>
      <c r="Z131" s="118">
        <f ca="1">[1]!ldf(D$5:D$27, $A$5:$A$27, $W131, $A$27, 3)</f>
        <v>1.0118619235241122</v>
      </c>
      <c r="AA131" s="118">
        <f ca="1">[1]!ldf(E$5:E$27, $A$5:$A$27, $W131, $A$27, 3)</f>
        <v>1.0071491436295512</v>
      </c>
      <c r="AB131" s="118">
        <f ca="1">[1]!ldf(F$5:F$27, $A$5:$A$27, $W131, $A$27, 3)</f>
        <v>1.0041640595035344</v>
      </c>
      <c r="AC131" s="118">
        <f ca="1">[1]!ldf(G$5:G$27, $A$5:$A$27, $W131, $A$27, 3)</f>
        <v>1.0340778399036992</v>
      </c>
      <c r="AD131" s="118">
        <f ca="1">[1]!ldf(H$5:H$27, $A$5:$A$27, $W131, $A$27, 3)</f>
        <v>1.0262414056921068</v>
      </c>
      <c r="AE131" s="118">
        <f ca="1">[1]!ldf(I$5:I$27, $A$5:$A$27, $W131, $A$27, 3)</f>
        <v>1.0234414855259537</v>
      </c>
      <c r="AF131" s="118">
        <f ca="1">[1]!ldf(J$5:J$27, $A$5:$A$27, $W131, $A$27, 3)</f>
        <v>1.0148623797616803</v>
      </c>
      <c r="AG131" s="118">
        <f ca="1">[1]!ldf(K$5:K$27, $A$5:$A$27, $W131, $A$27, 3)</f>
        <v>1.008744242092471</v>
      </c>
      <c r="AH131" s="118">
        <f ca="1">[1]!ldf(L$5:L$27, $A$5:$A$27, $W131, $A$27, 3)</f>
        <v>1</v>
      </c>
      <c r="AI131" s="118">
        <f ca="1">[1]!ldf(M$5:M$27, $A$5:$A$27, $W131, $A$27, 3)</f>
        <v>1.1470428537515425</v>
      </c>
      <c r="AJ131" s="118">
        <f ca="1">[1]!ldf(N$5:N$27, $A$5:$A$27, $W131, $A$27, 3)</f>
        <v>1.1371937647966894</v>
      </c>
      <c r="AK131" s="118">
        <f ca="1">[1]!ldf(O$5:O$27, $A$5:$A$27, $W131, $A$27, 3)</f>
        <v>1.1519199610092317</v>
      </c>
      <c r="AL131" s="118">
        <f ca="1">[1]!ldf(P$5:P$27, $A$5:$A$27, $W131, $A$27, 3)</f>
        <v>1.1225514406638744</v>
      </c>
      <c r="AM131" s="118">
        <f ca="1">[1]!ldf(Q$5:Q$27, $A$5:$A$27, $W131, $A$27, 3)</f>
        <v>1.1486021986556041</v>
      </c>
      <c r="AN131" s="118">
        <f ca="1">[1]!ldf(R$5:R$27, $A$5:$A$27, $W131, $A$27, 3)</f>
        <v>1.1406727646235757</v>
      </c>
      <c r="AO131" s="118">
        <f ca="1">[1]!ldf(S$5:S$27, $A$5:$A$27, $W131, $A$27, 3)</f>
        <v>1.1800331481398576</v>
      </c>
      <c r="AP131" s="118">
        <f ca="1">[1]!ldf(T$5:T$27, $A$5:$A$27, $W131, $A$27, 3)</f>
        <v>1.1619159043765399</v>
      </c>
    </row>
    <row r="132" spans="22:42" x14ac:dyDescent="0.2">
      <c r="V132" s="145">
        <f t="shared" si="71"/>
        <v>1</v>
      </c>
      <c r="W132" s="3">
        <f>SMALL(ages, SUM($V$5:V132))</f>
        <v>255</v>
      </c>
      <c r="X132" s="118">
        <f ca="1">[1]!ldf(B$5:B$27, $A$5:$A$27, $W132, $A$27, 3)</f>
        <v>1.0238444656150574</v>
      </c>
      <c r="Y132" s="118">
        <f ca="1">[1]!ldf(C$5:C$27, $A$5:$A$27, $W132, $A$27, 3)</f>
        <v>1.0137995148534966</v>
      </c>
      <c r="Z132" s="118">
        <f ca="1">[1]!ldf(D$5:D$27, $A$5:$A$27, $W132, $A$27, 3)</f>
        <v>1.0116140070255215</v>
      </c>
      <c r="AA132" s="118">
        <f ca="1">[1]!ldf(E$5:E$27, $A$5:$A$27, $W132, $A$27, 3)</f>
        <v>1.0069816954461761</v>
      </c>
      <c r="AB132" s="118">
        <f ca="1">[1]!ldf(F$5:F$27, $A$5:$A$27, $W132, $A$27, 3)</f>
        <v>1.0040522189199537</v>
      </c>
      <c r="AC132" s="118">
        <f ca="1">[1]!ldf(G$5:G$27, $A$5:$A$27, $W132, $A$27, 3)</f>
        <v>1.033410686661582</v>
      </c>
      <c r="AD132" s="118">
        <f ca="1">[1]!ldf(H$5:H$27, $A$5:$A$27, $W132, $A$27, 3)</f>
        <v>1.0256885502225237</v>
      </c>
      <c r="AE132" s="118">
        <f ca="1">[1]!ldf(I$5:I$27, $A$5:$A$27, $W132, $A$27, 3)</f>
        <v>1.0229339332973566</v>
      </c>
      <c r="AF132" s="118">
        <f ca="1">[1]!ldf(J$5:J$27, $A$5:$A$27, $W132, $A$27, 3)</f>
        <v>1.0144986336533377</v>
      </c>
      <c r="AG132" s="118">
        <f ca="1">[1]!ldf(K$5:K$27, $A$5:$A$27, $W132, $A$27, 3)</f>
        <v>1.0084941912405287</v>
      </c>
      <c r="AH132" s="118">
        <f ca="1">[1]!ldf(L$5:L$27, $A$5:$A$27, $W132, $A$27, 3)</f>
        <v>1</v>
      </c>
      <c r="AI132" s="118">
        <f ca="1">[1]!ldf(M$5:M$27, $A$5:$A$27, $W132, $A$27, 3)</f>
        <v>1.1447037036068779</v>
      </c>
      <c r="AJ132" s="118">
        <f ca="1">[1]!ldf(N$5:N$27, $A$5:$A$27, $W132, $A$27, 3)</f>
        <v>1.1351230892656967</v>
      </c>
      <c r="AK132" s="118">
        <f ca="1">[1]!ldf(O$5:O$27, $A$5:$A$27, $W132, $A$27, 3)</f>
        <v>1.1495966877297707</v>
      </c>
      <c r="AL132" s="118">
        <f ca="1">[1]!ldf(P$5:P$27, $A$5:$A$27, $W132, $A$27, 3)</f>
        <v>1.1206168384577884</v>
      </c>
      <c r="AM132" s="118">
        <f ca="1">[1]!ldf(Q$5:Q$27, $A$5:$A$27, $W132, $A$27, 3)</f>
        <v>1.1460722582596485</v>
      </c>
      <c r="AN132" s="118">
        <f ca="1">[1]!ldf(R$5:R$27, $A$5:$A$27, $W132, $A$27, 3)</f>
        <v>1.138229368699669</v>
      </c>
      <c r="AO132" s="118">
        <f ca="1">[1]!ldf(S$5:S$27, $A$5:$A$27, $W132, $A$27, 3)</f>
        <v>1.1767027505139833</v>
      </c>
      <c r="AP132" s="118">
        <f ca="1">[1]!ldf(T$5:T$27, $A$5:$A$27, $W132, $A$27, 3)</f>
        <v>1.1588366030037467</v>
      </c>
    </row>
    <row r="133" spans="22:42" x14ac:dyDescent="0.2">
      <c r="V133" s="145">
        <f t="shared" si="71"/>
        <v>1</v>
      </c>
      <c r="W133" s="3">
        <f>SMALL(ages, SUM($V$5:V133))</f>
        <v>256</v>
      </c>
      <c r="X133" s="118">
        <f ca="1">[1]!ldf(B$5:B$27, $A$5:$A$27, $W133, $A$27, 3)</f>
        <v>1.0236499903455838</v>
      </c>
      <c r="Y133" s="118">
        <f ca="1">[1]!ldf(C$5:C$27, $A$5:$A$27, $W133, $A$27, 3)</f>
        <v>1.0136613861157928</v>
      </c>
      <c r="Z133" s="118">
        <f ca="1">[1]!ldf(D$5:D$27, $A$5:$A$27, $W133, $A$27, 3)</f>
        <v>1.0114920097144735</v>
      </c>
      <c r="AA133" s="118">
        <f ca="1">[1]!ldf(E$5:E$27, $A$5:$A$27, $W133, $A$27, 3)</f>
        <v>1.0068994529464135</v>
      </c>
      <c r="AB133" s="118">
        <f ca="1">[1]!ldf(F$5:F$27, $A$5:$A$27, $W133, $A$27, 3)</f>
        <v>1.0039974324262859</v>
      </c>
      <c r="AC133" s="118">
        <f ca="1">[1]!ldf(G$5:G$27, $A$5:$A$27, $W133, $A$27, 3)</f>
        <v>1.0330821022434322</v>
      </c>
      <c r="AD133" s="118">
        <f ca="1">[1]!ldf(H$5:H$27, $A$5:$A$27, $W133, $A$27, 3)</f>
        <v>1.025416559858179</v>
      </c>
      <c r="AE133" s="118">
        <f ca="1">[1]!ldf(I$5:I$27, $A$5:$A$27, $W133, $A$27, 3)</f>
        <v>1.0226843388986575</v>
      </c>
      <c r="AF133" s="118">
        <f ca="1">[1]!ldf(J$5:J$27, $A$5:$A$27, $W133, $A$27, 3)</f>
        <v>1.0143201363502672</v>
      </c>
      <c r="AG133" s="118">
        <f ca="1">[1]!ldf(K$5:K$27, $A$5:$A$27, $W133, $A$27, 3)</f>
        <v>1.0083718713251526</v>
      </c>
      <c r="AH133" s="118">
        <f ca="1">[1]!ldf(L$5:L$27, $A$5:$A$27, $W133, $A$27, 3)</f>
        <v>1</v>
      </c>
      <c r="AI133" s="118">
        <f ca="1">[1]!ldf(M$5:M$27, $A$5:$A$27, $W133, $A$27, 3)</f>
        <v>1.143548976520802</v>
      </c>
      <c r="AJ133" s="118">
        <f ca="1">[1]!ldf(N$5:N$27, $A$5:$A$27, $W133, $A$27, 3)</f>
        <v>1.134100179693309</v>
      </c>
      <c r="AK133" s="118">
        <f ca="1">[1]!ldf(O$5:O$27, $A$5:$A$27, $W133, $A$27, 3)</f>
        <v>1.1484492502313224</v>
      </c>
      <c r="AL133" s="118">
        <f ca="1">[1]!ldf(P$5:P$27, $A$5:$A$27, $W133, $A$27, 3)</f>
        <v>1.1196616209549584</v>
      </c>
      <c r="AM133" s="118">
        <f ca="1">[1]!ldf(Q$5:Q$27, $A$5:$A$27, $W133, $A$27, 3)</f>
        <v>1.1448244852470459</v>
      </c>
      <c r="AN133" s="118">
        <f ca="1">[1]!ldf(R$5:R$27, $A$5:$A$27, $W133, $A$27, 3)</f>
        <v>1.1370245711711773</v>
      </c>
      <c r="AO133" s="118">
        <f ca="1">[1]!ldf(S$5:S$27, $A$5:$A$27, $W133, $A$27, 3)</f>
        <v>1.1750624012778472</v>
      </c>
      <c r="AP133" s="118">
        <f ca="1">[1]!ldf(T$5:T$27, $A$5:$A$27, $W133, $A$27, 3)</f>
        <v>1.1573204398014947</v>
      </c>
    </row>
    <row r="134" spans="22:42" x14ac:dyDescent="0.2">
      <c r="V134" s="145">
        <f t="shared" si="71"/>
        <v>4</v>
      </c>
      <c r="W134" s="3">
        <f>SMALL(ages, SUM($V$5:V134))</f>
        <v>259</v>
      </c>
      <c r="X134" s="118">
        <f ca="1">[1]!ldf(B$5:B$27, $A$5:$A$27, $W134, $A$27, 3)</f>
        <v>1.0230761359922262</v>
      </c>
      <c r="Y134" s="118">
        <f ca="1">[1]!ldf(C$5:C$27, $A$5:$A$27, $W134, $A$27, 3)</f>
        <v>1.0132552941845403</v>
      </c>
      <c r="Z134" s="118">
        <f ca="1">[1]!ldf(D$5:D$27, $A$5:$A$27, $W134, $A$27, 3)</f>
        <v>1.0111336950139824</v>
      </c>
      <c r="AA134" s="118">
        <f ca="1">[1]!ldf(E$5:E$27, $A$5:$A$27, $W134, $A$27, 3)</f>
        <v>1.0066585117471458</v>
      </c>
      <c r="AB134" s="118">
        <f ca="1">[1]!ldf(F$5:F$27, $A$5:$A$27, $W134, $A$27, 3)</f>
        <v>1.0038374857540846</v>
      </c>
      <c r="AC134" s="118">
        <f ca="1">[1]!ldf(G$5:G$27, $A$5:$A$27, $W134, $A$27, 3)</f>
        <v>1.0321159091197691</v>
      </c>
      <c r="AD134" s="118">
        <f ca="1">[1]!ldf(H$5:H$27, $A$5:$A$27, $W134, $A$27, 3)</f>
        <v>1.0246179511965452</v>
      </c>
      <c r="AE134" s="118">
        <f ca="1">[1]!ldf(I$5:I$27, $A$5:$A$27, $W134, $A$27, 3)</f>
        <v>1.021951909064913</v>
      </c>
      <c r="AF134" s="118">
        <f ca="1">[1]!ldf(J$5:J$27, $A$5:$A$27, $W134, $A$27, 3)</f>
        <v>1.0137978105077361</v>
      </c>
      <c r="AG134" s="118">
        <f ca="1">[1]!ldf(K$5:K$27, $A$5:$A$27, $W134, $A$27, 3)</f>
        <v>1.0080154207729446</v>
      </c>
      <c r="AH134" s="118">
        <f ca="1">[1]!ldf(L$5:L$27, $A$5:$A$27, $W134, $A$27, 3)</f>
        <v>1</v>
      </c>
      <c r="AI134" s="118">
        <f ca="1">[1]!ldf(M$5:M$27, $A$5:$A$27, $W134, $A$27, 3)</f>
        <v>1.1401430829113941</v>
      </c>
      <c r="AJ134" s="118">
        <f ca="1">[1]!ldf(N$5:N$27, $A$5:$A$27, $W134, $A$27, 3)</f>
        <v>1.1310802933826372</v>
      </c>
      <c r="AK134" s="118">
        <f ca="1">[1]!ldf(O$5:O$27, $A$5:$A$27, $W134, $A$27, 3)</f>
        <v>1.1450627150337984</v>
      </c>
      <c r="AL134" s="118">
        <f ca="1">[1]!ldf(P$5:P$27, $A$5:$A$27, $W134, $A$27, 3)</f>
        <v>1.1168434287032118</v>
      </c>
      <c r="AM134" s="118">
        <f ca="1">[1]!ldf(Q$5:Q$27, $A$5:$A$27, $W134, $A$27, 3)</f>
        <v>1.1411485850020102</v>
      </c>
      <c r="AN134" s="118">
        <f ca="1">[1]!ldf(R$5:R$27, $A$5:$A$27, $W134, $A$27, 3)</f>
        <v>1.1334764154825885</v>
      </c>
      <c r="AO134" s="118">
        <f ca="1">[1]!ldf(S$5:S$27, $A$5:$A$27, $W134, $A$27, 3)</f>
        <v>1.1702385520123666</v>
      </c>
      <c r="AP134" s="118">
        <f ca="1">[1]!ldf(T$5:T$27, $A$5:$A$27, $W134, $A$27, 3)</f>
        <v>1.1528637904108179</v>
      </c>
    </row>
    <row r="135" spans="22:42" x14ac:dyDescent="0.2">
      <c r="V135" s="145">
        <f t="shared" si="71"/>
        <v>2</v>
      </c>
      <c r="W135" s="3">
        <f>SMALL(ages, SUM($V$5:V135))</f>
        <v>261</v>
      </c>
      <c r="X135" s="118">
        <f ca="1">[1]!ldf(B$5:B$27, $A$5:$A$27, $W135, $A$27, 3)</f>
        <v>1.0227014088609081</v>
      </c>
      <c r="Y135" s="118">
        <f ca="1">[1]!ldf(C$5:C$27, $A$5:$A$27, $W135, $A$27, 3)</f>
        <v>1.0129913379107549</v>
      </c>
      <c r="Z135" s="118">
        <f ca="1">[1]!ldf(D$5:D$27, $A$5:$A$27, $W135, $A$27, 3)</f>
        <v>1.0109010804826601</v>
      </c>
      <c r="AA135" s="118">
        <f ca="1">[1]!ldf(E$5:E$27, $A$5:$A$27, $W135, $A$27, 3)</f>
        <v>1.006502592269809</v>
      </c>
      <c r="AB135" s="118">
        <f ca="1">[1]!ldf(F$5:F$27, $A$5:$A$27, $W135, $A$27, 3)</f>
        <v>1.0037344327676112</v>
      </c>
      <c r="AC135" s="118">
        <f ca="1">[1]!ldf(G$5:G$27, $A$5:$A$27, $W135, $A$27, 3)</f>
        <v>1.0314877472618056</v>
      </c>
      <c r="AD135" s="118">
        <f ca="1">[1]!ldf(H$5:H$27, $A$5:$A$27, $W135, $A$27, 3)</f>
        <v>1.0240996989120952</v>
      </c>
      <c r="AE135" s="118">
        <f ca="1">[1]!ldf(I$5:I$27, $A$5:$A$27, $W135, $A$27, 3)</f>
        <v>1.0214769462844482</v>
      </c>
      <c r="AF135" s="118">
        <f ca="1">[1]!ldf(J$5:J$27, $A$5:$A$27, $W135, $A$27, 3)</f>
        <v>1.0134602914086241</v>
      </c>
      <c r="AG135" s="118">
        <f ca="1">[1]!ldf(K$5:K$27, $A$5:$A$27, $W135, $A$27, 3)</f>
        <v>1.0077862916819151</v>
      </c>
      <c r="AH135" s="118">
        <f ca="1">[1]!ldf(L$5:L$27, $A$5:$A$27, $W135, $A$27, 3)</f>
        <v>1</v>
      </c>
      <c r="AI135" s="118">
        <f ca="1">[1]!ldf(M$5:M$27, $A$5:$A$27, $W135, $A$27, 3)</f>
        <v>1.1379201596168713</v>
      </c>
      <c r="AJ135" s="118">
        <f ca="1">[1]!ldf(N$5:N$27, $A$5:$A$27, $W135, $A$27, 3)</f>
        <v>1.1291070270669743</v>
      </c>
      <c r="AK135" s="118">
        <f ca="1">[1]!ldf(O$5:O$27, $A$5:$A$27, $W135, $A$27, 3)</f>
        <v>1.1428506741391855</v>
      </c>
      <c r="AL135" s="118">
        <f ca="1">[1]!ldf(P$5:P$27, $A$5:$A$27, $W135, $A$27, 3)</f>
        <v>1.1150034705868006</v>
      </c>
      <c r="AM135" s="118">
        <f ca="1">[1]!ldf(Q$5:Q$27, $A$5:$A$27, $W135, $A$27, 3)</f>
        <v>1.1387530516625988</v>
      </c>
      <c r="AN135" s="118">
        <f ca="1">[1]!ldf(R$5:R$27, $A$5:$A$27, $W135, $A$27, 3)</f>
        <v>1.131165064695588</v>
      </c>
      <c r="AO135" s="118">
        <f ca="1">[1]!ldf(S$5:S$27, $A$5:$A$27, $W135, $A$27, 3)</f>
        <v>1.1671018651138927</v>
      </c>
      <c r="AP135" s="118">
        <f ca="1">[1]!ldf(T$5:T$27, $A$5:$A$27, $W135, $A$27, 3)</f>
        <v>1.1499675117985069</v>
      </c>
    </row>
    <row r="136" spans="22:42" x14ac:dyDescent="0.2">
      <c r="V136" s="145">
        <f t="shared" si="71"/>
        <v>2</v>
      </c>
      <c r="W136" s="3">
        <f>SMALL(ages, SUM($V$5:V136))</f>
        <v>264</v>
      </c>
      <c r="X136" s="118">
        <f ca="1">[1]!ldf(B$5:B$27, $A$5:$A$27, $W136, $A$27, 3)</f>
        <v>1.0221508195129687</v>
      </c>
      <c r="Y136" s="118">
        <f ca="1">[1]!ldf(C$5:C$27, $A$5:$A$27, $W136, $A$27, 3)</f>
        <v>1.0126052871216198</v>
      </c>
      <c r="Z136" s="118">
        <f ca="1">[1]!ldf(D$5:D$27, $A$5:$A$27, $W136, $A$27, 3)</f>
        <v>1.0105612866750462</v>
      </c>
      <c r="AA136" s="118">
        <f ca="1">[1]!ldf(E$5:E$27, $A$5:$A$27, $W136, $A$27, 3)</f>
        <v>1.0062755533012646</v>
      </c>
      <c r="AB136" s="118">
        <f ca="1">[1]!ldf(F$5:F$27, $A$5:$A$27, $W136, $A$27, 3)</f>
        <v>1.0035850281083103</v>
      </c>
      <c r="AC136" s="118">
        <f ca="1">[1]!ldf(G$5:G$27, $A$5:$A$27, $W136, $A$27, 3)</f>
        <v>1.0305688044855743</v>
      </c>
      <c r="AD136" s="118">
        <f ca="1">[1]!ldf(H$5:H$27, $A$5:$A$27, $W136, $A$27, 3)</f>
        <v>1.0233429363847919</v>
      </c>
      <c r="AE136" s="118">
        <f ca="1">[1]!ldf(I$5:I$27, $A$5:$A$27, $W136, $A$27, 3)</f>
        <v>1.0207838955342863</v>
      </c>
      <c r="AF136" s="118">
        <f ca="1">[1]!ldf(J$5:J$27, $A$5:$A$27, $W136, $A$27, 3)</f>
        <v>1.0129695284662579</v>
      </c>
      <c r="AG136" s="118">
        <f ca="1">[1]!ldf(K$5:K$27, $A$5:$A$27, $W136, $A$27, 3)</f>
        <v>1.0074548655134308</v>
      </c>
      <c r="AH136" s="118">
        <f ca="1">[1]!ldf(L$5:L$27, $A$5:$A$27, $W136, $A$27, 3)</f>
        <v>1</v>
      </c>
      <c r="AI136" s="118">
        <f ca="1">[1]!ldf(M$5:M$27, $A$5:$A$27, $W136, $A$27, 3)</f>
        <v>1.1346555251502488</v>
      </c>
      <c r="AJ136" s="118">
        <f ca="1">[1]!ldf(N$5:N$27, $A$5:$A$27, $W136, $A$27, 3)</f>
        <v>1.1262057247073525</v>
      </c>
      <c r="AK136" s="118">
        <f ca="1">[1]!ldf(O$5:O$27, $A$5:$A$27, $W136, $A$27, 3)</f>
        <v>1.1395994613883182</v>
      </c>
      <c r="AL136" s="118">
        <f ca="1">[1]!ldf(P$5:P$27, $A$5:$A$27, $W136, $A$27, 3)</f>
        <v>1.1123003942668241</v>
      </c>
      <c r="AM136" s="118">
        <f ca="1">[1]!ldf(Q$5:Q$27, $A$5:$A$27, $W136, $A$27, 3)</f>
        <v>1.1352401779217562</v>
      </c>
      <c r="AN136" s="118">
        <f ca="1">[1]!ldf(R$5:R$27, $A$5:$A$27, $W136, $A$27, 3)</f>
        <v>1.1277770032641119</v>
      </c>
      <c r="AO136" s="118">
        <f ca="1">[1]!ldf(S$5:S$27, $A$5:$A$27, $W136, $A$27, 3)</f>
        <v>1.1625121840197787</v>
      </c>
      <c r="AP136" s="118">
        <f ca="1">[1]!ldf(T$5:T$27, $A$5:$A$27, $W136, $A$27, 3)</f>
        <v>1.1457319993899402</v>
      </c>
    </row>
    <row r="137" spans="22:42" x14ac:dyDescent="0.2">
      <c r="V137" s="145">
        <f t="shared" si="71"/>
        <v>1</v>
      </c>
      <c r="W137" s="3">
        <f>SMALL(ages, SUM($V$5:V137))</f>
        <v>265</v>
      </c>
      <c r="X137" s="118">
        <f ca="1">[1]!ldf(B$5:B$27, $A$5:$A$27, $W137, $A$27, 3)</f>
        <v>1.0219703053242033</v>
      </c>
      <c r="Y137" s="118">
        <f ca="1">[1]!ldf(C$5:C$27, $A$5:$A$27, $W137, $A$27, 3)</f>
        <v>1.0124791856580926</v>
      </c>
      <c r="Z137" s="118">
        <f ca="1">[1]!ldf(D$5:D$27, $A$5:$A$27, $W137, $A$27, 3)</f>
        <v>1.0104504045109295</v>
      </c>
      <c r="AA137" s="118">
        <f ca="1">[1]!ldf(E$5:E$27, $A$5:$A$27, $W137, $A$27, 3)</f>
        <v>1.0062016545578829</v>
      </c>
      <c r="AB137" s="118">
        <f ca="1">[1]!ldf(F$5:F$27, $A$5:$A$27, $W137, $A$27, 3)</f>
        <v>1.0035365692100249</v>
      </c>
      <c r="AC137" s="118">
        <f ca="1">[1]!ldf(G$5:G$27, $A$5:$A$27, $W137, $A$27, 3)</f>
        <v>1.0302685766442208</v>
      </c>
      <c r="AD137" s="118">
        <f ca="1">[1]!ldf(H$5:H$27, $A$5:$A$27, $W137, $A$27, 3)</f>
        <v>1.023096060050759</v>
      </c>
      <c r="AE137" s="118">
        <f ca="1">[1]!ldf(I$5:I$27, $A$5:$A$27, $W137, $A$27, 3)</f>
        <v>1.0205579348318345</v>
      </c>
      <c r="AF137" s="118">
        <f ca="1">[1]!ldf(J$5:J$27, $A$5:$A$27, $W137, $A$27, 3)</f>
        <v>1.0128099750986843</v>
      </c>
      <c r="AG137" s="118">
        <f ca="1">[1]!ldf(K$5:K$27, $A$5:$A$27, $W137, $A$27, 3)</f>
        <v>1.0073475667896461</v>
      </c>
      <c r="AH137" s="118">
        <f ca="1">[1]!ldf(L$5:L$27, $A$5:$A$27, $W137, $A$27, 3)</f>
        <v>1</v>
      </c>
      <c r="AI137" s="118">
        <f ca="1">[1]!ldf(M$5:M$27, $A$5:$A$27, $W137, $A$27, 3)</f>
        <v>1.1335524478349726</v>
      </c>
      <c r="AJ137" s="118">
        <f ca="1">[1]!ldf(N$5:N$27, $A$5:$A$27, $W137, $A$27, 3)</f>
        <v>1.1252348376349623</v>
      </c>
      <c r="AK137" s="118">
        <f ca="1">[1]!ldf(O$5:O$27, $A$5:$A$27, $W137, $A$27, 3)</f>
        <v>1.1385259563434014</v>
      </c>
      <c r="AL137" s="118">
        <f ca="1">[1]!ldf(P$5:P$27, $A$5:$A$27, $W137, $A$27, 3)</f>
        <v>1.1114092289125146</v>
      </c>
      <c r="AM137" s="118">
        <f ca="1">[1]!ldf(Q$5:Q$27, $A$5:$A$27, $W137, $A$27, 3)</f>
        <v>1.1340836337274807</v>
      </c>
      <c r="AN137" s="118">
        <f ca="1">[1]!ldf(R$5:R$27, $A$5:$A$27, $W137, $A$27, 3)</f>
        <v>1.1266627065124919</v>
      </c>
      <c r="AO137" s="118">
        <f ca="1">[1]!ldf(S$5:S$27, $A$5:$A$27, $W137, $A$27, 3)</f>
        <v>1.1610055816274871</v>
      </c>
      <c r="AP137" s="118">
        <f ca="1">[1]!ldf(T$5:T$27, $A$5:$A$27, $W137, $A$27, 3)</f>
        <v>1.1443410415756763</v>
      </c>
    </row>
    <row r="138" spans="22:42" x14ac:dyDescent="0.2">
      <c r="V138" s="145">
        <f t="shared" si="71"/>
        <v>1</v>
      </c>
      <c r="W138" s="3">
        <f>SMALL(ages, SUM($V$5:V138))</f>
        <v>267</v>
      </c>
      <c r="X138" s="118">
        <f ca="1">[1]!ldf(B$5:B$27, $A$5:$A$27, $W138, $A$27, 3)</f>
        <v>1.0216137245324994</v>
      </c>
      <c r="Y138" s="118">
        <f ca="1">[1]!ldf(C$5:C$27, $A$5:$A$27, $W138, $A$27, 3)</f>
        <v>1.0122307773472674</v>
      </c>
      <c r="Z138" s="118">
        <f ca="1">[1]!ldf(D$5:D$27, $A$5:$A$27, $W138, $A$27, 3)</f>
        <v>1.0102321379806907</v>
      </c>
      <c r="AA138" s="118">
        <f ca="1">[1]!ldf(E$5:E$27, $A$5:$A$27, $W138, $A$27, 3)</f>
        <v>1.0060564652596109</v>
      </c>
      <c r="AB138" s="118">
        <f ca="1">[1]!ldf(F$5:F$27, $A$5:$A$27, $W138, $A$27, 3)</f>
        <v>1.0034416109716346</v>
      </c>
      <c r="AC138" s="118">
        <f ca="1">[1]!ldf(G$5:G$27, $A$5:$A$27, $W138, $A$27, 3)</f>
        <v>1.0296770642967403</v>
      </c>
      <c r="AD138" s="118">
        <f ca="1">[1]!ldf(H$5:H$27, $A$5:$A$27, $W138, $A$27, 3)</f>
        <v>1.0226101986172762</v>
      </c>
      <c r="AE138" s="118">
        <f ca="1">[1]!ldf(I$5:I$27, $A$5:$A$27, $W138, $A$27, 3)</f>
        <v>1.0201134287019451</v>
      </c>
      <c r="AF138" s="118">
        <f ca="1">[1]!ldf(J$5:J$27, $A$5:$A$27, $W138, $A$27, 3)</f>
        <v>1.0124967688753348</v>
      </c>
      <c r="AG138" s="118">
        <f ca="1">[1]!ldf(K$5:K$27, $A$5:$A$27, $W138, $A$27, 3)</f>
        <v>1.0071375965164351</v>
      </c>
      <c r="AH138" s="118">
        <f ca="1">[1]!ldf(L$5:L$27, $A$5:$A$27, $W138, $A$27, 3)</f>
        <v>1</v>
      </c>
      <c r="AI138" s="118">
        <f ca="1">[1]!ldf(M$5:M$27, $A$5:$A$27, $W138, $A$27, 3)</f>
        <v>1.1313748611486387</v>
      </c>
      <c r="AJ138" s="118">
        <f ca="1">[1]!ldf(N$5:N$27, $A$5:$A$27, $W138, $A$27, 3)</f>
        <v>1.1233166129504677</v>
      </c>
      <c r="AK138" s="118">
        <f ca="1">[1]!ldf(O$5:O$27, $A$5:$A$27, $W138, $A$27, 3)</f>
        <v>1.1364050953699876</v>
      </c>
      <c r="AL138" s="118">
        <f ca="1">[1]!ldf(P$5:P$27, $A$5:$A$27, $W138, $A$27, 3)</f>
        <v>1.1096490827928667</v>
      </c>
      <c r="AM138" s="118">
        <f ca="1">[1]!ldf(Q$5:Q$27, $A$5:$A$27, $W138, $A$27, 3)</f>
        <v>1.1318018147857638</v>
      </c>
      <c r="AN138" s="118">
        <f ca="1">[1]!ldf(R$5:R$27, $A$5:$A$27, $W138, $A$27, 3)</f>
        <v>1.1244647533865075</v>
      </c>
      <c r="AO138" s="118">
        <f ca="1">[1]!ldf(S$5:S$27, $A$5:$A$27, $W138, $A$27, 3)</f>
        <v>1.1580369199405705</v>
      </c>
      <c r="AP138" s="118">
        <f ca="1">[1]!ldf(T$5:T$27, $A$5:$A$27, $W138, $A$27, 3)</f>
        <v>1.1416012276813832</v>
      </c>
    </row>
    <row r="139" spans="22:42" x14ac:dyDescent="0.2">
      <c r="V139" s="145">
        <f t="shared" si="71"/>
        <v>1</v>
      </c>
      <c r="W139" s="3">
        <f>SMALL(ages, SUM($V$5:V139))</f>
        <v>271</v>
      </c>
      <c r="X139" s="118">
        <f ca="1">[1]!ldf(B$5:B$27, $A$5:$A$27, $W139, $A$27, 3)</f>
        <v>1.0209180072002313</v>
      </c>
      <c r="Y139" s="118">
        <f ca="1">[1]!ldf(C$5:C$27, $A$5:$A$27, $W139, $A$27, 3)</f>
        <v>1.0117487819381852</v>
      </c>
      <c r="Z139" s="118">
        <f ca="1">[1]!ldf(D$5:D$27, $A$5:$A$27, $W139, $A$27, 3)</f>
        <v>1.0098092516291437</v>
      </c>
      <c r="AA139" s="118">
        <f ca="1">[1]!ldf(E$5:E$27, $A$5:$A$27, $W139, $A$27, 3)</f>
        <v>1.0057762333457936</v>
      </c>
      <c r="AB139" s="118">
        <f ca="1">[1]!ldf(F$5:F$27, $A$5:$A$27, $W139, $A$27, 3)</f>
        <v>1.0032592873342441</v>
      </c>
      <c r="AC139" s="118">
        <f ca="1">[1]!ldf(G$5:G$27, $A$5:$A$27, $W139, $A$27, 3)</f>
        <v>1.0285289667642479</v>
      </c>
      <c r="AD139" s="118">
        <f ca="1">[1]!ldf(H$5:H$27, $A$5:$A$27, $W139, $A$27, 3)</f>
        <v>1.0216692446069369</v>
      </c>
      <c r="AE139" s="118">
        <f ca="1">[1]!ldf(I$5:I$27, $A$5:$A$27, $W139, $A$27, 3)</f>
        <v>1.0192533113091498</v>
      </c>
      <c r="AF139" s="118">
        <f ca="1">[1]!ldf(J$5:J$27, $A$5:$A$27, $W139, $A$27, 3)</f>
        <v>1.0118932765733057</v>
      </c>
      <c r="AG139" s="118">
        <f ca="1">[1]!ldf(K$5:K$27, $A$5:$A$27, $W139, $A$27, 3)</f>
        <v>1.0067355449076454</v>
      </c>
      <c r="AH139" s="118">
        <f ca="1">[1]!ldf(L$5:L$27, $A$5:$A$27, $W139, $A$27, 3)</f>
        <v>1</v>
      </c>
      <c r="AI139" s="118">
        <f ca="1">[1]!ldf(M$5:M$27, $A$5:$A$27, $W139, $A$27, 3)</f>
        <v>1.1271314509827517</v>
      </c>
      <c r="AJ139" s="118">
        <f ca="1">[1]!ldf(N$5:N$27, $A$5:$A$27, $W139, $A$27, 3)</f>
        <v>1.1195724315210294</v>
      </c>
      <c r="AK139" s="118">
        <f ca="1">[1]!ldf(O$5:O$27, $A$5:$A$27, $W139, $A$27, 3)</f>
        <v>1.1322658040789866</v>
      </c>
      <c r="AL139" s="118">
        <f ca="1">[1]!ldf(P$5:P$27, $A$5:$A$27, $W139, $A$27, 3)</f>
        <v>1.1062156765999056</v>
      </c>
      <c r="AM139" s="118">
        <f ca="1">[1]!ldf(Q$5:Q$27, $A$5:$A$27, $W139, $A$27, 3)</f>
        <v>1.1273603885119412</v>
      </c>
      <c r="AN139" s="118">
        <f ca="1">[1]!ldf(R$5:R$27, $A$5:$A$27, $W139, $A$27, 3)</f>
        <v>1.1201885629409563</v>
      </c>
      <c r="AO139" s="118">
        <f ca="1">[1]!ldf(S$5:S$27, $A$5:$A$27, $W139, $A$27, 3)</f>
        <v>1.1522732540959801</v>
      </c>
      <c r="AP139" s="118">
        <f ca="1">[1]!ldf(T$5:T$27, $A$5:$A$27, $W139, $A$27, 3)</f>
        <v>1.1362856705298645</v>
      </c>
    </row>
    <row r="140" spans="22:42" x14ac:dyDescent="0.2">
      <c r="V140" s="145">
        <f t="shared" si="71"/>
        <v>2</v>
      </c>
      <c r="W140" s="3">
        <f>SMALL(ages, SUM($V$5:V140))</f>
        <v>273</v>
      </c>
      <c r="X140" s="118">
        <f ca="1">[1]!ldf(B$5:B$27, $A$5:$A$27, $W140, $A$27, 3)</f>
        <v>1.0205786767469183</v>
      </c>
      <c r="Y140" s="118">
        <f ca="1">[1]!ldf(C$5:C$27, $A$5:$A$27, $W140, $A$27, 3)</f>
        <v>1.0115149954394096</v>
      </c>
      <c r="Z140" s="118">
        <f ca="1">[1]!ldf(D$5:D$27, $A$5:$A$27, $W140, $A$27, 3)</f>
        <v>1.0096044397295243</v>
      </c>
      <c r="AA140" s="118">
        <f ca="1">[1]!ldf(E$5:E$27, $A$5:$A$27, $W140, $A$27, 3)</f>
        <v>1.0056410316404549</v>
      </c>
      <c r="AB140" s="118">
        <f ca="1">[1]!ldf(F$5:F$27, $A$5:$A$27, $W140, $A$27, 3)</f>
        <v>1.0031717859805431</v>
      </c>
      <c r="AC140" s="118">
        <f ca="1">[1]!ldf(G$5:G$27, $A$5:$A$27, $W140, $A$27, 3)</f>
        <v>1.0279719096382318</v>
      </c>
      <c r="AD140" s="118">
        <f ca="1">[1]!ldf(H$5:H$27, $A$5:$A$27, $W140, $A$27, 3)</f>
        <v>1.0212137086375028</v>
      </c>
      <c r="AE140" s="118">
        <f ca="1">[1]!ldf(I$5:I$27, $A$5:$A$27, $W140, $A$27, 3)</f>
        <v>1.0188372735058231</v>
      </c>
      <c r="AF140" s="118">
        <f ca="1">[1]!ldf(J$5:J$27, $A$5:$A$27, $W140, $A$27, 3)</f>
        <v>1.0116026119576351</v>
      </c>
      <c r="AG140" s="118">
        <f ca="1">[1]!ldf(K$5:K$27, $A$5:$A$27, $W140, $A$27, 3)</f>
        <v>1.0065431210356524</v>
      </c>
      <c r="AH140" s="118">
        <f ca="1">[1]!ldf(L$5:L$27, $A$5:$A$27, $W140, $A$27, 3)</f>
        <v>1</v>
      </c>
      <c r="AI140" s="118">
        <f ca="1">[1]!ldf(M$5:M$27, $A$5:$A$27, $W140, $A$27, 3)</f>
        <v>1.1250642287104848</v>
      </c>
      <c r="AJ140" s="118">
        <f ca="1">[1]!ldf(N$5:N$27, $A$5:$A$27, $W140, $A$27, 3)</f>
        <v>1.1177453967754971</v>
      </c>
      <c r="AK140" s="118">
        <f ca="1">[1]!ldf(O$5:O$27, $A$5:$A$27, $W140, $A$27, 3)</f>
        <v>1.1302461644650235</v>
      </c>
      <c r="AL140" s="118">
        <f ca="1">[1]!ldf(P$5:P$27, $A$5:$A$27, $W140, $A$27, 3)</f>
        <v>1.1045413821319057</v>
      </c>
      <c r="AM140" s="118">
        <f ca="1">[1]!ldf(Q$5:Q$27, $A$5:$A$27, $W140, $A$27, 3)</f>
        <v>1.1251991847243918</v>
      </c>
      <c r="AN140" s="118">
        <f ca="1">[1]!ldf(R$5:R$27, $A$5:$A$27, $W140, $A$27, 3)</f>
        <v>1.1181087409616812</v>
      </c>
      <c r="AO140" s="118">
        <f ca="1">[1]!ldf(S$5:S$27, $A$5:$A$27, $W140, $A$27, 3)</f>
        <v>1.1494757428562503</v>
      </c>
      <c r="AP140" s="118">
        <f ca="1">[1]!ldf(T$5:T$27, $A$5:$A$27, $W140, $A$27, 3)</f>
        <v>1.133707519995224</v>
      </c>
    </row>
    <row r="141" spans="22:42" x14ac:dyDescent="0.2">
      <c r="V141" s="145">
        <f t="shared" ref="V141:V145" si="72">COUNTIF(ages, W140)</f>
        <v>2</v>
      </c>
      <c r="W141" s="3">
        <f>SMALL(ages, SUM($V$5:V141))</f>
        <v>276</v>
      </c>
      <c r="X141" s="118">
        <f ca="1">[1]!ldf(B$5:B$27, $A$5:$A$27, $W141, $A$27, 3)</f>
        <v>1.0200800751209926</v>
      </c>
      <c r="Y141" s="118">
        <f ca="1">[1]!ldf(C$5:C$27, $A$5:$A$27, $W141, $A$27, 3)</f>
        <v>1.0111730572345954</v>
      </c>
      <c r="Z141" s="118">
        <f ca="1">[1]!ldf(D$5:D$27, $A$5:$A$27, $W141, $A$27, 3)</f>
        <v>1.0093052488431837</v>
      </c>
      <c r="AA141" s="118">
        <f ca="1">[1]!ldf(E$5:E$27, $A$5:$A$27, $W141, $A$27, 3)</f>
        <v>1.0054441554846649</v>
      </c>
      <c r="AB141" s="118">
        <f ca="1">[1]!ldf(F$5:F$27, $A$5:$A$27, $W141, $A$27, 3)</f>
        <v>1.0030449254430454</v>
      </c>
      <c r="AC141" s="118">
        <f ca="1">[1]!ldf(G$5:G$27, $A$5:$A$27, $W141, $A$27, 3)</f>
        <v>1.0271569192014118</v>
      </c>
      <c r="AD141" s="118">
        <f ca="1">[1]!ldf(H$5:H$27, $A$5:$A$27, $W141, $A$27, 3)</f>
        <v>1.0205484766729909</v>
      </c>
      <c r="AE141" s="118">
        <f ca="1">[1]!ldf(I$5:I$27, $A$5:$A$27, $W141, $A$27, 3)</f>
        <v>1.0182301619613063</v>
      </c>
      <c r="AF141" s="118">
        <f ca="1">[1]!ldf(J$5:J$27, $A$5:$A$27, $W141, $A$27, 3)</f>
        <v>1.0111799531458665</v>
      </c>
      <c r="AG141" s="118">
        <f ca="1">[1]!ldf(K$5:K$27, $A$5:$A$27, $W141, $A$27, 3)</f>
        <v>1.0062647751953069</v>
      </c>
      <c r="AH141" s="118">
        <f ca="1">[1]!ldf(L$5:L$27, $A$5:$A$27, $W141, $A$27, 3)</f>
        <v>1</v>
      </c>
      <c r="AI141" s="118">
        <f ca="1">[1]!ldf(M$5:M$27, $A$5:$A$27, $W141, $A$27, 3)</f>
        <v>1.1220295895658776</v>
      </c>
      <c r="AJ141" s="118">
        <f ca="1">[1]!ldf(N$5:N$27, $A$5:$A$27, $W141, $A$27, 3)</f>
        <v>1.1150596901134664</v>
      </c>
      <c r="AK141" s="118">
        <f ca="1">[1]!ldf(O$5:O$27, $A$5:$A$27, $W141, $A$27, 3)</f>
        <v>1.1272775592779578</v>
      </c>
      <c r="AL141" s="118">
        <f ca="1">[1]!ldf(P$5:P$27, $A$5:$A$27, $W141, $A$27, 3)</f>
        <v>1.1020815367999535</v>
      </c>
      <c r="AM141" s="118">
        <f ca="1">[1]!ldf(Q$5:Q$27, $A$5:$A$27, $W141, $A$27, 3)</f>
        <v>1.1220295895658776</v>
      </c>
      <c r="AN141" s="118">
        <f ca="1">[1]!ldf(R$5:R$27, $A$5:$A$27, $W141, $A$27, 3)</f>
        <v>1.1150596901134664</v>
      </c>
      <c r="AO141" s="118">
        <f ca="1">[1]!ldf(S$5:S$27, $A$5:$A$27, $W141, $A$27, 3)</f>
        <v>1.1453814732844192</v>
      </c>
      <c r="AP141" s="118">
        <f ca="1">[1]!ldf(T$5:T$27, $A$5:$A$27, $W141, $A$27, 3)</f>
        <v>1.1299365610544283</v>
      </c>
    </row>
    <row r="142" spans="22:42" x14ac:dyDescent="0.2">
      <c r="V142" s="145">
        <f t="shared" si="72"/>
        <v>1</v>
      </c>
      <c r="W142" s="3">
        <f>SMALL(ages, SUM($V$5:V142))</f>
        <v>277</v>
      </c>
      <c r="X142" s="118">
        <f ca="1">[1]!ldf(B$5:B$27, $A$5:$A$27, $W142, $A$27, 3)</f>
        <v>1.0200800751209926</v>
      </c>
      <c r="Y142" s="118">
        <f ca="1">[1]!ldf(C$5:C$27, $A$5:$A$27, $W142, $A$27, 3)</f>
        <v>1.0111730572345954</v>
      </c>
      <c r="Z142" s="118">
        <f ca="1">[1]!ldf(D$5:D$27, $A$5:$A$27, $W142, $A$27, 3)</f>
        <v>1.0093052488431837</v>
      </c>
      <c r="AA142" s="118">
        <f ca="1">[1]!ldf(E$5:E$27, $A$5:$A$27, $W142, $A$27, 3)</f>
        <v>1.0054441554846649</v>
      </c>
      <c r="AB142" s="118">
        <f ca="1">[1]!ldf(F$5:F$27, $A$5:$A$27, $W142, $A$27, 3)</f>
        <v>1.0030449254430454</v>
      </c>
      <c r="AC142" s="118">
        <f ca="1">[1]!ldf(G$5:G$27, $A$5:$A$27, $W142, $A$27, 3)</f>
        <v>1.0271569192014118</v>
      </c>
      <c r="AD142" s="118">
        <f ca="1">[1]!ldf(H$5:H$27, $A$5:$A$27, $W142, $A$27, 3)</f>
        <v>1.0205484766729909</v>
      </c>
      <c r="AE142" s="118">
        <f ca="1">[1]!ldf(I$5:I$27, $A$5:$A$27, $W142, $A$27, 3)</f>
        <v>1.0182301619613063</v>
      </c>
      <c r="AF142" s="118">
        <f ca="1">[1]!ldf(J$5:J$27, $A$5:$A$27, $W142, $A$27, 3)</f>
        <v>1.0111799531458665</v>
      </c>
      <c r="AG142" s="118">
        <f ca="1">[1]!ldf(K$5:K$27, $A$5:$A$27, $W142, $A$27, 3)</f>
        <v>1.0062647751953069</v>
      </c>
      <c r="AH142" s="118">
        <f ca="1">[1]!ldf(L$5:L$27, $A$5:$A$27, $W142, $A$27, 3)</f>
        <v>1</v>
      </c>
      <c r="AI142" s="118">
        <f ca="1">[1]!ldf(M$5:M$27, $A$5:$A$27, $W142, $A$27, 3)</f>
        <v>1.1220295895658776</v>
      </c>
      <c r="AJ142" s="118">
        <f ca="1">[1]!ldf(N$5:N$27, $A$5:$A$27, $W142, $A$27, 3)</f>
        <v>1.1150596901134664</v>
      </c>
      <c r="AK142" s="118">
        <f ca="1">[1]!ldf(O$5:O$27, $A$5:$A$27, $W142, $A$27, 3)</f>
        <v>1.1272775592779578</v>
      </c>
      <c r="AL142" s="118">
        <f ca="1">[1]!ldf(P$5:P$27, $A$5:$A$27, $W142, $A$27, 3)</f>
        <v>1.1020815367999535</v>
      </c>
      <c r="AM142" s="118">
        <f ca="1">[1]!ldf(Q$5:Q$27, $A$5:$A$27, $W142, $A$27, 3)</f>
        <v>1.1220295895658776</v>
      </c>
      <c r="AN142" s="118">
        <f ca="1">[1]!ldf(R$5:R$27, $A$5:$A$27, $W142, $A$27, 3)</f>
        <v>1.1150596901134664</v>
      </c>
      <c r="AO142" s="118">
        <f ca="1">[1]!ldf(S$5:S$27, $A$5:$A$27, $W142, $A$27, 3)</f>
        <v>1.1453814732844192</v>
      </c>
      <c r="AP142" s="118">
        <f ca="1">[1]!ldf(T$5:T$27, $A$5:$A$27, $W142, $A$27, 3)</f>
        <v>1.1299365610544283</v>
      </c>
    </row>
    <row r="143" spans="22:42" x14ac:dyDescent="0.2">
      <c r="V143" s="145">
        <f t="shared" si="72"/>
        <v>1</v>
      </c>
      <c r="W143" s="3">
        <f>SMALL(ages, SUM($V$5:V143))</f>
        <v>279</v>
      </c>
      <c r="X143" s="118">
        <f ca="1">[1]!ldf(B$5:B$27, $A$5:$A$27, $W143, $A$27, 3)</f>
        <v>1.0200800751209926</v>
      </c>
      <c r="Y143" s="118">
        <f ca="1">[1]!ldf(C$5:C$27, $A$5:$A$27, $W143, $A$27, 3)</f>
        <v>1.0111730572345954</v>
      </c>
      <c r="Z143" s="118">
        <f ca="1">[1]!ldf(D$5:D$27, $A$5:$A$27, $W143, $A$27, 3)</f>
        <v>1.0093052488431837</v>
      </c>
      <c r="AA143" s="118">
        <f ca="1">[1]!ldf(E$5:E$27, $A$5:$A$27, $W143, $A$27, 3)</f>
        <v>1.0054441554846649</v>
      </c>
      <c r="AB143" s="118">
        <f ca="1">[1]!ldf(F$5:F$27, $A$5:$A$27, $W143, $A$27, 3)</f>
        <v>1.0030449254430454</v>
      </c>
      <c r="AC143" s="118">
        <f ca="1">[1]!ldf(G$5:G$27, $A$5:$A$27, $W143, $A$27, 3)</f>
        <v>1.0271569192014118</v>
      </c>
      <c r="AD143" s="118">
        <f ca="1">[1]!ldf(H$5:H$27, $A$5:$A$27, $W143, $A$27, 3)</f>
        <v>1.0205484766729909</v>
      </c>
      <c r="AE143" s="118">
        <f ca="1">[1]!ldf(I$5:I$27, $A$5:$A$27, $W143, $A$27, 3)</f>
        <v>1.0182301619613063</v>
      </c>
      <c r="AF143" s="118">
        <f ca="1">[1]!ldf(J$5:J$27, $A$5:$A$27, $W143, $A$27, 3)</f>
        <v>1.0111799531458665</v>
      </c>
      <c r="AG143" s="118">
        <f ca="1">[1]!ldf(K$5:K$27, $A$5:$A$27, $W143, $A$27, 3)</f>
        <v>1.0062647751953069</v>
      </c>
      <c r="AH143" s="118">
        <f ca="1">[1]!ldf(L$5:L$27, $A$5:$A$27, $W143, $A$27, 3)</f>
        <v>1</v>
      </c>
      <c r="AI143" s="118">
        <f ca="1">[1]!ldf(M$5:M$27, $A$5:$A$27, $W143, $A$27, 3)</f>
        <v>1.1220295895658776</v>
      </c>
      <c r="AJ143" s="118">
        <f ca="1">[1]!ldf(N$5:N$27, $A$5:$A$27, $W143, $A$27, 3)</f>
        <v>1.1150596901134664</v>
      </c>
      <c r="AK143" s="118">
        <f ca="1">[1]!ldf(O$5:O$27, $A$5:$A$27, $W143, $A$27, 3)</f>
        <v>1.1272775592779578</v>
      </c>
      <c r="AL143" s="118">
        <f ca="1">[1]!ldf(P$5:P$27, $A$5:$A$27, $W143, $A$27, 3)</f>
        <v>1.1020815367999535</v>
      </c>
      <c r="AM143" s="118">
        <f ca="1">[1]!ldf(Q$5:Q$27, $A$5:$A$27, $W143, $A$27, 3)</f>
        <v>1.1220295895658776</v>
      </c>
      <c r="AN143" s="118">
        <f ca="1">[1]!ldf(R$5:R$27, $A$5:$A$27, $W143, $A$27, 3)</f>
        <v>1.1150596901134664</v>
      </c>
      <c r="AO143" s="118">
        <f ca="1">[1]!ldf(S$5:S$27, $A$5:$A$27, $W143, $A$27, 3)</f>
        <v>1.1453814732844192</v>
      </c>
      <c r="AP143" s="118">
        <f ca="1">[1]!ldf(T$5:T$27, $A$5:$A$27, $W143, $A$27, 3)</f>
        <v>1.1299365610544283</v>
      </c>
    </row>
    <row r="144" spans="22:42" x14ac:dyDescent="0.2">
      <c r="V144" s="145">
        <f t="shared" si="72"/>
        <v>1</v>
      </c>
      <c r="W144" s="3">
        <f>SMALL(ages, SUM($V$5:V144))</f>
        <v>283</v>
      </c>
      <c r="X144" s="118">
        <f ca="1">[1]!ldf(B$5:B$27, $A$5:$A$27, $W144, $A$27, 3)</f>
        <v>1.0200800751209926</v>
      </c>
      <c r="Y144" s="118">
        <f ca="1">[1]!ldf(C$5:C$27, $A$5:$A$27, $W144, $A$27, 3)</f>
        <v>1.0111730572345954</v>
      </c>
      <c r="Z144" s="118">
        <f ca="1">[1]!ldf(D$5:D$27, $A$5:$A$27, $W144, $A$27, 3)</f>
        <v>1.0093052488431837</v>
      </c>
      <c r="AA144" s="118">
        <f ca="1">[1]!ldf(E$5:E$27, $A$5:$A$27, $W144, $A$27, 3)</f>
        <v>1.0054441554846649</v>
      </c>
      <c r="AB144" s="118">
        <f ca="1">[1]!ldf(F$5:F$27, $A$5:$A$27, $W144, $A$27, 3)</f>
        <v>1.0030449254430454</v>
      </c>
      <c r="AC144" s="118">
        <f ca="1">[1]!ldf(G$5:G$27, $A$5:$A$27, $W144, $A$27, 3)</f>
        <v>1.0271569192014118</v>
      </c>
      <c r="AD144" s="118">
        <f ca="1">[1]!ldf(H$5:H$27, $A$5:$A$27, $W144, $A$27, 3)</f>
        <v>1.0205484766729909</v>
      </c>
      <c r="AE144" s="118">
        <f ca="1">[1]!ldf(I$5:I$27, $A$5:$A$27, $W144, $A$27, 3)</f>
        <v>1.0182301619613063</v>
      </c>
      <c r="AF144" s="118">
        <f ca="1">[1]!ldf(J$5:J$27, $A$5:$A$27, $W144, $A$27, 3)</f>
        <v>1.0111799531458665</v>
      </c>
      <c r="AG144" s="118">
        <f ca="1">[1]!ldf(K$5:K$27, $A$5:$A$27, $W144, $A$27, 3)</f>
        <v>1.0062647751953069</v>
      </c>
      <c r="AH144" s="118">
        <f ca="1">[1]!ldf(L$5:L$27, $A$5:$A$27, $W144, $A$27, 3)</f>
        <v>1</v>
      </c>
      <c r="AI144" s="118">
        <f ca="1">[1]!ldf(M$5:M$27, $A$5:$A$27, $W144, $A$27, 3)</f>
        <v>1.1220295895658776</v>
      </c>
      <c r="AJ144" s="118">
        <f ca="1">[1]!ldf(N$5:N$27, $A$5:$A$27, $W144, $A$27, 3)</f>
        <v>1.1150596901134664</v>
      </c>
      <c r="AK144" s="118">
        <f ca="1">[1]!ldf(O$5:O$27, $A$5:$A$27, $W144, $A$27, 3)</f>
        <v>1.1272775592779578</v>
      </c>
      <c r="AL144" s="118">
        <f ca="1">[1]!ldf(P$5:P$27, $A$5:$A$27, $W144, $A$27, 3)</f>
        <v>1.1020815367999535</v>
      </c>
      <c r="AM144" s="118">
        <f ca="1">[1]!ldf(Q$5:Q$27, $A$5:$A$27, $W144, $A$27, 3)</f>
        <v>1.1220295895658776</v>
      </c>
      <c r="AN144" s="118">
        <f ca="1">[1]!ldf(R$5:R$27, $A$5:$A$27, $W144, $A$27, 3)</f>
        <v>1.1150596901134664</v>
      </c>
      <c r="AO144" s="118">
        <f ca="1">[1]!ldf(S$5:S$27, $A$5:$A$27, $W144, $A$27, 3)</f>
        <v>1.1453814732844192</v>
      </c>
      <c r="AP144" s="118">
        <f ca="1">[1]!ldf(T$5:T$27, $A$5:$A$27, $W144, $A$27, 3)</f>
        <v>1.1299365610544283</v>
      </c>
    </row>
    <row r="145" spans="22:42" x14ac:dyDescent="0.2">
      <c r="V145" s="145">
        <f t="shared" si="72"/>
        <v>2</v>
      </c>
      <c r="W145" s="3">
        <f>SMALL(ages, SUM($V$5:V145))</f>
        <v>285</v>
      </c>
      <c r="X145" s="118">
        <f ca="1">[1]!ldf(B$5:B$27, $A$5:$A$27, $W145, $A$27, 3)</f>
        <v>1.0200800751209926</v>
      </c>
      <c r="Y145" s="118">
        <f ca="1">[1]!ldf(C$5:C$27, $A$5:$A$27, $W145, $A$27, 3)</f>
        <v>1.0111730572345954</v>
      </c>
      <c r="Z145" s="118">
        <f ca="1">[1]!ldf(D$5:D$27, $A$5:$A$27, $W145, $A$27, 3)</f>
        <v>1.0093052488431837</v>
      </c>
      <c r="AA145" s="118">
        <f ca="1">[1]!ldf(E$5:E$27, $A$5:$A$27, $W145, $A$27, 3)</f>
        <v>1.0054441554846649</v>
      </c>
      <c r="AB145" s="118">
        <f ca="1">[1]!ldf(F$5:F$27, $A$5:$A$27, $W145, $A$27, 3)</f>
        <v>1.0030449254430454</v>
      </c>
      <c r="AC145" s="118">
        <f ca="1">[1]!ldf(G$5:G$27, $A$5:$A$27, $W145, $A$27, 3)</f>
        <v>1.0271569192014118</v>
      </c>
      <c r="AD145" s="118">
        <f ca="1">[1]!ldf(H$5:H$27, $A$5:$A$27, $W145, $A$27, 3)</f>
        <v>1.0205484766729909</v>
      </c>
      <c r="AE145" s="118">
        <f ca="1">[1]!ldf(I$5:I$27, $A$5:$A$27, $W145, $A$27, 3)</f>
        <v>1.0182301619613063</v>
      </c>
      <c r="AF145" s="118">
        <f ca="1">[1]!ldf(J$5:J$27, $A$5:$A$27, $W145, $A$27, 3)</f>
        <v>1.0111799531458665</v>
      </c>
      <c r="AG145" s="118">
        <f ca="1">[1]!ldf(K$5:K$27, $A$5:$A$27, $W145, $A$27, 3)</f>
        <v>1.0062647751953069</v>
      </c>
      <c r="AH145" s="118">
        <f ca="1">[1]!ldf(L$5:L$27, $A$5:$A$27, $W145, $A$27, 3)</f>
        <v>1</v>
      </c>
      <c r="AI145" s="118">
        <f ca="1">[1]!ldf(M$5:M$27, $A$5:$A$27, $W145, $A$27, 3)</f>
        <v>1.1220295895658776</v>
      </c>
      <c r="AJ145" s="118">
        <f ca="1">[1]!ldf(N$5:N$27, $A$5:$A$27, $W145, $A$27, 3)</f>
        <v>1.1150596901134664</v>
      </c>
      <c r="AK145" s="118">
        <f ca="1">[1]!ldf(O$5:O$27, $A$5:$A$27, $W145, $A$27, 3)</f>
        <v>1.1272775592779578</v>
      </c>
      <c r="AL145" s="118">
        <f ca="1">[1]!ldf(P$5:P$27, $A$5:$A$27, $W145, $A$27, 3)</f>
        <v>1.1020815367999535</v>
      </c>
      <c r="AM145" s="118">
        <f ca="1">[1]!ldf(Q$5:Q$27, $A$5:$A$27, $W145, $A$27, 3)</f>
        <v>1.1220295895658776</v>
      </c>
      <c r="AN145" s="118">
        <f ca="1">[1]!ldf(R$5:R$27, $A$5:$A$27, $W145, $A$27, 3)</f>
        <v>1.1150596901134664</v>
      </c>
      <c r="AO145" s="118">
        <f ca="1">[1]!ldf(S$5:S$27, $A$5:$A$27, $W145, $A$27, 3)</f>
        <v>1.1453814732844192</v>
      </c>
      <c r="AP145" s="118">
        <f ca="1">[1]!ldf(T$5:T$27, $A$5:$A$27, $W145, $A$27, 3)</f>
        <v>1.1299365610544283</v>
      </c>
    </row>
  </sheetData>
  <printOptions horizontalCentered="1"/>
  <pageMargins left="0.7" right="0.7" top="0.75" bottom="0.75" header="0.3" footer="0.3"/>
  <pageSetup scale="22" orientation="portrait" blackAndWhite="1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7">
    <tabColor rgb="FFCCCCFF"/>
    <pageSetUpPr fitToPage="1"/>
  </sheetPr>
  <dimension ref="A1:X114"/>
  <sheetViews>
    <sheetView zoomScale="85" zoomScaleNormal="85" workbookViewId="0"/>
  </sheetViews>
  <sheetFormatPr defaultColWidth="9" defaultRowHeight="12.75" x14ac:dyDescent="0.2"/>
  <cols>
    <col min="1" max="1" width="10.25" style="1" bestFit="1" customWidth="1"/>
    <col min="2" max="10" width="9" style="1"/>
    <col min="11" max="11" width="8.75" style="1" customWidth="1"/>
    <col min="12" max="13" width="6.125" style="1" customWidth="1"/>
    <col min="14" max="15" width="6.125" style="1" bestFit="1" customWidth="1"/>
    <col min="16" max="19" width="6.125" style="1" customWidth="1"/>
    <col min="20" max="20" width="2.625" style="1" customWidth="1"/>
    <col min="21" max="21" width="6.125" style="1" customWidth="1"/>
    <col min="22" max="24" width="6.125" style="1" bestFit="1" customWidth="1"/>
    <col min="25" max="16384" width="9" style="1"/>
  </cols>
  <sheetData>
    <row r="1" spans="1:11" x14ac:dyDescent="0.2">
      <c r="A1" s="133" t="s">
        <v>476</v>
      </c>
    </row>
    <row r="2" spans="1:11" x14ac:dyDescent="0.2">
      <c r="B2" s="46" t="s">
        <v>481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">
      <c r="A3" s="368" t="s">
        <v>25</v>
      </c>
      <c r="B3" s="368" t="s">
        <v>112</v>
      </c>
      <c r="C3" s="368" t="s">
        <v>113</v>
      </c>
      <c r="D3" s="368" t="s">
        <v>111</v>
      </c>
      <c r="E3" s="368" t="s">
        <v>110</v>
      </c>
      <c r="F3" s="368" t="s">
        <v>109</v>
      </c>
      <c r="G3" s="368" t="s">
        <v>114</v>
      </c>
      <c r="H3" s="368" t="s">
        <v>115</v>
      </c>
      <c r="I3" s="368" t="s">
        <v>116</v>
      </c>
      <c r="J3" s="369" t="s">
        <v>117</v>
      </c>
      <c r="K3" s="368" t="s">
        <v>118</v>
      </c>
    </row>
    <row r="4" spans="1:11" x14ac:dyDescent="0.2">
      <c r="A4" s="3">
        <f>LDF!A5</f>
        <v>12</v>
      </c>
      <c r="B4" s="365">
        <f ca="1">1/LDF!B5</f>
        <v>0.40210453394233692</v>
      </c>
      <c r="C4" s="365">
        <f ca="1">1/LDF!C5</f>
        <v>0.41379789258236899</v>
      </c>
      <c r="D4" s="365">
        <f ca="1">1/LDF!D5</f>
        <v>0.41778508522161228</v>
      </c>
      <c r="E4" s="365">
        <f ca="1">1/LDF!E5</f>
        <v>0.43088701939549473</v>
      </c>
      <c r="F4" s="365">
        <f ca="1">1/LDF!F5</f>
        <v>0.47502900967720818</v>
      </c>
      <c r="G4" s="365">
        <f ca="1">1/LDF!G5</f>
        <v>0.17694384564895213</v>
      </c>
      <c r="H4" s="365">
        <f ca="1">1/LDF!H5</f>
        <v>0.18157917841477356</v>
      </c>
      <c r="I4" s="365">
        <f ca="1">1/LDF!I5</f>
        <v>0.18402629106583934</v>
      </c>
      <c r="J4" s="365">
        <f ca="1">1/LDF!J5</f>
        <v>0.19150366103478739</v>
      </c>
      <c r="K4" s="365">
        <f ca="1">1/LDF!K5</f>
        <v>0.20203441931160226</v>
      </c>
    </row>
    <row r="5" spans="1:11" x14ac:dyDescent="0.2">
      <c r="A5" s="3">
        <f>LDF!A6</f>
        <v>24</v>
      </c>
      <c r="B5" s="365">
        <f ca="1">1/LDF!B6</f>
        <v>0.69161979838081966</v>
      </c>
      <c r="C5" s="365">
        <f ca="1">1/LDF!C6</f>
        <v>0.71173237524167487</v>
      </c>
      <c r="D5" s="365">
        <f ca="1">1/LDF!D6</f>
        <v>0.7185903465811726</v>
      </c>
      <c r="E5" s="365">
        <f ca="1">1/LDF!E6</f>
        <v>0.74112567336025104</v>
      </c>
      <c r="F5" s="365">
        <f ca="1">1/LDF!F6</f>
        <v>0.76004641548353313</v>
      </c>
      <c r="G5" s="365">
        <f ca="1">1/LDF!G6</f>
        <v>0.48482613707812877</v>
      </c>
      <c r="H5" s="365">
        <f ca="1">1/LDF!H6</f>
        <v>0.49752694885647947</v>
      </c>
      <c r="I5" s="365">
        <f ca="1">1/LDF!I6</f>
        <v>0.50239177460974138</v>
      </c>
      <c r="J5" s="365">
        <f ca="1">1/LDF!J6</f>
        <v>0.52088995801462179</v>
      </c>
      <c r="K5" s="365">
        <f ca="1">1/LDF!K6</f>
        <v>0.54549293214132655</v>
      </c>
    </row>
    <row r="6" spans="1:11" x14ac:dyDescent="0.2">
      <c r="A6" s="3">
        <f>LDF!A7</f>
        <v>36</v>
      </c>
      <c r="B6" s="365">
        <f ca="1">1/LDF!B7</f>
        <v>0.80919516410555903</v>
      </c>
      <c r="C6" s="365">
        <f ca="1">1/LDF!C7</f>
        <v>0.82736954814044739</v>
      </c>
      <c r="D6" s="365">
        <f ca="1">1/LDF!D7</f>
        <v>0.8335648020341605</v>
      </c>
      <c r="E6" s="365">
        <f ca="1">1/LDF!E7</f>
        <v>0.85229452436428854</v>
      </c>
      <c r="F6" s="365">
        <f ca="1">1/LDF!F7</f>
        <v>0.86645291365122779</v>
      </c>
      <c r="G6" s="365">
        <f ca="1">1/LDF!G7</f>
        <v>0.65809959734858603</v>
      </c>
      <c r="H6" s="365">
        <f ca="1">1/LDF!H7</f>
        <v>0.67533959015859801</v>
      </c>
      <c r="I6" s="365">
        <f ca="1">1/LDF!I7</f>
        <v>0.68194307050866176</v>
      </c>
      <c r="J6" s="365">
        <f ca="1">1/LDF!J7</f>
        <v>0.70705237489517436</v>
      </c>
      <c r="K6" s="365">
        <f ca="1">1/LDF!K7</f>
        <v>0.72526543664163778</v>
      </c>
    </row>
    <row r="7" spans="1:11" x14ac:dyDescent="0.2">
      <c r="A7" s="3">
        <f>LDF!A8</f>
        <v>48</v>
      </c>
      <c r="B7" s="365">
        <f ca="1">1/LDF!B8</f>
        <v>0.85451009329547001</v>
      </c>
      <c r="C7" s="365">
        <f ca="1">1/LDF!C8</f>
        <v>0.87370224283631204</v>
      </c>
      <c r="D7" s="365">
        <f ca="1">1/LDF!D8</f>
        <v>0.88024443094807348</v>
      </c>
      <c r="E7" s="365">
        <f ca="1">1/LDF!E8</f>
        <v>0.90002301772868831</v>
      </c>
      <c r="F7" s="365">
        <f ca="1">1/LDF!F8</f>
        <v>0.91497427681569621</v>
      </c>
      <c r="G7" s="365">
        <f ca="1">1/LDF!G8</f>
        <v>0.73378105104367408</v>
      </c>
      <c r="H7" s="365">
        <f ca="1">1/LDF!H8</f>
        <v>0.74982636640374412</v>
      </c>
      <c r="I7" s="365">
        <f ca="1">1/LDF!I8</f>
        <v>0.75704430755715391</v>
      </c>
      <c r="J7" s="365">
        <f ca="1">1/LDF!J8</f>
        <v>0.78143563237754277</v>
      </c>
      <c r="K7" s="365">
        <f ca="1">1/LDF!K8</f>
        <v>0.79954495395834935</v>
      </c>
    </row>
    <row r="8" spans="1:11" x14ac:dyDescent="0.2">
      <c r="A8" s="3">
        <f>LDF!A9</f>
        <v>60</v>
      </c>
      <c r="B8" s="365">
        <f ca="1">1/LDF!B9</f>
        <v>0.88185441628092487</v>
      </c>
      <c r="C8" s="365">
        <f ca="1">1/LDF!C9</f>
        <v>0.90067470126596771</v>
      </c>
      <c r="D8" s="365">
        <f ca="1">1/LDF!D9</f>
        <v>0.90665176387651547</v>
      </c>
      <c r="E8" s="365">
        <f ca="1">1/LDF!E9</f>
        <v>0.92522366222509178</v>
      </c>
      <c r="F8" s="365">
        <f ca="1">1/LDF!F9</f>
        <v>0.93784863373608918</v>
      </c>
      <c r="G8" s="365">
        <f ca="1">1/LDF!G9</f>
        <v>0.78260352739627337</v>
      </c>
      <c r="H8" s="365">
        <f ca="1">1/LDF!H9</f>
        <v>0.79971642555726652</v>
      </c>
      <c r="I8" s="365">
        <f ca="1">1/LDF!I9</f>
        <v>0.80741461590868302</v>
      </c>
      <c r="J8" s="365">
        <f ca="1">1/LDF!J9</f>
        <v>0.83222894848208251</v>
      </c>
      <c r="K8" s="365">
        <f ca="1">1/LDF!K9</f>
        <v>0.84994121087661434</v>
      </c>
    </row>
    <row r="9" spans="1:11" x14ac:dyDescent="0.2">
      <c r="A9" s="3">
        <f>LDF!A10</f>
        <v>72</v>
      </c>
      <c r="B9" s="365">
        <f ca="1">1/LDF!B10</f>
        <v>0.89679939860786573</v>
      </c>
      <c r="C9" s="365">
        <f ca="1">1/LDF!C10</f>
        <v>0.91483315383784303</v>
      </c>
      <c r="D9" s="365">
        <f ca="1">1/LDF!D10</f>
        <v>0.92062196334582935</v>
      </c>
      <c r="E9" s="365">
        <f ca="1">1/LDF!E10</f>
        <v>0.93790131246114006</v>
      </c>
      <c r="F9" s="365">
        <f ca="1">1/LDF!F10</f>
        <v>0.94941065238340694</v>
      </c>
      <c r="G9" s="365">
        <f ca="1">1/LDF!G10</f>
        <v>0.8131250649647277</v>
      </c>
      <c r="H9" s="365">
        <f ca="1">1/LDF!H10</f>
        <v>0.83045713824347589</v>
      </c>
      <c r="I9" s="365">
        <f ca="1">1/LDF!I10</f>
        <v>0.83809637131321379</v>
      </c>
      <c r="J9" s="365">
        <f ca="1">1/LDF!J10</f>
        <v>0.86218919062743771</v>
      </c>
      <c r="K9" s="365">
        <f ca="1">1/LDF!K10</f>
        <v>0.87968915325729546</v>
      </c>
    </row>
    <row r="10" spans="1:11" x14ac:dyDescent="0.2">
      <c r="A10" s="3">
        <f>LDF!A11</f>
        <v>84</v>
      </c>
      <c r="B10" s="365">
        <f ca="1">1/LDF!B11</f>
        <v>0.90881747487057218</v>
      </c>
      <c r="C10" s="365">
        <f ca="1">1/LDF!C11</f>
        <v>0.92608348252311512</v>
      </c>
      <c r="D10" s="365">
        <f ca="1">1/LDF!D11</f>
        <v>0.93167672526621803</v>
      </c>
      <c r="E10" s="365">
        <f ca="1">1/LDF!E11</f>
        <v>0.94770175977091553</v>
      </c>
      <c r="F10" s="365">
        <f ca="1">1/LDF!F11</f>
        <v>0.95837320289550365</v>
      </c>
      <c r="G10" s="365">
        <f ca="1">1/LDF!G11</f>
        <v>0.83758577924357569</v>
      </c>
      <c r="H10" s="365">
        <f ca="1">1/LDF!H11</f>
        <v>0.854890712854385</v>
      </c>
      <c r="I10" s="365">
        <f ca="1">1/LDF!I11</f>
        <v>0.86239104414586898</v>
      </c>
      <c r="J10" s="365">
        <f ca="1">1/LDF!J11</f>
        <v>0.8862903164284015</v>
      </c>
      <c r="K10" s="365">
        <f ca="1">1/LDF!K11</f>
        <v>0.90370376897344751</v>
      </c>
    </row>
    <row r="11" spans="1:11" x14ac:dyDescent="0.2">
      <c r="A11" s="3">
        <f>LDF!A12</f>
        <v>96</v>
      </c>
      <c r="B11" s="365">
        <f ca="1">1/LDF!B12</f>
        <v>0.91817968914732151</v>
      </c>
      <c r="C11" s="365">
        <f ca="1">1/LDF!C12</f>
        <v>0.93505458516780404</v>
      </c>
      <c r="D11" s="365">
        <f ca="1">1/LDF!D12</f>
        <v>0.94051994162152397</v>
      </c>
      <c r="E11" s="365">
        <f ca="1">1/LDF!E12</f>
        <v>0.9555207320423228</v>
      </c>
      <c r="F11" s="365">
        <f ca="1">1/LDF!F12</f>
        <v>0.96552385688623832</v>
      </c>
      <c r="G11" s="365">
        <f ca="1">1/LDF!G12</f>
        <v>0.8570597495462059</v>
      </c>
      <c r="H11" s="365">
        <f ca="1">1/LDF!H12</f>
        <v>0.87378117971850822</v>
      </c>
      <c r="I11" s="365">
        <f ca="1">1/LDF!I12</f>
        <v>0.88100213308477826</v>
      </c>
      <c r="J11" s="365">
        <f ca="1">1/LDF!J12</f>
        <v>0.90325098407369431</v>
      </c>
      <c r="K11" s="365">
        <f ca="1">1/LDF!K12</f>
        <v>0.919331265182597</v>
      </c>
    </row>
    <row r="12" spans="1:11" x14ac:dyDescent="0.2">
      <c r="A12" s="3">
        <f>LDF!A13</f>
        <v>108</v>
      </c>
      <c r="B12" s="365">
        <f ca="1">1/LDF!B13</f>
        <v>0.92632245925881396</v>
      </c>
      <c r="C12" s="365">
        <f ca="1">1/LDF!C13</f>
        <v>0.94290004381020565</v>
      </c>
      <c r="D12" s="365">
        <f ca="1">1/LDF!D13</f>
        <v>0.94788805733876258</v>
      </c>
      <c r="E12" s="365">
        <f ca="1">1/LDF!E13</f>
        <v>0.96202033039195012</v>
      </c>
      <c r="F12" s="365">
        <f ca="1">1/LDF!F13</f>
        <v>0.97144406960009566</v>
      </c>
      <c r="G12" s="365">
        <f ca="1">1/LDF!G13</f>
        <v>0.87317751273537003</v>
      </c>
      <c r="H12" s="365">
        <f ca="1">1/LDF!H13</f>
        <v>0.88892432566598645</v>
      </c>
      <c r="I12" s="365">
        <f ca="1">1/LDF!I13</f>
        <v>0.8956567302807712</v>
      </c>
      <c r="J12" s="365">
        <f ca="1">1/LDF!J13</f>
        <v>0.91657637325023</v>
      </c>
      <c r="K12" s="365">
        <f ca="1">1/LDF!K13</f>
        <v>0.93180245740675194</v>
      </c>
    </row>
    <row r="13" spans="1:11" x14ac:dyDescent="0.2">
      <c r="A13" s="3">
        <f>LDF!A14</f>
        <v>120</v>
      </c>
      <c r="B13" s="365">
        <f ca="1">1/LDF!B14</f>
        <v>0.93342959894456679</v>
      </c>
      <c r="C13" s="365">
        <f ca="1">1/LDF!C14</f>
        <v>0.94976054088111572</v>
      </c>
      <c r="D13" s="365">
        <f ca="1">1/LDF!D14</f>
        <v>0.95431561703666157</v>
      </c>
      <c r="E13" s="365">
        <f ca="1">1/LDF!E14</f>
        <v>0.96705422645966621</v>
      </c>
      <c r="F13" s="365">
        <f ca="1">1/LDF!F14</f>
        <v>0.97554810261173108</v>
      </c>
      <c r="G13" s="365">
        <f ca="1">1/LDF!G14</f>
        <v>0.88664876455648622</v>
      </c>
      <c r="H13" s="365">
        <f ca="1">1/LDF!H14</f>
        <v>0.90158380263000337</v>
      </c>
      <c r="I13" s="365">
        <f ca="1">1/LDF!I14</f>
        <v>0.907889177979744</v>
      </c>
      <c r="J13" s="365">
        <f ca="1">1/LDF!J14</f>
        <v>0.92747461836911915</v>
      </c>
      <c r="K13" s="365">
        <f ca="1">1/LDF!K14</f>
        <v>0.94183937585263144</v>
      </c>
    </row>
    <row r="14" spans="1:11" x14ac:dyDescent="0.2">
      <c r="A14" s="3">
        <f>LDF!A15</f>
        <v>132</v>
      </c>
      <c r="B14" s="365">
        <f ca="1">1/LDF!B15</f>
        <v>0.93963576062624488</v>
      </c>
      <c r="C14" s="365">
        <f ca="1">1/LDF!C15</f>
        <v>0.95535394664160211</v>
      </c>
      <c r="D14" s="365">
        <f ca="1">1/LDF!D15</f>
        <v>0.95978245520151195</v>
      </c>
      <c r="E14" s="365">
        <f ca="1">1/LDF!E15</f>
        <v>0.9713442163715621</v>
      </c>
      <c r="F14" s="365">
        <f ca="1">1/LDF!F15</f>
        <v>0.97905236403554241</v>
      </c>
      <c r="G14" s="365">
        <f ca="1">1/LDF!G15</f>
        <v>0.89857302042502052</v>
      </c>
      <c r="H14" s="365">
        <f ca="1">1/LDF!H15</f>
        <v>0.91274347674667466</v>
      </c>
      <c r="I14" s="365">
        <f ca="1">1/LDF!I15</f>
        <v>0.91864034237968117</v>
      </c>
      <c r="J14" s="365">
        <f ca="1">1/LDF!J15</f>
        <v>0.93697711850664356</v>
      </c>
      <c r="K14" s="365">
        <f ca="1">1/LDF!K15</f>
        <v>0.95053466760318739</v>
      </c>
    </row>
    <row r="15" spans="1:11" x14ac:dyDescent="0.2">
      <c r="A15" s="3">
        <f>LDF!A16</f>
        <v>144</v>
      </c>
      <c r="B15" s="365">
        <f ca="1">1/LDF!B16</f>
        <v>0.94508828998514638</v>
      </c>
      <c r="C15" s="365">
        <f ca="1">1/LDF!C16</f>
        <v>0.96022699717286164</v>
      </c>
      <c r="D15" s="365">
        <f ca="1">1/LDF!D16</f>
        <v>0.96454669412760197</v>
      </c>
      <c r="E15" s="365">
        <f ca="1">1/LDF!E16</f>
        <v>0.97505360264022201</v>
      </c>
      <c r="F15" s="365">
        <f ca="1">1/LDF!F16</f>
        <v>0.98205836807403379</v>
      </c>
      <c r="G15" s="365">
        <f ca="1">1/LDF!G16</f>
        <v>0.90861302867964966</v>
      </c>
      <c r="H15" s="365">
        <f ca="1">1/LDF!H16</f>
        <v>0.92215633177750933</v>
      </c>
      <c r="I15" s="365">
        <f ca="1">1/LDF!I16</f>
        <v>0.92769518697227227</v>
      </c>
      <c r="J15" s="365">
        <f ca="1">1/LDF!J16</f>
        <v>0.94498290557402709</v>
      </c>
      <c r="K15" s="365">
        <f ca="1">1/LDF!K16</f>
        <v>0.95786231892142804</v>
      </c>
    </row>
    <row r="16" spans="1:11" x14ac:dyDescent="0.2">
      <c r="A16" s="3">
        <f>LDF!A17</f>
        <v>156</v>
      </c>
      <c r="B16" s="365">
        <f ca="1">1/LDF!B17</f>
        <v>0.94989647743474803</v>
      </c>
      <c r="C16" s="365">
        <f ca="1">1/LDF!C17</f>
        <v>0.96445768400702747</v>
      </c>
      <c r="D16" s="365">
        <f ca="1">1/LDF!D17</f>
        <v>0.96864573859783698</v>
      </c>
      <c r="E16" s="365">
        <f ca="1">1/LDF!E17</f>
        <v>0.97824183607941784</v>
      </c>
      <c r="F16" s="365">
        <f ca="1">1/LDF!F17</f>
        <v>0.98463937499866472</v>
      </c>
      <c r="G16" s="365">
        <f ca="1">1/LDF!G17</f>
        <v>0.91780057610778309</v>
      </c>
      <c r="H16" s="365">
        <f ca="1">1/LDF!H17</f>
        <v>0.93071778593690857</v>
      </c>
      <c r="I16" s="365">
        <f ca="1">1/LDF!I17</f>
        <v>0.93589919566831581</v>
      </c>
      <c r="J16" s="365">
        <f ca="1">1/LDF!J17</f>
        <v>0.95215443534301503</v>
      </c>
      <c r="K16" s="365">
        <f ca="1">1/LDF!K17</f>
        <v>0.96436530979436663</v>
      </c>
    </row>
    <row r="17" spans="1:12" x14ac:dyDescent="0.2">
      <c r="A17" s="3">
        <f>LDF!A18</f>
        <v>168</v>
      </c>
      <c r="B17" s="365">
        <f ca="1">1/LDF!B18</f>
        <v>0.95419058734216178</v>
      </c>
      <c r="C17" s="365">
        <f ca="1">1/LDF!C18</f>
        <v>0.96818931043711531</v>
      </c>
      <c r="D17" s="365">
        <f ca="1">1/LDF!D18</f>
        <v>0.97224100590391638</v>
      </c>
      <c r="E17" s="365">
        <f ca="1">1/LDF!E18</f>
        <v>0.98102382998358184</v>
      </c>
      <c r="F17" s="365">
        <f ca="1">1/LDF!F18</f>
        <v>0.98687917010546933</v>
      </c>
      <c r="G17" s="365">
        <f ca="1">1/LDF!G18</f>
        <v>0.92637103634949569</v>
      </c>
      <c r="H17" s="365">
        <f ca="1">1/LDF!H18</f>
        <v>0.93863901969695795</v>
      </c>
      <c r="I17" s="365">
        <f ca="1">1/LDF!I18</f>
        <v>0.9434552002173332</v>
      </c>
      <c r="J17" s="365">
        <f ca="1">1/LDF!J18</f>
        <v>0.95866157138905472</v>
      </c>
      <c r="K17" s="365">
        <f ca="1">1/LDF!K18</f>
        <v>0.97019206302058303</v>
      </c>
    </row>
    <row r="18" spans="1:12" x14ac:dyDescent="0.2">
      <c r="A18" s="3">
        <f>LDF!A19</f>
        <v>180</v>
      </c>
      <c r="B18" s="365">
        <f ca="1">1/LDF!B19</f>
        <v>0.95805524631308814</v>
      </c>
      <c r="C18" s="365">
        <f ca="1">1/LDF!C19</f>
        <v>0.97149949533312507</v>
      </c>
      <c r="D18" s="365">
        <f ca="1">1/LDF!D19</f>
        <v>0.97541179714074155</v>
      </c>
      <c r="E18" s="365">
        <f ca="1">1/LDF!E19</f>
        <v>0.98346309971616752</v>
      </c>
      <c r="F18" s="365">
        <f ca="1">1/LDF!F19</f>
        <v>0.98883064257764075</v>
      </c>
      <c r="G18" s="365">
        <f ca="1">1/LDF!G19</f>
        <v>0.93412345538428931</v>
      </c>
      <c r="H18" s="365">
        <f ca="1">1/LDF!H19</f>
        <v>0.94577104079234553</v>
      </c>
      <c r="I18" s="365">
        <f ca="1">1/LDF!I19</f>
        <v>0.95023206620449763</v>
      </c>
      <c r="J18" s="365">
        <f ca="1">1/LDF!J19</f>
        <v>0.9644384835668911</v>
      </c>
      <c r="K18" s="365">
        <f ca="1">1/LDF!K19</f>
        <v>0.97531959136818969</v>
      </c>
    </row>
    <row r="19" spans="1:12" x14ac:dyDescent="0.2">
      <c r="A19" s="3">
        <f>LDF!A20</f>
        <v>192</v>
      </c>
      <c r="B19" s="365">
        <f ca="1">1/LDF!B20</f>
        <v>0.96152077987507312</v>
      </c>
      <c r="C19" s="365">
        <f ca="1">1/LDF!C20</f>
        <v>0.974260665110254</v>
      </c>
      <c r="D19" s="365">
        <f ca="1">1/LDF!D20</f>
        <v>0.97787444842816706</v>
      </c>
      <c r="E19" s="365">
        <f ca="1">1/LDF!E20</f>
        <v>0.98546654943765855</v>
      </c>
      <c r="F19" s="365">
        <f ca="1">1/LDF!F20</f>
        <v>0.99052795151691198</v>
      </c>
      <c r="G19" s="365">
        <f ca="1">1/LDF!G20</f>
        <v>0.94116055067568316</v>
      </c>
      <c r="H19" s="365">
        <f ca="1">1/LDF!H20</f>
        <v>0.95202639393298905</v>
      </c>
      <c r="I19" s="365">
        <f ca="1">1/LDF!I20</f>
        <v>0.95615723889502657</v>
      </c>
      <c r="J19" s="365">
        <f ca="1">1/LDF!J20</f>
        <v>0.9692423142818708</v>
      </c>
      <c r="K19" s="365">
        <f ca="1">1/LDF!K20</f>
        <v>0.97920613314809213</v>
      </c>
    </row>
    <row r="20" spans="1:12" x14ac:dyDescent="0.2">
      <c r="A20" s="3">
        <f>LDF!A21</f>
        <v>204</v>
      </c>
      <c r="B20" s="365">
        <f ca="1">1/LDF!B21</f>
        <v>0.96501938422450273</v>
      </c>
      <c r="C20" s="365">
        <f ca="1">1/LDF!C21</f>
        <v>0.97744467277916203</v>
      </c>
      <c r="D20" s="365">
        <f ca="1">1/LDF!D21</f>
        <v>0.9804679018795458</v>
      </c>
      <c r="E20" s="365">
        <f ca="1">1/LDF!E21</f>
        <v>0.98737457624877722</v>
      </c>
      <c r="F20" s="365">
        <f ca="1">1/LDF!F21</f>
        <v>0.99194704283536661</v>
      </c>
      <c r="G20" s="365">
        <f ca="1">1/LDF!G21</f>
        <v>0.94746720071391322</v>
      </c>
      <c r="H20" s="365">
        <f ca="1">1/LDF!H21</f>
        <v>0.95757180270575382</v>
      </c>
      <c r="I20" s="365">
        <f ca="1">1/LDF!I21</f>
        <v>0.9613913794045138</v>
      </c>
      <c r="J20" s="365">
        <f ca="1">1/LDF!J21</f>
        <v>0.97340619132725215</v>
      </c>
      <c r="K20" s="365">
        <f ca="1">1/LDF!K21</f>
        <v>0.98248614668009904</v>
      </c>
    </row>
    <row r="21" spans="1:12" x14ac:dyDescent="0.2">
      <c r="A21" s="3">
        <f>LDF!A22</f>
        <v>216</v>
      </c>
      <c r="B21" s="365">
        <f ca="1">1/LDF!B22</f>
        <v>0.96820517006436879</v>
      </c>
      <c r="C21" s="365">
        <f ca="1">1/LDF!C22</f>
        <v>0.97996754775738881</v>
      </c>
      <c r="D21" s="365">
        <f ca="1">1/LDF!D22</f>
        <v>0.98276004797143501</v>
      </c>
      <c r="E21" s="365">
        <f ca="1">1/LDF!E22</f>
        <v>0.98903350284783531</v>
      </c>
      <c r="F21" s="365">
        <f ca="1">1/LDF!F22</f>
        <v>0.99315426271229157</v>
      </c>
      <c r="G21" s="365">
        <f ca="1">1/LDF!G22</f>
        <v>0.95311481300921308</v>
      </c>
      <c r="H21" s="365">
        <f ca="1">1/LDF!H22</f>
        <v>0.96250419268000753</v>
      </c>
      <c r="I21" s="365">
        <f ca="1">1/LDF!I22</f>
        <v>0.96601179523575986</v>
      </c>
      <c r="J21" s="365">
        <f ca="1">1/LDF!J22</f>
        <v>0.97701307675391846</v>
      </c>
      <c r="K21" s="365">
        <f ca="1">1/LDF!K22</f>
        <v>0.98525267397698091</v>
      </c>
    </row>
    <row r="22" spans="1:12" x14ac:dyDescent="0.2">
      <c r="A22" s="3">
        <f>LDF!A23</f>
        <v>228</v>
      </c>
      <c r="B22" s="365">
        <f ca="1">1/LDF!B23</f>
        <v>0.97110517732787127</v>
      </c>
      <c r="C22" s="365">
        <f ca="1">1/LDF!C23</f>
        <v>0.98221080564151764</v>
      </c>
      <c r="D22" s="365">
        <f ca="1">1/LDF!D23</f>
        <v>0.98478529511100033</v>
      </c>
      <c r="E22" s="365">
        <f ca="1">1/LDF!E23</f>
        <v>0.99047550601479073</v>
      </c>
      <c r="F22" s="365">
        <f ca="1">1/LDF!F23</f>
        <v>0.99418103921477996</v>
      </c>
      <c r="G22" s="365">
        <f ca="1">1/LDF!G23</f>
        <v>0.95816874284323972</v>
      </c>
      <c r="H22" s="365">
        <f ca="1">1/LDF!H23</f>
        <v>0.96687313634136007</v>
      </c>
      <c r="I22" s="365">
        <f ca="1">1/LDF!I23</f>
        <v>0.97008790297197922</v>
      </c>
      <c r="J22" s="365">
        <f ca="1">1/LDF!J23</f>
        <v>0.9801357668115519</v>
      </c>
      <c r="K22" s="365">
        <f ca="1">1/LDF!K23</f>
        <v>0.98758495870439511</v>
      </c>
    </row>
    <row r="23" spans="1:12" x14ac:dyDescent="0.2">
      <c r="A23" s="3">
        <f>LDF!A24</f>
        <v>240</v>
      </c>
      <c r="B23" s="365">
        <f ca="1">1/LDF!B24</f>
        <v>0.97374427366114003</v>
      </c>
      <c r="C23" s="365">
        <f ca="1">1/LDF!C24</f>
        <v>0.98420488910410786</v>
      </c>
      <c r="D23" s="365">
        <f ca="1">1/LDF!D24</f>
        <v>0.98657425589762682</v>
      </c>
      <c r="E23" s="365">
        <f ca="1">1/LDF!E24</f>
        <v>0.99172869133318087</v>
      </c>
      <c r="F23" s="365">
        <f ca="1">1/LDF!F24</f>
        <v>0.99505419550083074</v>
      </c>
      <c r="G23" s="365">
        <f ca="1">1/LDF!G24</f>
        <v>0.96268860267645195</v>
      </c>
      <c r="H23" s="365">
        <f ca="1">1/LDF!H24</f>
        <v>0.9707407826949509</v>
      </c>
      <c r="I23" s="365">
        <f ca="1">1/LDF!I24</f>
        <v>0.97368185402595708</v>
      </c>
      <c r="J23" s="365">
        <f ca="1">1/LDF!J24</f>
        <v>0.98283798330955729</v>
      </c>
      <c r="K23" s="365">
        <f ca="1">1/LDF!K24</f>
        <v>0.98955035128024504</v>
      </c>
    </row>
    <row r="24" spans="1:12" x14ac:dyDescent="0.2">
      <c r="A24" s="3">
        <f>LDF!A25</f>
        <v>252</v>
      </c>
      <c r="B24" s="365">
        <f ca="1">1/LDF!B25</f>
        <v>0.97614529900967928</v>
      </c>
      <c r="C24" s="365">
        <f ca="1">1/LDF!C25</f>
        <v>0.98597704368205308</v>
      </c>
      <c r="D24" s="365">
        <f ca="1">1/LDF!D25</f>
        <v>0.98815413569076338</v>
      </c>
      <c r="E24" s="365">
        <f ca="1">1/LDF!E25</f>
        <v>0.99281758709711143</v>
      </c>
      <c r="F24" s="365">
        <f ca="1">1/LDF!F25</f>
        <v>0.99579660859187014</v>
      </c>
      <c r="G24" s="365">
        <f ca="1">1/LDF!G25</f>
        <v>0.96672860604793642</v>
      </c>
      <c r="H24" s="365">
        <f ca="1">1/LDF!H25</f>
        <v>0.97416292303349339</v>
      </c>
      <c r="I24" s="365">
        <f ca="1">1/LDF!I25</f>
        <v>0.97684915667227412</v>
      </c>
      <c r="J24" s="365">
        <f ca="1">1/LDF!J25</f>
        <v>0.98517539006320332</v>
      </c>
      <c r="K24" s="365">
        <f ca="1">1/LDF!K25</f>
        <v>0.99120599410599297</v>
      </c>
    </row>
    <row r="25" spans="1:12" x14ac:dyDescent="0.2">
      <c r="A25" s="3">
        <f>LDF!A26</f>
        <v>264</v>
      </c>
      <c r="B25" s="365">
        <f ca="1">1/LDF!B26</f>
        <v>0.97832920632639808</v>
      </c>
      <c r="C25" s="365">
        <f ca="1">1/LDF!C26</f>
        <v>0.98755162817937581</v>
      </c>
      <c r="D25" s="365">
        <f ca="1">1/LDF!D26</f>
        <v>0.98954908839839395</v>
      </c>
      <c r="E25" s="365">
        <f ca="1">1/LDF!E26</f>
        <v>0.99376358366187412</v>
      </c>
      <c r="F25" s="365">
        <f ca="1">1/LDF!F26</f>
        <v>0.99642777840651142</v>
      </c>
      <c r="G25" s="365">
        <f ca="1">1/LDF!G26</f>
        <v>0.97033792954674847</v>
      </c>
      <c r="H25" s="365">
        <f ca="1">1/LDF!H26</f>
        <v>0.97718952703454764</v>
      </c>
      <c r="I25" s="365">
        <f ca="1">1/LDF!I26</f>
        <v>0.97963927955249741</v>
      </c>
      <c r="J25" s="365">
        <f ca="1">1/LDF!J26</f>
        <v>0.98719652654715573</v>
      </c>
      <c r="K25" s="365">
        <f ca="1">1/LDF!K26</f>
        <v>0.99260029826782215</v>
      </c>
    </row>
    <row r="26" spans="1:12" x14ac:dyDescent="0.2">
      <c r="A26" s="3">
        <f>LDF!A27</f>
        <v>276</v>
      </c>
      <c r="B26" s="365">
        <f ca="1">1/LDF!B27</f>
        <v>0.98031519719801319</v>
      </c>
      <c r="C26" s="365">
        <f ca="1">1/LDF!C27</f>
        <v>0.98895040057223038</v>
      </c>
      <c r="D26" s="365">
        <f ca="1">1/LDF!D27</f>
        <v>0.99078054052146369</v>
      </c>
      <c r="E26" s="365">
        <f ca="1">1/LDF!E27</f>
        <v>0.99458532285958678</v>
      </c>
      <c r="F26" s="365">
        <f ca="1">1/LDF!F27</f>
        <v>0.99696431798236718</v>
      </c>
      <c r="G26" s="365">
        <f ca="1">1/LDF!G27</f>
        <v>0.97356108040188671</v>
      </c>
      <c r="H26" s="365">
        <f ca="1">1/LDF!H27</f>
        <v>0.97986526153076103</v>
      </c>
      <c r="I26" s="365">
        <f ca="1">1/LDF!I27</f>
        <v>0.98209622672521157</v>
      </c>
      <c r="J26" s="365">
        <f ca="1">1/LDF!J27</f>
        <v>0.98894365625912106</v>
      </c>
      <c r="K26" s="365">
        <f ca="1">1/LDF!K27</f>
        <v>0.99377422786752034</v>
      </c>
    </row>
    <row r="29" spans="1:12" x14ac:dyDescent="0.2">
      <c r="B29" s="30" t="s">
        <v>14</v>
      </c>
      <c r="C29" s="30" t="s">
        <v>266</v>
      </c>
      <c r="D29" s="30" t="s">
        <v>265</v>
      </c>
      <c r="E29" s="30" t="s">
        <v>264</v>
      </c>
      <c r="F29" s="30" t="s">
        <v>263</v>
      </c>
    </row>
    <row r="30" spans="1:12" x14ac:dyDescent="0.2">
      <c r="A30" s="366" t="s">
        <v>478</v>
      </c>
      <c r="B30" s="111">
        <f ca="1">'e4.2'!$M$67</f>
        <v>18.208258145197117</v>
      </c>
      <c r="C30" s="111">
        <f ca="1">'e4.2'!$M$66</f>
        <v>16.913019445115168</v>
      </c>
      <c r="D30" s="111">
        <f ca="1">'e4.2'!$M$65</f>
        <v>16.385975953818914</v>
      </c>
      <c r="E30" s="111">
        <f ca="1">'e4.2'!$M$64</f>
        <v>15.79102446273056</v>
      </c>
      <c r="F30" s="111">
        <f ca="1">'e4.2'!$M$48</f>
        <v>14.824509883853406</v>
      </c>
    </row>
    <row r="31" spans="1:12" x14ac:dyDescent="0.2">
      <c r="A31" s="366" t="s">
        <v>477</v>
      </c>
      <c r="C31" s="365">
        <f ca="1">($B$30-C30) / $B$30</f>
        <v>7.1134684589453753E-2</v>
      </c>
      <c r="D31" s="365">
        <f ca="1">($B$30-D30) / $B$30</f>
        <v>0.10007998441404324</v>
      </c>
      <c r="E31" s="365">
        <f ca="1">($B$30-E30) / $B$30</f>
        <v>0.13275480077176757</v>
      </c>
      <c r="F31" s="365">
        <f ca="1">($B$30-F30) / $B$30</f>
        <v>0.18583591216473719</v>
      </c>
    </row>
    <row r="32" spans="1:12" x14ac:dyDescent="0.2">
      <c r="A32" s="366" t="s">
        <v>479</v>
      </c>
      <c r="C32" s="365">
        <f ca="1">1-C31</f>
        <v>0.92886531541054629</v>
      </c>
      <c r="D32" s="365">
        <f ca="1">1-D31</f>
        <v>0.8999200155859568</v>
      </c>
      <c r="E32" s="365">
        <f ca="1">1-E31</f>
        <v>0.8672451992282324</v>
      </c>
      <c r="F32" s="365">
        <f ca="1">1-F31</f>
        <v>0.81416408783526284</v>
      </c>
      <c r="G32" s="365">
        <f t="shared" ref="G32:J33" ca="1" si="0">C32</f>
        <v>0.92886531541054629</v>
      </c>
      <c r="H32" s="365">
        <f t="shared" ca="1" si="0"/>
        <v>0.8999200155859568</v>
      </c>
      <c r="I32" s="365">
        <f t="shared" ca="1" si="0"/>
        <v>0.8672451992282324</v>
      </c>
      <c r="J32" s="365">
        <f t="shared" ca="1" si="0"/>
        <v>0.81416408783526284</v>
      </c>
      <c r="L32" s="365"/>
    </row>
    <row r="33" spans="1:12" x14ac:dyDescent="0.2">
      <c r="A33" s="366" t="s">
        <v>480</v>
      </c>
      <c r="C33" s="143">
        <f ca="1">1/C31</f>
        <v>14.057839797440494</v>
      </c>
      <c r="D33" s="143">
        <f ca="1">1/D31</f>
        <v>9.9920079509892474</v>
      </c>
      <c r="E33" s="143">
        <f ca="1">1/E31</f>
        <v>7.5326842734614381</v>
      </c>
      <c r="F33" s="143">
        <f ca="1">1/F31</f>
        <v>5.381091245235389</v>
      </c>
      <c r="G33" s="143">
        <f t="shared" ca="1" si="0"/>
        <v>14.057839797440494</v>
      </c>
      <c r="H33" s="143">
        <f t="shared" ca="1" si="0"/>
        <v>9.9920079509892474</v>
      </c>
      <c r="I33" s="143">
        <f t="shared" ca="1" si="0"/>
        <v>7.5326842734614381</v>
      </c>
      <c r="J33" s="143">
        <f t="shared" ca="1" si="0"/>
        <v>5.381091245235389</v>
      </c>
      <c r="L33" s="143"/>
    </row>
    <row r="34" spans="1:12" x14ac:dyDescent="0.2">
      <c r="C34" s="1" t="b">
        <f ca="1">C32=C30/$B$30</f>
        <v>1</v>
      </c>
      <c r="D34" s="1" t="b">
        <f ca="1">D32=D30/$B$30</f>
        <v>1</v>
      </c>
      <c r="E34" s="1" t="b">
        <f ca="1">E32=E30/$B$30</f>
        <v>1</v>
      </c>
      <c r="F34" s="1" t="b">
        <f ca="1">F32=F30/$B$30</f>
        <v>1</v>
      </c>
    </row>
    <row r="35" spans="1:12" x14ac:dyDescent="0.2">
      <c r="A35" s="4" t="s">
        <v>482</v>
      </c>
    </row>
    <row r="37" spans="1:12" x14ac:dyDescent="0.2">
      <c r="B37" s="30" t="s">
        <v>25</v>
      </c>
      <c r="C37" s="30" t="s">
        <v>113</v>
      </c>
      <c r="D37" s="30" t="s">
        <v>111</v>
      </c>
      <c r="E37" s="30" t="s">
        <v>110</v>
      </c>
      <c r="F37" s="30" t="s">
        <v>109</v>
      </c>
      <c r="G37" s="30" t="s">
        <v>115</v>
      </c>
      <c r="H37" s="30" t="s">
        <v>116</v>
      </c>
      <c r="I37" s="113" t="s">
        <v>117</v>
      </c>
      <c r="J37" s="30" t="s">
        <v>118</v>
      </c>
    </row>
    <row r="38" spans="1:12" x14ac:dyDescent="0.2">
      <c r="B38" s="3">
        <f t="shared" ref="B38:B60" si="1">A4</f>
        <v>12</v>
      </c>
      <c r="C38" s="143">
        <f t="shared" ref="C38:F60" ca="1" si="2">1 / (($B4 - C4 * C$32) * C$33)</f>
        <v>4.0093895070655474</v>
      </c>
      <c r="D38" s="143">
        <f t="shared" ca="1" si="2"/>
        <v>3.8298784512048591</v>
      </c>
      <c r="E38" s="143">
        <f t="shared" ca="1" si="2"/>
        <v>4.671202382070784</v>
      </c>
      <c r="F38" s="143">
        <f t="shared" ca="1" si="2"/>
        <v>12.104229265921102</v>
      </c>
      <c r="G38" s="143">
        <f t="shared" ref="G38:J60" ca="1" si="3">1 / (($G4 - H4 * G$32) * G$33)</f>
        <v>8.5898540794982026</v>
      </c>
      <c r="H38" s="143">
        <f t="shared" ca="1" si="3"/>
        <v>8.8293640517610452</v>
      </c>
      <c r="I38" s="143">
        <f t="shared" ca="1" si="3"/>
        <v>12.220581199298257</v>
      </c>
      <c r="J38" s="143">
        <f t="shared" ca="1" si="3"/>
        <v>14.920974111009345</v>
      </c>
    </row>
    <row r="39" spans="1:12" x14ac:dyDescent="0.2">
      <c r="B39" s="3">
        <f t="shared" si="1"/>
        <v>24</v>
      </c>
      <c r="C39" s="143">
        <f t="shared" ca="1" si="2"/>
        <v>2.3310404110846239</v>
      </c>
      <c r="D39" s="143">
        <f t="shared" ca="1" si="2"/>
        <v>2.2266735181423276</v>
      </c>
      <c r="E39" s="143">
        <f t="shared" ca="1" si="2"/>
        <v>2.715815338413242</v>
      </c>
      <c r="F39" s="143">
        <f t="shared" ca="1" si="2"/>
        <v>2.5520845671995853</v>
      </c>
      <c r="G39" s="143">
        <f t="shared" ca="1" si="3"/>
        <v>3.1349832406927729</v>
      </c>
      <c r="H39" s="143">
        <f t="shared" ca="1" si="3"/>
        <v>3.0592660781740153</v>
      </c>
      <c r="I39" s="143">
        <f t="shared" ca="1" si="3"/>
        <v>4.0123165083941581</v>
      </c>
      <c r="J39" s="143">
        <f t="shared" ca="1" si="3"/>
        <v>4.5653892689251858</v>
      </c>
    </row>
    <row r="40" spans="1:12" x14ac:dyDescent="0.2">
      <c r="B40" s="3">
        <f t="shared" si="1"/>
        <v>36</v>
      </c>
      <c r="C40" s="143">
        <f t="shared" ca="1" si="2"/>
        <v>1.7486278592703755</v>
      </c>
      <c r="D40" s="143">
        <f t="shared" ca="1" si="2"/>
        <v>1.6947337566140439</v>
      </c>
      <c r="E40" s="143">
        <f t="shared" ca="1" si="2"/>
        <v>1.8952292584469512</v>
      </c>
      <c r="F40" s="143">
        <f t="shared" ca="1" si="2"/>
        <v>1.7910113974971527</v>
      </c>
      <c r="G40" s="143">
        <f t="shared" ca="1" si="3"/>
        <v>2.3095619880537219</v>
      </c>
      <c r="H40" s="143">
        <f t="shared" ca="1" si="3"/>
        <v>2.2537806753734175</v>
      </c>
      <c r="I40" s="143">
        <f t="shared" ca="1" si="3"/>
        <v>2.95589895714394</v>
      </c>
      <c r="J40" s="143">
        <f t="shared" ca="1" si="3"/>
        <v>2.7484614145488115</v>
      </c>
    </row>
    <row r="41" spans="1:12" x14ac:dyDescent="0.2">
      <c r="B41" s="3">
        <f t="shared" si="1"/>
        <v>48</v>
      </c>
      <c r="C41" s="143">
        <f t="shared" ca="1" si="2"/>
        <v>1.6558975940060343</v>
      </c>
      <c r="D41" s="143">
        <f t="shared" ca="1" si="2"/>
        <v>1.6048615119451244</v>
      </c>
      <c r="E41" s="143">
        <f t="shared" ca="1" si="2"/>
        <v>1.7947246765596128</v>
      </c>
      <c r="F41" s="143">
        <f t="shared" ca="1" si="2"/>
        <v>1.6960335203571539</v>
      </c>
      <c r="G41" s="143">
        <f t="shared" ca="1" si="3"/>
        <v>1.9074363355174915</v>
      </c>
      <c r="H41" s="143">
        <f t="shared" ca="1" si="3"/>
        <v>1.9062227485191243</v>
      </c>
      <c r="I41" s="143">
        <f t="shared" ca="1" si="3"/>
        <v>2.3670391670371438</v>
      </c>
      <c r="J41" s="143">
        <f t="shared" ca="1" si="3"/>
        <v>2.2438459576281913</v>
      </c>
    </row>
    <row r="42" spans="1:12" x14ac:dyDescent="0.2">
      <c r="B42" s="3">
        <f t="shared" si="1"/>
        <v>60</v>
      </c>
      <c r="C42" s="143">
        <f t="shared" ca="1" si="2"/>
        <v>1.5720745480794525</v>
      </c>
      <c r="D42" s="143">
        <f t="shared" ca="1" si="2"/>
        <v>1.5177351844137028</v>
      </c>
      <c r="E42" s="143">
        <f t="shared" ca="1" si="2"/>
        <v>1.6707409764068142</v>
      </c>
      <c r="F42" s="143">
        <f t="shared" ca="1" si="2"/>
        <v>1.5709965374055681</v>
      </c>
      <c r="G42" s="143">
        <f t="shared" ca="1" si="3"/>
        <v>1.7884415161423479</v>
      </c>
      <c r="H42" s="143">
        <f t="shared" ca="1" si="3"/>
        <v>1.7873036383893812</v>
      </c>
      <c r="I42" s="143">
        <f t="shared" ca="1" si="3"/>
        <v>2.1814232117206722</v>
      </c>
      <c r="J42" s="143">
        <f t="shared" ca="1" si="3"/>
        <v>2.0508992511424631</v>
      </c>
    </row>
    <row r="43" spans="1:12" x14ac:dyDescent="0.2">
      <c r="B43" s="3">
        <f t="shared" si="1"/>
        <v>72</v>
      </c>
      <c r="C43" s="143">
        <f t="shared" ca="1" si="2"/>
        <v>1.5121329498359684</v>
      </c>
      <c r="D43" s="143">
        <f t="shared" ca="1" si="2"/>
        <v>1.4650153447769656</v>
      </c>
      <c r="E43" s="143">
        <f t="shared" ca="1" si="2"/>
        <v>1.5916126536657236</v>
      </c>
      <c r="F43" s="143">
        <f t="shared" ca="1" si="2"/>
        <v>1.5008148780390711</v>
      </c>
      <c r="G43" s="143">
        <f t="shared" ca="1" si="3"/>
        <v>1.7041417993187593</v>
      </c>
      <c r="H43" s="143">
        <f t="shared" ca="1" si="3"/>
        <v>1.6989960707902234</v>
      </c>
      <c r="I43" s="143">
        <f t="shared" ca="1" si="3"/>
        <v>2.0300256099924705</v>
      </c>
      <c r="J43" s="143">
        <f t="shared" ca="1" si="3"/>
        <v>1.9175392154852107</v>
      </c>
    </row>
    <row r="44" spans="1:12" x14ac:dyDescent="0.2">
      <c r="B44" s="3">
        <f t="shared" si="1"/>
        <v>84</v>
      </c>
      <c r="C44" s="143">
        <f t="shared" ca="1" si="2"/>
        <v>1.4633560006787485</v>
      </c>
      <c r="D44" s="143">
        <f t="shared" ca="1" si="2"/>
        <v>1.421935229312792</v>
      </c>
      <c r="E44" s="143">
        <f t="shared" ca="1" si="2"/>
        <v>1.5271868619674001</v>
      </c>
      <c r="F44" s="143">
        <f t="shared" ca="1" si="2"/>
        <v>1.4456940039216983</v>
      </c>
      <c r="G44" s="143">
        <f t="shared" ca="1" si="3"/>
        <v>1.6350001781938577</v>
      </c>
      <c r="H44" s="143">
        <f t="shared" ca="1" si="3"/>
        <v>1.6272422747232056</v>
      </c>
      <c r="I44" s="143">
        <f t="shared" ca="1" si="3"/>
        <v>1.9252449891088006</v>
      </c>
      <c r="J44" s="143">
        <f t="shared" ca="1" si="3"/>
        <v>1.8250945020318239</v>
      </c>
    </row>
    <row r="45" spans="1:12" x14ac:dyDescent="0.2">
      <c r="B45" s="3">
        <f t="shared" si="1"/>
        <v>96</v>
      </c>
      <c r="C45" s="143">
        <f t="shared" ca="1" si="2"/>
        <v>1.4330137706187793</v>
      </c>
      <c r="D45" s="143">
        <f t="shared" ca="1" si="2"/>
        <v>1.3941246765511053</v>
      </c>
      <c r="E45" s="143">
        <f t="shared" ca="1" si="2"/>
        <v>1.483146020715467</v>
      </c>
      <c r="F45" s="143">
        <f t="shared" ca="1" si="2"/>
        <v>1.4069435499253846</v>
      </c>
      <c r="G45" s="143">
        <f t="shared" ca="1" si="3"/>
        <v>1.5656459866073515</v>
      </c>
      <c r="H45" s="143">
        <f t="shared" ca="1" si="3"/>
        <v>1.5581914875637943</v>
      </c>
      <c r="I45" s="143">
        <f t="shared" ca="1" si="3"/>
        <v>1.8008056863741759</v>
      </c>
      <c r="J45" s="143">
        <f t="shared" ca="1" si="3"/>
        <v>1.7116178666774542</v>
      </c>
    </row>
    <row r="46" spans="1:12" x14ac:dyDescent="0.2">
      <c r="B46" s="3">
        <f t="shared" si="1"/>
        <v>108</v>
      </c>
      <c r="C46" s="143">
        <f t="shared" ca="1" si="2"/>
        <v>1.4087383726522285</v>
      </c>
      <c r="D46" s="143">
        <f t="shared" ca="1" si="2"/>
        <v>1.3653658542132354</v>
      </c>
      <c r="E46" s="143">
        <f t="shared" ca="1" si="2"/>
        <v>1.4427525777349239</v>
      </c>
      <c r="F46" s="143">
        <f t="shared" ca="1" si="2"/>
        <v>1.3724187822989171</v>
      </c>
      <c r="G46" s="143">
        <f t="shared" ca="1" si="3"/>
        <v>1.4979968363110656</v>
      </c>
      <c r="H46" s="143">
        <f t="shared" ca="1" si="3"/>
        <v>1.4902147807008537</v>
      </c>
      <c r="I46" s="143">
        <f t="shared" ca="1" si="3"/>
        <v>1.6958739715636748</v>
      </c>
      <c r="J46" s="143">
        <f t="shared" ca="1" si="3"/>
        <v>1.6224908885244678</v>
      </c>
    </row>
    <row r="47" spans="1:12" x14ac:dyDescent="0.2">
      <c r="B47" s="3">
        <f t="shared" si="1"/>
        <v>120</v>
      </c>
      <c r="C47" s="143">
        <f t="shared" ca="1" si="2"/>
        <v>1.388536402374255</v>
      </c>
      <c r="D47" s="143">
        <f t="shared" ca="1" si="2"/>
        <v>1.3411614995284327</v>
      </c>
      <c r="E47" s="143">
        <f t="shared" ca="1" si="2"/>
        <v>1.4010105026338671</v>
      </c>
      <c r="F47" s="143">
        <f t="shared" ca="1" si="2"/>
        <v>1.3352835750540846</v>
      </c>
      <c r="G47" s="143">
        <f t="shared" ca="1" si="3"/>
        <v>1.4458609720606512</v>
      </c>
      <c r="H47" s="143">
        <f t="shared" ca="1" si="3"/>
        <v>1.4374945772348238</v>
      </c>
      <c r="I47" s="143">
        <f t="shared" ca="1" si="3"/>
        <v>1.6130428023895695</v>
      </c>
      <c r="J47" s="143">
        <f t="shared" ca="1" si="3"/>
        <v>1.5507394330188726</v>
      </c>
    </row>
    <row r="48" spans="1:12" x14ac:dyDescent="0.2">
      <c r="B48" s="3">
        <f t="shared" si="1"/>
        <v>132</v>
      </c>
      <c r="C48" s="143">
        <f t="shared" ca="1" si="2"/>
        <v>1.3616739332793162</v>
      </c>
      <c r="D48" s="143">
        <f t="shared" ca="1" si="2"/>
        <v>1.3184323705669292</v>
      </c>
      <c r="E48" s="143">
        <f t="shared" ca="1" si="2"/>
        <v>1.3651980935815871</v>
      </c>
      <c r="F48" s="143">
        <f t="shared" ca="1" si="2"/>
        <v>1.3038693210471108</v>
      </c>
      <c r="G48" s="143">
        <f t="shared" ca="1" si="3"/>
        <v>1.4014680929213934</v>
      </c>
      <c r="H48" s="143">
        <f t="shared" ca="1" si="3"/>
        <v>1.3925103793111557</v>
      </c>
      <c r="I48" s="143">
        <f t="shared" ca="1" si="3"/>
        <v>1.5439456980687658</v>
      </c>
      <c r="J48" s="143">
        <f t="shared" ca="1" si="3"/>
        <v>1.4904811104626028</v>
      </c>
    </row>
    <row r="49" spans="1:24" x14ac:dyDescent="0.2">
      <c r="B49" s="3">
        <f t="shared" si="1"/>
        <v>144</v>
      </c>
      <c r="C49" s="143">
        <f t="shared" ca="1" si="2"/>
        <v>1.3379546701736333</v>
      </c>
      <c r="D49" s="143">
        <f t="shared" ca="1" si="2"/>
        <v>1.2985020288554332</v>
      </c>
      <c r="E49" s="143">
        <f t="shared" ca="1" si="2"/>
        <v>1.3345177387268177</v>
      </c>
      <c r="F49" s="143">
        <f t="shared" ca="1" si="2"/>
        <v>1.2769451312125082</v>
      </c>
      <c r="G49" s="143">
        <f t="shared" ca="1" si="3"/>
        <v>1.3665556747193925</v>
      </c>
      <c r="H49" s="143">
        <f t="shared" ca="1" si="3"/>
        <v>1.3568040358242037</v>
      </c>
      <c r="I49" s="143">
        <f t="shared" ca="1" si="3"/>
        <v>1.4902683112786557</v>
      </c>
      <c r="J49" s="143">
        <f t="shared" ca="1" si="3"/>
        <v>1.4433192765531484</v>
      </c>
    </row>
    <row r="50" spans="1:24" x14ac:dyDescent="0.2">
      <c r="B50" s="3">
        <f t="shared" si="1"/>
        <v>156</v>
      </c>
      <c r="C50" s="143">
        <f t="shared" ca="1" si="2"/>
        <v>1.3162075864961664</v>
      </c>
      <c r="D50" s="143">
        <f t="shared" ca="1" si="2"/>
        <v>1.2799132165904765</v>
      </c>
      <c r="E50" s="143">
        <f t="shared" ca="1" si="2"/>
        <v>1.3076592762744612</v>
      </c>
      <c r="F50" s="143">
        <f t="shared" ca="1" si="2"/>
        <v>1.2536281988904339</v>
      </c>
      <c r="G50" s="143">
        <f t="shared" ca="1" si="3"/>
        <v>1.3348822959907984</v>
      </c>
      <c r="H50" s="143">
        <f t="shared" ca="1" si="3"/>
        <v>1.3244021916291251</v>
      </c>
      <c r="I50" s="143">
        <f t="shared" ca="1" si="3"/>
        <v>1.4422154872786079</v>
      </c>
      <c r="J50" s="143">
        <f t="shared" ca="1" si="3"/>
        <v>1.4009600490289225</v>
      </c>
    </row>
    <row r="51" spans="1:24" x14ac:dyDescent="0.2">
      <c r="B51" s="3">
        <f t="shared" si="1"/>
        <v>168</v>
      </c>
      <c r="C51" s="143">
        <f t="shared" ca="1" si="2"/>
        <v>1.2963485039483376</v>
      </c>
      <c r="D51" s="143">
        <f t="shared" ca="1" si="2"/>
        <v>1.26281587615818</v>
      </c>
      <c r="E51" s="143">
        <f t="shared" ca="1" si="2"/>
        <v>1.2838660017367785</v>
      </c>
      <c r="F51" s="143">
        <f t="shared" ca="1" si="2"/>
        <v>1.2330776681435891</v>
      </c>
      <c r="G51" s="143">
        <f t="shared" ca="1" si="3"/>
        <v>1.3051802896636246</v>
      </c>
      <c r="H51" s="143">
        <f t="shared" ca="1" si="3"/>
        <v>1.2940794200817247</v>
      </c>
      <c r="I51" s="143">
        <f t="shared" ca="1" si="3"/>
        <v>1.3977663242926561</v>
      </c>
      <c r="J51" s="143">
        <f t="shared" ca="1" si="3"/>
        <v>1.3616796546495451</v>
      </c>
    </row>
    <row r="52" spans="1:24" x14ac:dyDescent="0.2">
      <c r="B52" s="3">
        <f t="shared" si="1"/>
        <v>180</v>
      </c>
      <c r="C52" s="143">
        <f t="shared" ca="1" si="2"/>
        <v>1.2779513578291737</v>
      </c>
      <c r="D52" s="143">
        <f t="shared" ca="1" si="2"/>
        <v>1.2469061091214491</v>
      </c>
      <c r="E52" s="143">
        <f t="shared" ca="1" si="2"/>
        <v>1.2625086804036483</v>
      </c>
      <c r="F52" s="143">
        <f t="shared" ca="1" si="2"/>
        <v>1.2147341019797364</v>
      </c>
      <c r="G52" s="143">
        <f t="shared" ca="1" si="3"/>
        <v>1.2787214404372917</v>
      </c>
      <c r="H52" s="143">
        <f t="shared" ca="1" si="3"/>
        <v>1.2669860081771782</v>
      </c>
      <c r="I52" s="143">
        <f t="shared" ca="1" si="3"/>
        <v>1.3585388525613291</v>
      </c>
      <c r="J52" s="143">
        <f t="shared" ca="1" si="3"/>
        <v>1.3268944899139181</v>
      </c>
    </row>
    <row r="53" spans="1:24" x14ac:dyDescent="0.2">
      <c r="B53" s="3">
        <f t="shared" si="1"/>
        <v>192</v>
      </c>
      <c r="C53" s="143">
        <f t="shared" ca="1" si="2"/>
        <v>1.2575999920380156</v>
      </c>
      <c r="D53" s="143">
        <f t="shared" ca="1" si="2"/>
        <v>1.2277946248243738</v>
      </c>
      <c r="E53" s="143">
        <f t="shared" ca="1" si="2"/>
        <v>1.2420961885176556</v>
      </c>
      <c r="F53" s="143">
        <f t="shared" ca="1" si="2"/>
        <v>1.1984117964076881</v>
      </c>
      <c r="G53" s="143">
        <f t="shared" ca="1" si="3"/>
        <v>1.2511321022752919</v>
      </c>
      <c r="H53" s="143">
        <f t="shared" ca="1" si="3"/>
        <v>1.2402174577430047</v>
      </c>
      <c r="I53" s="143">
        <f t="shared" ca="1" si="3"/>
        <v>1.3197639511680914</v>
      </c>
      <c r="J53" s="143">
        <f t="shared" ca="1" si="3"/>
        <v>1.2911899564315186</v>
      </c>
    </row>
    <row r="54" spans="1:24" x14ac:dyDescent="0.2">
      <c r="B54" s="3">
        <f t="shared" si="1"/>
        <v>204</v>
      </c>
      <c r="C54" s="143">
        <f t="shared" ca="1" si="2"/>
        <v>1.245683772930205</v>
      </c>
      <c r="D54" s="143">
        <f t="shared" ca="1" si="2"/>
        <v>1.2104981312705798</v>
      </c>
      <c r="E54" s="143">
        <f t="shared" ca="1" si="2"/>
        <v>1.2210310790764891</v>
      </c>
      <c r="F54" s="143">
        <f t="shared" ca="1" si="2"/>
        <v>1.1805722367046407</v>
      </c>
      <c r="G54" s="143">
        <f t="shared" ca="1" si="3"/>
        <v>1.2262070964230727</v>
      </c>
      <c r="H54" s="143">
        <f t="shared" ca="1" si="3"/>
        <v>1.2161590440941854</v>
      </c>
      <c r="I54" s="143">
        <f t="shared" ca="1" si="3"/>
        <v>1.2853206687487204</v>
      </c>
      <c r="J54" s="143">
        <f t="shared" ca="1" si="3"/>
        <v>1.259372877724479</v>
      </c>
    </row>
    <row r="55" spans="1:24" x14ac:dyDescent="0.2">
      <c r="B55" s="3">
        <f t="shared" si="1"/>
        <v>216</v>
      </c>
      <c r="C55" s="143">
        <f t="shared" ca="1" si="2"/>
        <v>1.2275753795198101</v>
      </c>
      <c r="D55" s="143">
        <f t="shared" ca="1" si="2"/>
        <v>1.1942757044164305</v>
      </c>
      <c r="E55" s="143">
        <f t="shared" ca="1" si="2"/>
        <v>1.2017205060643135</v>
      </c>
      <c r="F55" s="143">
        <f t="shared" ca="1" si="2"/>
        <v>1.1642786475622215</v>
      </c>
      <c r="G55" s="143">
        <f t="shared" ca="1" si="3"/>
        <v>1.20407971470723</v>
      </c>
      <c r="H55" s="143">
        <f t="shared" ca="1" si="3"/>
        <v>1.1945361254163709</v>
      </c>
      <c r="I55" s="143">
        <f t="shared" ca="1" si="3"/>
        <v>1.2547130137485598</v>
      </c>
      <c r="J55" s="143">
        <f t="shared" ca="1" si="3"/>
        <v>1.2310481496398054</v>
      </c>
    </row>
    <row r="56" spans="1:24" x14ac:dyDescent="0.2">
      <c r="B56" s="3">
        <f t="shared" si="1"/>
        <v>228</v>
      </c>
      <c r="C56" s="143">
        <f t="shared" ca="1" si="2"/>
        <v>1.2105223513260845</v>
      </c>
      <c r="D56" s="143">
        <f t="shared" ca="1" si="2"/>
        <v>1.179115344714357</v>
      </c>
      <c r="E56" s="143">
        <f t="shared" ca="1" si="2"/>
        <v>1.1840415788990739</v>
      </c>
      <c r="F56" s="143">
        <f t="shared" ca="1" si="2"/>
        <v>1.1494150868405912</v>
      </c>
      <c r="G56" s="143">
        <f t="shared" ca="1" si="3"/>
        <v>1.1841211714262698</v>
      </c>
      <c r="H56" s="143">
        <f t="shared" ca="1" si="3"/>
        <v>1.1750997856771843</v>
      </c>
      <c r="I56" s="143">
        <f t="shared" ca="1" si="3"/>
        <v>1.2274982526013927</v>
      </c>
      <c r="J56" s="143">
        <f t="shared" ca="1" si="3"/>
        <v>1.2058455285571568</v>
      </c>
    </row>
    <row r="57" spans="1:24" x14ac:dyDescent="0.2">
      <c r="B57" s="3">
        <f t="shared" si="1"/>
        <v>240</v>
      </c>
      <c r="C57" s="143">
        <f t="shared" ca="1" si="2"/>
        <v>1.1945272975200318</v>
      </c>
      <c r="D57" s="143">
        <f t="shared" ca="1" si="2"/>
        <v>1.1649893151173216</v>
      </c>
      <c r="E57" s="143">
        <f t="shared" ca="1" si="2"/>
        <v>1.1678726395601655</v>
      </c>
      <c r="F57" s="143">
        <f t="shared" ca="1" si="2"/>
        <v>1.1358685504336772</v>
      </c>
      <c r="G57" s="143">
        <f t="shared" ca="1" si="3"/>
        <v>1.1661202068351311</v>
      </c>
      <c r="H57" s="143">
        <f t="shared" ca="1" si="3"/>
        <v>1.157625535230423</v>
      </c>
      <c r="I57" s="143">
        <f t="shared" ca="1" si="3"/>
        <v>1.2032839148209602</v>
      </c>
      <c r="J57" s="143">
        <f t="shared" ca="1" si="3"/>
        <v>1.1834251867805186</v>
      </c>
    </row>
    <row r="58" spans="1:24" x14ac:dyDescent="0.2">
      <c r="B58" s="3">
        <f t="shared" si="1"/>
        <v>252</v>
      </c>
      <c r="C58" s="143">
        <f t="shared" ca="1" si="2"/>
        <v>1.1795736271466926</v>
      </c>
      <c r="D58" s="143">
        <f t="shared" ca="1" si="2"/>
        <v>1.1518590940064568</v>
      </c>
      <c r="E58" s="143">
        <f t="shared" ca="1" si="2"/>
        <v>1.1530959698073875</v>
      </c>
      <c r="F58" s="143">
        <f t="shared" ca="1" si="2"/>
        <v>1.1235309737333468</v>
      </c>
      <c r="G58" s="143">
        <f t="shared" ca="1" si="3"/>
        <v>1.1498845990486457</v>
      </c>
      <c r="H58" s="143">
        <f t="shared" ca="1" si="3"/>
        <v>1.1419115952078926</v>
      </c>
      <c r="I58" s="143">
        <f t="shared" ca="1" si="3"/>
        <v>1.1817235716538297</v>
      </c>
      <c r="J58" s="143">
        <f t="shared" ca="1" si="3"/>
        <v>1.1634794023678035</v>
      </c>
    </row>
    <row r="59" spans="1:24" x14ac:dyDescent="0.2">
      <c r="B59" s="3">
        <f t="shared" si="1"/>
        <v>264</v>
      </c>
      <c r="C59" s="143">
        <f t="shared" ca="1" si="2"/>
        <v>1.1656311792614056</v>
      </c>
      <c r="D59" s="143">
        <f t="shared" ca="1" si="2"/>
        <v>1.1396791475206127</v>
      </c>
      <c r="E59" s="143">
        <f t="shared" ca="1" si="2"/>
        <v>1.1395994613883182</v>
      </c>
      <c r="F59" s="143">
        <f t="shared" ca="1" si="2"/>
        <v>1.1123003942668241</v>
      </c>
      <c r="G59" s="143">
        <f t="shared" ca="1" si="3"/>
        <v>1.1352401779217562</v>
      </c>
      <c r="H59" s="143">
        <f t="shared" ca="1" si="3"/>
        <v>1.1277770032641119</v>
      </c>
      <c r="I59" s="143">
        <f t="shared" ca="1" si="3"/>
        <v>1.1625121840197787</v>
      </c>
      <c r="J59" s="143">
        <f t="shared" ca="1" si="3"/>
        <v>1.14573199938994</v>
      </c>
    </row>
    <row r="60" spans="1:24" x14ac:dyDescent="0.2">
      <c r="B60" s="3">
        <f t="shared" si="1"/>
        <v>276</v>
      </c>
      <c r="C60" s="143">
        <f t="shared" ca="1" si="2"/>
        <v>1.1526605605509028</v>
      </c>
      <c r="D60" s="143">
        <f t="shared" ca="1" si="2"/>
        <v>1.1283997667418511</v>
      </c>
      <c r="E60" s="143">
        <f t="shared" ca="1" si="2"/>
        <v>1.1272775592779578</v>
      </c>
      <c r="F60" s="143">
        <f t="shared" ca="1" si="2"/>
        <v>1.1020815367999535</v>
      </c>
      <c r="G60" s="143">
        <f t="shared" ca="1" si="3"/>
        <v>1.1220295895658776</v>
      </c>
      <c r="H60" s="143">
        <f t="shared" ca="1" si="3"/>
        <v>1.1150596901134664</v>
      </c>
      <c r="I60" s="143">
        <f t="shared" ca="1" si="3"/>
        <v>1.1453814732844192</v>
      </c>
      <c r="J60" s="143">
        <f t="shared" ca="1" si="3"/>
        <v>1.1299365610544283</v>
      </c>
    </row>
    <row r="62" spans="1:24" x14ac:dyDescent="0.2">
      <c r="A62" s="4" t="s">
        <v>483</v>
      </c>
    </row>
    <row r="64" spans="1:24" x14ac:dyDescent="0.2">
      <c r="B64" s="30" t="s">
        <v>25</v>
      </c>
      <c r="C64" s="30" t="s">
        <v>113</v>
      </c>
      <c r="D64" s="30" t="s">
        <v>111</v>
      </c>
      <c r="E64" s="30" t="s">
        <v>110</v>
      </c>
      <c r="F64" s="30" t="s">
        <v>109</v>
      </c>
      <c r="G64" s="30" t="s">
        <v>115</v>
      </c>
      <c r="H64" s="30" t="s">
        <v>116</v>
      </c>
      <c r="I64" s="113" t="s">
        <v>117</v>
      </c>
      <c r="J64" s="30" t="s">
        <v>118</v>
      </c>
      <c r="L64" s="542" t="s">
        <v>270</v>
      </c>
      <c r="M64" s="542"/>
      <c r="N64" s="543"/>
      <c r="O64" s="543"/>
      <c r="P64" s="45"/>
      <c r="Q64" s="45"/>
      <c r="R64" s="45"/>
      <c r="S64" s="45"/>
      <c r="T64" s="45"/>
      <c r="U64" s="45"/>
      <c r="V64" s="45"/>
      <c r="W64" s="45"/>
      <c r="X64" s="45"/>
    </row>
    <row r="65" spans="2:24" x14ac:dyDescent="0.2">
      <c r="B65" s="3" t="str">
        <f t="shared" ref="B65:B86" si="4">B38&amp;"-"&amp;B39</f>
        <v>12-24</v>
      </c>
      <c r="C65" s="143">
        <f ca="1">MIN(C38/C39, G65)</f>
        <v>1.7199999999999975</v>
      </c>
      <c r="D65" s="143">
        <f t="shared" ref="D65:F65" ca="1" si="5">MIN(D38/D39, H65)</f>
        <v>1.7200000000000251</v>
      </c>
      <c r="E65" s="143">
        <f t="shared" ca="1" si="5"/>
        <v>1.7200000000000029</v>
      </c>
      <c r="F65" s="143">
        <f t="shared" ca="1" si="5"/>
        <v>3.2682808041300144</v>
      </c>
      <c r="G65" s="548">
        <f t="shared" ref="G65:J65" ca="1" si="6">G38/G39</f>
        <v>2.7400000000000015</v>
      </c>
      <c r="H65" s="548">
        <f t="shared" ca="1" si="6"/>
        <v>2.8861053030833554</v>
      </c>
      <c r="I65" s="548">
        <f t="shared" ca="1" si="6"/>
        <v>3.0457669961309404</v>
      </c>
      <c r="J65" s="548">
        <f t="shared" ca="1" si="6"/>
        <v>3.2682808041300144</v>
      </c>
      <c r="L65" s="534" t="b">
        <f t="shared" ref="L65:L85" ca="1" si="7">C65&gt;=C66</f>
        <v>1</v>
      </c>
      <c r="M65" s="535" t="b">
        <f t="shared" ref="M65:M85" ca="1" si="8">D65&gt;=D66</f>
        <v>1</v>
      </c>
      <c r="N65" s="535" t="b">
        <f t="shared" ref="N65:N85" ca="1" si="9">E65&gt;=E66</f>
        <v>1</v>
      </c>
      <c r="O65" s="536" t="b">
        <f t="shared" ref="O65:O85" ca="1" si="10">F65&gt;=F66</f>
        <v>1</v>
      </c>
      <c r="P65" s="534" t="b">
        <f t="shared" ref="P65:P85" ca="1" si="11">G65&gt;=G66</f>
        <v>1</v>
      </c>
      <c r="Q65" s="535" t="b">
        <f t="shared" ref="Q65:Q85" ca="1" si="12">H65&gt;=H66</f>
        <v>1</v>
      </c>
      <c r="R65" s="535" t="b">
        <f t="shared" ref="R65:R85" ca="1" si="13">I65&gt;=I66</f>
        <v>1</v>
      </c>
      <c r="S65" s="536" t="b">
        <f t="shared" ref="S65:S85" ca="1" si="14">J65&gt;=J66</f>
        <v>1</v>
      </c>
      <c r="U65" s="534" t="b">
        <f t="shared" ref="U65:U87" ca="1" si="15">C65&lt;=G65</f>
        <v>1</v>
      </c>
      <c r="V65" s="535" t="b">
        <f t="shared" ref="V65:V87" ca="1" si="16">D65&lt;=H65</f>
        <v>1</v>
      </c>
      <c r="W65" s="535" t="b">
        <f t="shared" ref="W65:W87" ca="1" si="17">E65&lt;=I65</f>
        <v>1</v>
      </c>
      <c r="X65" s="536" t="b">
        <f t="shared" ref="X65:X87" ca="1" si="18">F65&lt;=J65</f>
        <v>1</v>
      </c>
    </row>
    <row r="66" spans="2:24" x14ac:dyDescent="0.2">
      <c r="B66" s="3" t="str">
        <f t="shared" si="4"/>
        <v>24-36</v>
      </c>
      <c r="C66" s="143">
        <f t="shared" ref="C66:C86" ca="1" si="19">MIN(C39/C40, G66)</f>
        <v>1.3330683248162725</v>
      </c>
      <c r="D66" s="143">
        <f t="shared" ref="D66:D86" ca="1" si="20">MIN(D39/D40, H66)</f>
        <v>1.3138780704947195</v>
      </c>
      <c r="E66" s="143">
        <f t="shared" ref="E66:E86" ca="1" si="21">MIN(E39/E40, I66)</f>
        <v>1.3573929848640542</v>
      </c>
      <c r="F66" s="143">
        <f t="shared" ref="F66:F86" ca="1" si="22">MIN(F39/F40, J66)</f>
        <v>1.4249404391094294</v>
      </c>
      <c r="G66" s="548">
        <f t="shared" ref="G66:J66" ca="1" si="23">G39/G40</f>
        <v>1.3573929848640423</v>
      </c>
      <c r="H66" s="548">
        <f t="shared" ca="1" si="23"/>
        <v>1.35739298486404</v>
      </c>
      <c r="I66" s="548">
        <f t="shared" ca="1" si="23"/>
        <v>1.3573929848640542</v>
      </c>
      <c r="J66" s="548">
        <f t="shared" ca="1" si="23"/>
        <v>1.6610708976151451</v>
      </c>
      <c r="L66" s="537" t="b">
        <f t="shared" ca="1" si="7"/>
        <v>1</v>
      </c>
      <c r="M66" s="31" t="b">
        <f t="shared" ca="1" si="8"/>
        <v>1</v>
      </c>
      <c r="N66" s="31" t="b">
        <f t="shared" ca="1" si="9"/>
        <v>1</v>
      </c>
      <c r="O66" s="538" t="b">
        <f t="shared" ca="1" si="10"/>
        <v>1</v>
      </c>
      <c r="P66" s="537" t="b">
        <f t="shared" ca="1" si="11"/>
        <v>1</v>
      </c>
      <c r="Q66" s="31" t="b">
        <f t="shared" ca="1" si="12"/>
        <v>1</v>
      </c>
      <c r="R66" s="31" t="b">
        <f t="shared" ca="1" si="13"/>
        <v>1</v>
      </c>
      <c r="S66" s="538" t="b">
        <f t="shared" ca="1" si="14"/>
        <v>1</v>
      </c>
      <c r="U66" s="537" t="b">
        <f t="shared" ca="1" si="15"/>
        <v>1</v>
      </c>
      <c r="V66" s="31" t="b">
        <f t="shared" ca="1" si="16"/>
        <v>1</v>
      </c>
      <c r="W66" s="31" t="b">
        <f t="shared" ca="1" si="17"/>
        <v>1</v>
      </c>
      <c r="X66" s="538" t="b">
        <f t="shared" ca="1" si="18"/>
        <v>1</v>
      </c>
    </row>
    <row r="67" spans="2:24" x14ac:dyDescent="0.2">
      <c r="B67" s="3" t="str">
        <f t="shared" si="4"/>
        <v>36-48</v>
      </c>
      <c r="C67" s="143">
        <f t="shared" ca="1" si="19"/>
        <v>1.056000000000002</v>
      </c>
      <c r="D67" s="143">
        <f t="shared" ca="1" si="20"/>
        <v>1.0559999999999954</v>
      </c>
      <c r="E67" s="143">
        <f t="shared" ca="1" si="21"/>
        <v>1.056</v>
      </c>
      <c r="F67" s="143">
        <f t="shared" ca="1" si="22"/>
        <v>1.0559999999999989</v>
      </c>
      <c r="G67" s="548">
        <f t="shared" ref="G67:J67" ca="1" si="24">G40/G41</f>
        <v>1.2108199603040135</v>
      </c>
      <c r="H67" s="548">
        <f t="shared" ca="1" si="24"/>
        <v>1.1823280763616415</v>
      </c>
      <c r="I67" s="548">
        <f t="shared" ca="1" si="24"/>
        <v>1.2487748400225587</v>
      </c>
      <c r="J67" s="548">
        <f t="shared" ca="1" si="24"/>
        <v>1.2248886360514752</v>
      </c>
      <c r="L67" s="537" t="b">
        <f t="shared" ca="1" si="7"/>
        <v>1</v>
      </c>
      <c r="M67" s="31" t="b">
        <f t="shared" ca="1" si="8"/>
        <v>0</v>
      </c>
      <c r="N67" s="31" t="b">
        <f t="shared" ca="1" si="9"/>
        <v>0</v>
      </c>
      <c r="O67" s="538" t="b">
        <f t="shared" ca="1" si="10"/>
        <v>0</v>
      </c>
      <c r="P67" s="537" t="b">
        <f t="shared" ca="1" si="11"/>
        <v>1</v>
      </c>
      <c r="Q67" s="31" t="b">
        <f t="shared" ca="1" si="12"/>
        <v>1</v>
      </c>
      <c r="R67" s="31" t="b">
        <f t="shared" ca="1" si="13"/>
        <v>1</v>
      </c>
      <c r="S67" s="538" t="b">
        <f t="shared" ca="1" si="14"/>
        <v>1</v>
      </c>
      <c r="U67" s="537" t="b">
        <f t="shared" ca="1" si="15"/>
        <v>1</v>
      </c>
      <c r="V67" s="31" t="b">
        <f t="shared" ca="1" si="16"/>
        <v>1</v>
      </c>
      <c r="W67" s="31" t="b">
        <f t="shared" ca="1" si="17"/>
        <v>1</v>
      </c>
      <c r="X67" s="538" t="b">
        <f t="shared" ca="1" si="18"/>
        <v>1</v>
      </c>
    </row>
    <row r="68" spans="2:24" x14ac:dyDescent="0.2">
      <c r="B68" s="3" t="str">
        <f t="shared" si="4"/>
        <v>48-60</v>
      </c>
      <c r="C68" s="143">
        <f t="shared" ca="1" si="19"/>
        <v>1.0533200197337877</v>
      </c>
      <c r="D68" s="143">
        <f t="shared" ca="1" si="20"/>
        <v>1.0574054870877083</v>
      </c>
      <c r="E68" s="143">
        <f t="shared" ca="1" si="21"/>
        <v>1.0742088102845508</v>
      </c>
      <c r="F68" s="143">
        <f t="shared" ca="1" si="22"/>
        <v>1.0795908711282578</v>
      </c>
      <c r="G68" s="548">
        <f t="shared" ref="G68:J68" ca="1" si="25">G41/G42</f>
        <v>1.0665354825981754</v>
      </c>
      <c r="H68" s="548">
        <f t="shared" ca="1" si="25"/>
        <v>1.0665354825981928</v>
      </c>
      <c r="I68" s="548">
        <f t="shared" ca="1" si="25"/>
        <v>1.0850893830776012</v>
      </c>
      <c r="J68" s="548">
        <f t="shared" ca="1" si="25"/>
        <v>1.0940790759849595</v>
      </c>
      <c r="L68" s="537" t="b">
        <f t="shared" ca="1" si="7"/>
        <v>1</v>
      </c>
      <c r="M68" s="31" t="b">
        <f t="shared" ca="1" si="8"/>
        <v>1</v>
      </c>
      <c r="N68" s="31" t="b">
        <f t="shared" ca="1" si="9"/>
        <v>1</v>
      </c>
      <c r="O68" s="538" t="b">
        <f t="shared" ca="1" si="10"/>
        <v>1</v>
      </c>
      <c r="P68" s="537" t="b">
        <f t="shared" ca="1" si="11"/>
        <v>1</v>
      </c>
      <c r="Q68" s="31" t="b">
        <f t="shared" ca="1" si="12"/>
        <v>1</v>
      </c>
      <c r="R68" s="31" t="b">
        <f t="shared" ca="1" si="13"/>
        <v>1</v>
      </c>
      <c r="S68" s="538" t="b">
        <f t="shared" ca="1" si="14"/>
        <v>1</v>
      </c>
      <c r="U68" s="537" t="b">
        <f t="shared" ca="1" si="15"/>
        <v>1</v>
      </c>
      <c r="V68" s="31" t="b">
        <f t="shared" ca="1" si="16"/>
        <v>1</v>
      </c>
      <c r="W68" s="31" t="b">
        <f t="shared" ca="1" si="17"/>
        <v>1</v>
      </c>
      <c r="X68" s="538" t="b">
        <f t="shared" ca="1" si="18"/>
        <v>1</v>
      </c>
    </row>
    <row r="69" spans="2:24" x14ac:dyDescent="0.2">
      <c r="B69" s="3" t="str">
        <f t="shared" si="4"/>
        <v>60-72</v>
      </c>
      <c r="C69" s="143">
        <f t="shared" ca="1" si="19"/>
        <v>1.0396404286078063</v>
      </c>
      <c r="D69" s="143">
        <f t="shared" ca="1" si="20"/>
        <v>1.0359858617349591</v>
      </c>
      <c r="E69" s="143">
        <f t="shared" ca="1" si="21"/>
        <v>1.0497158165705998</v>
      </c>
      <c r="F69" s="143">
        <f t="shared" ca="1" si="22"/>
        <v>1.0467623691592094</v>
      </c>
      <c r="G69" s="548">
        <f t="shared" ref="G69:J69" ca="1" si="26">G42/G43</f>
        <v>1.0494675483327081</v>
      </c>
      <c r="H69" s="548">
        <f t="shared" ca="1" si="26"/>
        <v>1.0519763224396892</v>
      </c>
      <c r="I69" s="548">
        <f t="shared" ca="1" si="26"/>
        <v>1.0745791585007458</v>
      </c>
      <c r="J69" s="548">
        <f t="shared" ca="1" si="26"/>
        <v>1.0695474880410762</v>
      </c>
      <c r="L69" s="537" t="b">
        <f t="shared" ca="1" si="7"/>
        <v>1</v>
      </c>
      <c r="M69" s="31" t="b">
        <f t="shared" ca="1" si="8"/>
        <v>1</v>
      </c>
      <c r="N69" s="31" t="b">
        <f t="shared" ca="1" si="9"/>
        <v>1</v>
      </c>
      <c r="O69" s="538" t="b">
        <f t="shared" ca="1" si="10"/>
        <v>1</v>
      </c>
      <c r="P69" s="537" t="b">
        <f t="shared" ca="1" si="11"/>
        <v>1</v>
      </c>
      <c r="Q69" s="31" t="b">
        <f t="shared" ca="1" si="12"/>
        <v>1</v>
      </c>
      <c r="R69" s="31" t="b">
        <f t="shared" ca="1" si="13"/>
        <v>1</v>
      </c>
      <c r="S69" s="538" t="b">
        <f t="shared" ca="1" si="14"/>
        <v>1</v>
      </c>
      <c r="U69" s="537" t="b">
        <f t="shared" ca="1" si="15"/>
        <v>1</v>
      </c>
      <c r="V69" s="31" t="b">
        <f t="shared" ca="1" si="16"/>
        <v>1</v>
      </c>
      <c r="W69" s="31" t="b">
        <f t="shared" ca="1" si="17"/>
        <v>1</v>
      </c>
      <c r="X69" s="538" t="b">
        <f t="shared" ca="1" si="18"/>
        <v>1</v>
      </c>
    </row>
    <row r="70" spans="2:24" x14ac:dyDescent="0.2">
      <c r="B70" s="3" t="str">
        <f t="shared" si="4"/>
        <v>72-84</v>
      </c>
      <c r="C70" s="143">
        <f t="shared" ca="1" si="19"/>
        <v>1.0333322507541538</v>
      </c>
      <c r="D70" s="143">
        <f t="shared" ca="1" si="20"/>
        <v>1.0302968198382663</v>
      </c>
      <c r="E70" s="143">
        <f t="shared" ca="1" si="21"/>
        <v>1.0421859258370825</v>
      </c>
      <c r="F70" s="143">
        <f t="shared" ca="1" si="22"/>
        <v>1.0381276217289743</v>
      </c>
      <c r="G70" s="548">
        <f t="shared" ref="G70:J70" ca="1" si="27">G43/G44</f>
        <v>1.0422884486785076</v>
      </c>
      <c r="H70" s="548">
        <f t="shared" ca="1" si="27"/>
        <v>1.0440953367434012</v>
      </c>
      <c r="I70" s="548">
        <f t="shared" ca="1" si="27"/>
        <v>1.0544245649132544</v>
      </c>
      <c r="J70" s="548">
        <f t="shared" ca="1" si="27"/>
        <v>1.0506520146493625</v>
      </c>
      <c r="L70" s="537" t="b">
        <f t="shared" ca="1" si="7"/>
        <v>1</v>
      </c>
      <c r="M70" s="31" t="b">
        <f t="shared" ca="1" si="8"/>
        <v>1</v>
      </c>
      <c r="N70" s="31" t="b">
        <f t="shared" ca="1" si="9"/>
        <v>1</v>
      </c>
      <c r="O70" s="538" t="b">
        <f t="shared" ca="1" si="10"/>
        <v>1</v>
      </c>
      <c r="P70" s="537" t="b">
        <f t="shared" ca="1" si="11"/>
        <v>0</v>
      </c>
      <c r="Q70" s="31" t="b">
        <f t="shared" ca="1" si="12"/>
        <v>0</v>
      </c>
      <c r="R70" s="31" t="b">
        <f t="shared" ca="1" si="13"/>
        <v>0</v>
      </c>
      <c r="S70" s="538" t="b">
        <f t="shared" ca="1" si="14"/>
        <v>0</v>
      </c>
      <c r="U70" s="537" t="b">
        <f t="shared" ca="1" si="15"/>
        <v>1</v>
      </c>
      <c r="V70" s="31" t="b">
        <f t="shared" ca="1" si="16"/>
        <v>1</v>
      </c>
      <c r="W70" s="31" t="b">
        <f t="shared" ca="1" si="17"/>
        <v>1</v>
      </c>
      <c r="X70" s="538" t="b">
        <f t="shared" ca="1" si="18"/>
        <v>1</v>
      </c>
    </row>
    <row r="71" spans="2:24" x14ac:dyDescent="0.2">
      <c r="B71" s="3" t="str">
        <f t="shared" si="4"/>
        <v>84-96</v>
      </c>
      <c r="C71" s="143">
        <f t="shared" ca="1" si="19"/>
        <v>1.0211737184122573</v>
      </c>
      <c r="D71" s="143">
        <f t="shared" ca="1" si="20"/>
        <v>1.0199483971767049</v>
      </c>
      <c r="E71" s="143">
        <f t="shared" ca="1" si="21"/>
        <v>1.0296942045063695</v>
      </c>
      <c r="F71" s="143">
        <f t="shared" ca="1" si="22"/>
        <v>1.027542294783873</v>
      </c>
      <c r="G71" s="548">
        <f t="shared" ref="G71:J71" ca="1" si="28">G44/G45</f>
        <v>1.0442974926514468</v>
      </c>
      <c r="H71" s="548">
        <f t="shared" ca="1" si="28"/>
        <v>1.0443146992590564</v>
      </c>
      <c r="I71" s="548">
        <f t="shared" ca="1" si="28"/>
        <v>1.0691020156567677</v>
      </c>
      <c r="J71" s="548">
        <f t="shared" ca="1" si="28"/>
        <v>1.0662978796632028</v>
      </c>
      <c r="L71" s="537" t="b">
        <f t="shared" ca="1" si="7"/>
        <v>1</v>
      </c>
      <c r="M71" s="31" t="b">
        <f t="shared" ca="1" si="8"/>
        <v>0</v>
      </c>
      <c r="N71" s="31" t="b">
        <f t="shared" ca="1" si="9"/>
        <v>1</v>
      </c>
      <c r="O71" s="538" t="b">
        <f t="shared" ca="1" si="10"/>
        <v>1</v>
      </c>
      <c r="P71" s="537" t="b">
        <f t="shared" ca="1" si="11"/>
        <v>0</v>
      </c>
      <c r="Q71" s="31" t="b">
        <f t="shared" ca="1" si="12"/>
        <v>0</v>
      </c>
      <c r="R71" s="31" t="b">
        <f t="shared" ca="1" si="13"/>
        <v>1</v>
      </c>
      <c r="S71" s="538" t="b">
        <f t="shared" ca="1" si="14"/>
        <v>1</v>
      </c>
      <c r="U71" s="537" t="b">
        <f t="shared" ca="1" si="15"/>
        <v>1</v>
      </c>
      <c r="V71" s="31" t="b">
        <f t="shared" ca="1" si="16"/>
        <v>1</v>
      </c>
      <c r="W71" s="31" t="b">
        <f t="shared" ca="1" si="17"/>
        <v>1</v>
      </c>
      <c r="X71" s="538" t="b">
        <f t="shared" ca="1" si="18"/>
        <v>1</v>
      </c>
    </row>
    <row r="72" spans="2:24" x14ac:dyDescent="0.2">
      <c r="B72" s="3" t="str">
        <f t="shared" si="4"/>
        <v>96-108</v>
      </c>
      <c r="C72" s="143">
        <f t="shared" ca="1" si="19"/>
        <v>1.017232013010938</v>
      </c>
      <c r="D72" s="143">
        <f t="shared" ca="1" si="20"/>
        <v>1.0210630888776997</v>
      </c>
      <c r="E72" s="143">
        <f t="shared" ca="1" si="21"/>
        <v>1.0279974845333213</v>
      </c>
      <c r="F72" s="143">
        <f t="shared" ca="1" si="22"/>
        <v>1.0251561462665468</v>
      </c>
      <c r="G72" s="548">
        <f t="shared" ref="G72:J72" ca="1" si="29">G45/G46</f>
        <v>1.0451597417674641</v>
      </c>
      <c r="H72" s="548">
        <f t="shared" ca="1" si="29"/>
        <v>1.0456153755440347</v>
      </c>
      <c r="I72" s="548">
        <f t="shared" ca="1" si="29"/>
        <v>1.0618747127262937</v>
      </c>
      <c r="J72" s="548">
        <f t="shared" ca="1" si="29"/>
        <v>1.0549321902411672</v>
      </c>
      <c r="L72" s="537" t="b">
        <f t="shared" ca="1" si="7"/>
        <v>1</v>
      </c>
      <c r="M72" s="31" t="b">
        <f t="shared" ca="1" si="8"/>
        <v>1</v>
      </c>
      <c r="N72" s="31" t="b">
        <f t="shared" ca="1" si="9"/>
        <v>0</v>
      </c>
      <c r="O72" s="538" t="b">
        <f t="shared" ca="1" si="10"/>
        <v>0</v>
      </c>
      <c r="P72" s="537" t="b">
        <f t="shared" ca="1" si="11"/>
        <v>1</v>
      </c>
      <c r="Q72" s="31" t="b">
        <f t="shared" ca="1" si="12"/>
        <v>1</v>
      </c>
      <c r="R72" s="31" t="b">
        <f t="shared" ca="1" si="13"/>
        <v>1</v>
      </c>
      <c r="S72" s="538" t="b">
        <f t="shared" ca="1" si="14"/>
        <v>1</v>
      </c>
      <c r="U72" s="537" t="b">
        <f t="shared" ca="1" si="15"/>
        <v>1</v>
      </c>
      <c r="V72" s="31" t="b">
        <f t="shared" ca="1" si="16"/>
        <v>1</v>
      </c>
      <c r="W72" s="31" t="b">
        <f t="shared" ca="1" si="17"/>
        <v>1</v>
      </c>
      <c r="X72" s="538" t="b">
        <f t="shared" ca="1" si="18"/>
        <v>1</v>
      </c>
    </row>
    <row r="73" spans="2:24" x14ac:dyDescent="0.2">
      <c r="B73" s="3" t="str">
        <f t="shared" si="4"/>
        <v>108-120</v>
      </c>
      <c r="C73" s="143">
        <f t="shared" ca="1" si="19"/>
        <v>1.0145491110232545</v>
      </c>
      <c r="D73" s="143">
        <f t="shared" ca="1" si="20"/>
        <v>1.0180473080186938</v>
      </c>
      <c r="E73" s="143">
        <f t="shared" ca="1" si="21"/>
        <v>1.0297942628000167</v>
      </c>
      <c r="F73" s="143">
        <f t="shared" ca="1" si="22"/>
        <v>1.0278107272032673</v>
      </c>
      <c r="G73" s="548">
        <f t="shared" ref="G73:J73" ca="1" si="30">G46/G47</f>
        <v>1.0360586980753135</v>
      </c>
      <c r="H73" s="548">
        <f t="shared" ca="1" si="30"/>
        <v>1.0366750625017611</v>
      </c>
      <c r="I73" s="548">
        <f t="shared" ca="1" si="30"/>
        <v>1.0513508811120194</v>
      </c>
      <c r="J73" s="548">
        <f t="shared" ca="1" si="30"/>
        <v>1.0462691887352824</v>
      </c>
      <c r="L73" s="537" t="b">
        <f t="shared" ca="1" si="7"/>
        <v>0</v>
      </c>
      <c r="M73" s="31" t="b">
        <f t="shared" ca="1" si="8"/>
        <v>1</v>
      </c>
      <c r="N73" s="31" t="b">
        <f t="shared" ca="1" si="9"/>
        <v>1</v>
      </c>
      <c r="O73" s="538" t="b">
        <f t="shared" ca="1" si="10"/>
        <v>1</v>
      </c>
      <c r="P73" s="537" t="b">
        <f t="shared" ca="1" si="11"/>
        <v>1</v>
      </c>
      <c r="Q73" s="31" t="b">
        <f t="shared" ca="1" si="12"/>
        <v>1</v>
      </c>
      <c r="R73" s="31" t="b">
        <f t="shared" ca="1" si="13"/>
        <v>1</v>
      </c>
      <c r="S73" s="538" t="b">
        <f t="shared" ca="1" si="14"/>
        <v>1</v>
      </c>
      <c r="U73" s="537" t="b">
        <f t="shared" ca="1" si="15"/>
        <v>1</v>
      </c>
      <c r="V73" s="31" t="b">
        <f t="shared" ca="1" si="16"/>
        <v>1</v>
      </c>
      <c r="W73" s="31" t="b">
        <f t="shared" ca="1" si="17"/>
        <v>1</v>
      </c>
      <c r="X73" s="538" t="b">
        <f t="shared" ca="1" si="18"/>
        <v>1</v>
      </c>
    </row>
    <row r="74" spans="2:24" x14ac:dyDescent="0.2">
      <c r="B74" s="3" t="str">
        <f t="shared" si="4"/>
        <v>120-132</v>
      </c>
      <c r="C74" s="143">
        <f t="shared" ca="1" si="19"/>
        <v>1.019727534205084</v>
      </c>
      <c r="D74" s="143">
        <f t="shared" ca="1" si="20"/>
        <v>1.0172395107014325</v>
      </c>
      <c r="E74" s="143">
        <f t="shared" ca="1" si="21"/>
        <v>1.0262323901715438</v>
      </c>
      <c r="F74" s="143">
        <f t="shared" ca="1" si="22"/>
        <v>1.0240931000521936</v>
      </c>
      <c r="G74" s="548">
        <f t="shared" ref="G74:J74" ca="1" si="31">G47/G48</f>
        <v>1.0316759827522863</v>
      </c>
      <c r="H74" s="548">
        <f t="shared" ca="1" si="31"/>
        <v>1.0323043896778139</v>
      </c>
      <c r="I74" s="548">
        <f t="shared" ca="1" si="31"/>
        <v>1.0447535845381306</v>
      </c>
      <c r="J74" s="548">
        <f t="shared" ca="1" si="31"/>
        <v>1.0404287730540693</v>
      </c>
      <c r="L74" s="537" t="b">
        <f t="shared" ca="1" si="7"/>
        <v>1</v>
      </c>
      <c r="M74" s="31" t="b">
        <f t="shared" ca="1" si="8"/>
        <v>1</v>
      </c>
      <c r="N74" s="31" t="b">
        <f t="shared" ca="1" si="9"/>
        <v>1</v>
      </c>
      <c r="O74" s="538" t="b">
        <f t="shared" ca="1" si="10"/>
        <v>1</v>
      </c>
      <c r="P74" s="537" t="b">
        <f t="shared" ca="1" si="11"/>
        <v>1</v>
      </c>
      <c r="Q74" s="31" t="b">
        <f t="shared" ca="1" si="12"/>
        <v>1</v>
      </c>
      <c r="R74" s="31" t="b">
        <f t="shared" ca="1" si="13"/>
        <v>1</v>
      </c>
      <c r="S74" s="538" t="b">
        <f t="shared" ca="1" si="14"/>
        <v>1</v>
      </c>
      <c r="U74" s="537" t="b">
        <f t="shared" ca="1" si="15"/>
        <v>1</v>
      </c>
      <c r="V74" s="31" t="b">
        <f t="shared" ca="1" si="16"/>
        <v>1</v>
      </c>
      <c r="W74" s="31" t="b">
        <f t="shared" ca="1" si="17"/>
        <v>1</v>
      </c>
      <c r="X74" s="538" t="b">
        <f t="shared" ca="1" si="18"/>
        <v>1</v>
      </c>
    </row>
    <row r="75" spans="2:24" x14ac:dyDescent="0.2">
      <c r="B75" s="3" t="str">
        <f t="shared" si="4"/>
        <v>132-144</v>
      </c>
      <c r="C75" s="143">
        <f t="shared" ca="1" si="19"/>
        <v>1.0177280020276058</v>
      </c>
      <c r="D75" s="143">
        <f t="shared" ca="1" si="20"/>
        <v>1.0153487181911172</v>
      </c>
      <c r="E75" s="143">
        <f t="shared" ca="1" si="21"/>
        <v>1.0229898441695047</v>
      </c>
      <c r="F75" s="143">
        <f t="shared" ca="1" si="22"/>
        <v>1.0210848447411653</v>
      </c>
      <c r="G75" s="548">
        <f t="shared" ref="G75:J75" ca="1" si="32">G48/G49</f>
        <v>1.0255477466801122</v>
      </c>
      <c r="H75" s="548">
        <f t="shared" ca="1" si="32"/>
        <v>1.026316507427885</v>
      </c>
      <c r="I75" s="548">
        <f t="shared" ca="1" si="32"/>
        <v>1.0360186057664038</v>
      </c>
      <c r="J75" s="548">
        <f t="shared" ca="1" si="32"/>
        <v>1.0326759537377506</v>
      </c>
      <c r="L75" s="537" t="b">
        <f t="shared" ca="1" si="7"/>
        <v>1</v>
      </c>
      <c r="M75" s="31" t="b">
        <f t="shared" ca="1" si="8"/>
        <v>1</v>
      </c>
      <c r="N75" s="31" t="b">
        <f t="shared" ca="1" si="9"/>
        <v>1</v>
      </c>
      <c r="O75" s="538" t="b">
        <f t="shared" ca="1" si="10"/>
        <v>1</v>
      </c>
      <c r="P75" s="537" t="b">
        <f t="shared" ca="1" si="11"/>
        <v>1</v>
      </c>
      <c r="Q75" s="31" t="b">
        <f t="shared" ca="1" si="12"/>
        <v>1</v>
      </c>
      <c r="R75" s="31" t="b">
        <f t="shared" ca="1" si="13"/>
        <v>1</v>
      </c>
      <c r="S75" s="538" t="b">
        <f t="shared" ca="1" si="14"/>
        <v>1</v>
      </c>
      <c r="U75" s="537" t="b">
        <f t="shared" ca="1" si="15"/>
        <v>1</v>
      </c>
      <c r="V75" s="31" t="b">
        <f t="shared" ca="1" si="16"/>
        <v>1</v>
      </c>
      <c r="W75" s="31" t="b">
        <f t="shared" ca="1" si="17"/>
        <v>1</v>
      </c>
      <c r="X75" s="538" t="b">
        <f t="shared" ca="1" si="18"/>
        <v>1</v>
      </c>
    </row>
    <row r="76" spans="2:24" x14ac:dyDescent="0.2">
      <c r="B76" s="3" t="str">
        <f t="shared" si="4"/>
        <v>144-156</v>
      </c>
      <c r="C76" s="143">
        <f t="shared" ca="1" si="19"/>
        <v>1.0165225332999024</v>
      </c>
      <c r="D76" s="143">
        <f t="shared" ca="1" si="20"/>
        <v>1.0145234942682089</v>
      </c>
      <c r="E76" s="143">
        <f t="shared" ca="1" si="21"/>
        <v>1.0205393430381013</v>
      </c>
      <c r="F76" s="143">
        <f t="shared" ca="1" si="22"/>
        <v>1.0185995595366408</v>
      </c>
      <c r="G76" s="548">
        <f t="shared" ref="G76:J76" ca="1" si="33">G49/G50</f>
        <v>1.0237274693234919</v>
      </c>
      <c r="H76" s="548">
        <f t="shared" ca="1" si="33"/>
        <v>1.0244652601754016</v>
      </c>
      <c r="I76" s="548">
        <f t="shared" ca="1" si="33"/>
        <v>1.0333187546687084</v>
      </c>
      <c r="J76" s="548">
        <f t="shared" ca="1" si="33"/>
        <v>1.0302358568708561</v>
      </c>
      <c r="L76" s="537" t="b">
        <f t="shared" ca="1" si="7"/>
        <v>1</v>
      </c>
      <c r="M76" s="31" t="b">
        <f t="shared" ca="1" si="8"/>
        <v>1</v>
      </c>
      <c r="N76" s="31" t="b">
        <f t="shared" ca="1" si="9"/>
        <v>1</v>
      </c>
      <c r="O76" s="538" t="b">
        <f t="shared" ca="1" si="10"/>
        <v>1</v>
      </c>
      <c r="P76" s="537" t="b">
        <f t="shared" ca="1" si="11"/>
        <v>1</v>
      </c>
      <c r="Q76" s="31" t="b">
        <f t="shared" ca="1" si="12"/>
        <v>1</v>
      </c>
      <c r="R76" s="31" t="b">
        <f t="shared" ca="1" si="13"/>
        <v>1</v>
      </c>
      <c r="S76" s="538" t="b">
        <f t="shared" ca="1" si="14"/>
        <v>1</v>
      </c>
      <c r="U76" s="537" t="b">
        <f t="shared" ca="1" si="15"/>
        <v>1</v>
      </c>
      <c r="V76" s="31" t="b">
        <f t="shared" ca="1" si="16"/>
        <v>1</v>
      </c>
      <c r="W76" s="31" t="b">
        <f t="shared" ca="1" si="17"/>
        <v>1</v>
      </c>
      <c r="X76" s="538" t="b">
        <f t="shared" ca="1" si="18"/>
        <v>1</v>
      </c>
    </row>
    <row r="77" spans="2:24" x14ac:dyDescent="0.2">
      <c r="B77" s="3" t="str">
        <f t="shared" si="4"/>
        <v>156-168</v>
      </c>
      <c r="C77" s="143">
        <f t="shared" ca="1" si="19"/>
        <v>1.015319246705144</v>
      </c>
      <c r="D77" s="143">
        <f t="shared" ca="1" si="20"/>
        <v>1.0135390604086409</v>
      </c>
      <c r="E77" s="143">
        <f t="shared" ca="1" si="21"/>
        <v>1.0185325217004702</v>
      </c>
      <c r="F77" s="143">
        <f t="shared" ca="1" si="22"/>
        <v>1.0166660473040467</v>
      </c>
      <c r="G77" s="548">
        <f t="shared" ref="G77:J77" ca="1" si="34">G50/G51</f>
        <v>1.0227570141553615</v>
      </c>
      <c r="H77" s="548">
        <f t="shared" ca="1" si="34"/>
        <v>1.0234319247156294</v>
      </c>
      <c r="I77" s="548">
        <f t="shared" ca="1" si="34"/>
        <v>1.0318001387023295</v>
      </c>
      <c r="J77" s="548">
        <f t="shared" ca="1" si="34"/>
        <v>1.0288470157024465</v>
      </c>
      <c r="L77" s="537" t="b">
        <f t="shared" ca="1" si="7"/>
        <v>1</v>
      </c>
      <c r="M77" s="31" t="b">
        <f t="shared" ca="1" si="8"/>
        <v>1</v>
      </c>
      <c r="N77" s="31" t="b">
        <f t="shared" ca="1" si="9"/>
        <v>1</v>
      </c>
      <c r="O77" s="538" t="b">
        <f t="shared" ca="1" si="10"/>
        <v>1</v>
      </c>
      <c r="P77" s="537" t="b">
        <f t="shared" ca="1" si="11"/>
        <v>1</v>
      </c>
      <c r="Q77" s="31" t="b">
        <f t="shared" ca="1" si="12"/>
        <v>1</v>
      </c>
      <c r="R77" s="31" t="b">
        <f t="shared" ca="1" si="13"/>
        <v>1</v>
      </c>
      <c r="S77" s="538" t="b">
        <f t="shared" ca="1" si="14"/>
        <v>1</v>
      </c>
      <c r="U77" s="537" t="b">
        <f t="shared" ca="1" si="15"/>
        <v>1</v>
      </c>
      <c r="V77" s="31" t="b">
        <f t="shared" ca="1" si="16"/>
        <v>1</v>
      </c>
      <c r="W77" s="31" t="b">
        <f t="shared" ca="1" si="17"/>
        <v>1</v>
      </c>
      <c r="X77" s="538" t="b">
        <f t="shared" ca="1" si="18"/>
        <v>1</v>
      </c>
    </row>
    <row r="78" spans="2:24" x14ac:dyDescent="0.2">
      <c r="B78" s="3" t="str">
        <f t="shared" si="4"/>
        <v>168-180</v>
      </c>
      <c r="C78" s="143">
        <f t="shared" ca="1" si="19"/>
        <v>1.0143958109253977</v>
      </c>
      <c r="D78" s="143">
        <f t="shared" ca="1" si="20"/>
        <v>1.012759394568963</v>
      </c>
      <c r="E78" s="143">
        <f t="shared" ca="1" si="21"/>
        <v>1.0169165738538144</v>
      </c>
      <c r="F78" s="143">
        <f t="shared" ca="1" si="22"/>
        <v>1.0151008900910552</v>
      </c>
      <c r="G78" s="548">
        <f t="shared" ref="G78:J78" ca="1" si="35">G51/G52</f>
        <v>1.0206916443172209</v>
      </c>
      <c r="H78" s="548">
        <f t="shared" ca="1" si="35"/>
        <v>1.021384144520685</v>
      </c>
      <c r="I78" s="548">
        <f t="shared" ca="1" si="35"/>
        <v>1.028874751470942</v>
      </c>
      <c r="J78" s="548">
        <f t="shared" ca="1" si="35"/>
        <v>1.0262154715390246</v>
      </c>
      <c r="L78" s="537" t="b">
        <f t="shared" ca="1" si="7"/>
        <v>0</v>
      </c>
      <c r="M78" s="31" t="b">
        <f t="shared" ca="1" si="8"/>
        <v>0</v>
      </c>
      <c r="N78" s="31" t="b">
        <f t="shared" ca="1" si="9"/>
        <v>1</v>
      </c>
      <c r="O78" s="538" t="b">
        <f t="shared" ca="1" si="10"/>
        <v>1</v>
      </c>
      <c r="P78" s="537" t="b">
        <f t="shared" ca="1" si="11"/>
        <v>0</v>
      </c>
      <c r="Q78" s="31" t="b">
        <f t="shared" ca="1" si="12"/>
        <v>0</v>
      </c>
      <c r="R78" s="31" t="b">
        <f t="shared" ca="1" si="13"/>
        <v>0</v>
      </c>
      <c r="S78" s="538" t="b">
        <f t="shared" ca="1" si="14"/>
        <v>0</v>
      </c>
      <c r="U78" s="537" t="b">
        <f t="shared" ca="1" si="15"/>
        <v>1</v>
      </c>
      <c r="V78" s="31" t="b">
        <f t="shared" ca="1" si="16"/>
        <v>1</v>
      </c>
      <c r="W78" s="31" t="b">
        <f t="shared" ca="1" si="17"/>
        <v>1</v>
      </c>
      <c r="X78" s="538" t="b">
        <f t="shared" ca="1" si="18"/>
        <v>1</v>
      </c>
    </row>
    <row r="79" spans="2:24" x14ac:dyDescent="0.2">
      <c r="B79" s="3" t="str">
        <f t="shared" si="4"/>
        <v>180-192</v>
      </c>
      <c r="C79" s="143">
        <f t="shared" ca="1" si="19"/>
        <v>1.0161827019084004</v>
      </c>
      <c r="D79" s="143">
        <f t="shared" ca="1" si="20"/>
        <v>1.0155657012261388</v>
      </c>
      <c r="E79" s="143">
        <f t="shared" ca="1" si="21"/>
        <v>1.0164339059041421</v>
      </c>
      <c r="F79" s="143">
        <f t="shared" ca="1" si="22"/>
        <v>1.013619947351132</v>
      </c>
      <c r="G79" s="548">
        <f t="shared" ref="G79:J79" ca="1" si="36">G52/G53</f>
        <v>1.0220514988879481</v>
      </c>
      <c r="H79" s="548">
        <f t="shared" ca="1" si="36"/>
        <v>1.0215837555479084</v>
      </c>
      <c r="I79" s="548">
        <f t="shared" ca="1" si="36"/>
        <v>1.0293801792047124</v>
      </c>
      <c r="J79" s="548">
        <f t="shared" ca="1" si="36"/>
        <v>1.0276524250398267</v>
      </c>
      <c r="L79" s="537" t="b">
        <f t="shared" ca="1" si="7"/>
        <v>1</v>
      </c>
      <c r="M79" s="31" t="b">
        <f t="shared" ca="1" si="8"/>
        <v>1</v>
      </c>
      <c r="N79" s="31" t="b">
        <f t="shared" ca="1" si="9"/>
        <v>0</v>
      </c>
      <c r="O79" s="538" t="b">
        <f t="shared" ca="1" si="10"/>
        <v>0</v>
      </c>
      <c r="P79" s="537" t="b">
        <f t="shared" ca="1" si="11"/>
        <v>1</v>
      </c>
      <c r="Q79" s="31" t="b">
        <f t="shared" ca="1" si="12"/>
        <v>1</v>
      </c>
      <c r="R79" s="31" t="b">
        <f t="shared" ca="1" si="13"/>
        <v>1</v>
      </c>
      <c r="S79" s="538" t="b">
        <f t="shared" ca="1" si="14"/>
        <v>1</v>
      </c>
      <c r="U79" s="537" t="b">
        <f t="shared" ca="1" si="15"/>
        <v>1</v>
      </c>
      <c r="V79" s="31" t="b">
        <f t="shared" ca="1" si="16"/>
        <v>1</v>
      </c>
      <c r="W79" s="31" t="b">
        <f t="shared" ca="1" si="17"/>
        <v>1</v>
      </c>
      <c r="X79" s="538" t="b">
        <f t="shared" ca="1" si="18"/>
        <v>1</v>
      </c>
    </row>
    <row r="80" spans="2:24" x14ac:dyDescent="0.2">
      <c r="B80" s="3" t="str">
        <f t="shared" si="4"/>
        <v>192-204</v>
      </c>
      <c r="C80" s="143">
        <f t="shared" ca="1" si="19"/>
        <v>1.0095660065313208</v>
      </c>
      <c r="D80" s="143">
        <f t="shared" ca="1" si="20"/>
        <v>1.0142887404011429</v>
      </c>
      <c r="E80" s="143">
        <f t="shared" ca="1" si="21"/>
        <v>1.0172519027583629</v>
      </c>
      <c r="F80" s="143">
        <f t="shared" ca="1" si="22"/>
        <v>1.0151109429380141</v>
      </c>
      <c r="G80" s="548">
        <f t="shared" ref="G80:J80" ca="1" si="37">G53/G54</f>
        <v>1.0203269137203064</v>
      </c>
      <c r="H80" s="548">
        <f t="shared" ca="1" si="37"/>
        <v>1.0197822922632116</v>
      </c>
      <c r="I80" s="548">
        <f t="shared" ca="1" si="37"/>
        <v>1.0267974235977253</v>
      </c>
      <c r="J80" s="548">
        <f t="shared" ca="1" si="37"/>
        <v>1.0252642241784091</v>
      </c>
      <c r="L80" s="537" t="b">
        <f t="shared" ca="1" si="7"/>
        <v>0</v>
      </c>
      <c r="M80" s="31" t="b">
        <f t="shared" ca="1" si="8"/>
        <v>1</v>
      </c>
      <c r="N80" s="31" t="b">
        <f t="shared" ca="1" si="9"/>
        <v>1</v>
      </c>
      <c r="O80" s="538" t="b">
        <f t="shared" ca="1" si="10"/>
        <v>1</v>
      </c>
      <c r="P80" s="537" t="b">
        <f t="shared" ca="1" si="11"/>
        <v>1</v>
      </c>
      <c r="Q80" s="31" t="b">
        <f t="shared" ca="1" si="12"/>
        <v>1</v>
      </c>
      <c r="R80" s="31" t="b">
        <f t="shared" ca="1" si="13"/>
        <v>1</v>
      </c>
      <c r="S80" s="538" t="b">
        <f t="shared" ca="1" si="14"/>
        <v>1</v>
      </c>
      <c r="U80" s="537" t="b">
        <f t="shared" ca="1" si="15"/>
        <v>1</v>
      </c>
      <c r="V80" s="31" t="b">
        <f t="shared" ca="1" si="16"/>
        <v>1</v>
      </c>
      <c r="W80" s="31" t="b">
        <f t="shared" ca="1" si="17"/>
        <v>1</v>
      </c>
      <c r="X80" s="538" t="b">
        <f t="shared" ca="1" si="18"/>
        <v>1</v>
      </c>
    </row>
    <row r="81" spans="1:24" x14ac:dyDescent="0.2">
      <c r="B81" s="3" t="str">
        <f t="shared" si="4"/>
        <v>204-216</v>
      </c>
      <c r="C81" s="143">
        <f t="shared" ca="1" si="19"/>
        <v>1.0147513494588645</v>
      </c>
      <c r="D81" s="143">
        <f t="shared" ca="1" si="20"/>
        <v>1.0135834856173986</v>
      </c>
      <c r="E81" s="143">
        <f t="shared" ca="1" si="21"/>
        <v>1.0160691050162891</v>
      </c>
      <c r="F81" s="143">
        <f t="shared" ca="1" si="22"/>
        <v>1.0139945786831484</v>
      </c>
      <c r="G81" s="548">
        <f t="shared" ref="G81:J81" ca="1" si="38">G54/G55</f>
        <v>1.0183770073073799</v>
      </c>
      <c r="H81" s="548">
        <f t="shared" ca="1" si="38"/>
        <v>1.0181015192573415</v>
      </c>
      <c r="I81" s="548">
        <f t="shared" ca="1" si="38"/>
        <v>1.0243941480360659</v>
      </c>
      <c r="J81" s="548">
        <f t="shared" ca="1" si="38"/>
        <v>1.0230086273172672</v>
      </c>
      <c r="L81" s="537" t="b">
        <f t="shared" ca="1" si="7"/>
        <v>1</v>
      </c>
      <c r="M81" s="31" t="b">
        <f t="shared" ca="1" si="8"/>
        <v>1</v>
      </c>
      <c r="N81" s="31" t="b">
        <f t="shared" ca="1" si="9"/>
        <v>1</v>
      </c>
      <c r="O81" s="538" t="b">
        <f t="shared" ca="1" si="10"/>
        <v>1</v>
      </c>
      <c r="P81" s="537" t="b">
        <f t="shared" ca="1" si="11"/>
        <v>1</v>
      </c>
      <c r="Q81" s="31" t="b">
        <f t="shared" ca="1" si="12"/>
        <v>1</v>
      </c>
      <c r="R81" s="31" t="b">
        <f t="shared" ca="1" si="13"/>
        <v>1</v>
      </c>
      <c r="S81" s="538" t="b">
        <f t="shared" ca="1" si="14"/>
        <v>1</v>
      </c>
      <c r="U81" s="537" t="b">
        <f t="shared" ca="1" si="15"/>
        <v>1</v>
      </c>
      <c r="V81" s="31" t="b">
        <f t="shared" ca="1" si="16"/>
        <v>1</v>
      </c>
      <c r="W81" s="31" t="b">
        <f t="shared" ca="1" si="17"/>
        <v>1</v>
      </c>
      <c r="X81" s="538" t="b">
        <f t="shared" ca="1" si="18"/>
        <v>1</v>
      </c>
    </row>
    <row r="82" spans="1:24" x14ac:dyDescent="0.2">
      <c r="B82" s="3" t="str">
        <f t="shared" si="4"/>
        <v>216-228</v>
      </c>
      <c r="C82" s="143">
        <f t="shared" ca="1" si="19"/>
        <v>1.014087330295921</v>
      </c>
      <c r="D82" s="143">
        <f t="shared" ca="1" si="20"/>
        <v>1.0128574017546572</v>
      </c>
      <c r="E82" s="143">
        <f t="shared" ca="1" si="21"/>
        <v>1.0149310019853166</v>
      </c>
      <c r="F82" s="143">
        <f t="shared" ca="1" si="22"/>
        <v>1.0129314125869757</v>
      </c>
      <c r="G82" s="548">
        <f t="shared" ref="G82:J82" ca="1" si="39">G55/G56</f>
        <v>1.0168551528024115</v>
      </c>
      <c r="H82" s="548">
        <f t="shared" ca="1" si="39"/>
        <v>1.0165401610791596</v>
      </c>
      <c r="I82" s="548">
        <f t="shared" ca="1" si="39"/>
        <v>1.0221709164061878</v>
      </c>
      <c r="J82" s="548">
        <f t="shared" ca="1" si="39"/>
        <v>1.0209003727971728</v>
      </c>
      <c r="L82" s="537" t="b">
        <f t="shared" ca="1" si="7"/>
        <v>1</v>
      </c>
      <c r="M82" s="31" t="b">
        <f t="shared" ca="1" si="8"/>
        <v>1</v>
      </c>
      <c r="N82" s="31" t="b">
        <f t="shared" ca="1" si="9"/>
        <v>1</v>
      </c>
      <c r="O82" s="538" t="b">
        <f t="shared" ca="1" si="10"/>
        <v>1</v>
      </c>
      <c r="P82" s="537" t="b">
        <f t="shared" ca="1" si="11"/>
        <v>1</v>
      </c>
      <c r="Q82" s="31" t="b">
        <f t="shared" ca="1" si="12"/>
        <v>1</v>
      </c>
      <c r="R82" s="31" t="b">
        <f t="shared" ca="1" si="13"/>
        <v>1</v>
      </c>
      <c r="S82" s="538" t="b">
        <f t="shared" ca="1" si="14"/>
        <v>1</v>
      </c>
      <c r="U82" s="537" t="b">
        <f t="shared" ca="1" si="15"/>
        <v>1</v>
      </c>
      <c r="V82" s="31" t="b">
        <f t="shared" ca="1" si="16"/>
        <v>1</v>
      </c>
      <c r="W82" s="31" t="b">
        <f t="shared" ca="1" si="17"/>
        <v>1</v>
      </c>
      <c r="X82" s="538" t="b">
        <f t="shared" ca="1" si="18"/>
        <v>1</v>
      </c>
    </row>
    <row r="83" spans="1:24" x14ac:dyDescent="0.2">
      <c r="B83" s="3" t="str">
        <f t="shared" si="4"/>
        <v>228-240</v>
      </c>
      <c r="C83" s="143">
        <f t="shared" ca="1" si="19"/>
        <v>1.0133902790160261</v>
      </c>
      <c r="D83" s="143">
        <f t="shared" ca="1" si="20"/>
        <v>1.0121254585031219</v>
      </c>
      <c r="E83" s="143">
        <f t="shared" ca="1" si="21"/>
        <v>1.0138447796370997</v>
      </c>
      <c r="F83" s="143">
        <f t="shared" ca="1" si="22"/>
        <v>1.0119261479699759</v>
      </c>
      <c r="G83" s="548">
        <f t="shared" ref="G83:J83" ca="1" si="40">G56/G57</f>
        <v>1.0154366286473961</v>
      </c>
      <c r="H83" s="548">
        <f t="shared" ca="1" si="40"/>
        <v>1.0150949075629048</v>
      </c>
      <c r="I83" s="548">
        <f t="shared" ca="1" si="40"/>
        <v>1.0201235448111474</v>
      </c>
      <c r="J83" s="548">
        <f t="shared" ca="1" si="40"/>
        <v>1.0189452971147523</v>
      </c>
      <c r="L83" s="537" t="b">
        <f t="shared" ca="1" si="7"/>
        <v>1</v>
      </c>
      <c r="M83" s="31" t="b">
        <f t="shared" ca="1" si="8"/>
        <v>1</v>
      </c>
      <c r="N83" s="31" t="b">
        <f t="shared" ca="1" si="9"/>
        <v>1</v>
      </c>
      <c r="O83" s="538" t="b">
        <f t="shared" ca="1" si="10"/>
        <v>1</v>
      </c>
      <c r="P83" s="537" t="b">
        <f t="shared" ca="1" si="11"/>
        <v>1</v>
      </c>
      <c r="Q83" s="31" t="b">
        <f t="shared" ca="1" si="12"/>
        <v>1</v>
      </c>
      <c r="R83" s="31" t="b">
        <f t="shared" ca="1" si="13"/>
        <v>1</v>
      </c>
      <c r="S83" s="538" t="b">
        <f t="shared" ca="1" si="14"/>
        <v>1</v>
      </c>
      <c r="U83" s="537" t="b">
        <f t="shared" ca="1" si="15"/>
        <v>1</v>
      </c>
      <c r="V83" s="31" t="b">
        <f t="shared" ca="1" si="16"/>
        <v>1</v>
      </c>
      <c r="W83" s="31" t="b">
        <f t="shared" ca="1" si="17"/>
        <v>1</v>
      </c>
      <c r="X83" s="538" t="b">
        <f t="shared" ca="1" si="18"/>
        <v>1</v>
      </c>
    </row>
    <row r="84" spans="1:24" x14ac:dyDescent="0.2">
      <c r="B84" s="3" t="str">
        <f t="shared" si="4"/>
        <v>240-252</v>
      </c>
      <c r="C84" s="143">
        <f t="shared" ca="1" si="19"/>
        <v>1.0126771826948278</v>
      </c>
      <c r="D84" s="143">
        <f t="shared" ca="1" si="20"/>
        <v>1.011399155659912</v>
      </c>
      <c r="E84" s="143">
        <f t="shared" ca="1" si="21"/>
        <v>1.012814778769235</v>
      </c>
      <c r="F84" s="143">
        <f t="shared" ca="1" si="22"/>
        <v>1.0109810739434573</v>
      </c>
      <c r="G84" s="548">
        <f t="shared" ref="G84:J84" ca="1" si="41">G57/G58</f>
        <v>1.0141193366707562</v>
      </c>
      <c r="H84" s="548">
        <f t="shared" ca="1" si="41"/>
        <v>1.0137610828092778</v>
      </c>
      <c r="I84" s="548">
        <f t="shared" ca="1" si="41"/>
        <v>1.0182448278804803</v>
      </c>
      <c r="J84" s="548">
        <f t="shared" ca="1" si="41"/>
        <v>1.0171432209045759</v>
      </c>
      <c r="L84" s="537" t="b">
        <f t="shared" ca="1" si="7"/>
        <v>1</v>
      </c>
      <c r="M84" s="31" t="b">
        <f t="shared" ca="1" si="8"/>
        <v>1</v>
      </c>
      <c r="N84" s="31" t="b">
        <f t="shared" ca="1" si="9"/>
        <v>1</v>
      </c>
      <c r="O84" s="538" t="b">
        <f t="shared" ca="1" si="10"/>
        <v>1</v>
      </c>
      <c r="P84" s="537" t="b">
        <f t="shared" ca="1" si="11"/>
        <v>1</v>
      </c>
      <c r="Q84" s="31" t="b">
        <f t="shared" ca="1" si="12"/>
        <v>1</v>
      </c>
      <c r="R84" s="31" t="b">
        <f t="shared" ca="1" si="13"/>
        <v>1</v>
      </c>
      <c r="S84" s="538" t="b">
        <f t="shared" ca="1" si="14"/>
        <v>1</v>
      </c>
      <c r="U84" s="537" t="b">
        <f t="shared" ca="1" si="15"/>
        <v>1</v>
      </c>
      <c r="V84" s="31" t="b">
        <f t="shared" ca="1" si="16"/>
        <v>1</v>
      </c>
      <c r="W84" s="31" t="b">
        <f t="shared" ca="1" si="17"/>
        <v>1</v>
      </c>
      <c r="X84" s="538" t="b">
        <f t="shared" ca="1" si="18"/>
        <v>1</v>
      </c>
    </row>
    <row r="85" spans="1:24" x14ac:dyDescent="0.2">
      <c r="B85" s="3" t="str">
        <f t="shared" si="4"/>
        <v>252-264</v>
      </c>
      <c r="C85" s="143">
        <f t="shared" ca="1" si="19"/>
        <v>1.0119612859825193</v>
      </c>
      <c r="D85" s="143">
        <f t="shared" ca="1" si="20"/>
        <v>1.0106871714836072</v>
      </c>
      <c r="E85" s="143">
        <f t="shared" ca="1" si="21"/>
        <v>1.0118432035784108</v>
      </c>
      <c r="F85" s="143">
        <f t="shared" ca="1" si="22"/>
        <v>1.0100967144526865</v>
      </c>
      <c r="G85" s="548">
        <f t="shared" ref="G85:J85" ca="1" si="42">G58/G59</f>
        <v>1.0128998439376049</v>
      </c>
      <c r="H85" s="548">
        <f t="shared" ca="1" si="42"/>
        <v>1.0125331443209704</v>
      </c>
      <c r="I85" s="548">
        <f t="shared" ca="1" si="42"/>
        <v>1.0165257516421213</v>
      </c>
      <c r="J85" s="548">
        <f t="shared" ca="1" si="42"/>
        <v>1.0154900124874868</v>
      </c>
      <c r="L85" s="539" t="b">
        <f t="shared" ca="1" si="7"/>
        <v>1</v>
      </c>
      <c r="M85" s="540" t="b">
        <f t="shared" ca="1" si="8"/>
        <v>1</v>
      </c>
      <c r="N85" s="540" t="b">
        <f t="shared" ca="1" si="9"/>
        <v>1</v>
      </c>
      <c r="O85" s="541" t="b">
        <f t="shared" ca="1" si="10"/>
        <v>1</v>
      </c>
      <c r="P85" s="539" t="b">
        <f t="shared" ca="1" si="11"/>
        <v>1</v>
      </c>
      <c r="Q85" s="540" t="b">
        <f t="shared" ca="1" si="12"/>
        <v>1</v>
      </c>
      <c r="R85" s="540" t="b">
        <f t="shared" ca="1" si="13"/>
        <v>1</v>
      </c>
      <c r="S85" s="541" t="b">
        <f t="shared" ca="1" si="14"/>
        <v>1</v>
      </c>
      <c r="U85" s="537" t="b">
        <f t="shared" ca="1" si="15"/>
        <v>1</v>
      </c>
      <c r="V85" s="31" t="b">
        <f t="shared" ca="1" si="16"/>
        <v>1</v>
      </c>
      <c r="W85" s="31" t="b">
        <f t="shared" ca="1" si="17"/>
        <v>1</v>
      </c>
      <c r="X85" s="538" t="b">
        <f t="shared" ca="1" si="18"/>
        <v>1</v>
      </c>
    </row>
    <row r="86" spans="1:24" x14ac:dyDescent="0.2">
      <c r="B86" s="3" t="str">
        <f t="shared" si="4"/>
        <v>264-276</v>
      </c>
      <c r="C86" s="143">
        <f t="shared" ca="1" si="19"/>
        <v>1.0112527652584067</v>
      </c>
      <c r="D86" s="143">
        <f t="shared" ca="1" si="20"/>
        <v>1.0099959084636554</v>
      </c>
      <c r="E86" s="143">
        <f t="shared" ca="1" si="21"/>
        <v>1.0109306727601788</v>
      </c>
      <c r="F86" s="143">
        <f t="shared" ca="1" si="22"/>
        <v>1.0092723243477453</v>
      </c>
      <c r="G86" s="548">
        <f t="shared" ref="G86:J86" ca="1" si="43">G59/G60</f>
        <v>1.0117738324182608</v>
      </c>
      <c r="H86" s="548">
        <f t="shared" ca="1" si="43"/>
        <v>1.0114050514635242</v>
      </c>
      <c r="I86" s="548">
        <f t="shared" ca="1" si="43"/>
        <v>1.0149563365000454</v>
      </c>
      <c r="J86" s="548">
        <f t="shared" ca="1" si="43"/>
        <v>1.0139790488067506</v>
      </c>
      <c r="L86" s="31"/>
      <c r="M86" s="31"/>
      <c r="N86" s="31"/>
      <c r="O86" s="31"/>
      <c r="U86" s="537" t="b">
        <f t="shared" ca="1" si="15"/>
        <v>1</v>
      </c>
      <c r="V86" s="31" t="b">
        <f t="shared" ca="1" si="16"/>
        <v>1</v>
      </c>
      <c r="W86" s="31" t="b">
        <f t="shared" ca="1" si="17"/>
        <v>1</v>
      </c>
      <c r="X86" s="538" t="b">
        <f t="shared" ca="1" si="18"/>
        <v>1</v>
      </c>
    </row>
    <row r="87" spans="1:24" x14ac:dyDescent="0.2">
      <c r="B87" s="114" t="str">
        <f>B60&amp;"-"&amp;"Ult"</f>
        <v>276-Ult</v>
      </c>
      <c r="C87" s="367">
        <f ca="1">MIN(C60, G87)</f>
        <v>1.1220295895658776</v>
      </c>
      <c r="D87" s="367">
        <f t="shared" ref="D87:F87" ca="1" si="44">MIN(D60, H87)</f>
        <v>1.1150596901134664</v>
      </c>
      <c r="E87" s="367">
        <f t="shared" ca="1" si="44"/>
        <v>1.1272775592779578</v>
      </c>
      <c r="F87" s="367">
        <f t="shared" ca="1" si="44"/>
        <v>1.1020815367999535</v>
      </c>
      <c r="G87" s="367">
        <f t="shared" ref="G87:J87" ca="1" si="45">G60</f>
        <v>1.1220295895658776</v>
      </c>
      <c r="H87" s="367">
        <f t="shared" ca="1" si="45"/>
        <v>1.1150596901134664</v>
      </c>
      <c r="I87" s="367">
        <f t="shared" ca="1" si="45"/>
        <v>1.1453814732844192</v>
      </c>
      <c r="J87" s="367">
        <f t="shared" ca="1" si="45"/>
        <v>1.1299365610544283</v>
      </c>
      <c r="L87" s="31"/>
      <c r="M87" s="31"/>
      <c r="N87" s="31"/>
      <c r="O87" s="31"/>
      <c r="U87" s="539" t="b">
        <f t="shared" ca="1" si="15"/>
        <v>1</v>
      </c>
      <c r="V87" s="540" t="b">
        <f t="shared" ca="1" si="16"/>
        <v>1</v>
      </c>
      <c r="W87" s="540" t="b">
        <f t="shared" ca="1" si="17"/>
        <v>1</v>
      </c>
      <c r="X87" s="541" t="b">
        <f t="shared" ca="1" si="18"/>
        <v>1</v>
      </c>
    </row>
    <row r="89" spans="1:24" x14ac:dyDescent="0.2">
      <c r="A89" s="4" t="s">
        <v>484</v>
      </c>
    </row>
    <row r="91" spans="1:24" x14ac:dyDescent="0.2">
      <c r="B91" s="30" t="s">
        <v>25</v>
      </c>
      <c r="C91" s="30" t="s">
        <v>113</v>
      </c>
      <c r="D91" s="30" t="s">
        <v>111</v>
      </c>
      <c r="E91" s="30" t="s">
        <v>110</v>
      </c>
      <c r="F91" s="30" t="s">
        <v>109</v>
      </c>
      <c r="G91" s="30" t="s">
        <v>115</v>
      </c>
      <c r="H91" s="30" t="s">
        <v>116</v>
      </c>
      <c r="I91" s="113" t="s">
        <v>117</v>
      </c>
      <c r="J91" s="30" t="s">
        <v>118</v>
      </c>
    </row>
    <row r="92" spans="1:24" x14ac:dyDescent="0.2">
      <c r="B92" s="3">
        <f t="shared" ref="B92:B114" si="46">B38</f>
        <v>12</v>
      </c>
      <c r="C92" s="143">
        <f ca="1">PRODUCT(C65:C$87)</f>
        <v>3.9028434015929254</v>
      </c>
      <c r="D92" s="143">
        <f ca="1">PRODUCT(D65:D$87)</f>
        <v>3.7846011713592667</v>
      </c>
      <c r="E92" s="143">
        <f ca="1">PRODUCT(E65:E$87)</f>
        <v>4.4248219482149969</v>
      </c>
      <c r="F92" s="143">
        <f ca="1">PRODUCT(F65:F$87)</f>
        <v>8.3409290014948638</v>
      </c>
      <c r="G92" s="143">
        <f ca="1">PRODUCT(G65:G$87)</f>
        <v>8.5898540794982008</v>
      </c>
      <c r="H92" s="143">
        <f ca="1">PRODUCT(H65:H$87)</f>
        <v>8.8293640517610399</v>
      </c>
      <c r="I92" s="143">
        <f ca="1">PRODUCT(I65:I$87)</f>
        <v>12.220581199298254</v>
      </c>
      <c r="J92" s="143">
        <f ca="1">PRODUCT(J65:J$87)</f>
        <v>14.920974111009343</v>
      </c>
    </row>
    <row r="93" spans="1:24" x14ac:dyDescent="0.2">
      <c r="B93" s="3">
        <f t="shared" si="46"/>
        <v>24</v>
      </c>
      <c r="C93" s="143">
        <f ca="1">PRODUCT(C66:C$87)</f>
        <v>2.2690950009261233</v>
      </c>
      <c r="D93" s="143">
        <f ca="1">PRODUCT(D66:D$87)</f>
        <v>2.2003495182321</v>
      </c>
      <c r="E93" s="143">
        <f ca="1">PRODUCT(E66:E$87)</f>
        <v>2.5725709001249948</v>
      </c>
      <c r="F93" s="143">
        <f ca="1">PRODUCT(F66:F$87)</f>
        <v>2.5520845671995862</v>
      </c>
      <c r="G93" s="143">
        <f ca="1">PRODUCT(G66:G$87)</f>
        <v>3.1349832406927738</v>
      </c>
      <c r="H93" s="143">
        <f ca="1">PRODUCT(H66:H$87)</f>
        <v>3.059266078174014</v>
      </c>
      <c r="I93" s="143">
        <f ca="1">PRODUCT(I66:I$87)</f>
        <v>4.0123165083941572</v>
      </c>
      <c r="J93" s="143">
        <f ca="1">PRODUCT(J66:J$87)</f>
        <v>4.5653892689251858</v>
      </c>
    </row>
    <row r="94" spans="1:24" x14ac:dyDescent="0.2">
      <c r="B94" s="3">
        <f t="shared" si="46"/>
        <v>36</v>
      </c>
      <c r="C94" s="143">
        <f ca="1">PRODUCT(C67:C$87)</f>
        <v>1.7021595657813382</v>
      </c>
      <c r="D94" s="143">
        <f ca="1">PRODUCT(D67:D$87)</f>
        <v>1.67469841200987</v>
      </c>
      <c r="E94" s="143">
        <f ca="1">PRODUCT(E67:E$87)</f>
        <v>1.8952292584469508</v>
      </c>
      <c r="F94" s="143">
        <f ca="1">PRODUCT(F67:F$87)</f>
        <v>1.7910113974971538</v>
      </c>
      <c r="G94" s="143">
        <f ca="1">PRODUCT(G67:G$87)</f>
        <v>2.3095619880537224</v>
      </c>
      <c r="H94" s="143">
        <f ca="1">PRODUCT(H67:H$87)</f>
        <v>2.2537806753734175</v>
      </c>
      <c r="I94" s="143">
        <f ca="1">PRODUCT(I67:I$87)</f>
        <v>2.9558989571439387</v>
      </c>
      <c r="J94" s="143">
        <f ca="1">PRODUCT(J67:J$87)</f>
        <v>2.7484614145488124</v>
      </c>
    </row>
    <row r="95" spans="1:24" x14ac:dyDescent="0.2">
      <c r="B95" s="3">
        <f t="shared" si="46"/>
        <v>48</v>
      </c>
      <c r="C95" s="143">
        <f ca="1">PRODUCT(C68:C$87)</f>
        <v>1.6118935282020226</v>
      </c>
      <c r="D95" s="143">
        <f ca="1">PRODUCT(D68:D$87)</f>
        <v>1.5858886477366265</v>
      </c>
      <c r="E95" s="143">
        <f ca="1">PRODUCT(E68:E$87)</f>
        <v>1.7947246765596121</v>
      </c>
      <c r="F95" s="143">
        <f ca="1">PRODUCT(F68:F$87)</f>
        <v>1.6960335203571544</v>
      </c>
      <c r="G95" s="143">
        <f ca="1">PRODUCT(G68:G$87)</f>
        <v>1.9074363355174908</v>
      </c>
      <c r="H95" s="143">
        <f ca="1">PRODUCT(H68:H$87)</f>
        <v>1.9062227485191241</v>
      </c>
      <c r="I95" s="143">
        <f ca="1">PRODUCT(I68:I$87)</f>
        <v>2.3670391670371442</v>
      </c>
      <c r="J95" s="143">
        <f ca="1">PRODUCT(J68:J$87)</f>
        <v>2.2438459576281917</v>
      </c>
    </row>
    <row r="96" spans="1:24" x14ac:dyDescent="0.2">
      <c r="B96" s="3">
        <f t="shared" si="46"/>
        <v>60</v>
      </c>
      <c r="C96" s="143">
        <f ca="1">PRODUCT(C69:C$87)</f>
        <v>1.530298008205907</v>
      </c>
      <c r="D96" s="143">
        <f ca="1">PRODUCT(D69:D$87)</f>
        <v>1.4997923380409726</v>
      </c>
      <c r="E96" s="143">
        <f ca="1">PRODUCT(E69:E$87)</f>
        <v>1.6707409764068137</v>
      </c>
      <c r="F96" s="143">
        <f ca="1">PRODUCT(F69:F$87)</f>
        <v>1.570996537405569</v>
      </c>
      <c r="G96" s="143">
        <f ca="1">PRODUCT(G69:G$87)</f>
        <v>1.7884415161423481</v>
      </c>
      <c r="H96" s="143">
        <f ca="1">PRODUCT(H69:H$87)</f>
        <v>1.7873036383893803</v>
      </c>
      <c r="I96" s="143">
        <f ca="1">PRODUCT(I69:I$87)</f>
        <v>2.1814232117206727</v>
      </c>
      <c r="J96" s="143">
        <f ca="1">PRODUCT(J69:J$87)</f>
        <v>2.0508992511424622</v>
      </c>
    </row>
    <row r="97" spans="2:10" x14ac:dyDescent="0.2">
      <c r="B97" s="3">
        <f t="shared" si="46"/>
        <v>72</v>
      </c>
      <c r="C97" s="143">
        <f ca="1">PRODUCT(C70:C$87)</f>
        <v>1.4719493067955673</v>
      </c>
      <c r="D97" s="143">
        <f ca="1">PRODUCT(D70:D$87)</f>
        <v>1.4476957586363961</v>
      </c>
      <c r="E97" s="143">
        <f ca="1">PRODUCT(E70:E$87)</f>
        <v>1.5916126536657231</v>
      </c>
      <c r="F97" s="143">
        <f ca="1">PRODUCT(F70:F$87)</f>
        <v>1.5008148780390713</v>
      </c>
      <c r="G97" s="143">
        <f ca="1">PRODUCT(G70:G$87)</f>
        <v>1.7041417993187589</v>
      </c>
      <c r="H97" s="143">
        <f ca="1">PRODUCT(H70:H$87)</f>
        <v>1.6989960707902234</v>
      </c>
      <c r="I97" s="143">
        <f ca="1">PRODUCT(I70:I$87)</f>
        <v>2.0300256099924709</v>
      </c>
      <c r="J97" s="143">
        <f ca="1">PRODUCT(J70:J$87)</f>
        <v>1.91753921548521</v>
      </c>
    </row>
    <row r="98" spans="2:10" x14ac:dyDescent="0.2">
      <c r="B98" s="3">
        <f t="shared" si="46"/>
        <v>84</v>
      </c>
      <c r="C98" s="143">
        <f ca="1">PRODUCT(C71:C$87)</f>
        <v>1.4244685634473315</v>
      </c>
      <c r="D98" s="143">
        <f ca="1">PRODUCT(D71:D$87)</f>
        <v>1.4051249414354707</v>
      </c>
      <c r="E98" s="143">
        <f ca="1">PRODUCT(E71:E$87)</f>
        <v>1.5271868619673998</v>
      </c>
      <c r="F98" s="143">
        <f ca="1">PRODUCT(F71:F$87)</f>
        <v>1.4456940039216988</v>
      </c>
      <c r="G98" s="143">
        <f ca="1">PRODUCT(G71:G$87)</f>
        <v>1.6350001781938572</v>
      </c>
      <c r="H98" s="143">
        <f ca="1">PRODUCT(H71:H$87)</f>
        <v>1.6272422747232049</v>
      </c>
      <c r="I98" s="143">
        <f ca="1">PRODUCT(I71:I$87)</f>
        <v>1.9252449891088008</v>
      </c>
      <c r="J98" s="143">
        <f ca="1">PRODUCT(J71:J$87)</f>
        <v>1.8250945020318241</v>
      </c>
    </row>
    <row r="99" spans="2:10" x14ac:dyDescent="0.2">
      <c r="B99" s="3">
        <f t="shared" si="46"/>
        <v>96</v>
      </c>
      <c r="C99" s="143">
        <f ca="1">PRODUCT(C72:C$87)</f>
        <v>1.3949326522642256</v>
      </c>
      <c r="D99" s="143">
        <f ca="1">PRODUCT(D72:D$87)</f>
        <v>1.3776431683455403</v>
      </c>
      <c r="E99" s="143">
        <f ca="1">PRODUCT(E72:E$87)</f>
        <v>1.4831460207154668</v>
      </c>
      <c r="F99" s="143">
        <f ca="1">PRODUCT(F72:F$87)</f>
        <v>1.4069435499253851</v>
      </c>
      <c r="G99" s="143">
        <f ca="1">PRODUCT(G72:G$87)</f>
        <v>1.5656459866073511</v>
      </c>
      <c r="H99" s="143">
        <f ca="1">PRODUCT(H72:H$87)</f>
        <v>1.5581914875637943</v>
      </c>
      <c r="I99" s="143">
        <f ca="1">PRODUCT(I72:I$87)</f>
        <v>1.8008056863741764</v>
      </c>
      <c r="J99" s="143">
        <f ca="1">PRODUCT(J72:J$87)</f>
        <v>1.7116178666774542</v>
      </c>
    </row>
    <row r="100" spans="2:10" x14ac:dyDescent="0.2">
      <c r="B100" s="3">
        <f t="shared" si="46"/>
        <v>108</v>
      </c>
      <c r="C100" s="143">
        <f ca="1">PRODUCT(C73:C$87)</f>
        <v>1.3713023522876744</v>
      </c>
      <c r="D100" s="143">
        <f ca="1">PRODUCT(D73:D$87)</f>
        <v>1.3492243362354575</v>
      </c>
      <c r="E100" s="143">
        <f ca="1">PRODUCT(E73:E$87)</f>
        <v>1.4427525777349233</v>
      </c>
      <c r="F100" s="143">
        <f ca="1">PRODUCT(F73:F$87)</f>
        <v>1.3724187822989169</v>
      </c>
      <c r="G100" s="143">
        <f ca="1">PRODUCT(G73:G$87)</f>
        <v>1.4979968363110652</v>
      </c>
      <c r="H100" s="143">
        <f ca="1">PRODUCT(H73:H$87)</f>
        <v>1.4902147807008526</v>
      </c>
      <c r="I100" s="143">
        <f ca="1">PRODUCT(I73:I$87)</f>
        <v>1.6958739715636746</v>
      </c>
      <c r="J100" s="143">
        <f ca="1">PRODUCT(J73:J$87)</f>
        <v>1.6224908885244669</v>
      </c>
    </row>
    <row r="101" spans="2:10" x14ac:dyDescent="0.2">
      <c r="B101" s="3">
        <f t="shared" si="46"/>
        <v>120</v>
      </c>
      <c r="C101" s="143">
        <f ca="1">PRODUCT(C74:C$87)</f>
        <v>1.3516372321341903</v>
      </c>
      <c r="D101" s="143">
        <f ca="1">PRODUCT(D74:D$87)</f>
        <v>1.325306128318628</v>
      </c>
      <c r="E101" s="143">
        <f ca="1">PRODUCT(E74:E$87)</f>
        <v>1.4010105026338666</v>
      </c>
      <c r="F101" s="143">
        <f ca="1">PRODUCT(F74:F$87)</f>
        <v>1.3352835750540846</v>
      </c>
      <c r="G101" s="143">
        <f ca="1">PRODUCT(G74:G$87)</f>
        <v>1.4458609720606512</v>
      </c>
      <c r="H101" s="143">
        <f ca="1">PRODUCT(H74:H$87)</f>
        <v>1.4374945772348235</v>
      </c>
      <c r="I101" s="143">
        <f ca="1">PRODUCT(I74:I$87)</f>
        <v>1.6130428023895695</v>
      </c>
      <c r="J101" s="143">
        <f ca="1">PRODUCT(J74:J$87)</f>
        <v>1.5507394330188722</v>
      </c>
    </row>
    <row r="102" spans="2:10" x14ac:dyDescent="0.2">
      <c r="B102" s="3">
        <f t="shared" si="46"/>
        <v>132</v>
      </c>
      <c r="C102" s="143">
        <f ca="1">PRODUCT(C75:C$87)</f>
        <v>1.3254886102372845</v>
      </c>
      <c r="D102" s="143">
        <f ca="1">PRODUCT(D75:D$87)</f>
        <v>1.3028457058306455</v>
      </c>
      <c r="E102" s="143">
        <f ca="1">PRODUCT(E75:E$87)</f>
        <v>1.3651980935815871</v>
      </c>
      <c r="F102" s="143">
        <f ca="1">PRODUCT(F75:F$87)</f>
        <v>1.3038693210471111</v>
      </c>
      <c r="G102" s="143">
        <f ca="1">PRODUCT(G75:G$87)</f>
        <v>1.4014680929213934</v>
      </c>
      <c r="H102" s="143">
        <f ca="1">PRODUCT(H75:H$87)</f>
        <v>1.3925103793111555</v>
      </c>
      <c r="I102" s="143">
        <f ca="1">PRODUCT(I75:I$87)</f>
        <v>1.543945698068766</v>
      </c>
      <c r="J102" s="143">
        <f ca="1">PRODUCT(J75:J$87)</f>
        <v>1.490481110462603</v>
      </c>
    </row>
    <row r="103" spans="2:10" x14ac:dyDescent="0.2">
      <c r="B103" s="3">
        <f t="shared" si="46"/>
        <v>144</v>
      </c>
      <c r="C103" s="143">
        <f ca="1">PRODUCT(C76:C$87)</f>
        <v>1.3023996663121495</v>
      </c>
      <c r="D103" s="143">
        <f ca="1">PRODUCT(D76:D$87)</f>
        <v>1.2831509829959857</v>
      </c>
      <c r="E103" s="143">
        <f ca="1">PRODUCT(E76:E$87)</f>
        <v>1.3345177387268177</v>
      </c>
      <c r="F103" s="143">
        <f ca="1">PRODUCT(F76:F$87)</f>
        <v>1.2769451312125082</v>
      </c>
      <c r="G103" s="143">
        <f ca="1">PRODUCT(G76:G$87)</f>
        <v>1.3665556747193925</v>
      </c>
      <c r="H103" s="143">
        <f ca="1">PRODUCT(H76:H$87)</f>
        <v>1.3568040358242033</v>
      </c>
      <c r="I103" s="143">
        <f ca="1">PRODUCT(I76:I$87)</f>
        <v>1.4902683112786557</v>
      </c>
      <c r="J103" s="143">
        <f ca="1">PRODUCT(J76:J$87)</f>
        <v>1.4433192765531482</v>
      </c>
    </row>
    <row r="104" spans="2:10" x14ac:dyDescent="0.2">
      <c r="B104" s="3">
        <f t="shared" si="46"/>
        <v>156</v>
      </c>
      <c r="C104" s="143">
        <f ca="1">PRODUCT(C77:C$87)</f>
        <v>1.2812304928295237</v>
      </c>
      <c r="D104" s="143">
        <f ca="1">PRODUCT(D77:D$87)</f>
        <v>1.2647819298867411</v>
      </c>
      <c r="E104" s="143">
        <f ca="1">PRODUCT(E77:E$87)</f>
        <v>1.3076592762744612</v>
      </c>
      <c r="F104" s="143">
        <f ca="1">PRODUCT(F77:F$87)</f>
        <v>1.2536281988904341</v>
      </c>
      <c r="G104" s="143">
        <f ca="1">PRODUCT(G77:G$87)</f>
        <v>1.3348822959907982</v>
      </c>
      <c r="H104" s="143">
        <f ca="1">PRODUCT(H77:H$87)</f>
        <v>1.3244021916291246</v>
      </c>
      <c r="I104" s="143">
        <f ca="1">PRODUCT(I77:I$87)</f>
        <v>1.4422154872786084</v>
      </c>
      <c r="J104" s="143">
        <f ca="1">PRODUCT(J77:J$87)</f>
        <v>1.4009600490289225</v>
      </c>
    </row>
    <row r="105" spans="2:10" x14ac:dyDescent="0.2">
      <c r="B105" s="3">
        <f t="shared" si="46"/>
        <v>168</v>
      </c>
      <c r="C105" s="143">
        <f ca="1">PRODUCT(C78:C$87)</f>
        <v>1.261899148457295</v>
      </c>
      <c r="D105" s="143">
        <f ca="1">PRODUCT(D78:D$87)</f>
        <v>1.2478867162522616</v>
      </c>
      <c r="E105" s="143">
        <f ca="1">PRODUCT(E78:E$87)</f>
        <v>1.2838660017367782</v>
      </c>
      <c r="F105" s="143">
        <f ca="1">PRODUCT(F78:F$87)</f>
        <v>1.2330776681435891</v>
      </c>
      <c r="G105" s="143">
        <f ca="1">PRODUCT(G78:G$87)</f>
        <v>1.305180289663624</v>
      </c>
      <c r="H105" s="143">
        <f ca="1">PRODUCT(H78:H$87)</f>
        <v>1.2940794200817243</v>
      </c>
      <c r="I105" s="143">
        <f ca="1">PRODUCT(I78:I$87)</f>
        <v>1.3977663242926563</v>
      </c>
      <c r="J105" s="143">
        <f ca="1">PRODUCT(J78:J$87)</f>
        <v>1.3616796546495449</v>
      </c>
    </row>
    <row r="106" spans="2:10" x14ac:dyDescent="0.2">
      <c r="B106" s="3">
        <f t="shared" si="46"/>
        <v>180</v>
      </c>
      <c r="C106" s="143">
        <f ca="1">PRODUCT(C79:C$87)</f>
        <v>1.2439908908004151</v>
      </c>
      <c r="D106" s="143">
        <f ca="1">PRODUCT(D79:D$87)</f>
        <v>1.2321650363790204</v>
      </c>
      <c r="E106" s="143">
        <f ca="1">PRODUCT(E79:E$87)</f>
        <v>1.2625086804036485</v>
      </c>
      <c r="F106" s="143">
        <f ca="1">PRODUCT(F79:F$87)</f>
        <v>1.2147341019797366</v>
      </c>
      <c r="G106" s="143">
        <f ca="1">PRODUCT(G79:G$87)</f>
        <v>1.2787214404372913</v>
      </c>
      <c r="H106" s="143">
        <f ca="1">PRODUCT(H79:H$87)</f>
        <v>1.2669860081771773</v>
      </c>
      <c r="I106" s="143">
        <f ca="1">PRODUCT(I79:I$87)</f>
        <v>1.3585388525613293</v>
      </c>
      <c r="J106" s="143">
        <f ca="1">PRODUCT(J79:J$87)</f>
        <v>1.3268944899139183</v>
      </c>
    </row>
    <row r="107" spans="2:10" x14ac:dyDescent="0.2">
      <c r="B107" s="3">
        <f t="shared" si="46"/>
        <v>192</v>
      </c>
      <c r="C107" s="143">
        <f ca="1">PRODUCT(C80:C$87)</f>
        <v>1.2241803451920497</v>
      </c>
      <c r="D107" s="143">
        <f ca="1">PRODUCT(D80:D$87)</f>
        <v>1.2132794903287611</v>
      </c>
      <c r="E107" s="143">
        <f ca="1">PRODUCT(E80:E$87)</f>
        <v>1.2420961885176558</v>
      </c>
      <c r="F107" s="143">
        <f ca="1">PRODUCT(F80:F$87)</f>
        <v>1.1984117964076881</v>
      </c>
      <c r="G107" s="143">
        <f ca="1">PRODUCT(G80:G$87)</f>
        <v>1.2511321022752919</v>
      </c>
      <c r="H107" s="143">
        <f ca="1">PRODUCT(H80:H$87)</f>
        <v>1.2402174577430047</v>
      </c>
      <c r="I107" s="143">
        <f ca="1">PRODUCT(I80:I$87)</f>
        <v>1.3197639511680914</v>
      </c>
      <c r="J107" s="143">
        <f ca="1">PRODUCT(J80:J$87)</f>
        <v>1.2911899564315186</v>
      </c>
    </row>
    <row r="108" spans="2:10" x14ac:dyDescent="0.2">
      <c r="B108" s="3">
        <f t="shared" si="46"/>
        <v>204</v>
      </c>
      <c r="C108" s="143">
        <f ca="1">PRODUCT(C81:C$87)</f>
        <v>1.2125807894405078</v>
      </c>
      <c r="D108" s="143">
        <f ca="1">PRODUCT(D81:D$87)</f>
        <v>1.1961874779847395</v>
      </c>
      <c r="E108" s="143">
        <f ca="1">PRODUCT(E81:E$87)</f>
        <v>1.2210310790764891</v>
      </c>
      <c r="F108" s="143">
        <f ca="1">PRODUCT(F81:F$87)</f>
        <v>1.180572236704641</v>
      </c>
      <c r="G108" s="143">
        <f ca="1">PRODUCT(G81:G$87)</f>
        <v>1.2262070964230729</v>
      </c>
      <c r="H108" s="143">
        <f ca="1">PRODUCT(H81:H$87)</f>
        <v>1.2161590440941854</v>
      </c>
      <c r="I108" s="143">
        <f ca="1">PRODUCT(I81:I$87)</f>
        <v>1.2853206687487206</v>
      </c>
      <c r="J108" s="143">
        <f ca="1">PRODUCT(J81:J$87)</f>
        <v>1.2593728777244793</v>
      </c>
    </row>
    <row r="109" spans="2:10" x14ac:dyDescent="0.2">
      <c r="B109" s="3">
        <f t="shared" si="46"/>
        <v>216</v>
      </c>
      <c r="C109" s="143">
        <f ca="1">PRODUCT(C82:C$87)</f>
        <v>1.1949536111355157</v>
      </c>
      <c r="D109" s="143">
        <f ca="1">PRODUCT(D82:D$87)</f>
        <v>1.1801568345957334</v>
      </c>
      <c r="E109" s="143">
        <f ca="1">PRODUCT(E82:E$87)</f>
        <v>1.2017205060643137</v>
      </c>
      <c r="F109" s="143">
        <f ca="1">PRODUCT(F82:F$87)</f>
        <v>1.1642786475622215</v>
      </c>
      <c r="G109" s="143">
        <f ca="1">PRODUCT(G82:G$87)</f>
        <v>1.20407971470723</v>
      </c>
      <c r="H109" s="143">
        <f ca="1">PRODUCT(H82:H$87)</f>
        <v>1.1945361254163707</v>
      </c>
      <c r="I109" s="143">
        <f ca="1">PRODUCT(I82:I$87)</f>
        <v>1.2547130137485596</v>
      </c>
      <c r="J109" s="143">
        <f ca="1">PRODUCT(J82:J$87)</f>
        <v>1.2310481496398054</v>
      </c>
    </row>
    <row r="110" spans="2:10" x14ac:dyDescent="0.2">
      <c r="B110" s="3">
        <f t="shared" si="46"/>
        <v>228</v>
      </c>
      <c r="C110" s="143">
        <f ca="1">PRODUCT(C83:C$87)</f>
        <v>1.1783537526169625</v>
      </c>
      <c r="D110" s="143">
        <f ca="1">PRODUCT(D83:D$87)</f>
        <v>1.1651757024742571</v>
      </c>
      <c r="E110" s="143">
        <f ca="1">PRODUCT(E83:E$87)</f>
        <v>1.1840415788990739</v>
      </c>
      <c r="F110" s="143">
        <f ca="1">PRODUCT(F83:F$87)</f>
        <v>1.1494150868405915</v>
      </c>
      <c r="G110" s="143">
        <f ca="1">PRODUCT(G83:G$87)</f>
        <v>1.1841211714262698</v>
      </c>
      <c r="H110" s="143">
        <f ca="1">PRODUCT(H83:H$87)</f>
        <v>1.1750997856771843</v>
      </c>
      <c r="I110" s="143">
        <f ca="1">PRODUCT(I83:I$87)</f>
        <v>1.2274982526013927</v>
      </c>
      <c r="J110" s="143">
        <f ca="1">PRODUCT(J83:J$87)</f>
        <v>1.2058455285571568</v>
      </c>
    </row>
    <row r="111" spans="2:10" x14ac:dyDescent="0.2">
      <c r="B111" s="3">
        <f t="shared" si="46"/>
        <v>240</v>
      </c>
      <c r="C111" s="143">
        <f ca="1">PRODUCT(C84:C$87)</f>
        <v>1.1627837537193579</v>
      </c>
      <c r="D111" s="143">
        <f ca="1">PRODUCT(D84:D$87)</f>
        <v>1.1512166724839508</v>
      </c>
      <c r="E111" s="143">
        <f ca="1">PRODUCT(E84:E$87)</f>
        <v>1.1678726395601655</v>
      </c>
      <c r="F111" s="143">
        <f ca="1">PRODUCT(F84:F$87)</f>
        <v>1.1358685504336772</v>
      </c>
      <c r="G111" s="143">
        <f ca="1">PRODUCT(G84:G$87)</f>
        <v>1.1661202068351308</v>
      </c>
      <c r="H111" s="143">
        <f ca="1">PRODUCT(H84:H$87)</f>
        <v>1.1576255352304228</v>
      </c>
      <c r="I111" s="143">
        <f ca="1">PRODUCT(I84:I$87)</f>
        <v>1.20328391482096</v>
      </c>
      <c r="J111" s="143">
        <f ca="1">PRODUCT(J84:J$87)</f>
        <v>1.1834251867805186</v>
      </c>
    </row>
    <row r="112" spans="2:10" x14ac:dyDescent="0.2">
      <c r="B112" s="3">
        <f t="shared" si="46"/>
        <v>252</v>
      </c>
      <c r="C112" s="143">
        <f ca="1">PRODUCT(C85:C$87)</f>
        <v>1.1482274643782167</v>
      </c>
      <c r="D112" s="143">
        <f ca="1">PRODUCT(D85:D$87)</f>
        <v>1.1382416784131202</v>
      </c>
      <c r="E112" s="143">
        <f ca="1">PRODUCT(E85:E$87)</f>
        <v>1.1530959698073873</v>
      </c>
      <c r="F112" s="143">
        <f ca="1">PRODUCT(F85:F$87)</f>
        <v>1.1235309737333468</v>
      </c>
      <c r="G112" s="143">
        <f ca="1">PRODUCT(G85:G$87)</f>
        <v>1.1498845990486457</v>
      </c>
      <c r="H112" s="143">
        <f ca="1">PRODUCT(H85:H$87)</f>
        <v>1.1419115952078924</v>
      </c>
      <c r="I112" s="143">
        <f ca="1">PRODUCT(I85:I$87)</f>
        <v>1.1817235716538297</v>
      </c>
      <c r="J112" s="143">
        <f ca="1">PRODUCT(J85:J$87)</f>
        <v>1.1634794023678035</v>
      </c>
    </row>
    <row r="113" spans="2:10" x14ac:dyDescent="0.2">
      <c r="B113" s="3">
        <f t="shared" si="46"/>
        <v>264</v>
      </c>
      <c r="C113" s="143">
        <f ca="1">PRODUCT(C86:C$87)</f>
        <v>1.1346555251502488</v>
      </c>
      <c r="D113" s="143">
        <f ca="1">PRODUCT(D86:D$87)</f>
        <v>1.1262057247073525</v>
      </c>
      <c r="E113" s="143">
        <f ca="1">PRODUCT(E86:E$87)</f>
        <v>1.1395994613883182</v>
      </c>
      <c r="F113" s="143">
        <f ca="1">PRODUCT(F86:F$87)</f>
        <v>1.1123003942668241</v>
      </c>
      <c r="G113" s="143">
        <f ca="1">PRODUCT(G86:G$87)</f>
        <v>1.1352401779217562</v>
      </c>
      <c r="H113" s="143">
        <f ca="1">PRODUCT(H86:H$87)</f>
        <v>1.1277770032641119</v>
      </c>
      <c r="I113" s="143">
        <f ca="1">PRODUCT(I86:I$87)</f>
        <v>1.1625121840197787</v>
      </c>
      <c r="J113" s="143">
        <f ca="1">PRODUCT(J86:J$87)</f>
        <v>1.1457319993899402</v>
      </c>
    </row>
    <row r="114" spans="2:10" x14ac:dyDescent="0.2">
      <c r="B114" s="3">
        <f t="shared" si="46"/>
        <v>276</v>
      </c>
      <c r="C114" s="143">
        <f ca="1">PRODUCT(C87:C$87)</f>
        <v>1.1220295895658776</v>
      </c>
      <c r="D114" s="143">
        <f ca="1">PRODUCT(D87:D$87)</f>
        <v>1.1150596901134664</v>
      </c>
      <c r="E114" s="143">
        <f ca="1">PRODUCT(E87:E$87)</f>
        <v>1.1272775592779578</v>
      </c>
      <c r="F114" s="143">
        <f ca="1">PRODUCT(F87:F$87)</f>
        <v>1.1020815367999535</v>
      </c>
      <c r="G114" s="143">
        <f ca="1">PRODUCT(G87:G$87)</f>
        <v>1.1220295895658776</v>
      </c>
      <c r="H114" s="143">
        <f ca="1">PRODUCT(H87:H$87)</f>
        <v>1.1150596901134664</v>
      </c>
      <c r="I114" s="143">
        <f ca="1">PRODUCT(I87:I$87)</f>
        <v>1.1453814732844192</v>
      </c>
      <c r="J114" s="143">
        <f ca="1">PRODUCT(J87:J$87)</f>
        <v>1.1299365610544283</v>
      </c>
    </row>
  </sheetData>
  <printOptions horizontalCentered="1"/>
  <pageMargins left="0.7" right="0.7" top="0.75" bottom="0.75" header="0.3" footer="0.3"/>
  <pageSetup scale="45" orientation="portrait" blackAndWhite="1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7">
    <tabColor rgb="FFCCCCFF"/>
    <pageSetUpPr fitToPage="1"/>
  </sheetPr>
  <dimension ref="A1:Q40"/>
  <sheetViews>
    <sheetView zoomScale="85" zoomScaleNormal="85" workbookViewId="0"/>
  </sheetViews>
  <sheetFormatPr defaultColWidth="9" defaultRowHeight="12.75" x14ac:dyDescent="0.2"/>
  <cols>
    <col min="1" max="16384" width="9" style="1"/>
  </cols>
  <sheetData>
    <row r="1" spans="1:17" x14ac:dyDescent="0.2">
      <c r="A1" s="133" t="s">
        <v>122</v>
      </c>
      <c r="F1" s="3" t="s">
        <v>108</v>
      </c>
      <c r="G1" s="110">
        <v>2018</v>
      </c>
    </row>
    <row r="3" spans="1:17" x14ac:dyDescent="0.2">
      <c r="A3" s="3">
        <v>1</v>
      </c>
      <c r="B3" s="3">
        <f>A3+1</f>
        <v>2</v>
      </c>
      <c r="C3" s="3">
        <f t="shared" ref="C3:M3" si="0">B3+1</f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</row>
    <row r="4" spans="1:17" x14ac:dyDescent="0.2">
      <c r="E4" s="115">
        <f>(500-350) / (500-300)</f>
        <v>0.75</v>
      </c>
      <c r="K4" s="117">
        <f>E4</f>
        <v>0.75</v>
      </c>
      <c r="O4" s="46" t="s">
        <v>190</v>
      </c>
      <c r="P4" s="81"/>
      <c r="Q4" s="46"/>
    </row>
    <row r="5" spans="1:17" x14ac:dyDescent="0.2">
      <c r="A5" s="30" t="s">
        <v>25</v>
      </c>
      <c r="B5" s="30" t="s">
        <v>112</v>
      </c>
      <c r="C5" s="30" t="s">
        <v>113</v>
      </c>
      <c r="D5" s="30" t="s">
        <v>111</v>
      </c>
      <c r="E5" s="112" t="s">
        <v>110</v>
      </c>
      <c r="F5" s="30" t="s">
        <v>119</v>
      </c>
      <c r="G5" s="30" t="s">
        <v>109</v>
      </c>
      <c r="H5" s="30" t="s">
        <v>114</v>
      </c>
      <c r="I5" s="30" t="s">
        <v>115</v>
      </c>
      <c r="J5" s="30" t="s">
        <v>116</v>
      </c>
      <c r="K5" s="112" t="s">
        <v>117</v>
      </c>
      <c r="L5" s="113" t="s">
        <v>120</v>
      </c>
      <c r="M5" s="30" t="s">
        <v>118</v>
      </c>
      <c r="O5" s="142" t="s">
        <v>25</v>
      </c>
      <c r="P5" s="142" t="s">
        <v>191</v>
      </c>
      <c r="Q5" s="142" t="s">
        <v>192</v>
      </c>
    </row>
    <row r="6" spans="1:17" x14ac:dyDescent="0.2">
      <c r="A6" s="110">
        <v>12</v>
      </c>
      <c r="B6" s="111">
        <v>1.8750985061332863</v>
      </c>
      <c r="C6" s="111">
        <v>1.8116175183515575</v>
      </c>
      <c r="D6" s="111">
        <v>1.7941133283456059</v>
      </c>
      <c r="E6" s="116">
        <f>1 / (((1 / F6) * $E$4) + ((1 / D6) * (1 - $E$4)))</f>
        <v>1.7411743230672185</v>
      </c>
      <c r="F6" s="111">
        <v>1.7242154812407566</v>
      </c>
      <c r="G6" s="111">
        <v>1.7075844369931044</v>
      </c>
      <c r="H6" s="111">
        <v>4.3858118321329265</v>
      </c>
      <c r="I6" s="111">
        <v>4.1641921039450107</v>
      </c>
      <c r="J6" s="111">
        <v>4.1104959612138421</v>
      </c>
      <c r="K6" s="116">
        <f>1 / (((1 / L6) * $K$4) + ((1 / J6) * (1 - $K$4)))</f>
        <v>3.9160847795141991</v>
      </c>
      <c r="L6" s="111">
        <v>3.8553042586390216</v>
      </c>
      <c r="M6" s="111">
        <v>3.794816783797665</v>
      </c>
      <c r="O6" s="3">
        <f t="shared" ref="O6:O27" si="1">A6</f>
        <v>12</v>
      </c>
      <c r="P6" s="143">
        <f t="shared" ref="P6:P28" si="2">(1-1/C6) / (1-1/D6)</f>
        <v>1.0121672665409001</v>
      </c>
      <c r="Q6" s="143">
        <f t="shared" ref="Q6:Q28" si="3">(1-1/I6) / (1-1/J6)</f>
        <v>1.004145555092834</v>
      </c>
    </row>
    <row r="7" spans="1:17" x14ac:dyDescent="0.2">
      <c r="A7" s="110">
        <v>24</v>
      </c>
      <c r="B7" s="111">
        <v>1.3574770058700349</v>
      </c>
      <c r="C7" s="111">
        <v>1.3176188721925786</v>
      </c>
      <c r="D7" s="111">
        <v>1.3067376648852516</v>
      </c>
      <c r="E7" s="116">
        <f t="shared" ref="E7:E25" si="4">1 / (((1 / F7) * $E$4) + ((1 / D7) * (1 - $E$4)))</f>
        <v>1.2717960677912659</v>
      </c>
      <c r="F7" s="111">
        <v>1.2605604549332565</v>
      </c>
      <c r="G7" s="111">
        <v>1.2495209069293378</v>
      </c>
      <c r="H7" s="111">
        <v>2.0195367968933189</v>
      </c>
      <c r="I7" s="111">
        <v>1.951055958811603</v>
      </c>
      <c r="J7" s="111">
        <v>1.9284473919389449</v>
      </c>
      <c r="K7" s="116">
        <f t="shared" ref="K7:K25" si="5">1 / (((1 / L7) * $K$4) + ((1 / J7) * (1 - $K$4)))</f>
        <v>1.8487211112716857</v>
      </c>
      <c r="L7" s="111">
        <v>1.8235906870854541</v>
      </c>
      <c r="M7" s="111">
        <v>1.7984063164323181</v>
      </c>
      <c r="O7" s="3">
        <f t="shared" si="1"/>
        <v>24</v>
      </c>
      <c r="P7" s="143">
        <f t="shared" si="2"/>
        <v>1.0269227966427279</v>
      </c>
      <c r="Q7" s="143">
        <f t="shared" si="3"/>
        <v>1.012480902989525</v>
      </c>
    </row>
    <row r="8" spans="1:17" x14ac:dyDescent="0.2">
      <c r="A8" s="110">
        <v>36</v>
      </c>
      <c r="B8" s="111">
        <v>1.2250348691373163</v>
      </c>
      <c r="C8" s="111">
        <v>1.1915059211312202</v>
      </c>
      <c r="D8" s="111">
        <v>1.1823292894493087</v>
      </c>
      <c r="E8" s="116">
        <f t="shared" si="4"/>
        <v>1.1527903407499986</v>
      </c>
      <c r="F8" s="111">
        <v>1.143269311975891</v>
      </c>
      <c r="G8" s="111">
        <v>1.1339029021483851</v>
      </c>
      <c r="H8" s="111">
        <v>1.5834602586154218</v>
      </c>
      <c r="I8" s="111">
        <v>1.5354149186046635</v>
      </c>
      <c r="J8" s="111">
        <v>1.5180387268038849</v>
      </c>
      <c r="K8" s="116">
        <f t="shared" si="5"/>
        <v>1.457141610167962</v>
      </c>
      <c r="L8" s="111">
        <v>1.4379139900338611</v>
      </c>
      <c r="M8" s="111">
        <v>1.4188984961049518</v>
      </c>
      <c r="O8" s="3">
        <f t="shared" si="1"/>
        <v>36</v>
      </c>
      <c r="P8" s="143">
        <f t="shared" si="2"/>
        <v>1.0422406562329698</v>
      </c>
      <c r="Q8" s="143">
        <f t="shared" si="3"/>
        <v>1.0218457328486921</v>
      </c>
    </row>
    <row r="9" spans="1:17" x14ac:dyDescent="0.2">
      <c r="A9" s="110">
        <v>48</v>
      </c>
      <c r="B9" s="111">
        <v>1.1653834686978055</v>
      </c>
      <c r="C9" s="111">
        <v>1.1378727069538461</v>
      </c>
      <c r="D9" s="111">
        <v>1.1298039104009543</v>
      </c>
      <c r="E9" s="116">
        <f t="shared" si="4"/>
        <v>1.1044471745528746</v>
      </c>
      <c r="F9" s="111">
        <v>1.0962459815485706</v>
      </c>
      <c r="G9" s="111">
        <v>1.0881665462105319</v>
      </c>
      <c r="H9" s="111">
        <v>1.4051951757590166</v>
      </c>
      <c r="I9" s="111">
        <v>1.3652135791558124</v>
      </c>
      <c r="J9" s="111">
        <v>1.3502543649013654</v>
      </c>
      <c r="K9" s="116">
        <f t="shared" si="5"/>
        <v>1.2985519997509289</v>
      </c>
      <c r="L9" s="111">
        <v>1.282186667656132</v>
      </c>
      <c r="M9" s="111">
        <v>1.2659724487717521</v>
      </c>
      <c r="O9" s="3">
        <f t="shared" si="1"/>
        <v>48</v>
      </c>
      <c r="P9" s="143">
        <f t="shared" si="2"/>
        <v>1.0546295104566237</v>
      </c>
      <c r="Q9" s="143">
        <f t="shared" si="3"/>
        <v>1.0312841692557695</v>
      </c>
    </row>
    <row r="10" spans="1:17" x14ac:dyDescent="0.2">
      <c r="A10" s="110">
        <v>60</v>
      </c>
      <c r="B10" s="111">
        <v>1.1329104626311983</v>
      </c>
      <c r="C10" s="111">
        <v>1.1096705793169763</v>
      </c>
      <c r="D10" s="111">
        <v>1.1023952044055492</v>
      </c>
      <c r="E10" s="116">
        <f t="shared" si="4"/>
        <v>1.0805166873017873</v>
      </c>
      <c r="F10" s="111">
        <v>1.0734155616104184</v>
      </c>
      <c r="G10" s="111">
        <v>1.0664090366072159</v>
      </c>
      <c r="H10" s="111">
        <v>1.3112003096810703</v>
      </c>
      <c r="I10" s="111">
        <v>1.2756332765390179</v>
      </c>
      <c r="J10" s="111">
        <v>1.2622604279651353</v>
      </c>
      <c r="K10" s="116">
        <f t="shared" si="5"/>
        <v>1.2160780741540307</v>
      </c>
      <c r="L10" s="111">
        <v>1.2014258746575301</v>
      </c>
      <c r="M10" s="111">
        <v>1.1868879530367302</v>
      </c>
      <c r="O10" s="3">
        <f t="shared" si="1"/>
        <v>60</v>
      </c>
      <c r="P10" s="143">
        <f t="shared" si="2"/>
        <v>1.0640297327379689</v>
      </c>
      <c r="Q10" s="143">
        <f t="shared" si="3"/>
        <v>1.039972869113299</v>
      </c>
    </row>
    <row r="11" spans="1:17" x14ac:dyDescent="0.2">
      <c r="A11" s="110">
        <v>72</v>
      </c>
      <c r="B11" s="111">
        <v>1.112784805278022</v>
      </c>
      <c r="C11" s="111">
        <v>1.0913513181884245</v>
      </c>
      <c r="D11" s="111">
        <v>1.0846167490061316</v>
      </c>
      <c r="E11" s="116">
        <f t="shared" si="4"/>
        <v>1.0650402207559897</v>
      </c>
      <c r="F11" s="111">
        <v>1.0586708129761389</v>
      </c>
      <c r="G11" s="111">
        <v>1.0523799362919117</v>
      </c>
      <c r="H11" s="111">
        <v>1.2547482349739254</v>
      </c>
      <c r="I11" s="111">
        <v>1.2219916008082241</v>
      </c>
      <c r="J11" s="111">
        <v>1.2098897280192975</v>
      </c>
      <c r="K11" s="116">
        <f t="shared" si="5"/>
        <v>1.167444485285249</v>
      </c>
      <c r="L11" s="111">
        <v>1.1539502259029919</v>
      </c>
      <c r="M11" s="111">
        <v>1.1405455860153988</v>
      </c>
      <c r="O11" s="3">
        <f t="shared" si="1"/>
        <v>72</v>
      </c>
      <c r="P11" s="143">
        <f t="shared" si="2"/>
        <v>1.0729270935889572</v>
      </c>
      <c r="Q11" s="143">
        <f t="shared" si="3"/>
        <v>1.0471838286250925</v>
      </c>
    </row>
    <row r="12" spans="1:17" x14ac:dyDescent="0.2">
      <c r="A12" s="110">
        <v>84</v>
      </c>
      <c r="B12" s="111">
        <v>1.0967811362306901</v>
      </c>
      <c r="C12" s="111">
        <v>1.076974509152429</v>
      </c>
      <c r="D12" s="111">
        <v>1.0707378465119886</v>
      </c>
      <c r="E12" s="116">
        <f t="shared" si="4"/>
        <v>1.0532145456759796</v>
      </c>
      <c r="F12" s="111">
        <v>1.0475002115859566</v>
      </c>
      <c r="G12" s="111">
        <v>1.0418516862616143</v>
      </c>
      <c r="H12" s="111">
        <v>1.2170375654368413</v>
      </c>
      <c r="I12" s="111">
        <v>1.1864285778542814</v>
      </c>
      <c r="J12" s="111">
        <v>1.1751052394310277</v>
      </c>
      <c r="K12" s="116">
        <f t="shared" si="5"/>
        <v>1.1353263480337266</v>
      </c>
      <c r="L12" s="111">
        <v>1.1226585149343831</v>
      </c>
      <c r="M12" s="111">
        <v>1.1100647081471049</v>
      </c>
      <c r="O12" s="3">
        <f t="shared" si="1"/>
        <v>84</v>
      </c>
      <c r="P12" s="143">
        <f t="shared" si="2"/>
        <v>1.0818643831826924</v>
      </c>
      <c r="Q12" s="143">
        <f t="shared" si="3"/>
        <v>1.0545046740957362</v>
      </c>
    </row>
    <row r="13" spans="1:17" x14ac:dyDescent="0.2">
      <c r="A13" s="110">
        <v>96</v>
      </c>
      <c r="B13" s="111">
        <v>1.0846184724561156</v>
      </c>
      <c r="C13" s="111">
        <v>1.0659490448597448</v>
      </c>
      <c r="D13" s="111">
        <v>1.0600658753551591</v>
      </c>
      <c r="E13" s="116">
        <f t="shared" si="4"/>
        <v>1.0441946573249636</v>
      </c>
      <c r="F13" s="111">
        <v>1.0390093368951534</v>
      </c>
      <c r="G13" s="111">
        <v>1.0338656307657725</v>
      </c>
      <c r="H13" s="111">
        <v>1.1893212239448034</v>
      </c>
      <c r="I13" s="111">
        <v>1.1607691430865734</v>
      </c>
      <c r="J13" s="111">
        <v>1.1501901878637757</v>
      </c>
      <c r="K13" s="116">
        <f t="shared" si="5"/>
        <v>1.1141759830528812</v>
      </c>
      <c r="L13" s="111">
        <v>1.1026672532457942</v>
      </c>
      <c r="M13" s="111">
        <v>1.0913936894426881</v>
      </c>
      <c r="O13" s="3">
        <f t="shared" si="1"/>
        <v>96</v>
      </c>
      <c r="P13" s="143">
        <f t="shared" si="2"/>
        <v>1.0918855260521649</v>
      </c>
      <c r="Q13" s="143">
        <f t="shared" si="3"/>
        <v>1.0606813681073328</v>
      </c>
    </row>
    <row r="14" spans="1:17" x14ac:dyDescent="0.2">
      <c r="A14" s="110">
        <v>108</v>
      </c>
      <c r="B14" s="111">
        <v>1.0748183540631089</v>
      </c>
      <c r="C14" s="111">
        <v>1.0569627020429753</v>
      </c>
      <c r="D14" s="111">
        <v>1.051729272383888</v>
      </c>
      <c r="E14" s="116">
        <f t="shared" si="4"/>
        <v>1.0371234275628118</v>
      </c>
      <c r="F14" s="111">
        <v>1.0323445474656581</v>
      </c>
      <c r="G14" s="111">
        <v>1.0276012371253613</v>
      </c>
      <c r="H14" s="111">
        <v>1.1671441941432519</v>
      </c>
      <c r="I14" s="111">
        <v>1.1409355565128214</v>
      </c>
      <c r="J14" s="111">
        <v>1.1312719586864717</v>
      </c>
      <c r="K14" s="116">
        <f t="shared" si="5"/>
        <v>1.0980024454885902</v>
      </c>
      <c r="L14" s="111">
        <v>1.0873432401574368</v>
      </c>
      <c r="M14" s="111">
        <v>1.0768888430637542</v>
      </c>
      <c r="O14" s="3">
        <f t="shared" si="1"/>
        <v>108</v>
      </c>
      <c r="P14" s="143">
        <f t="shared" si="2"/>
        <v>1.0957172823316581</v>
      </c>
      <c r="Q14" s="143">
        <f t="shared" si="3"/>
        <v>1.0645216949104674</v>
      </c>
    </row>
    <row r="15" spans="1:17" x14ac:dyDescent="0.2">
      <c r="A15" s="110">
        <v>120</v>
      </c>
      <c r="B15" s="111">
        <v>1.0667289659847836</v>
      </c>
      <c r="C15" s="111">
        <v>1.0494931298750612</v>
      </c>
      <c r="D15" s="111">
        <v>1.0448046645452087</v>
      </c>
      <c r="E15" s="116">
        <f t="shared" si="4"/>
        <v>1.0318535323406293</v>
      </c>
      <c r="F15" s="111">
        <v>1.0276075453074156</v>
      </c>
      <c r="G15" s="111">
        <v>1.0233903480586424</v>
      </c>
      <c r="H15" s="111">
        <v>1.1498799690348604</v>
      </c>
      <c r="I15" s="111">
        <v>1.125431725759654</v>
      </c>
      <c r="J15" s="111">
        <v>1.1164596118542085</v>
      </c>
      <c r="K15" s="116">
        <f t="shared" si="5"/>
        <v>1.0854934637058158</v>
      </c>
      <c r="L15" s="111">
        <v>1.0755496409382577</v>
      </c>
      <c r="M15" s="111">
        <v>1.0657861931086872</v>
      </c>
      <c r="O15" s="3">
        <f t="shared" si="1"/>
        <v>120</v>
      </c>
      <c r="P15" s="143">
        <f t="shared" si="2"/>
        <v>1.0997075118471287</v>
      </c>
      <c r="Q15" s="143">
        <f t="shared" si="3"/>
        <v>1.0684542294970938</v>
      </c>
    </row>
    <row r="16" spans="1:17" x14ac:dyDescent="0.2">
      <c r="A16" s="110">
        <v>132</v>
      </c>
      <c r="B16" s="111">
        <v>1.0598917482609367</v>
      </c>
      <c r="C16" s="111">
        <v>1.043564889613233</v>
      </c>
      <c r="D16" s="111">
        <v>1.0390747708053285</v>
      </c>
      <c r="E16" s="116">
        <f t="shared" si="4"/>
        <v>1.0274710257050446</v>
      </c>
      <c r="F16" s="111">
        <v>1.0236604897276624</v>
      </c>
      <c r="G16" s="111">
        <v>1.0198741378830711</v>
      </c>
      <c r="H16" s="111">
        <v>1.1355463410472892</v>
      </c>
      <c r="I16" s="111">
        <v>1.1125606997219188</v>
      </c>
      <c r="J16" s="111">
        <v>1.1041614078036828</v>
      </c>
      <c r="K16" s="116">
        <f t="shared" si="5"/>
        <v>1.0751096733576557</v>
      </c>
      <c r="L16" s="111">
        <v>1.0657625344596589</v>
      </c>
      <c r="M16" s="111">
        <v>1.0565763709598313</v>
      </c>
      <c r="O16" s="3">
        <f t="shared" si="1"/>
        <v>132</v>
      </c>
      <c r="P16" s="143">
        <f t="shared" si="2"/>
        <v>1.1101138466333307</v>
      </c>
      <c r="Q16" s="143">
        <f t="shared" si="3"/>
        <v>1.0724789878114465</v>
      </c>
    </row>
    <row r="17" spans="1:17" x14ac:dyDescent="0.2">
      <c r="A17" s="110">
        <v>144</v>
      </c>
      <c r="B17" s="111">
        <v>1.0541309161172696</v>
      </c>
      <c r="C17" s="111">
        <v>1.0385843162273332</v>
      </c>
      <c r="D17" s="111">
        <v>1.0342501923727379</v>
      </c>
      <c r="E17" s="116">
        <f t="shared" si="4"/>
        <v>1.0237921822514446</v>
      </c>
      <c r="F17" s="111">
        <v>1.0203530201445521</v>
      </c>
      <c r="G17" s="111">
        <v>1.0169361589656924</v>
      </c>
      <c r="H17" s="111">
        <v>1.1238235950399145</v>
      </c>
      <c r="I17" s="111">
        <v>1.1020049534205303</v>
      </c>
      <c r="J17" s="111">
        <v>1.094064216752501</v>
      </c>
      <c r="K17" s="116">
        <f t="shared" si="5"/>
        <v>1.0665495311100028</v>
      </c>
      <c r="L17" s="111">
        <v>1.0576829540708987</v>
      </c>
      <c r="M17" s="111">
        <v>1.0489624295956288</v>
      </c>
      <c r="O17" s="3">
        <f t="shared" si="1"/>
        <v>144</v>
      </c>
      <c r="P17" s="143">
        <f t="shared" si="2"/>
        <v>1.1218418663209362</v>
      </c>
      <c r="Q17" s="143">
        <f t="shared" si="3"/>
        <v>1.0766042392314707</v>
      </c>
    </row>
    <row r="18" spans="1:17" x14ac:dyDescent="0.2">
      <c r="A18" s="110">
        <v>156</v>
      </c>
      <c r="B18" s="111">
        <v>1.0491381524512784</v>
      </c>
      <c r="C18" s="111">
        <v>1.0343288325567059</v>
      </c>
      <c r="D18" s="111">
        <v>1.030161759934016</v>
      </c>
      <c r="E18" s="116">
        <f t="shared" si="4"/>
        <v>1.020672008620388</v>
      </c>
      <c r="F18" s="111">
        <v>1.0175474919912646</v>
      </c>
      <c r="G18" s="111">
        <v>1.0144413499119946</v>
      </c>
      <c r="H18" s="111">
        <v>1.1132599955794547</v>
      </c>
      <c r="I18" s="111">
        <v>1.0925498518055896</v>
      </c>
      <c r="J18" s="111">
        <v>1.0850397202809139</v>
      </c>
      <c r="K18" s="116">
        <f t="shared" si="5"/>
        <v>1.058972503373387</v>
      </c>
      <c r="L18" s="111">
        <v>1.0505595506280849</v>
      </c>
      <c r="M18" s="111">
        <v>1.0422790638568853</v>
      </c>
      <c r="O18" s="3">
        <f t="shared" si="1"/>
        <v>156</v>
      </c>
      <c r="P18" s="143">
        <f t="shared" si="2"/>
        <v>1.1335721016384857</v>
      </c>
      <c r="Q18" s="143">
        <f t="shared" si="3"/>
        <v>1.0808322108502173</v>
      </c>
    </row>
    <row r="19" spans="1:17" x14ac:dyDescent="0.2">
      <c r="A19" s="110">
        <v>168</v>
      </c>
      <c r="B19" s="111">
        <v>1.0448558993048245</v>
      </c>
      <c r="C19" s="111">
        <v>1.0307038961690922</v>
      </c>
      <c r="D19" s="111">
        <v>1.026688799325026</v>
      </c>
      <c r="E19" s="116">
        <f t="shared" si="4"/>
        <v>1.0180270004228631</v>
      </c>
      <c r="F19" s="111">
        <v>1.0151721214589096</v>
      </c>
      <c r="G19" s="111">
        <v>1.0123326409772462</v>
      </c>
      <c r="H19" s="111">
        <v>1.1038989919522453</v>
      </c>
      <c r="I19" s="111">
        <v>1.0842039629352871</v>
      </c>
      <c r="J19" s="111">
        <v>1.0770853868272297</v>
      </c>
      <c r="K19" s="116">
        <f t="shared" si="5"/>
        <v>1.0523379111078939</v>
      </c>
      <c r="L19" s="111">
        <v>1.0443395456840563</v>
      </c>
      <c r="M19" s="111">
        <v>1.036461694703968</v>
      </c>
      <c r="O19" s="3">
        <f t="shared" si="1"/>
        <v>168</v>
      </c>
      <c r="P19" s="143">
        <f t="shared" si="2"/>
        <v>1.1459597366092169</v>
      </c>
      <c r="Q19" s="143">
        <f t="shared" si="3"/>
        <v>1.0851745967602027</v>
      </c>
    </row>
    <row r="20" spans="1:17" x14ac:dyDescent="0.2">
      <c r="A20" s="110">
        <v>180</v>
      </c>
      <c r="B20" s="111">
        <v>1.0408626543033195</v>
      </c>
      <c r="C20" s="111">
        <v>1.0273993647620798</v>
      </c>
      <c r="D20" s="111">
        <v>1.023549644208368</v>
      </c>
      <c r="E20" s="116">
        <f t="shared" si="4"/>
        <v>1.0156542350283</v>
      </c>
      <c r="F20" s="111">
        <v>1.0130494306530233</v>
      </c>
      <c r="G20" s="111">
        <v>1.010457939687744</v>
      </c>
      <c r="H20" s="111">
        <v>1.095445650908289</v>
      </c>
      <c r="I20" s="111">
        <v>1.0767097090069415</v>
      </c>
      <c r="J20" s="111">
        <v>1.0699578952992868</v>
      </c>
      <c r="K20" s="116">
        <f t="shared" si="5"/>
        <v>1.0464503830041736</v>
      </c>
      <c r="L20" s="111">
        <v>1.038842419780275</v>
      </c>
      <c r="M20" s="111">
        <v>1.0313441570759643</v>
      </c>
      <c r="O20" s="3">
        <f t="shared" si="1"/>
        <v>180</v>
      </c>
      <c r="P20" s="143">
        <f t="shared" si="2"/>
        <v>1.1591129628305907</v>
      </c>
      <c r="Q20" s="143">
        <f t="shared" si="3"/>
        <v>1.0896365404776991</v>
      </c>
    </row>
    <row r="21" spans="1:17" x14ac:dyDescent="0.2">
      <c r="A21" s="110">
        <v>192</v>
      </c>
      <c r="B21" s="111">
        <v>1.0374691564359939</v>
      </c>
      <c r="C21" s="111">
        <v>1.0247565710815494</v>
      </c>
      <c r="D21" s="111">
        <v>1.0212070554967163</v>
      </c>
      <c r="E21" s="116">
        <f t="shared" si="4"/>
        <v>1.0137712227920137</v>
      </c>
      <c r="F21" s="111">
        <v>1.0113166173530721</v>
      </c>
      <c r="G21" s="111">
        <v>1.0088738667243713</v>
      </c>
      <c r="H21" s="111">
        <v>1.0879779553024052</v>
      </c>
      <c r="I21" s="111">
        <v>1.0701093536072166</v>
      </c>
      <c r="J21" s="111">
        <v>1.0636879975370901</v>
      </c>
      <c r="K21" s="116">
        <f t="shared" si="5"/>
        <v>1.0412999711608422</v>
      </c>
      <c r="L21" s="111">
        <v>1.0340452646700695</v>
      </c>
      <c r="M21" s="111">
        <v>1.0268908206710403</v>
      </c>
      <c r="O21" s="3">
        <f t="shared" si="1"/>
        <v>192</v>
      </c>
      <c r="P21" s="143">
        <f t="shared" si="2"/>
        <v>1.1633307674242905</v>
      </c>
      <c r="Q21" s="143">
        <f t="shared" si="3"/>
        <v>1.0942195440690143</v>
      </c>
    </row>
    <row r="22" spans="1:17" x14ac:dyDescent="0.2">
      <c r="A22" s="110">
        <v>204</v>
      </c>
      <c r="B22" s="111">
        <v>1.0344831716225504</v>
      </c>
      <c r="C22" s="111">
        <v>1.0226345739594946</v>
      </c>
      <c r="D22" s="111">
        <v>1.0195414371226936</v>
      </c>
      <c r="E22" s="116">
        <f t="shared" si="4"/>
        <v>1.0123012304474974</v>
      </c>
      <c r="F22" s="111">
        <v>1.0099106257476287</v>
      </c>
      <c r="G22" s="111">
        <v>1.0075312848150413</v>
      </c>
      <c r="H22" s="111">
        <v>1.0813836469405362</v>
      </c>
      <c r="I22" s="111">
        <v>1.0642957225748726</v>
      </c>
      <c r="J22" s="111">
        <v>1.0581708293487313</v>
      </c>
      <c r="K22" s="116">
        <f t="shared" si="5"/>
        <v>1.0367892348107899</v>
      </c>
      <c r="L22" s="111">
        <v>1.0298527699383051</v>
      </c>
      <c r="M22" s="111">
        <v>1.0230083778265775</v>
      </c>
      <c r="O22" s="3">
        <f t="shared" si="1"/>
        <v>204</v>
      </c>
      <c r="P22" s="143">
        <f t="shared" si="2"/>
        <v>1.1547826086956674</v>
      </c>
      <c r="Q22" s="143">
        <f t="shared" si="3"/>
        <v>1.0989306698827397</v>
      </c>
    </row>
    <row r="23" spans="1:17" x14ac:dyDescent="0.2">
      <c r="A23" s="110">
        <v>216</v>
      </c>
      <c r="B23" s="111">
        <v>1.0318471540417129</v>
      </c>
      <c r="C23" s="111">
        <v>1.0209226247299787</v>
      </c>
      <c r="D23" s="111">
        <v>1.0180675683058122</v>
      </c>
      <c r="E23" s="116">
        <f t="shared" si="4"/>
        <v>1.011018663254885</v>
      </c>
      <c r="F23" s="111">
        <v>1.0086906695222586</v>
      </c>
      <c r="G23" s="111">
        <v>1.0063733721387678</v>
      </c>
      <c r="H23" s="111">
        <v>1.075361634964427</v>
      </c>
      <c r="I23" s="111">
        <v>1.0590187320302851</v>
      </c>
      <c r="J23" s="111">
        <v>1.0531747596788934</v>
      </c>
      <c r="K23" s="116">
        <f t="shared" si="5"/>
        <v>1.0327492710057142</v>
      </c>
      <c r="L23" s="111">
        <v>1.0261157044156506</v>
      </c>
      <c r="M23" s="111">
        <v>1.0195668115456316</v>
      </c>
      <c r="O23" s="3">
        <f t="shared" si="1"/>
        <v>216</v>
      </c>
      <c r="P23" s="143">
        <f t="shared" si="2"/>
        <v>1.154782608695633</v>
      </c>
      <c r="Q23" s="143">
        <f t="shared" si="3"/>
        <v>1.1037764893163335</v>
      </c>
    </row>
    <row r="24" spans="1:17" x14ac:dyDescent="0.2">
      <c r="A24" s="110">
        <v>228</v>
      </c>
      <c r="B24" s="111">
        <v>1.0295849196145042</v>
      </c>
      <c r="C24" s="111">
        <v>1.0194510329889057</v>
      </c>
      <c r="D24" s="111">
        <v>1.0168000913042696</v>
      </c>
      <c r="E24" s="116">
        <f t="shared" si="4"/>
        <v>1.0099396148878512</v>
      </c>
      <c r="F24" s="111">
        <v>1.0076733159111615</v>
      </c>
      <c r="G24" s="111">
        <v>1.0054171652866621</v>
      </c>
      <c r="H24" s="111">
        <v>1.0698498474244111</v>
      </c>
      <c r="I24" s="111">
        <v>1.0542188816606823</v>
      </c>
      <c r="J24" s="111">
        <v>1.0486417095794356</v>
      </c>
      <c r="K24" s="116">
        <f t="shared" si="5"/>
        <v>1.0291267929559549</v>
      </c>
      <c r="L24" s="111">
        <v>1.0227822331880474</v>
      </c>
      <c r="M24" s="111">
        <v>1.0165154224347168</v>
      </c>
      <c r="O24" s="3">
        <f t="shared" si="1"/>
        <v>228</v>
      </c>
      <c r="P24" s="143">
        <f t="shared" si="2"/>
        <v>1.1547826086956592</v>
      </c>
      <c r="Q24" s="143">
        <f t="shared" si="3"/>
        <v>1.1087613084840533</v>
      </c>
    </row>
    <row r="25" spans="1:17" x14ac:dyDescent="0.2">
      <c r="A25" s="110">
        <v>240</v>
      </c>
      <c r="B25" s="111">
        <v>1.0275297955370974</v>
      </c>
      <c r="C25" s="111">
        <v>1.0181122457586878</v>
      </c>
      <c r="D25" s="111">
        <v>1.0156465650705004</v>
      </c>
      <c r="E25" s="116">
        <f t="shared" si="4"/>
        <v>1.0089748455749936</v>
      </c>
      <c r="F25" s="111">
        <v>1.0067703747915542</v>
      </c>
      <c r="G25" s="111">
        <v>1.0045755159362002</v>
      </c>
      <c r="H25" s="111">
        <v>1.0648147910045034</v>
      </c>
      <c r="I25" s="111">
        <v>1.0498601873397668</v>
      </c>
      <c r="J25" s="111">
        <v>1.0445354670343943</v>
      </c>
      <c r="K25" s="116">
        <f t="shared" si="5"/>
        <v>1.0258829688283593</v>
      </c>
      <c r="L25" s="111">
        <v>1.0198126297962873</v>
      </c>
      <c r="M25" s="111">
        <v>1.0138137068170225</v>
      </c>
      <c r="O25" s="3">
        <f t="shared" si="1"/>
        <v>240</v>
      </c>
      <c r="P25" s="143">
        <f t="shared" si="2"/>
        <v>1.1547826086956274</v>
      </c>
      <c r="Q25" s="143">
        <f t="shared" si="3"/>
        <v>1.1138831109993628</v>
      </c>
    </row>
    <row r="26" spans="1:17" x14ac:dyDescent="0.2">
      <c r="A26" s="114">
        <f>A25+12</f>
        <v>252</v>
      </c>
      <c r="B26" s="120">
        <f t="shared" ref="B26:M28" si="6">B25^B$38</f>
        <v>1.025717555321989</v>
      </c>
      <c r="C26" s="120">
        <f t="shared" si="6"/>
        <v>1.0168527868217869</v>
      </c>
      <c r="D26" s="120">
        <f t="shared" si="6"/>
        <v>1.0145730494665031</v>
      </c>
      <c r="E26" s="120">
        <f t="shared" si="6"/>
        <v>1.0080266216862219</v>
      </c>
      <c r="F26" s="120">
        <f t="shared" si="6"/>
        <v>1.0059315829361082</v>
      </c>
      <c r="G26" s="120">
        <f t="shared" si="6"/>
        <v>1.0038708180968043</v>
      </c>
      <c r="H26" s="120">
        <f t="shared" si="6"/>
        <v>1.0599629581154664</v>
      </c>
      <c r="I26" s="120">
        <f t="shared" si="6"/>
        <v>1.0457260081352981</v>
      </c>
      <c r="J26" s="120">
        <f t="shared" si="6"/>
        <v>1.0406734804796507</v>
      </c>
      <c r="K26" s="120">
        <f t="shared" si="6"/>
        <v>1.0230182612460206</v>
      </c>
      <c r="L26" s="120">
        <f t="shared" si="6"/>
        <v>1.0173117508191503</v>
      </c>
      <c r="M26" s="120">
        <f t="shared" si="6"/>
        <v>1.0117234428765871</v>
      </c>
      <c r="O26" s="3">
        <f t="shared" si="1"/>
        <v>252</v>
      </c>
      <c r="P26" s="143">
        <f t="shared" si="2"/>
        <v>1.1538424874345579</v>
      </c>
      <c r="Q26" s="143">
        <f t="shared" si="3"/>
        <v>1.1187898825154254</v>
      </c>
    </row>
    <row r="27" spans="1:17" x14ac:dyDescent="0.2">
      <c r="A27" s="114">
        <f>A26+12</f>
        <v>264</v>
      </c>
      <c r="B27" s="120">
        <f t="shared" si="6"/>
        <v>1.0240260018546674</v>
      </c>
      <c r="C27" s="120">
        <f t="shared" si="6"/>
        <v>1.0156815790208076</v>
      </c>
      <c r="D27" s="120">
        <f t="shared" si="6"/>
        <v>1.0135736793417895</v>
      </c>
      <c r="E27" s="120">
        <f t="shared" si="6"/>
        <v>1.0071789370669653</v>
      </c>
      <c r="F27" s="120">
        <f t="shared" si="6"/>
        <v>1.005196978317455</v>
      </c>
      <c r="G27" s="120">
        <f t="shared" si="6"/>
        <v>1.0032748311078272</v>
      </c>
      <c r="H27" s="120">
        <f t="shared" si="6"/>
        <v>1.0554837098854579</v>
      </c>
      <c r="I27" s="120">
        <f t="shared" si="6"/>
        <v>1.041941425420819</v>
      </c>
      <c r="J27" s="120">
        <f t="shared" si="6"/>
        <v>1.03715232125554</v>
      </c>
      <c r="K27" s="120">
        <f t="shared" si="6"/>
        <v>1.0204737734681197</v>
      </c>
      <c r="L27" s="120">
        <f t="shared" si="6"/>
        <v>1.015128886637036</v>
      </c>
      <c r="M27" s="120">
        <f t="shared" si="6"/>
        <v>1.0099510245067593</v>
      </c>
      <c r="O27" s="3">
        <f t="shared" si="1"/>
        <v>264</v>
      </c>
      <c r="P27" s="143">
        <f t="shared" si="2"/>
        <v>1.1528955256618076</v>
      </c>
      <c r="Q27" s="143">
        <f t="shared" si="3"/>
        <v>1.1237157592670901</v>
      </c>
    </row>
    <row r="28" spans="1:17" x14ac:dyDescent="0.2">
      <c r="A28" s="114">
        <f>A27+12</f>
        <v>276</v>
      </c>
      <c r="B28" s="120">
        <f t="shared" si="6"/>
        <v>1.0224469226711084</v>
      </c>
      <c r="C28" s="120">
        <f t="shared" si="6"/>
        <v>1.0145923487725881</v>
      </c>
      <c r="D28" s="120">
        <f t="shared" si="6"/>
        <v>1.0126432688845233</v>
      </c>
      <c r="E28" s="120">
        <f t="shared" si="6"/>
        <v>1.0064210605962254</v>
      </c>
      <c r="F28" s="120">
        <f t="shared" si="6"/>
        <v>1.0045535575748721</v>
      </c>
      <c r="G28" s="120">
        <f t="shared" si="6"/>
        <v>1.002770734395998</v>
      </c>
      <c r="H28" s="120">
        <f t="shared" si="6"/>
        <v>1.0513471108773611</v>
      </c>
      <c r="I28" s="120">
        <f t="shared" si="6"/>
        <v>1.0384758126869407</v>
      </c>
      <c r="J28" s="120">
        <f t="shared" si="6"/>
        <v>1.0339409425485266</v>
      </c>
      <c r="K28" s="120">
        <f t="shared" si="6"/>
        <v>1.0182130571409864</v>
      </c>
      <c r="L28" s="120">
        <f t="shared" si="6"/>
        <v>1.0132230491747019</v>
      </c>
      <c r="M28" s="120">
        <f t="shared" si="6"/>
        <v>1.0084476884789133</v>
      </c>
      <c r="O28" s="3">
        <f>A28</f>
        <v>276</v>
      </c>
      <c r="P28" s="143">
        <f t="shared" si="2"/>
        <v>1.1519422954190157</v>
      </c>
      <c r="Q28" s="143">
        <f t="shared" si="3"/>
        <v>1.1286603032344311</v>
      </c>
    </row>
    <row r="31" spans="1:17" x14ac:dyDescent="0.2">
      <c r="B31" s="118">
        <f t="shared" ref="B31:M31" si="7">LN(B21) / LN(B20)</f>
        <v>0.91846158937808464</v>
      </c>
      <c r="C31" s="118">
        <f t="shared" si="7"/>
        <v>0.90471478653306514</v>
      </c>
      <c r="D31" s="118">
        <f t="shared" si="7"/>
        <v>0.9015616100259275</v>
      </c>
      <c r="E31" s="118">
        <f t="shared" si="7"/>
        <v>0.88053089329220147</v>
      </c>
      <c r="F31" s="118">
        <f t="shared" si="7"/>
        <v>0.86795570996256033</v>
      </c>
      <c r="G31" s="118">
        <f t="shared" si="7"/>
        <v>0.84919611618772783</v>
      </c>
      <c r="H31" s="118">
        <f t="shared" si="7"/>
        <v>0.92496395427001366</v>
      </c>
      <c r="I31" s="118">
        <f t="shared" si="7"/>
        <v>0.9168042641949522</v>
      </c>
      <c r="J31" s="118">
        <f t="shared" si="7"/>
        <v>0.91308420512833821</v>
      </c>
      <c r="K31" s="118">
        <f t="shared" si="7"/>
        <v>0.89133202013209822</v>
      </c>
      <c r="L31" s="118">
        <f t="shared" si="7"/>
        <v>0.87853991016141553</v>
      </c>
      <c r="M31" s="118">
        <f t="shared" si="7"/>
        <v>0.85978848900736604</v>
      </c>
    </row>
    <row r="32" spans="1:17" x14ac:dyDescent="0.2">
      <c r="B32" s="118">
        <f t="shared" ref="B32:C35" si="8">LN(B22) / LN(B21)</f>
        <v>0.92164327101465493</v>
      </c>
      <c r="C32" s="118">
        <f t="shared" si="8"/>
        <v>0.91523729520657848</v>
      </c>
      <c r="D32" s="118">
        <f t="shared" ref="D32:M32" si="9">LN(D22) / LN(D21)</f>
        <v>0.92221414849742545</v>
      </c>
      <c r="E32" s="118">
        <f t="shared" si="9"/>
        <v>0.89390594880307883</v>
      </c>
      <c r="F32" s="118">
        <f t="shared" si="9"/>
        <v>0.87636914238074226</v>
      </c>
      <c r="G32" s="118">
        <f t="shared" si="9"/>
        <v>0.84926989581432322</v>
      </c>
      <c r="H32" s="118">
        <f t="shared" si="9"/>
        <v>0.92790029761754866</v>
      </c>
      <c r="I32" s="118">
        <f t="shared" si="9"/>
        <v>0.91960613830608406</v>
      </c>
      <c r="J32" s="118">
        <f t="shared" si="9"/>
        <v>0.91577340824769482</v>
      </c>
      <c r="K32" s="118">
        <f t="shared" si="9"/>
        <v>0.89272914272861603</v>
      </c>
      <c r="L32" s="118">
        <f t="shared" si="9"/>
        <v>0.87864764103110993</v>
      </c>
      <c r="M32" s="118">
        <f t="shared" si="9"/>
        <v>0.85725072822705906</v>
      </c>
    </row>
    <row r="33" spans="1:13" x14ac:dyDescent="0.2">
      <c r="B33" s="118">
        <f t="shared" si="8"/>
        <v>0.92474175378088064</v>
      </c>
      <c r="C33" s="118">
        <f t="shared" si="8"/>
        <v>0.92514321742914085</v>
      </c>
      <c r="D33" s="118">
        <f t="shared" ref="D33:M33" si="10">LN(D23) / LN(D22)</f>
        <v>0.92524835245233306</v>
      </c>
      <c r="E33" s="118">
        <f t="shared" si="10"/>
        <v>0.89630575312788563</v>
      </c>
      <c r="F33" s="118">
        <f t="shared" si="10"/>
        <v>0.87743515991437127</v>
      </c>
      <c r="G33" s="118">
        <f t="shared" si="10"/>
        <v>0.8467402323790032</v>
      </c>
      <c r="H33" s="118">
        <f t="shared" si="10"/>
        <v>0.92862643257714272</v>
      </c>
      <c r="I33" s="118">
        <f t="shared" si="10"/>
        <v>0.92023318922986497</v>
      </c>
      <c r="J33" s="118">
        <f t="shared" si="10"/>
        <v>0.91629903722840489</v>
      </c>
      <c r="K33" s="118">
        <f t="shared" si="10"/>
        <v>0.89193560796841775</v>
      </c>
      <c r="L33" s="118">
        <f t="shared" si="10"/>
        <v>0.87641569205330505</v>
      </c>
      <c r="M33" s="118">
        <f t="shared" si="10"/>
        <v>0.85186030344394181</v>
      </c>
    </row>
    <row r="34" spans="1:13" x14ac:dyDescent="0.2">
      <c r="B34" s="118">
        <f t="shared" si="8"/>
        <v>0.92999104575804281</v>
      </c>
      <c r="C34" s="118">
        <f t="shared" si="8"/>
        <v>0.93033803635822765</v>
      </c>
      <c r="D34" s="118">
        <f t="shared" ref="D34:M34" si="11">LN(D24) / LN(D23)</f>
        <v>0.93042898040072741</v>
      </c>
      <c r="E34" s="118">
        <f t="shared" si="11"/>
        <v>0.90255345408937659</v>
      </c>
      <c r="F34" s="118">
        <f t="shared" si="11"/>
        <v>0.88338345970132481</v>
      </c>
      <c r="G34" s="118">
        <f t="shared" si="11"/>
        <v>0.85037294082940063</v>
      </c>
      <c r="H34" s="118">
        <f t="shared" si="11"/>
        <v>0.92927453887841149</v>
      </c>
      <c r="I34" s="118">
        <f t="shared" si="11"/>
        <v>0.92078059874393525</v>
      </c>
      <c r="J34" s="118">
        <f t="shared" si="11"/>
        <v>0.91674321170982109</v>
      </c>
      <c r="K34" s="118">
        <f t="shared" si="11"/>
        <v>0.89095939559613302</v>
      </c>
      <c r="L34" s="118">
        <f t="shared" si="11"/>
        <v>0.87378376704463812</v>
      </c>
      <c r="M34" s="118">
        <f t="shared" si="11"/>
        <v>0.84532248857712511</v>
      </c>
    </row>
    <row r="35" spans="1:13" x14ac:dyDescent="0.2">
      <c r="B35" s="119">
        <f t="shared" si="8"/>
        <v>0.93146920787841725</v>
      </c>
      <c r="C35" s="119">
        <f t="shared" si="8"/>
        <v>0.93178533596575908</v>
      </c>
      <c r="D35" s="119">
        <f t="shared" ref="D35:M35" si="12">LN(D25) / LN(D24)</f>
        <v>0.93186825202147949</v>
      </c>
      <c r="E35" s="119">
        <f t="shared" si="12"/>
        <v>0.90336921508481849</v>
      </c>
      <c r="F35" s="119">
        <f t="shared" si="12"/>
        <v>0.88272317994727356</v>
      </c>
      <c r="G35" s="119">
        <f t="shared" si="12"/>
        <v>0.8449869267038933</v>
      </c>
      <c r="H35" s="119">
        <f t="shared" si="12"/>
        <v>0.93013109628370183</v>
      </c>
      <c r="I35" s="119">
        <f t="shared" si="12"/>
        <v>0.92153241981395551</v>
      </c>
      <c r="J35" s="119">
        <f t="shared" si="12"/>
        <v>0.91739340634636379</v>
      </c>
      <c r="K35" s="119">
        <f t="shared" si="12"/>
        <v>0.89004108220744693</v>
      </c>
      <c r="L35" s="119">
        <f t="shared" si="12"/>
        <v>0.8709223665668967</v>
      </c>
      <c r="M35" s="119">
        <f t="shared" si="12"/>
        <v>0.83752909686260302</v>
      </c>
    </row>
    <row r="36" spans="1:13" x14ac:dyDescent="0.2">
      <c r="B36" s="118"/>
    </row>
    <row r="37" spans="1:13" x14ac:dyDescent="0.2">
      <c r="A37" s="3" t="s">
        <v>121</v>
      </c>
      <c r="B37" s="118">
        <f t="shared" ref="B37:L37" si="13">AVERAGE(B31:B35)</f>
        <v>0.9252613735620161</v>
      </c>
      <c r="C37" s="118">
        <f t="shared" si="13"/>
        <v>0.9214437342985542</v>
      </c>
      <c r="D37" s="118">
        <f t="shared" si="13"/>
        <v>0.92226426867957856</v>
      </c>
      <c r="E37" s="118">
        <f t="shared" si="13"/>
        <v>0.89533305287947229</v>
      </c>
      <c r="F37" s="118">
        <f t="shared" si="13"/>
        <v>0.87757333038125451</v>
      </c>
      <c r="G37" s="118">
        <f t="shared" si="13"/>
        <v>0.84811322238286968</v>
      </c>
      <c r="H37" s="118">
        <f t="shared" si="13"/>
        <v>0.92817926392536376</v>
      </c>
      <c r="I37" s="118">
        <f t="shared" si="13"/>
        <v>0.91979132205775826</v>
      </c>
      <c r="J37" s="118">
        <f t="shared" si="13"/>
        <v>0.91585865373212449</v>
      </c>
      <c r="K37" s="118">
        <f t="shared" si="13"/>
        <v>0.89139944972654239</v>
      </c>
      <c r="L37" s="118">
        <f t="shared" si="13"/>
        <v>0.87566187537147311</v>
      </c>
      <c r="M37" s="118">
        <f>AVERAGE(M31:M35)</f>
        <v>0.85035022122361903</v>
      </c>
    </row>
    <row r="38" spans="1:13" x14ac:dyDescent="0.2">
      <c r="A38" s="3" t="s">
        <v>105</v>
      </c>
      <c r="B38" s="120">
        <v>0.9350001771450771</v>
      </c>
      <c r="C38" s="120">
        <v>0.93104139436875366</v>
      </c>
      <c r="D38" s="120">
        <v>0.93188354599087708</v>
      </c>
      <c r="E38" s="120">
        <v>0.89476763390755532</v>
      </c>
      <c r="F38" s="120">
        <v>0.87647408388768366</v>
      </c>
      <c r="G38" s="120">
        <v>0.84628214310838956</v>
      </c>
      <c r="H38" s="120">
        <v>0.92727941677981518</v>
      </c>
      <c r="I38" s="120">
        <v>0.91890968335592249</v>
      </c>
      <c r="J38" s="120">
        <v>0.91498773074137907</v>
      </c>
      <c r="K38" s="120">
        <v>0.89057005274338186</v>
      </c>
      <c r="L38" s="120">
        <v>0.87485013758264007</v>
      </c>
      <c r="M38" s="120">
        <v>0.8495600028895387</v>
      </c>
    </row>
    <row r="40" spans="1:13" x14ac:dyDescent="0.2">
      <c r="B40" s="3">
        <f t="shared" ref="B40:M40" si="14">IF(B24/B25 &gt;= B25/B26, 0, 1)</f>
        <v>0</v>
      </c>
      <c r="C40" s="3">
        <f t="shared" si="14"/>
        <v>0</v>
      </c>
      <c r="D40" s="3">
        <f t="shared" si="14"/>
        <v>0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3">
        <f t="shared" si="14"/>
        <v>0</v>
      </c>
      <c r="I40" s="3">
        <f t="shared" si="14"/>
        <v>0</v>
      </c>
      <c r="J40" s="3">
        <f t="shared" si="14"/>
        <v>0</v>
      </c>
      <c r="K40" s="3">
        <f t="shared" si="14"/>
        <v>0</v>
      </c>
      <c r="L40" s="3">
        <f t="shared" si="14"/>
        <v>0</v>
      </c>
      <c r="M40" s="3">
        <f t="shared" si="14"/>
        <v>0</v>
      </c>
    </row>
  </sheetData>
  <printOptions horizontalCentered="1"/>
  <pageMargins left="0.7" right="0.7" top="0.75" bottom="0.75" header="0.3" footer="0.3"/>
  <pageSetup scale="54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A911-271A-4E0D-BE7C-023DE449764D}">
  <sheetPr>
    <tabColor rgb="FFFFFF00"/>
    <pageSetUpPr fitToPage="1"/>
  </sheetPr>
  <dimension ref="A1:AM55"/>
  <sheetViews>
    <sheetView zoomScale="85" zoomScaleNormal="85" workbookViewId="0"/>
  </sheetViews>
  <sheetFormatPr defaultColWidth="9" defaultRowHeight="12.75" x14ac:dyDescent="0.2"/>
  <cols>
    <col min="1" max="1" width="10.75" style="222" bestFit="1" customWidth="1"/>
    <col min="2" max="2" width="2.625" style="222" customWidth="1"/>
    <col min="3" max="3" width="11.125" style="222" bestFit="1" customWidth="1"/>
    <col min="4" max="4" width="2.625" style="222" customWidth="1"/>
    <col min="5" max="5" width="10.625" style="222" customWidth="1"/>
    <col min="6" max="6" width="2.625" style="222" customWidth="1"/>
    <col min="7" max="7" width="11.375" style="222" bestFit="1" customWidth="1"/>
    <col min="8" max="8" width="2.625" style="222" customWidth="1"/>
    <col min="9" max="9" width="10.625" style="222" customWidth="1"/>
    <col min="10" max="10" width="2.625" style="222" customWidth="1"/>
    <col min="11" max="11" width="10.625" style="222" customWidth="1"/>
    <col min="12" max="12" width="2.625" style="275" customWidth="1"/>
    <col min="13" max="13" width="10.625" style="275" customWidth="1"/>
    <col min="14" max="14" width="2.625" style="275" customWidth="1"/>
    <col min="15" max="15" width="11.125" style="275" bestFit="1" customWidth="1"/>
    <col min="16" max="16" width="2.625" style="363" customWidth="1"/>
    <col min="17" max="19" width="9.125" style="275" customWidth="1"/>
    <col min="20" max="21" width="9.5" style="275" bestFit="1" customWidth="1"/>
    <col min="22" max="22" width="2.625" style="275" customWidth="1"/>
    <col min="23" max="26" width="7.625" style="222" customWidth="1"/>
    <col min="27" max="27" width="2.625" style="222" customWidth="1"/>
    <col min="28" max="28" width="8.625" style="222" bestFit="1" customWidth="1"/>
    <col min="29" max="29" width="2.625" style="222" customWidth="1"/>
    <col min="30" max="16384" width="9" style="222"/>
  </cols>
  <sheetData>
    <row r="1" spans="1:32" x14ac:dyDescent="0.2">
      <c r="A1" s="1" t="str">
        <f>[1]!getlabels()</f>
        <v>Exhibit 1, Sheet 2A</v>
      </c>
    </row>
    <row r="2" spans="1:32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32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32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32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32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32" x14ac:dyDescent="0.2">
      <c r="A7" s="224" t="str">
        <f>"Summary of Retained Unpaid Loss &amp; ALAE as of "&amp;rtxt_l&amp;" and Estimated Short &amp; Long Term Liabiliy"</f>
        <v>Summary of Retained Unpaid Loss &amp; ALAE as of June 30, 2019 and Estimated Short &amp; Long Term Liabiliy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8" spans="1:32" s="275" customFormat="1" x14ac:dyDescent="0.2">
      <c r="C8" s="363"/>
      <c r="D8" s="363"/>
      <c r="E8" s="363"/>
      <c r="F8" s="363"/>
      <c r="G8" s="363"/>
      <c r="H8" s="363"/>
      <c r="K8" s="363"/>
      <c r="P8" s="363"/>
    </row>
    <row r="9" spans="1:32" s="275" customFormat="1" x14ac:dyDescent="0.2">
      <c r="C9" s="363"/>
      <c r="D9" s="363"/>
      <c r="E9" s="363"/>
      <c r="F9" s="363"/>
      <c r="G9" s="363"/>
      <c r="H9" s="363"/>
      <c r="K9" s="363"/>
      <c r="P9" s="363"/>
    </row>
    <row r="10" spans="1:32" s="275" customFormat="1" x14ac:dyDescent="0.2">
      <c r="C10" s="363"/>
      <c r="D10" s="363"/>
      <c r="E10" s="363"/>
      <c r="F10" s="363"/>
      <c r="G10" s="363"/>
      <c r="H10" s="363"/>
      <c r="K10" s="285" t="s">
        <v>534</v>
      </c>
      <c r="O10" s="606" t="s">
        <v>699</v>
      </c>
      <c r="P10" s="621"/>
    </row>
    <row r="11" spans="1:32" s="275" customFormat="1" x14ac:dyDescent="0.2">
      <c r="C11" s="496" t="s">
        <v>78</v>
      </c>
      <c r="D11" s="363"/>
      <c r="F11" s="363"/>
      <c r="G11" s="496" t="s">
        <v>699</v>
      </c>
      <c r="H11" s="363"/>
      <c r="I11" s="572"/>
      <c r="K11" s="605" t="s">
        <v>423</v>
      </c>
      <c r="M11" s="606" t="s">
        <v>330</v>
      </c>
      <c r="O11" s="606" t="s">
        <v>468</v>
      </c>
      <c r="P11" s="621"/>
    </row>
    <row r="12" spans="1:32" s="275" customFormat="1" x14ac:dyDescent="0.2">
      <c r="A12" s="285" t="str">
        <f>Intro!M9</f>
        <v>Policy</v>
      </c>
      <c r="C12" s="496" t="s">
        <v>468</v>
      </c>
      <c r="D12" s="363"/>
      <c r="E12" s="496" t="s">
        <v>330</v>
      </c>
      <c r="F12" s="363"/>
      <c r="G12" s="496" t="s">
        <v>468</v>
      </c>
      <c r="H12" s="363"/>
      <c r="I12" s="370" t="s">
        <v>532</v>
      </c>
      <c r="K12" s="370" t="s">
        <v>468</v>
      </c>
      <c r="M12" s="606" t="s">
        <v>698</v>
      </c>
      <c r="O12" s="606" t="s">
        <v>334</v>
      </c>
      <c r="P12" s="621"/>
    </row>
    <row r="13" spans="1:32" s="275" customFormat="1" x14ac:dyDescent="0.2">
      <c r="A13" s="285" t="str">
        <f>Intro!M10</f>
        <v>Period</v>
      </c>
      <c r="C13" s="496" t="s">
        <v>334</v>
      </c>
      <c r="D13" s="363"/>
      <c r="E13" s="496" t="s">
        <v>698</v>
      </c>
      <c r="F13" s="363"/>
      <c r="G13" s="496" t="s">
        <v>334</v>
      </c>
      <c r="H13" s="363"/>
      <c r="I13" s="370" t="s">
        <v>533</v>
      </c>
      <c r="K13" s="342" t="s">
        <v>334</v>
      </c>
      <c r="M13" s="285" t="str">
        <f>roll_to_roll</f>
        <v>6/19-6/20</v>
      </c>
      <c r="O13" s="613">
        <f>S14</f>
        <v>44012</v>
      </c>
      <c r="P13" s="622"/>
      <c r="Q13" s="494" t="s">
        <v>625</v>
      </c>
      <c r="R13" s="224"/>
      <c r="S13" s="224"/>
      <c r="T13" s="224"/>
      <c r="U13" s="224"/>
      <c r="W13" s="363" t="str">
        <f>rtxt</f>
        <v>6/30/19</v>
      </c>
      <c r="AD13" s="409" t="s">
        <v>571</v>
      </c>
      <c r="AE13" s="301"/>
      <c r="AF13" s="301"/>
    </row>
    <row r="14" spans="1:32" s="275" customFormat="1" x14ac:dyDescent="0.2">
      <c r="A14" s="251" t="str">
        <f>Intro!M11</f>
        <v>Ending 9/30</v>
      </c>
      <c r="C14" s="251" t="str">
        <f>ctxt</f>
        <v>4/30/19</v>
      </c>
      <c r="D14" s="363"/>
      <c r="E14" s="251" t="str">
        <f>curr_to_roll</f>
        <v>4/19-6/19</v>
      </c>
      <c r="F14" s="363"/>
      <c r="G14" s="251" t="str">
        <f>rtxt</f>
        <v>6/30/19</v>
      </c>
      <c r="H14" s="363"/>
      <c r="I14" s="395">
        <f>disc_rate</f>
        <v>0.03</v>
      </c>
      <c r="K14" s="343" t="str">
        <f>rtxt</f>
        <v>6/30/19</v>
      </c>
      <c r="M14" s="607" t="s">
        <v>734</v>
      </c>
      <c r="O14" s="607" t="s">
        <v>735</v>
      </c>
      <c r="P14" s="621"/>
      <c r="Q14" s="251" t="str">
        <f>ctxt</f>
        <v>4/30/19</v>
      </c>
      <c r="R14" s="251" t="str">
        <f>rtxt</f>
        <v>6/30/19</v>
      </c>
      <c r="S14" s="608">
        <f>EOMONTH(R14,12)</f>
        <v>44012</v>
      </c>
      <c r="T14" s="251" t="str">
        <f>curr_to_roll</f>
        <v>4/19-6/19</v>
      </c>
      <c r="U14" s="251" t="str">
        <f>roll_to_roll</f>
        <v>6/19-6/20</v>
      </c>
      <c r="W14" s="573" t="s">
        <v>553</v>
      </c>
      <c r="X14" s="573" t="s">
        <v>15</v>
      </c>
      <c r="Y14" s="343" t="s">
        <v>408</v>
      </c>
      <c r="Z14" s="343" t="s">
        <v>552</v>
      </c>
      <c r="AD14" s="410" t="s">
        <v>409</v>
      </c>
      <c r="AE14" s="410" t="s">
        <v>75</v>
      </c>
      <c r="AF14" s="498" t="s">
        <v>475</v>
      </c>
    </row>
    <row r="15" spans="1:32" x14ac:dyDescent="0.2">
      <c r="C15" s="288">
        <v>1</v>
      </c>
      <c r="E15" s="288">
        <f>C15+1</f>
        <v>2</v>
      </c>
      <c r="G15" s="288">
        <f>E15+1</f>
        <v>3</v>
      </c>
      <c r="I15" s="288">
        <f>G15+1</f>
        <v>4</v>
      </c>
      <c r="K15" s="288">
        <f>I15+1</f>
        <v>5</v>
      </c>
      <c r="M15" s="288">
        <f>K15+1</f>
        <v>6</v>
      </c>
      <c r="O15" s="288">
        <f>M15+1</f>
        <v>7</v>
      </c>
      <c r="P15" s="623"/>
    </row>
    <row r="17" spans="1:39" x14ac:dyDescent="0.2">
      <c r="A17" s="268">
        <f>Intro!C18</f>
        <v>1996</v>
      </c>
      <c r="C17" s="289">
        <f>'e1.3A'!S16</f>
        <v>0</v>
      </c>
      <c r="E17" s="289">
        <f t="shared" ref="E17:E39" ca="1" si="0">C17 * T17</f>
        <v>0</v>
      </c>
      <c r="G17" s="289">
        <f ca="1">C17 - E17</f>
        <v>0</v>
      </c>
      <c r="I17" s="324">
        <f t="shared" ref="I17:I23" ca="1" si="1">IFERROR(K17/G17, Z17)</f>
        <v>0.98532927816429228</v>
      </c>
      <c r="K17" s="401">
        <f ca="1">HLOOKUP($A17, 'Agg Disc Roll'!$C$34:$O$36, 2, FALSE)</f>
        <v>0</v>
      </c>
      <c r="M17" s="609">
        <f t="shared" ref="M17:M39" ca="1" si="2">G17*U17</f>
        <v>0</v>
      </c>
      <c r="O17" s="609">
        <f ca="1">G17-M17</f>
        <v>0</v>
      </c>
      <c r="P17" s="624"/>
      <c r="Q17" s="388">
        <f ca="1">1/'e3.2B'!G54</f>
        <v>0.9916976350062694</v>
      </c>
      <c r="R17" s="575">
        <f ca="1">1 / [1]!ldfsir(ldfs, ldf_ages, ldf_type, ldf_ret, Intro!$AB18, "Paid", Intro!$H18, cutoff, 3)</f>
        <v>0.99377422786752034</v>
      </c>
      <c r="S17" s="575">
        <f ca="1">1 / [1]!ldfsir(ldfs, ldf_ages, ldf_type, ldf_ret, Intro!$AB18 + 12, "Paid", Intro!$H18, cutoff, 3)</f>
        <v>0.99377422786752034</v>
      </c>
      <c r="T17" s="388">
        <f ca="1">(R17-Q17) / (1-Q17)</f>
        <v>0.2501206418675947</v>
      </c>
      <c r="U17" s="388">
        <f ca="1">(S17-R17) / (1-R17)</f>
        <v>0</v>
      </c>
      <c r="W17" s="252">
        <f>Intro!AB18</f>
        <v>285</v>
      </c>
      <c r="X17" s="268" t="str">
        <f>Intro!AL18</f>
        <v>250K</v>
      </c>
      <c r="Y17" s="151">
        <f>'e1.3A'!AA16</f>
        <v>6</v>
      </c>
      <c r="Z17" s="266">
        <f t="shared" ref="Z17:Z40" ca="1" si="3">VLOOKUP(W17, discs, Y17, FALSE)</f>
        <v>0.98532927816429228</v>
      </c>
      <c r="AD17" s="290">
        <f>'e1.3A'!AE16</f>
        <v>0</v>
      </c>
      <c r="AE17" s="290">
        <f ca="1">MAX(0, 'e2.1'!O18 - 'e1.2A'!E17-'e1.3A'!C16)</f>
        <v>0</v>
      </c>
      <c r="AF17" s="222" t="b">
        <f ca="1">AE17='e2.1'!BD18</f>
        <v>1</v>
      </c>
      <c r="AH17" s="290">
        <f>'e1.3A'!C16</f>
        <v>1066389</v>
      </c>
      <c r="AI17" s="290">
        <f ca="1">'e1.3A'!I16+'e1.2A'!E17</f>
        <v>683326</v>
      </c>
      <c r="AJ17" s="222" t="b">
        <f t="shared" ref="AJ17:AJ20" ca="1" si="4">AI17&lt;=AH17</f>
        <v>1</v>
      </c>
      <c r="AL17" s="290">
        <f t="shared" ref="AL17:AL23" ca="1" si="5">G17+AI17</f>
        <v>683326</v>
      </c>
      <c r="AM17" s="222" t="b">
        <f ca="1">AL17&lt;='e1.3A'!C16</f>
        <v>1</v>
      </c>
    </row>
    <row r="18" spans="1:39" x14ac:dyDescent="0.2">
      <c r="A18" s="268">
        <f>Intro!C19</f>
        <v>1997</v>
      </c>
      <c r="C18" s="290">
        <f>'e1.3A'!S17</f>
        <v>0</v>
      </c>
      <c r="E18" s="290">
        <f t="shared" ca="1" si="0"/>
        <v>0</v>
      </c>
      <c r="F18" s="290"/>
      <c r="G18" s="290">
        <f t="shared" ref="G18:G39" ca="1" si="6">C18 - E18</f>
        <v>0</v>
      </c>
      <c r="I18" s="324">
        <f t="shared" ca="1" si="1"/>
        <v>0.97917976638706661</v>
      </c>
      <c r="K18" s="309">
        <f ca="1">HLOOKUP($A18, 'Agg Disc Roll'!$C$34:$O$36, 2, FALSE)</f>
        <v>0</v>
      </c>
      <c r="M18" s="344">
        <f t="shared" ca="1" si="2"/>
        <v>0</v>
      </c>
      <c r="O18" s="614">
        <f t="shared" ref="O18:O39" ca="1" si="7">G18-M18</f>
        <v>0</v>
      </c>
      <c r="P18" s="614"/>
      <c r="Q18" s="388">
        <f ca="1">1/'e3.2B'!G55</f>
        <v>0.9901340916505933</v>
      </c>
      <c r="R18" s="575">
        <f ca="1">1 / [1]!ldfsir(ldfs, ldf_ages, ldf_type, ldf_ret, Intro!$AB19, "Paid", Intro!$H19, cutoff, 3)</f>
        <v>0.99349941309129408</v>
      </c>
      <c r="S18" s="575">
        <f ca="1">1 / [1]!ldfsir(ldfs, ldf_ages, ldf_type, ldf_ret, Intro!$AB19 + 12, "Paid", Intro!$H19, cutoff, 3)</f>
        <v>0.99377422786752034</v>
      </c>
      <c r="T18" s="388">
        <f t="shared" ref="T18:T39" ca="1" si="8">(R18-Q18) / (1-Q18)</f>
        <v>0.34110609195991187</v>
      </c>
      <c r="U18" s="388">
        <f t="shared" ref="U18:U40" ca="1" si="9">(S18-R18) / (1-R18)</f>
        <v>4.2275379144337877E-2</v>
      </c>
      <c r="W18" s="252">
        <f>Intro!AB19</f>
        <v>273</v>
      </c>
      <c r="X18" s="268" t="str">
        <f>Intro!AL19</f>
        <v>250K</v>
      </c>
      <c r="Y18" s="151">
        <f>'e1.3A'!AA17</f>
        <v>6</v>
      </c>
      <c r="Z18" s="266">
        <f t="shared" ca="1" si="3"/>
        <v>0.97917976638706661</v>
      </c>
      <c r="AD18" s="290">
        <f>'e1.3A'!AE17</f>
        <v>0</v>
      </c>
      <c r="AE18" s="290">
        <f ca="1">MAX(0, 'e2.1'!O19 - 'e1.2A'!E18-'e1.3A'!C17)</f>
        <v>0</v>
      </c>
      <c r="AF18" s="222" t="b">
        <f ca="1">AE18='e2.1'!BD19</f>
        <v>1</v>
      </c>
      <c r="AH18" s="290">
        <f>'e1.3A'!C17</f>
        <v>1660996</v>
      </c>
      <c r="AI18" s="290">
        <f ca="1">'e1.3A'!I17+'e1.2A'!E18</f>
        <v>1337604</v>
      </c>
      <c r="AJ18" s="222" t="b">
        <f t="shared" ca="1" si="4"/>
        <v>1</v>
      </c>
      <c r="AL18" s="290">
        <f t="shared" ca="1" si="5"/>
        <v>1337604</v>
      </c>
      <c r="AM18" s="222" t="b">
        <f ca="1">AL18&lt;='e1.3A'!C17</f>
        <v>1</v>
      </c>
    </row>
    <row r="19" spans="1:39" x14ac:dyDescent="0.2">
      <c r="A19" s="268">
        <f>Intro!C20</f>
        <v>1998</v>
      </c>
      <c r="C19" s="290">
        <f>'e1.3A'!S18</f>
        <v>0</v>
      </c>
      <c r="E19" s="290">
        <f t="shared" ca="1" si="0"/>
        <v>0</v>
      </c>
      <c r="F19" s="290"/>
      <c r="G19" s="290">
        <f t="shared" ca="1" si="6"/>
        <v>0</v>
      </c>
      <c r="I19" s="324">
        <f t="shared" ca="1" si="1"/>
        <v>0.95617408539134219</v>
      </c>
      <c r="K19" s="309">
        <f ca="1">HLOOKUP($A19, 'Agg Disc Roll'!$C$34:$O$36, 2, FALSE)</f>
        <v>0</v>
      </c>
      <c r="M19" s="344">
        <f t="shared" ca="1" si="2"/>
        <v>0</v>
      </c>
      <c r="O19" s="614">
        <f t="shared" ca="1" si="7"/>
        <v>0</v>
      </c>
      <c r="P19" s="614"/>
      <c r="Q19" s="388">
        <f ca="1">1/'e3.2B'!G56</f>
        <v>0.98827783850892748</v>
      </c>
      <c r="R19" s="575">
        <f ca="1">1 / [1]!ldfsir(ldfs, ldf_ages, ldf_type, ldf_ret, Intro!$AB20, "Paid", Intro!$H20, cutoff, 3)</f>
        <v>0.99227386624904335</v>
      </c>
      <c r="S19" s="575">
        <f ca="1">1 / [1]!ldfsir(ldfs, ldf_ages, ldf_type, ldf_ret, Intro!$AB20 + 12, "Paid", Intro!$H20, cutoff, 3)</f>
        <v>0.99349941309129408</v>
      </c>
      <c r="T19" s="388">
        <f t="shared" ca="1" si="8"/>
        <v>0.34089512784474119</v>
      </c>
      <c r="U19" s="388">
        <f t="shared" ca="1" si="9"/>
        <v>0.1586235602119867</v>
      </c>
      <c r="W19" s="252">
        <f>Intro!AB20</f>
        <v>261</v>
      </c>
      <c r="X19" s="268" t="str">
        <f>Intro!AL20</f>
        <v>250K</v>
      </c>
      <c r="Y19" s="151">
        <f>'e1.3A'!AA18</f>
        <v>6</v>
      </c>
      <c r="Z19" s="266">
        <f t="shared" ca="1" si="3"/>
        <v>0.95617408539134219</v>
      </c>
      <c r="AD19" s="290">
        <f>'e1.3A'!AE18</f>
        <v>191276.87980256137</v>
      </c>
      <c r="AE19" s="290">
        <f ca="1">MAX(0, 'e2.1'!O20 - 'e1.2A'!E19-'e1.3A'!C18)</f>
        <v>172955.16999999993</v>
      </c>
      <c r="AF19" s="222" t="b">
        <f ca="1">AE19='e2.1'!BD20</f>
        <v>1</v>
      </c>
      <c r="AH19" s="290">
        <f>'e1.3A'!C18</f>
        <v>2412000</v>
      </c>
      <c r="AI19" s="290">
        <f ca="1">'e1.3A'!I18+'e1.2A'!E19</f>
        <v>2412000</v>
      </c>
      <c r="AJ19" s="222" t="b">
        <f t="shared" ca="1" si="4"/>
        <v>1</v>
      </c>
      <c r="AL19" s="290">
        <f t="shared" ca="1" si="5"/>
        <v>2412000</v>
      </c>
      <c r="AM19" s="222" t="b">
        <f ca="1">AL19&lt;='e1.3A'!C18</f>
        <v>1</v>
      </c>
    </row>
    <row r="20" spans="1:39" x14ac:dyDescent="0.2">
      <c r="A20" s="268">
        <f>Intro!C21</f>
        <v>1999</v>
      </c>
      <c r="C20" s="290">
        <f>'e1.3A'!S19</f>
        <v>0</v>
      </c>
      <c r="E20" s="290">
        <f t="shared" ca="1" si="0"/>
        <v>0</v>
      </c>
      <c r="F20" s="290"/>
      <c r="G20" s="290">
        <f t="shared" ca="1" si="6"/>
        <v>0</v>
      </c>
      <c r="I20" s="324">
        <f t="shared" ca="1" si="1"/>
        <v>0.93737112768740161</v>
      </c>
      <c r="K20" s="309">
        <f ca="1">HLOOKUP($A20, 'Agg Disc Roll'!$C$34:$O$36, 2, FALSE)</f>
        <v>0</v>
      </c>
      <c r="M20" s="344">
        <f t="shared" ca="1" si="2"/>
        <v>0</v>
      </c>
      <c r="O20" s="614">
        <f t="shared" ca="1" si="7"/>
        <v>0</v>
      </c>
      <c r="P20" s="614"/>
      <c r="Q20" s="388">
        <f ca="1">1/'e3.2B'!G57</f>
        <v>0.98607479783347818</v>
      </c>
      <c r="R20" s="575">
        <f ca="1">1 / [1]!ldfsir(ldfs, ldf_ages, ldf_type, ldf_ret, Intro!$AB21, "Paid", Intro!$H21, cutoff, 3)</f>
        <v>0.99081833845672784</v>
      </c>
      <c r="S20" s="575">
        <f ca="1">1 / [1]!ldfsir(ldfs, ldf_ages, ldf_type, ldf_ret, Intro!$AB21 + 12, "Paid", Intro!$H21, cutoff, 3)</f>
        <v>0.99227386624904335</v>
      </c>
      <c r="T20" s="388">
        <f t="shared" ca="1" si="8"/>
        <v>0.34064429130183943</v>
      </c>
      <c r="U20" s="388">
        <f t="shared" ca="1" si="9"/>
        <v>0.1585255332551479</v>
      </c>
      <c r="W20" s="252">
        <f>Intro!AB21</f>
        <v>249</v>
      </c>
      <c r="X20" s="268" t="str">
        <f>Intro!AL21</f>
        <v>250K</v>
      </c>
      <c r="Y20" s="151">
        <f>'e1.3A'!AA19</f>
        <v>6</v>
      </c>
      <c r="Z20" s="266">
        <f t="shared" ca="1" si="3"/>
        <v>0.93737112768740161</v>
      </c>
      <c r="AD20" s="290">
        <f>'e1.3A'!AE19</f>
        <v>279107.9452059255</v>
      </c>
      <c r="AE20" s="290">
        <f ca="1">MAX(0, 'e2.1'!O21 - 'e1.2A'!E20-'e1.3A'!C19)</f>
        <v>177782.29000000004</v>
      </c>
      <c r="AF20" s="222" t="b">
        <f ca="1">AE20='e2.1'!BD21</f>
        <v>1</v>
      </c>
      <c r="AH20" s="290">
        <f>'e1.3A'!C19</f>
        <v>2371069</v>
      </c>
      <c r="AI20" s="290">
        <f ca="1">'e1.3A'!I19+'e1.2A'!E20</f>
        <v>2371069</v>
      </c>
      <c r="AJ20" s="222" t="b">
        <f t="shared" ca="1" si="4"/>
        <v>1</v>
      </c>
      <c r="AL20" s="290">
        <f t="shared" ca="1" si="5"/>
        <v>2371069</v>
      </c>
      <c r="AM20" s="222" t="b">
        <f ca="1">AL20&lt;='e1.3A'!C19</f>
        <v>1</v>
      </c>
    </row>
    <row r="21" spans="1:39" x14ac:dyDescent="0.2">
      <c r="A21" s="268">
        <f>Intro!C22</f>
        <v>2000</v>
      </c>
      <c r="C21" s="290">
        <f>'e1.3A'!S20</f>
        <v>0</v>
      </c>
      <c r="E21" s="290">
        <f t="shared" ca="1" si="0"/>
        <v>0</v>
      </c>
      <c r="F21" s="290"/>
      <c r="G21" s="290">
        <f t="shared" ca="1" si="6"/>
        <v>0</v>
      </c>
      <c r="I21" s="324">
        <f t="shared" ca="1" si="1"/>
        <v>0.92199765172629267</v>
      </c>
      <c r="K21" s="309">
        <f ca="1">HLOOKUP($A21, 'Agg Disc Roll'!$C$34:$O$36, 2, FALSE)</f>
        <v>0</v>
      </c>
      <c r="M21" s="344">
        <f t="shared" ca="1" si="2"/>
        <v>0</v>
      </c>
      <c r="O21" s="614">
        <f t="shared" ca="1" si="7"/>
        <v>0</v>
      </c>
      <c r="P21" s="614"/>
      <c r="Q21" s="388">
        <f ca="1">1/'e3.2B'!G58</f>
        <v>0.9834611985355749</v>
      </c>
      <c r="R21" s="575">
        <f ca="1">1 / [1]!ldfsir(ldfs, ldf_ages, ldf_type, ldf_ret, Intro!$AB22, "Paid", Intro!$H22, cutoff, 3)</f>
        <v>0.98909011443411199</v>
      </c>
      <c r="S21" s="575">
        <f ca="1">1 / [1]!ldfsir(ldfs, ldf_ages, ldf_type, ldf_ret, Intro!$AB22 + 12, "Paid", Intro!$H22, cutoff, 3)</f>
        <v>0.99081833845672784</v>
      </c>
      <c r="T21" s="388">
        <f t="shared" ca="1" si="8"/>
        <v>0.34034605897197973</v>
      </c>
      <c r="U21" s="388">
        <f t="shared" ca="1" si="9"/>
        <v>0.15840899633443453</v>
      </c>
      <c r="W21" s="252">
        <f>Intro!AB22</f>
        <v>237</v>
      </c>
      <c r="X21" s="268" t="str">
        <f>Intro!AL22</f>
        <v>250K</v>
      </c>
      <c r="Y21" s="151">
        <f>'e1.3A'!AA20</f>
        <v>6</v>
      </c>
      <c r="Z21" s="266">
        <f t="shared" ca="1" si="3"/>
        <v>0.92199765172629267</v>
      </c>
      <c r="AD21" s="290">
        <f>'e1.3A'!AE20</f>
        <v>413153.83064152393</v>
      </c>
      <c r="AE21" s="290">
        <f ca="1">MAX(0, 'e2.1'!O22 - 'e1.2A'!E21-'e1.3A'!C20)</f>
        <v>329185.93999999994</v>
      </c>
      <c r="AF21" s="222" t="b">
        <f ca="1">AE21='e2.1'!BD22</f>
        <v>1</v>
      </c>
      <c r="AH21" s="290">
        <f>'e1.3A'!C20</f>
        <v>1985102</v>
      </c>
      <c r="AI21" s="290">
        <f ca="1">'e1.3A'!I20+'e1.2A'!E21</f>
        <v>1985102</v>
      </c>
      <c r="AJ21" s="222" t="b">
        <f ca="1">AI21&lt;=AH21</f>
        <v>1</v>
      </c>
      <c r="AL21" s="290">
        <f t="shared" ca="1" si="5"/>
        <v>1985102</v>
      </c>
      <c r="AM21" s="222" t="b">
        <f ca="1">AL21&lt;='e1.3A'!C20</f>
        <v>1</v>
      </c>
    </row>
    <row r="22" spans="1:39" x14ac:dyDescent="0.2">
      <c r="A22" s="268">
        <f>Intro!C23</f>
        <v>2001</v>
      </c>
      <c r="C22" s="290">
        <f>'e1.3A'!S21</f>
        <v>100</v>
      </c>
      <c r="E22" s="290">
        <f t="shared" ca="1" si="0"/>
        <v>33.999149325093221</v>
      </c>
      <c r="F22" s="290"/>
      <c r="G22" s="290">
        <f t="shared" ca="1" si="6"/>
        <v>66.000850674906786</v>
      </c>
      <c r="I22" s="324">
        <f t="shared" ca="1" si="1"/>
        <v>0.90942146623909126</v>
      </c>
      <c r="K22" s="309">
        <f ca="1">HLOOKUP($A22, 'Agg Disc Roll'!$C$34:$O$36, 2, FALSE)</f>
        <v>60.022590393801046</v>
      </c>
      <c r="M22" s="344">
        <f t="shared" ca="1" si="2"/>
        <v>10.445985259212252</v>
      </c>
      <c r="O22" s="614">
        <f t="shared" ca="1" si="7"/>
        <v>55.554865415694536</v>
      </c>
      <c r="P22" s="614"/>
      <c r="Q22" s="388">
        <f ca="1">1/'e3.2B'!G59</f>
        <v>0.98036196202753123</v>
      </c>
      <c r="R22" s="575">
        <f ca="1">1 / [1]!ldfsir(ldfs, ldf_ages, ldf_type, ldf_ret, Intro!$AB23, "Paid", Intro!$H23, cutoff, 3)</f>
        <v>0.9870387278823094</v>
      </c>
      <c r="S22" s="575">
        <f ca="1">1 / [1]!ldfsir(ldfs, ldf_ages, ldf_type, ldf_ret, Intro!$AB23 + 12, "Paid", Intro!$H23, cutoff, 3)</f>
        <v>0.98909011443411199</v>
      </c>
      <c r="T22" s="388">
        <f t="shared" ca="1" si="8"/>
        <v>0.3399914932509322</v>
      </c>
      <c r="U22" s="388">
        <f t="shared" ca="1" si="9"/>
        <v>0.15827046397727365</v>
      </c>
      <c r="W22" s="252">
        <f>Intro!AB23</f>
        <v>225</v>
      </c>
      <c r="X22" s="268" t="str">
        <f>Intro!AL23</f>
        <v>250K</v>
      </c>
      <c r="Y22" s="151">
        <f>'e1.3A'!AA21</f>
        <v>6</v>
      </c>
      <c r="Z22" s="266">
        <f t="shared" ca="1" si="3"/>
        <v>0.90942146623878384</v>
      </c>
      <c r="AD22" s="290">
        <f>'e1.3A'!AE21</f>
        <v>0</v>
      </c>
      <c r="AE22" s="290">
        <f ca="1">MAX(0, 'e2.1'!O23 - 'e1.2A'!E22-'e1.3A'!C21)</f>
        <v>0</v>
      </c>
      <c r="AF22" s="222" t="b">
        <f ca="1">AE22='e2.1'!BD23</f>
        <v>1</v>
      </c>
      <c r="AH22" s="290">
        <f>'e1.3A'!C21</f>
        <v>2121632</v>
      </c>
      <c r="AI22" s="290">
        <f ca="1">'e1.3A'!I21+'e1.2A'!E22</f>
        <v>1349380.969149325</v>
      </c>
      <c r="AJ22" s="222" t="b">
        <f t="shared" ref="AJ22:AJ23" ca="1" si="10">AI22&lt;=AH22</f>
        <v>1</v>
      </c>
      <c r="AL22" s="290">
        <f t="shared" ca="1" si="5"/>
        <v>1349446.97</v>
      </c>
      <c r="AM22" s="222" t="b">
        <f ca="1">AL22&lt;='e1.3A'!C21</f>
        <v>1</v>
      </c>
    </row>
    <row r="23" spans="1:39" x14ac:dyDescent="0.2">
      <c r="A23" s="268">
        <f>Intro!C24</f>
        <v>2002</v>
      </c>
      <c r="C23" s="290">
        <f>'e1.3A'!S22</f>
        <v>135597.01000000024</v>
      </c>
      <c r="E23" s="290">
        <f t="shared" ca="1" si="0"/>
        <v>46044.673798309101</v>
      </c>
      <c r="F23" s="290"/>
      <c r="G23" s="290">
        <f t="shared" ca="1" si="6"/>
        <v>89552.336201691141</v>
      </c>
      <c r="I23" s="324">
        <f t="shared" ca="1" si="1"/>
        <v>0.99267313083696684</v>
      </c>
      <c r="K23" s="309">
        <f ca="1">HLOOKUP($A23, 'Agg Disc Roll'!$C$34:$O$36, 2, FALSE)</f>
        <v>88896.197951097391</v>
      </c>
      <c r="M23" s="344">
        <f t="shared" ca="1" si="2"/>
        <v>14158.743615637117</v>
      </c>
      <c r="O23" s="614">
        <f t="shared" ca="1" si="7"/>
        <v>75393.59258605403</v>
      </c>
      <c r="P23" s="614"/>
      <c r="Q23" s="388">
        <f ca="1">1/'e3.2B'!G60</f>
        <v>0.97668887123333192</v>
      </c>
      <c r="R23" s="575">
        <f ca="1">1 / [1]!ldfsir(ldfs, ldf_ages, ldf_type, ldf_ret, Intro!$AB24, "Paid", Intro!$H24, cutoff, 3)</f>
        <v>0.98460463073224425</v>
      </c>
      <c r="S23" s="575">
        <f ca="1">1 / [1]!ldfsir(ldfs, ldf_ages, ldf_type, ldf_ret, Intro!$AB24 + 12, "Paid", Intro!$H24, cutoff, 3)</f>
        <v>0.9870387278823094</v>
      </c>
      <c r="T23" s="388">
        <f t="shared" ca="1" si="8"/>
        <v>0.33956997870608663</v>
      </c>
      <c r="U23" s="388">
        <f t="shared" ca="1" si="9"/>
        <v>0.15810579842103256</v>
      </c>
      <c r="W23" s="252">
        <f>Intro!AB24</f>
        <v>213</v>
      </c>
      <c r="X23" s="268" t="str">
        <f>Intro!AL24</f>
        <v>250K</v>
      </c>
      <c r="Y23" s="151">
        <f>'e1.3A'!AA22</f>
        <v>6</v>
      </c>
      <c r="Z23" s="266">
        <f t="shared" ca="1" si="3"/>
        <v>0.89912552263876477</v>
      </c>
      <c r="AD23" s="290">
        <f>'e1.3A'!AE22</f>
        <v>139848.81227470189</v>
      </c>
      <c r="AE23" s="290">
        <f ca="1">MAX(0, 'e2.1'!O24 - 'e1.2A'!E23-'e1.3A'!C22)</f>
        <v>0</v>
      </c>
      <c r="AF23" s="222" t="b">
        <f ca="1">AE23='e2.1'!BD24</f>
        <v>1</v>
      </c>
      <c r="AH23" s="290">
        <f>'e1.3A'!C22</f>
        <v>2896730</v>
      </c>
      <c r="AI23" s="290">
        <f ca="1">'e1.3A'!I22+'e1.2A'!E23</f>
        <v>2807177.6637983089</v>
      </c>
      <c r="AJ23" s="222" t="b">
        <f t="shared" ca="1" si="10"/>
        <v>1</v>
      </c>
      <c r="AL23" s="290">
        <f t="shared" ca="1" si="5"/>
        <v>2896730</v>
      </c>
      <c r="AM23" s="222" t="b">
        <f ca="1">AL23&lt;='e1.3A'!C22</f>
        <v>1</v>
      </c>
    </row>
    <row r="24" spans="1:39" x14ac:dyDescent="0.2">
      <c r="A24" s="268">
        <f>Intro!C25</f>
        <v>2003</v>
      </c>
      <c r="C24" s="290">
        <f ca="1">'e1.3A'!S23</f>
        <v>0</v>
      </c>
      <c r="E24" s="290">
        <f t="shared" ca="1" si="0"/>
        <v>0</v>
      </c>
      <c r="F24" s="290"/>
      <c r="G24" s="290">
        <f t="shared" ca="1" si="6"/>
        <v>0</v>
      </c>
      <c r="I24" s="295">
        <f t="shared" ref="I24:I40" ca="1" si="11">Z24</f>
        <v>0.89068672349418265</v>
      </c>
      <c r="K24" s="290">
        <f ca="1">G24*I24</f>
        <v>0</v>
      </c>
      <c r="M24" s="344">
        <f t="shared" ca="1" si="2"/>
        <v>0</v>
      </c>
      <c r="O24" s="614">
        <f t="shared" ca="1" si="7"/>
        <v>0</v>
      </c>
      <c r="P24" s="614"/>
      <c r="Q24" s="388">
        <f ca="1">1/'e3.2B'!G61</f>
        <v>0.98118688096014983</v>
      </c>
      <c r="R24" s="388">
        <f ca="1">1 / [1]!ldfsir(ldfs, ldf_ages, ldf_type, ldf_ret, Intro!$AB25, "Paid", Intro!$H25, cutoff, 3)</f>
        <v>0.98171766569000962</v>
      </c>
      <c r="S24" s="388">
        <f ca="1">1 / [1]!ldfsir(ldfs, ldf_ages, ldf_type, ldf_ret, Intro!$AB25 + 12, "Paid", Intro!$H25, cutoff, 3)</f>
        <v>0.98460463073224425</v>
      </c>
      <c r="T24" s="388">
        <f t="shared" ca="1" si="8"/>
        <v>2.8213542301809481E-2</v>
      </c>
      <c r="U24" s="388">
        <f t="shared" ca="1" si="9"/>
        <v>0.15791008923062097</v>
      </c>
      <c r="W24" s="252">
        <f>Intro!AB25</f>
        <v>201</v>
      </c>
      <c r="X24" s="268" t="str">
        <f>Intro!AL25</f>
        <v>250K</v>
      </c>
      <c r="Y24" s="151">
        <f>'e1.3A'!AA23</f>
        <v>6</v>
      </c>
      <c r="Z24" s="266">
        <f t="shared" ca="1" si="3"/>
        <v>0.89068672349418265</v>
      </c>
    </row>
    <row r="25" spans="1:39" x14ac:dyDescent="0.2">
      <c r="A25" s="268">
        <f>Intro!C26</f>
        <v>2004</v>
      </c>
      <c r="C25" s="290">
        <f ca="1">'e1.3A'!S24</f>
        <v>67254.982478655409</v>
      </c>
      <c r="E25" s="290">
        <f t="shared" ca="1" si="0"/>
        <v>1607.8809950808366</v>
      </c>
      <c r="F25" s="290"/>
      <c r="G25" s="290">
        <f t="shared" ca="1" si="6"/>
        <v>65647.101483574574</v>
      </c>
      <c r="I25" s="295">
        <f t="shared" ca="1" si="11"/>
        <v>0.87448245459682394</v>
      </c>
      <c r="K25" s="290">
        <f t="shared" ref="K25:K40" ca="1" si="12">G25*I25</f>
        <v>57407.238442523099</v>
      </c>
      <c r="M25" s="344">
        <f t="shared" ca="1" si="2"/>
        <v>8882.5665608129602</v>
      </c>
      <c r="O25" s="614">
        <f t="shared" ca="1" si="7"/>
        <v>56764.53492276161</v>
      </c>
      <c r="P25" s="614"/>
      <c r="Q25" s="388">
        <f ca="1">1/'e3.2B'!G62</f>
        <v>0.96732363078207662</v>
      </c>
      <c r="R25" s="388">
        <f ca="1">1 / [1]!ldfsir(ldfs, ldf_ages, ldf_type, ldf_ret, Intro!$AB26, "Paid", Intro!$H26, cutoff, 3)</f>
        <v>0.96810483257735502</v>
      </c>
      <c r="S25" s="388">
        <f ca="1">1 / [1]!ldfsir(ldfs, ldf_ages, ldf_type, ldf_ret, Intro!$AB26 + 12, "Paid", Intro!$H26, cutoff, 3)</f>
        <v>0.97242049832949495</v>
      </c>
      <c r="T25" s="388">
        <f t="shared" ca="1" si="8"/>
        <v>2.3907239818122424E-2</v>
      </c>
      <c r="U25" s="388">
        <f t="shared" ca="1" si="9"/>
        <v>0.135307825632415</v>
      </c>
      <c r="W25" s="252">
        <f>Intro!AB26</f>
        <v>189</v>
      </c>
      <c r="X25" s="268" t="str">
        <f>Intro!AL26</f>
        <v>350K</v>
      </c>
      <c r="Y25" s="151">
        <f>'e1.3A'!AA24</f>
        <v>5</v>
      </c>
      <c r="Z25" s="266">
        <f t="shared" ca="1" si="3"/>
        <v>0.87448245459682394</v>
      </c>
      <c r="AB25" s="290"/>
    </row>
    <row r="26" spans="1:39" x14ac:dyDescent="0.2">
      <c r="A26" s="268">
        <f>Intro!C27</f>
        <v>2005</v>
      </c>
      <c r="C26" s="290">
        <f ca="1">'e1.3A'!S25</f>
        <v>0</v>
      </c>
      <c r="E26" s="290">
        <f t="shared" ca="1" si="0"/>
        <v>0</v>
      </c>
      <c r="F26" s="290"/>
      <c r="G26" s="290">
        <f t="shared" ca="1" si="6"/>
        <v>0</v>
      </c>
      <c r="I26" s="295">
        <f t="shared" ca="1" si="11"/>
        <v>0.867594787753865</v>
      </c>
      <c r="K26" s="290">
        <f t="shared" ca="1" si="12"/>
        <v>0</v>
      </c>
      <c r="M26" s="344">
        <f t="shared" ca="1" si="2"/>
        <v>0</v>
      </c>
      <c r="O26" s="614">
        <f t="shared" ca="1" si="7"/>
        <v>0</v>
      </c>
      <c r="P26" s="614"/>
      <c r="Q26" s="388">
        <f ca="1">1/'e3.2B'!G63</f>
        <v>0.96213454157680445</v>
      </c>
      <c r="R26" s="388">
        <f ca="1">1 / [1]!ldfsir(ldfs, ldf_ages, ldf_type, ldf_ret, Intro!$AB27, "Paid", Intro!$H27, cutoff, 3)</f>
        <v>0.96307317357704858</v>
      </c>
      <c r="S26" s="388">
        <f ca="1">1 / [1]!ldfsir(ldfs, ldf_ages, ldf_type, ldf_ret, Intro!$AB27 + 12, "Paid", Intro!$H27, cutoff, 3)</f>
        <v>0.96810483257735502</v>
      </c>
      <c r="T26" s="388">
        <f t="shared" ca="1" si="8"/>
        <v>2.4788607858743032E-2</v>
      </c>
      <c r="U26" s="388">
        <f t="shared" ca="1" si="9"/>
        <v>0.13626026083787901</v>
      </c>
      <c r="W26" s="252">
        <f>Intro!AB27</f>
        <v>177</v>
      </c>
      <c r="X26" s="268" t="str">
        <f>Intro!AL27</f>
        <v>350K</v>
      </c>
      <c r="Y26" s="151">
        <f>'e1.3A'!AA25</f>
        <v>5</v>
      </c>
      <c r="Z26" s="266">
        <f t="shared" ca="1" si="3"/>
        <v>0.867594787753865</v>
      </c>
    </row>
    <row r="27" spans="1:39" x14ac:dyDescent="0.2">
      <c r="A27" s="268">
        <f>Intro!C28</f>
        <v>2006</v>
      </c>
      <c r="C27" s="290">
        <f ca="1">'e1.3A'!S26</f>
        <v>0</v>
      </c>
      <c r="E27" s="290">
        <f t="shared" ca="1" si="0"/>
        <v>0</v>
      </c>
      <c r="F27" s="290"/>
      <c r="G27" s="290">
        <f t="shared" ca="1" si="6"/>
        <v>0</v>
      </c>
      <c r="I27" s="295">
        <f t="shared" ca="1" si="11"/>
        <v>0.86217152698179056</v>
      </c>
      <c r="K27" s="290">
        <f t="shared" ca="1" si="12"/>
        <v>0</v>
      </c>
      <c r="M27" s="344">
        <f t="shared" ca="1" si="2"/>
        <v>0</v>
      </c>
      <c r="O27" s="614">
        <f t="shared" ca="1" si="7"/>
        <v>0</v>
      </c>
      <c r="P27" s="614"/>
      <c r="Q27" s="388">
        <f ca="1">1/'e3.2B'!G64</f>
        <v>0.95606268290884533</v>
      </c>
      <c r="R27" s="388">
        <f ca="1">1 / [1]!ldfsir(ldfs, ldf_ages, ldf_type, ldf_ret, Intro!$AB28, "Paid", Intro!$H28, cutoff, 3)</f>
        <v>0.95712086073070812</v>
      </c>
      <c r="S27" s="388">
        <f ca="1">1 / [1]!ldfsir(ldfs, ldf_ages, ldf_type, ldf_ret, Intro!$AB28 + 12, "Paid", Intro!$H28, cutoff, 3)</f>
        <v>0.96307317357704858</v>
      </c>
      <c r="T27" s="388">
        <f t="shared" ca="1" si="8"/>
        <v>2.4083806020004411E-2</v>
      </c>
      <c r="U27" s="388">
        <f t="shared" ca="1" si="9"/>
        <v>0.13881605246221063</v>
      </c>
      <c r="W27" s="252">
        <f>Intro!AB28</f>
        <v>165</v>
      </c>
      <c r="X27" s="268" t="str">
        <f>Intro!AL28</f>
        <v>350K</v>
      </c>
      <c r="Y27" s="151">
        <f>'e1.3A'!AA26</f>
        <v>5</v>
      </c>
      <c r="Z27" s="266">
        <f t="shared" ca="1" si="3"/>
        <v>0.86217152698179056</v>
      </c>
    </row>
    <row r="28" spans="1:39" x14ac:dyDescent="0.2">
      <c r="A28" s="268">
        <f>Intro!C29</f>
        <v>2007</v>
      </c>
      <c r="C28" s="290">
        <f ca="1">'e1.3A'!S27</f>
        <v>0</v>
      </c>
      <c r="E28" s="290">
        <f t="shared" ca="1" si="0"/>
        <v>0</v>
      </c>
      <c r="F28" s="290"/>
      <c r="G28" s="290">
        <f t="shared" ca="1" si="6"/>
        <v>0</v>
      </c>
      <c r="I28" s="295">
        <f t="shared" ca="1" si="11"/>
        <v>0.85700899043841328</v>
      </c>
      <c r="K28" s="290">
        <f t="shared" ca="1" si="12"/>
        <v>0</v>
      </c>
      <c r="M28" s="344">
        <f t="shared" ca="1" si="2"/>
        <v>0</v>
      </c>
      <c r="O28" s="614">
        <f t="shared" ca="1" si="7"/>
        <v>0</v>
      </c>
      <c r="P28" s="614"/>
      <c r="Q28" s="388">
        <f ca="1">1/'e3.2B'!G65</f>
        <v>0.94928423370235993</v>
      </c>
      <c r="R28" s="388">
        <f ca="1">1 / [1]!ldfsir(ldfs, ldf_ages, ldf_type, ldf_ret, Intro!$AB29, "Paid", Intro!$H29, cutoff, 3)</f>
        <v>0.95045188929856661</v>
      </c>
      <c r="S28" s="388">
        <f ca="1">1 / [1]!ldfsir(ldfs, ldf_ages, ldf_type, ldf_ret, Intro!$AB29 + 12, "Paid", Intro!$H29, cutoff, 3)</f>
        <v>0.95712086073070812</v>
      </c>
      <c r="T28" s="388">
        <f t="shared" ca="1" si="8"/>
        <v>2.3023522692212944E-2</v>
      </c>
      <c r="U28" s="388">
        <f t="shared" ca="1" si="9"/>
        <v>0.13459587737517073</v>
      </c>
      <c r="W28" s="252">
        <f>Intro!AB29</f>
        <v>153</v>
      </c>
      <c r="X28" s="268" t="str">
        <f>Intro!AL29</f>
        <v>350K</v>
      </c>
      <c r="Y28" s="151">
        <f>'e1.3A'!AA27</f>
        <v>5</v>
      </c>
      <c r="Z28" s="266">
        <f t="shared" ca="1" si="3"/>
        <v>0.85700899043841328</v>
      </c>
    </row>
    <row r="29" spans="1:39" x14ac:dyDescent="0.2">
      <c r="A29" s="268">
        <f>Intro!C30</f>
        <v>2008</v>
      </c>
      <c r="C29" s="290">
        <f ca="1">'e1.3A'!S28</f>
        <v>0</v>
      </c>
      <c r="E29" s="290">
        <f t="shared" ca="1" si="0"/>
        <v>0</v>
      </c>
      <c r="F29" s="290"/>
      <c r="G29" s="290">
        <f t="shared" ca="1" si="6"/>
        <v>0</v>
      </c>
      <c r="I29" s="295">
        <f t="shared" ca="1" si="11"/>
        <v>0.83968916499474378</v>
      </c>
      <c r="K29" s="290">
        <f t="shared" ca="1" si="12"/>
        <v>0</v>
      </c>
      <c r="M29" s="344">
        <f t="shared" ca="1" si="2"/>
        <v>0</v>
      </c>
      <c r="O29" s="614">
        <f t="shared" ca="1" si="7"/>
        <v>0</v>
      </c>
      <c r="P29" s="614"/>
      <c r="Q29" s="388">
        <f ca="1">1/'e3.2B'!G66</f>
        <v>0.92404631737664178</v>
      </c>
      <c r="R29" s="388">
        <f ca="1">1 / [1]!ldfsir(ldfs, ldf_ages, ldf_type, ldf_ret, Intro!$AB30, "Paid", Intro!$H30, cutoff, 3)</f>
        <v>0.92552657739993727</v>
      </c>
      <c r="S29" s="388">
        <f ca="1">1 / [1]!ldfsir(ldfs, ldf_ages, ldf_type, ldf_ret, Intro!$AB30 + 12, "Paid", Intro!$H30, cutoff, 3)</f>
        <v>0.93393658432464755</v>
      </c>
      <c r="T29" s="388">
        <f t="shared" ca="1" si="8"/>
        <v>1.9488982919180532E-2</v>
      </c>
      <c r="U29" s="388">
        <f t="shared" ca="1" si="9"/>
        <v>0.11292628472137917</v>
      </c>
      <c r="W29" s="252">
        <f>Intro!AB30</f>
        <v>141</v>
      </c>
      <c r="X29" s="268" t="str">
        <f>Intro!AL30</f>
        <v>500K</v>
      </c>
      <c r="Y29" s="151">
        <f>'e1.3A'!AA28</f>
        <v>4</v>
      </c>
      <c r="Z29" s="266">
        <f t="shared" ca="1" si="3"/>
        <v>0.83968916499474378</v>
      </c>
    </row>
    <row r="30" spans="1:39" x14ac:dyDescent="0.2">
      <c r="A30" s="268">
        <f>Intro!C31</f>
        <v>2009</v>
      </c>
      <c r="C30" s="290">
        <f ca="1">'e1.3A'!S29</f>
        <v>208866.34661461276</v>
      </c>
      <c r="E30" s="290">
        <f t="shared" ca="1" si="0"/>
        <v>4280.4184972566882</v>
      </c>
      <c r="F30" s="290"/>
      <c r="G30" s="290">
        <f t="shared" ca="1" si="6"/>
        <v>204585.92811735606</v>
      </c>
      <c r="I30" s="295">
        <f t="shared" ca="1" si="11"/>
        <v>0.8344021048229836</v>
      </c>
      <c r="K30" s="290">
        <f t="shared" ca="1" si="12"/>
        <v>170706.92903828551</v>
      </c>
      <c r="M30" s="344">
        <f t="shared" ca="1" si="2"/>
        <v>23049.952025928556</v>
      </c>
      <c r="O30" s="614">
        <f t="shared" ca="1" si="7"/>
        <v>181535.9760914275</v>
      </c>
      <c r="P30" s="614"/>
      <c r="Q30" s="388">
        <f ca="1">1/'e3.2B'!G67</f>
        <v>0.91431455057411193</v>
      </c>
      <c r="R30" s="388">
        <f ca="1">1 / [1]!ldfsir(ldfs, ldf_ages, ldf_type, ldf_ret, Intro!$AB31, "Paid", Intro!$H31, cutoff, 3)</f>
        <v>0.91607055190516917</v>
      </c>
      <c r="S30" s="388">
        <f ca="1">1 / [1]!ldfsir(ldfs, ldf_ages, ldf_type, ldf_ret, Intro!$AB31 + 12, "Paid", Intro!$H31, cutoff, 3)</f>
        <v>0.92552657739993727</v>
      </c>
      <c r="T30" s="388">
        <f t="shared" ca="1" si="8"/>
        <v>2.0493576713699363E-2</v>
      </c>
      <c r="U30" s="388">
        <f t="shared" ca="1" si="9"/>
        <v>0.11266636096646138</v>
      </c>
      <c r="W30" s="252">
        <f>Intro!AB31</f>
        <v>129</v>
      </c>
      <c r="X30" s="268" t="str">
        <f>Intro!AL31</f>
        <v>500K</v>
      </c>
      <c r="Y30" s="151">
        <f>'e1.3A'!AA29</f>
        <v>4</v>
      </c>
      <c r="Z30" s="266">
        <f t="shared" ca="1" si="3"/>
        <v>0.8344021048229836</v>
      </c>
    </row>
    <row r="31" spans="1:39" x14ac:dyDescent="0.2">
      <c r="A31" s="268">
        <f>Intro!C32</f>
        <v>2010</v>
      </c>
      <c r="C31" s="290">
        <f>'e1.3A'!S30</f>
        <v>18849.963000000083</v>
      </c>
      <c r="E31" s="290">
        <f t="shared" ca="1" si="0"/>
        <v>388.15247386377024</v>
      </c>
      <c r="F31" s="290"/>
      <c r="G31" s="290">
        <f t="shared" ca="1" si="6"/>
        <v>18461.810526136313</v>
      </c>
      <c r="I31" s="295">
        <f t="shared" ca="1" si="11"/>
        <v>0.83057537983397023</v>
      </c>
      <c r="K31" s="290">
        <f t="shared" ca="1" si="12"/>
        <v>15333.925290168458</v>
      </c>
      <c r="M31" s="344">
        <f t="shared" ca="1" si="2"/>
        <v>2157.4073645417666</v>
      </c>
      <c r="O31" s="614">
        <f t="shared" ca="1" si="7"/>
        <v>16304.403161594546</v>
      </c>
      <c r="P31" s="614"/>
      <c r="Q31" s="388">
        <f ca="1">1/'e3.2B'!G68</f>
        <v>0.90296688719495177</v>
      </c>
      <c r="R31" s="388">
        <f ca="1">1 / [1]!ldfsir(ldfs, ldf_ages, ldf_type, ldf_ret, Intro!$AB32, "Paid", Intro!$H32, cutoff, 3)</f>
        <v>0.9049649623520214</v>
      </c>
      <c r="S31" s="388">
        <f ca="1">1 / [1]!ldfsir(ldfs, ldf_ages, ldf_type, ldf_ret, Intro!$AB32 + 12, "Paid", Intro!$H32, cutoff, 3)</f>
        <v>0.91607055190516917</v>
      </c>
      <c r="T31" s="388">
        <f t="shared" ca="1" si="8"/>
        <v>2.0591683594486022E-2</v>
      </c>
      <c r="U31" s="388">
        <f t="shared" ca="1" si="9"/>
        <v>0.11685784346489383</v>
      </c>
      <c r="W31" s="252">
        <f>Intro!AB32</f>
        <v>117</v>
      </c>
      <c r="X31" s="268" t="str">
        <f>Intro!AL32</f>
        <v>500K</v>
      </c>
      <c r="Y31" s="151">
        <f>'e1.3A'!AA30</f>
        <v>4</v>
      </c>
      <c r="Z31" s="266">
        <f t="shared" ca="1" si="3"/>
        <v>0.83057537983397023</v>
      </c>
    </row>
    <row r="32" spans="1:39" x14ac:dyDescent="0.2">
      <c r="A32" s="268">
        <f>Intro!C33</f>
        <v>2011</v>
      </c>
      <c r="C32" s="290">
        <f ca="1">'e1.3A'!S31</f>
        <v>0</v>
      </c>
      <c r="E32" s="290">
        <f t="shared" ca="1" si="0"/>
        <v>0</v>
      </c>
      <c r="F32" s="290"/>
      <c r="G32" s="290">
        <f t="shared" ca="1" si="6"/>
        <v>0</v>
      </c>
      <c r="I32" s="295">
        <f t="shared" ca="1" si="11"/>
        <v>0.8276318643952989</v>
      </c>
      <c r="K32" s="290">
        <f t="shared" ca="1" si="12"/>
        <v>0</v>
      </c>
      <c r="M32" s="344">
        <f t="shared" ca="1" si="2"/>
        <v>0</v>
      </c>
      <c r="O32" s="614">
        <f t="shared" ca="1" si="7"/>
        <v>0</v>
      </c>
      <c r="P32" s="614"/>
      <c r="Q32" s="388">
        <f ca="1">1/'e3.2B'!G69</f>
        <v>0.88976901673693976</v>
      </c>
      <c r="R32" s="388">
        <f ca="1">1 / [1]!ldfsir(ldfs, ldf_ages, ldf_type, ldf_ret, Intro!$AB33, "Paid", Intro!$H33, cutoff, 3)</f>
        <v>0.89216056228995633</v>
      </c>
      <c r="S32" s="388">
        <f ca="1">1 / [1]!ldfsir(ldfs, ldf_ages, ldf_type, ldf_ret, Intro!$AB33 + 12, "Paid", Intro!$H33, cutoff, 3)</f>
        <v>0.9049649623520214</v>
      </c>
      <c r="T32" s="388">
        <f t="shared" ca="1" si="8"/>
        <v>2.1695765402992718E-2</v>
      </c>
      <c r="U32" s="388">
        <f t="shared" ca="1" si="9"/>
        <v>0.11873578288207752</v>
      </c>
      <c r="W32" s="252">
        <f>Intro!AB33</f>
        <v>105</v>
      </c>
      <c r="X32" s="268" t="str">
        <f>Intro!AL33</f>
        <v>500K</v>
      </c>
      <c r="Y32" s="151">
        <f>'e1.3A'!AA31</f>
        <v>4</v>
      </c>
      <c r="Z32" s="266">
        <f t="shared" ca="1" si="3"/>
        <v>0.8276318643952989</v>
      </c>
    </row>
    <row r="33" spans="1:28" x14ac:dyDescent="0.2">
      <c r="A33" s="268">
        <f>Intro!C34</f>
        <v>2012</v>
      </c>
      <c r="C33" s="290">
        <f ca="1">'e1.3A'!S32</f>
        <v>36040.888440924929</v>
      </c>
      <c r="E33" s="290">
        <f t="shared" ca="1" si="0"/>
        <v>863.95402454697705</v>
      </c>
      <c r="F33" s="290"/>
      <c r="G33" s="290">
        <f t="shared" ca="1" si="6"/>
        <v>35176.934416377953</v>
      </c>
      <c r="I33" s="295">
        <f t="shared" ca="1" si="11"/>
        <v>0.82646936695157114</v>
      </c>
      <c r="K33" s="290">
        <f t="shared" ca="1" si="12"/>
        <v>29072.658718400824</v>
      </c>
      <c r="M33" s="344">
        <f t="shared" ca="1" si="2"/>
        <v>4440.3384320638561</v>
      </c>
      <c r="O33" s="614">
        <f t="shared" ca="1" si="7"/>
        <v>30736.595984314095</v>
      </c>
      <c r="P33" s="614"/>
      <c r="Q33" s="388">
        <f ca="1">1/'e3.2B'!G70</f>
        <v>0.87355043655376696</v>
      </c>
      <c r="R33" s="388">
        <f ca="1">1 / [1]!ldfsir(ldfs, ldf_ages, ldf_type, ldf_ret, Intro!$AB34, "Paid", Intro!$H34, cutoff, 3)</f>
        <v>0.87658162179828858</v>
      </c>
      <c r="S33" s="388">
        <f ca="1">1 / [1]!ldfsir(ldfs, ldf_ages, ldf_type, ldf_ret, Intro!$AB34 + 12, "Paid", Intro!$H34, cutoff, 3)</f>
        <v>0.89216056228995633</v>
      </c>
      <c r="T33" s="388">
        <f t="shared" ca="1" si="8"/>
        <v>2.3971496317664168E-2</v>
      </c>
      <c r="U33" s="388">
        <f t="shared" ca="1" si="9"/>
        <v>0.12622869234439282</v>
      </c>
      <c r="W33" s="252">
        <f>Intro!AB34</f>
        <v>93</v>
      </c>
      <c r="X33" s="268" t="str">
        <f>Intro!AL34</f>
        <v>500K</v>
      </c>
      <c r="Y33" s="151">
        <f>'e1.3A'!AA32</f>
        <v>4</v>
      </c>
      <c r="Z33" s="266">
        <f t="shared" ca="1" si="3"/>
        <v>0.82646936695157114</v>
      </c>
    </row>
    <row r="34" spans="1:28" x14ac:dyDescent="0.2">
      <c r="A34" s="268">
        <f>Intro!C35</f>
        <v>2013</v>
      </c>
      <c r="C34" s="290">
        <f ca="1">'e1.3A'!S33</f>
        <v>126002.18889498954</v>
      </c>
      <c r="E34" s="290">
        <f t="shared" ca="1" si="0"/>
        <v>3376.8381766950224</v>
      </c>
      <c r="F34" s="290"/>
      <c r="G34" s="290">
        <f t="shared" ca="1" si="6"/>
        <v>122625.35071829452</v>
      </c>
      <c r="I34" s="295">
        <f t="shared" ca="1" si="11"/>
        <v>0.82781136447752202</v>
      </c>
      <c r="K34" s="290">
        <f t="shared" ca="1" si="12"/>
        <v>101510.65889764606</v>
      </c>
      <c r="M34" s="344">
        <f t="shared" ca="1" si="2"/>
        <v>17049.352731502873</v>
      </c>
      <c r="O34" s="614">
        <f t="shared" ca="1" si="7"/>
        <v>105575.99798679164</v>
      </c>
      <c r="P34" s="614"/>
      <c r="Q34" s="388">
        <f ca="1">1/'e3.2B'!G71</f>
        <v>0.8527033975541406</v>
      </c>
      <c r="R34" s="388">
        <f ca="1">1 / [1]!ldfsir(ldfs, ldf_ages, ldf_type, ldf_ret, Intro!$AB35, "Paid", Intro!$H35, cutoff, 3)</f>
        <v>0.85665092255191011</v>
      </c>
      <c r="S34" s="388">
        <f ca="1">1 / [1]!ldfsir(ldfs, ldf_ages, ldf_type, ldf_ret, Intro!$AB35 + 12, "Paid", Intro!$H35, cutoff, 3)</f>
        <v>0.87658162179828858</v>
      </c>
      <c r="T34" s="388">
        <f t="shared" ca="1" si="8"/>
        <v>2.67998374179776E-2</v>
      </c>
      <c r="U34" s="388">
        <f t="shared" ca="1" si="9"/>
        <v>0.1390361179938242</v>
      </c>
      <c r="W34" s="252">
        <f>Intro!AB35</f>
        <v>81</v>
      </c>
      <c r="X34" s="268" t="str">
        <f>Intro!AL35</f>
        <v>500K</v>
      </c>
      <c r="Y34" s="151">
        <f>'e1.3A'!AA33</f>
        <v>4</v>
      </c>
      <c r="Z34" s="266">
        <f t="shared" ca="1" si="3"/>
        <v>0.82781136447752202</v>
      </c>
    </row>
    <row r="35" spans="1:28" x14ac:dyDescent="0.2">
      <c r="A35" s="268">
        <f>Intro!C36</f>
        <v>2014</v>
      </c>
      <c r="C35" s="290">
        <f ca="1">'e1.3A'!S34</f>
        <v>0</v>
      </c>
      <c r="E35" s="290">
        <f t="shared" ca="1" si="0"/>
        <v>0</v>
      </c>
      <c r="F35" s="290"/>
      <c r="G35" s="290">
        <f t="shared" ca="1" si="6"/>
        <v>0</v>
      </c>
      <c r="I35" s="295">
        <f t="shared" ca="1" si="11"/>
        <v>0.83136751590878399</v>
      </c>
      <c r="K35" s="290">
        <f t="shared" ca="1" si="12"/>
        <v>0</v>
      </c>
      <c r="M35" s="344">
        <f t="shared" ca="1" si="2"/>
        <v>0</v>
      </c>
      <c r="O35" s="614">
        <f t="shared" ca="1" si="7"/>
        <v>0</v>
      </c>
      <c r="P35" s="614"/>
      <c r="Q35" s="388">
        <f ca="1">1/'e3.2B'!G72</f>
        <v>0.82588559096119318</v>
      </c>
      <c r="R35" s="388">
        <f ca="1">1 / [1]!ldfsir(ldfs, ldf_ages, ldf_type, ldf_ret, Intro!$AB36, "Paid", Intro!$H36, cutoff, 3)</f>
        <v>0.83086550621850952</v>
      </c>
      <c r="S35" s="388">
        <f ca="1">1 / [1]!ldfsir(ldfs, ldf_ages, ldf_type, ldf_ret, Intro!$AB36 + 12, "Paid", Intro!$H36, cutoff, 3)</f>
        <v>0.85665092255191011</v>
      </c>
      <c r="T35" s="388">
        <f t="shared" ca="1" si="8"/>
        <v>2.8601396546143444E-2</v>
      </c>
      <c r="U35" s="388">
        <f t="shared" ca="1" si="9"/>
        <v>0.1524551010080385</v>
      </c>
      <c r="W35" s="252">
        <f>Intro!AB36</f>
        <v>69</v>
      </c>
      <c r="X35" s="268" t="str">
        <f>Intro!AL36</f>
        <v>500K</v>
      </c>
      <c r="Y35" s="151">
        <f>'e1.3A'!AA34</f>
        <v>4</v>
      </c>
      <c r="Z35" s="266">
        <f t="shared" ca="1" si="3"/>
        <v>0.83136751590878399</v>
      </c>
    </row>
    <row r="36" spans="1:28" x14ac:dyDescent="0.2">
      <c r="A36" s="268">
        <f>Intro!C37</f>
        <v>2015</v>
      </c>
      <c r="C36" s="290">
        <f ca="1">'e1.3A'!S35</f>
        <v>770537.13268200727</v>
      </c>
      <c r="E36" s="290">
        <f t="shared" ca="1" si="0"/>
        <v>29433.478588776037</v>
      </c>
      <c r="F36" s="290"/>
      <c r="G36" s="290">
        <f t="shared" ca="1" si="6"/>
        <v>741103.65409323119</v>
      </c>
      <c r="I36" s="295">
        <f t="shared" ca="1" si="11"/>
        <v>0.83761099079677093</v>
      </c>
      <c r="K36" s="290">
        <f t="shared" ca="1" si="12"/>
        <v>620756.56598813878</v>
      </c>
      <c r="M36" s="344">
        <f t="shared" ca="1" si="2"/>
        <v>127410.12855791074</v>
      </c>
      <c r="O36" s="614">
        <f t="shared" ca="1" si="7"/>
        <v>613693.5255353204</v>
      </c>
      <c r="P36" s="614"/>
      <c r="Q36" s="388">
        <f ca="1">1/'e3.2B'!G73</f>
        <v>0.78763926544225571</v>
      </c>
      <c r="R36" s="388">
        <f ca="1">1 / [1]!ldfsir(ldfs, ldf_ages, ldf_type, ldf_ret, Intro!$AB37, "Paid", Intro!$H37, cutoff, 3)</f>
        <v>0.79575115891057691</v>
      </c>
      <c r="S36" s="388">
        <f ca="1">1 / [1]!ldfsir(ldfs, ldf_ages, ldf_type, ldf_ret, Intro!$AB37 + 12, "Paid", Intro!$H37, cutoff, 3)</f>
        <v>0.83086550621850952</v>
      </c>
      <c r="T36" s="388">
        <f t="shared" ca="1" si="8"/>
        <v>3.8198650448326842E-2</v>
      </c>
      <c r="U36" s="388">
        <f t="shared" ca="1" si="9"/>
        <v>0.17191944453951172</v>
      </c>
      <c r="W36" s="252">
        <f>Intro!AB37</f>
        <v>57</v>
      </c>
      <c r="X36" s="268" t="str">
        <f>Intro!AL37</f>
        <v>500K</v>
      </c>
      <c r="Y36" s="151">
        <f>'e1.3A'!AA35</f>
        <v>4</v>
      </c>
      <c r="Z36" s="266">
        <f t="shared" ca="1" si="3"/>
        <v>0.83761099079677093</v>
      </c>
    </row>
    <row r="37" spans="1:28" x14ac:dyDescent="0.2">
      <c r="A37" s="268">
        <f>Intro!C38</f>
        <v>2016</v>
      </c>
      <c r="C37" s="290">
        <f ca="1">'e1.3A'!S36</f>
        <v>647559.46872955468</v>
      </c>
      <c r="E37" s="290">
        <f t="shared" ca="1" si="0"/>
        <v>27784.015457211317</v>
      </c>
      <c r="F37" s="290"/>
      <c r="G37" s="290">
        <f t="shared" ca="1" si="6"/>
        <v>619775.45327234338</v>
      </c>
      <c r="I37" s="295">
        <f t="shared" ca="1" si="11"/>
        <v>0.84522401060603958</v>
      </c>
      <c r="K37" s="290">
        <f t="shared" ca="1" si="12"/>
        <v>523849.09429002617</v>
      </c>
      <c r="M37" s="344">
        <f t="shared" ca="1" si="2"/>
        <v>128623.12082016461</v>
      </c>
      <c r="O37" s="614">
        <f t="shared" ca="1" si="7"/>
        <v>491152.33245217876</v>
      </c>
      <c r="P37" s="614"/>
      <c r="Q37" s="388">
        <f ca="1">1/'e3.2B'!G74</f>
        <v>0.72064550860149923</v>
      </c>
      <c r="R37" s="388">
        <f ca="1">1 / [1]!ldfsir(ldfs, ldf_ages, ldf_type, ldf_ret, Intro!$AB38, "Paid", Intro!$H38, cutoff, 3)</f>
        <v>0.73263141859411318</v>
      </c>
      <c r="S37" s="388">
        <f ca="1">1 / [1]!ldfsir(ldfs, ldf_ages, ldf_type, ldf_ret, Intro!$AB38 + 12, "Paid", Intro!$H38, cutoff, 3)</f>
        <v>0.7881189038891685</v>
      </c>
      <c r="T37" s="388">
        <f t="shared" ca="1" si="8"/>
        <v>4.290573576465604E-2</v>
      </c>
      <c r="U37" s="388">
        <f t="shared" ca="1" si="9"/>
        <v>0.20753180872370675</v>
      </c>
      <c r="W37" s="252">
        <f>Intro!AB38</f>
        <v>45</v>
      </c>
      <c r="X37" s="268" t="str">
        <f>Intro!AL38</f>
        <v>750K</v>
      </c>
      <c r="Y37" s="151">
        <f>'e1.3A'!AA36</f>
        <v>3</v>
      </c>
      <c r="Z37" s="266">
        <f t="shared" ca="1" si="3"/>
        <v>0.84522401060603958</v>
      </c>
    </row>
    <row r="38" spans="1:28" x14ac:dyDescent="0.2">
      <c r="A38" s="268">
        <f>Intro!C39</f>
        <v>2017</v>
      </c>
      <c r="C38" s="290">
        <f ca="1">'e1.3A'!S37</f>
        <v>1189811.775860454</v>
      </c>
      <c r="E38" s="290">
        <f t="shared" ca="1" si="0"/>
        <v>85898.504889195159</v>
      </c>
      <c r="F38" s="290"/>
      <c r="G38" s="290">
        <f t="shared" ca="1" si="6"/>
        <v>1103913.2709712589</v>
      </c>
      <c r="I38" s="295">
        <f t="shared" ca="1" si="11"/>
        <v>0.86304725325163567</v>
      </c>
      <c r="K38" s="290">
        <f t="shared" ca="1" si="12"/>
        <v>952729.31633977359</v>
      </c>
      <c r="M38" s="344">
        <f t="shared" ca="1" si="2"/>
        <v>294118.76699071488</v>
      </c>
      <c r="O38" s="614">
        <f t="shared" ca="1" si="7"/>
        <v>809794.50398054393</v>
      </c>
      <c r="P38" s="614"/>
      <c r="Q38" s="388">
        <f ca="1">1/'e3.2B'!G75</f>
        <v>0.6071617119057755</v>
      </c>
      <c r="R38" s="388">
        <f ca="1">1 / [1]!ldfsir(ldfs, ldf_ages, ldf_type, ldf_ret, Intro!$AB39, "Paid", Intro!$H39, cutoff, 3)</f>
        <v>0.63552268655331712</v>
      </c>
      <c r="S38" s="388">
        <f ca="1">1 / [1]!ldfsir(ldfs, ldf_ages, ldf_type, ldf_ret, Intro!$AB39 + 12, "Paid", Intro!$H39, cutoff, 3)</f>
        <v>0.73263141859411318</v>
      </c>
      <c r="T38" s="388">
        <f t="shared" ca="1" si="8"/>
        <v>7.2195036754510736E-2</v>
      </c>
      <c r="U38" s="388">
        <f t="shared" ca="1" si="9"/>
        <v>0.26643285729497534</v>
      </c>
      <c r="W38" s="252">
        <f>Intro!AB39</f>
        <v>33</v>
      </c>
      <c r="X38" s="268" t="str">
        <f>Intro!AL39</f>
        <v>750K</v>
      </c>
      <c r="Y38" s="151">
        <f>'e1.3A'!AA37</f>
        <v>3</v>
      </c>
      <c r="Z38" s="266">
        <f t="shared" ca="1" si="3"/>
        <v>0.86304725325163567</v>
      </c>
    </row>
    <row r="39" spans="1:28" x14ac:dyDescent="0.2">
      <c r="A39" s="268">
        <f>Intro!C40</f>
        <v>2018</v>
      </c>
      <c r="C39" s="291">
        <f ca="1">'e1.3A'!S38</f>
        <v>5088127.1762577454</v>
      </c>
      <c r="E39" s="290">
        <f t="shared" ca="1" si="0"/>
        <v>360147.71125264448</v>
      </c>
      <c r="F39" s="290"/>
      <c r="G39" s="290">
        <f t="shared" ca="1" si="6"/>
        <v>4727979.4650051007</v>
      </c>
      <c r="I39" s="295">
        <f t="shared" ca="1" si="11"/>
        <v>0.89484139184538669</v>
      </c>
      <c r="K39" s="290">
        <f t="shared" ca="1" si="12"/>
        <v>4230791.7250815714</v>
      </c>
      <c r="M39" s="344">
        <f t="shared" ca="1" si="2"/>
        <v>1682288.287614679</v>
      </c>
      <c r="O39" s="614">
        <f t="shared" ca="1" si="7"/>
        <v>3045691.1773904217</v>
      </c>
      <c r="P39" s="614"/>
      <c r="Q39" s="388">
        <f ca="1">1/'e3.2B'!G76</f>
        <v>0.40178828180986836</v>
      </c>
      <c r="R39" s="388">
        <f ca="1">1 / [1]!ldfsir(ldfs, ldf_ages, ldf_type, ldf_ret, Intro!$AB40, "Paid", Intro!$H40, cutoff, 3)</f>
        <v>0.44413089112120729</v>
      </c>
      <c r="S39" s="388">
        <f ca="1">1 / [1]!ldfsir(ldfs, ldf_ages, ldf_type, ldf_ret, Intro!$AB40 + 12, "Paid", Intro!$H40, cutoff, 3)</f>
        <v>0.64191772548356696</v>
      </c>
      <c r="T39" s="388">
        <f t="shared" ca="1" si="8"/>
        <v>7.0781979061602121E-2</v>
      </c>
      <c r="U39" s="388">
        <f t="shared" ca="1" si="9"/>
        <v>0.3558154810244854</v>
      </c>
      <c r="W39" s="252">
        <f>Intro!AB40</f>
        <v>21</v>
      </c>
      <c r="X39" s="268" t="str">
        <f>Intro!AL40</f>
        <v>500K</v>
      </c>
      <c r="Y39" s="151">
        <f>'e1.3A'!AA38</f>
        <v>4</v>
      </c>
      <c r="Z39" s="266">
        <f t="shared" ca="1" si="3"/>
        <v>0.89484139184538669</v>
      </c>
    </row>
    <row r="40" spans="1:28" x14ac:dyDescent="0.2">
      <c r="A40" s="268">
        <f>Intro!C41</f>
        <v>2019</v>
      </c>
      <c r="C40" s="292">
        <f ca="1">'e1.3A'!S39</f>
        <v>4222235.3035594048</v>
      </c>
      <c r="E40" s="292">
        <f ca="1">('e1.3A'!E39-'e1.3A'!I39)*T40</f>
        <v>344807.47905408446</v>
      </c>
      <c r="F40" s="290"/>
      <c r="G40" s="279">
        <f ca="1">'e1.3A'!E39-'e1.3A'!I39-E40-AB40</f>
        <v>5360722.4898004737</v>
      </c>
      <c r="H40" s="387" t="s">
        <v>77</v>
      </c>
      <c r="I40" s="298">
        <f t="shared" ca="1" si="11"/>
        <v>0.91010914095782058</v>
      </c>
      <c r="K40" s="292">
        <f t="shared" ca="1" si="12"/>
        <v>4878842.5401055785</v>
      </c>
      <c r="L40" s="570" t="str">
        <f>H40</f>
        <v>*</v>
      </c>
      <c r="M40" s="629">
        <f t="shared" ref="M40" ca="1" si="13">G40*U40</f>
        <v>2041021.0462284042</v>
      </c>
      <c r="O40" s="629">
        <f t="shared" ref="O40" ca="1" si="14">G40-M40</f>
        <v>3319701.4435720695</v>
      </c>
      <c r="P40" s="620"/>
      <c r="Q40" s="388">
        <f ca="1">1/'e3.2B'!G77</f>
        <v>7.2079876885472044E-2</v>
      </c>
      <c r="R40" s="610">
        <f ca="1">1 / ([1]!ldfsir(ldfs, ldf_ages, ldf_type, ldf_ret, Intro!$AB41, "Paid", Intro!$H41, cutoff, 3) * (9/12))</f>
        <v>0.14989965206911909</v>
      </c>
      <c r="S40" s="610">
        <f ca="1">1 / [1]!ldfsir(ldfs, ldf_ages, ldf_type, ldf_ret, $S$45, "Paid", Intro!$H41, cutoff, 3)</f>
        <v>0.47356361804277952</v>
      </c>
      <c r="T40" s="388">
        <f ca="1">(R41-Q40) / (1-Q40)</f>
        <v>4.3478809394661373E-2</v>
      </c>
      <c r="U40" s="388">
        <f t="shared" ca="1" si="9"/>
        <v>0.3807361880999684</v>
      </c>
      <c r="V40" s="570"/>
      <c r="W40" s="397">
        <f>Intro!AB41 / 2 + 6</f>
        <v>10.5</v>
      </c>
      <c r="X40" s="268" t="str">
        <f>Intro!AL40</f>
        <v>500K</v>
      </c>
      <c r="Y40" s="151">
        <f>'e1.3A'!AA39</f>
        <v>4</v>
      </c>
      <c r="Z40" s="266">
        <f t="shared" ca="1" si="3"/>
        <v>0.91010914095782058</v>
      </c>
      <c r="AB40" s="577">
        <f ca="1">Intro!$AB$43 * 'e4.2'!$Q$38</f>
        <v>2224941.9979427285</v>
      </c>
    </row>
    <row r="41" spans="1:28" x14ac:dyDescent="0.2">
      <c r="R41" s="610">
        <f ca="1">1 / ([1]!ldfsir(ldfs, ldf_ages, ldf_type, ldf_ret, Intro!$AB41, "Paid", Intro!$H41, cutoff, 3))</f>
        <v>0.11242473905183932</v>
      </c>
    </row>
    <row r="42" spans="1:28" x14ac:dyDescent="0.2">
      <c r="A42" s="268" t="s">
        <v>78</v>
      </c>
      <c r="C42" s="289">
        <f ca="1">SUM(C17:C40)</f>
        <v>12510982.236518349</v>
      </c>
      <c r="E42" s="289">
        <f ca="1">SUM(E17:E40)</f>
        <v>904667.10635698889</v>
      </c>
      <c r="G42" s="289">
        <f ca="1">SUM(G17:G40)</f>
        <v>13089609.795456514</v>
      </c>
      <c r="I42" s="295">
        <f ca="1">K42/G42</f>
        <v>0.8915435261320257</v>
      </c>
      <c r="K42" s="289">
        <f ca="1">SUM(K17:K40)</f>
        <v>11669956.872733604</v>
      </c>
      <c r="M42" s="289">
        <f ca="1">SUM(M17:M40)</f>
        <v>4343210.1569276191</v>
      </c>
      <c r="O42" s="289">
        <f ca="1">SUM(O17:O40)</f>
        <v>8746399.6385288946</v>
      </c>
      <c r="P42" s="624"/>
      <c r="Q42" s="616">
        <f ca="1">M42/G42</f>
        <v>0.33180593041323314</v>
      </c>
      <c r="R42" s="617" t="s">
        <v>737</v>
      </c>
      <c r="S42" s="611">
        <f>Intro!A41</f>
        <v>43374</v>
      </c>
    </row>
    <row r="43" spans="1:28" x14ac:dyDescent="0.2">
      <c r="Q43" s="616"/>
      <c r="R43" s="618"/>
      <c r="S43" s="611">
        <f>roll</f>
        <v>43646</v>
      </c>
    </row>
    <row r="44" spans="1:28" x14ac:dyDescent="0.2">
      <c r="A44" s="615" t="s">
        <v>736</v>
      </c>
      <c r="M44" s="609">
        <f ca="1">M42/ (1+disc_rate)^0.5</f>
        <v>4279492.1288413173</v>
      </c>
      <c r="O44" s="609">
        <f ca="1">K42-M44</f>
        <v>7390464.7438922869</v>
      </c>
      <c r="P44" s="624"/>
      <c r="Q44" s="616">
        <f ca="1">M44/$K$42</f>
        <v>0.36671019229215684</v>
      </c>
      <c r="R44" s="617" t="s">
        <v>737</v>
      </c>
      <c r="S44" s="611">
        <f>S14</f>
        <v>44012</v>
      </c>
    </row>
    <row r="45" spans="1:28" x14ac:dyDescent="0.2">
      <c r="S45" s="612">
        <f>ROUND( (S44-AVERAGE(S42:S43))/365.25*12+6, 1)</f>
        <v>22.5</v>
      </c>
    </row>
    <row r="46" spans="1:28" x14ac:dyDescent="0.2">
      <c r="S46" s="611"/>
    </row>
    <row r="47" spans="1:28" x14ac:dyDescent="0.2">
      <c r="A47" s="222" t="s">
        <v>83</v>
      </c>
      <c r="S47" s="611"/>
    </row>
    <row r="48" spans="1:28" x14ac:dyDescent="0.2">
      <c r="A48" s="488" t="s">
        <v>707</v>
      </c>
      <c r="S48" s="611"/>
    </row>
    <row r="49" spans="1:20" x14ac:dyDescent="0.2">
      <c r="A49" s="488" t="s">
        <v>704</v>
      </c>
      <c r="S49" s="222"/>
    </row>
    <row r="50" spans="1:20" x14ac:dyDescent="0.2">
      <c r="A50" s="488" t="s">
        <v>705</v>
      </c>
    </row>
    <row r="51" spans="1:20" x14ac:dyDescent="0.2">
      <c r="A51" s="488" t="s">
        <v>706</v>
      </c>
    </row>
    <row r="52" spans="1:20" x14ac:dyDescent="0.2">
      <c r="A52" s="632" t="s">
        <v>743</v>
      </c>
      <c r="S52" s="702" t="s">
        <v>818</v>
      </c>
    </row>
    <row r="53" spans="1:20" x14ac:dyDescent="0.2">
      <c r="A53" s="619" t="s">
        <v>738</v>
      </c>
      <c r="S53" s="702" t="s">
        <v>271</v>
      </c>
      <c r="T53" s="703">
        <f ca="1">M42/G42</f>
        <v>0.33180593041323314</v>
      </c>
    </row>
    <row r="54" spans="1:20" x14ac:dyDescent="0.2">
      <c r="A54" s="619" t="s">
        <v>739</v>
      </c>
      <c r="S54" s="702" t="s">
        <v>18</v>
      </c>
      <c r="T54" s="703">
        <v>0.32475752254414925</v>
      </c>
    </row>
    <row r="55" spans="1:20" x14ac:dyDescent="0.2">
      <c r="A55" s="222" t="str">
        <f>"* Policy period "&amp;cpy_l&amp;" is adjusted for partial exposure as of "&amp;rtxt_l&amp;" in Columns (3) and (5)."</f>
        <v>* Policy period 2018/19 is adjusted for partial exposure as of June 30, 2019 in Columns (3) and (5).</v>
      </c>
    </row>
  </sheetData>
  <printOptions horizontalCentered="1"/>
  <pageMargins left="0.7" right="0.7" top="0.75" bottom="0.75" header="0.3" footer="0.3"/>
  <pageSetup scale="79" orientation="portrait" blackAndWhite="1" r:id="rId1"/>
  <headerFooter>
    <oddHeader xml:space="preserve">&amp;L&amp;"Arial"&amp;10  
  &amp;R&amp;"Arial"&amp;10  Exhibit 1
Sheet 2A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8">
    <tabColor rgb="FFCCCCFF"/>
    <pageSetUpPr fitToPage="1"/>
  </sheetPr>
  <dimension ref="A1:V127"/>
  <sheetViews>
    <sheetView zoomScale="85" zoomScaleNormal="85" workbookViewId="0"/>
  </sheetViews>
  <sheetFormatPr defaultColWidth="9" defaultRowHeight="12.75" x14ac:dyDescent="0.2"/>
  <cols>
    <col min="1" max="16384" width="9" style="1"/>
  </cols>
  <sheetData>
    <row r="1" spans="1:22" x14ac:dyDescent="0.2">
      <c r="A1" s="133" t="str">
        <f>"Prior Selected LDFs from "&amp;ptxt_l&amp;" Report:"</f>
        <v>Prior Selected LDFs from October 31, 2018 Report:</v>
      </c>
    </row>
    <row r="2" spans="1:22" x14ac:dyDescent="0.2">
      <c r="A2" s="133"/>
    </row>
    <row r="3" spans="1:22" x14ac:dyDescent="0.2">
      <c r="A3" s="3">
        <v>1</v>
      </c>
      <c r="B3" s="3">
        <f>A3+1</f>
        <v>2</v>
      </c>
      <c r="C3" s="3">
        <f t="shared" ref="C3:L3" si="0">B3+1</f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ref="M3" si="1">L3+1</f>
        <v>13</v>
      </c>
      <c r="N3" s="3">
        <f t="shared" ref="N3" si="2">M3+1</f>
        <v>14</v>
      </c>
      <c r="O3" s="3">
        <f t="shared" ref="O3" si="3">N3+1</f>
        <v>15</v>
      </c>
      <c r="P3" s="3">
        <f t="shared" ref="P3" si="4">O3+1</f>
        <v>16</v>
      </c>
      <c r="Q3" s="3">
        <f t="shared" ref="Q3" si="5">P3+1</f>
        <v>17</v>
      </c>
      <c r="R3" s="3">
        <f t="shared" ref="R3" si="6">Q3+1</f>
        <v>18</v>
      </c>
      <c r="S3" s="3">
        <f t="shared" ref="S3" si="7">R3+1</f>
        <v>19</v>
      </c>
      <c r="T3" s="3">
        <f t="shared" ref="T3" si="8">S3+1</f>
        <v>20</v>
      </c>
    </row>
    <row r="4" spans="1:22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5" t="s">
        <v>36</v>
      </c>
      <c r="N4" s="45"/>
      <c r="O4" s="45"/>
      <c r="P4" s="45"/>
      <c r="Q4" s="45"/>
      <c r="R4" s="45"/>
      <c r="S4" s="45"/>
      <c r="T4" s="45"/>
    </row>
    <row r="5" spans="1:22" x14ac:dyDescent="0.2">
      <c r="B5" s="3" t="s">
        <v>93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75</v>
      </c>
      <c r="H5" s="3" t="s">
        <v>75</v>
      </c>
      <c r="I5" s="3" t="s">
        <v>75</v>
      </c>
      <c r="J5" s="3" t="s">
        <v>75</v>
      </c>
      <c r="K5" s="3" t="s">
        <v>75</v>
      </c>
      <c r="L5" s="3" t="s">
        <v>665</v>
      </c>
      <c r="M5" s="3" t="s">
        <v>93</v>
      </c>
      <c r="N5" s="3" t="s">
        <v>93</v>
      </c>
      <c r="O5" s="3" t="s">
        <v>93</v>
      </c>
      <c r="P5" s="3" t="s">
        <v>93</v>
      </c>
      <c r="Q5" s="3" t="s">
        <v>75</v>
      </c>
      <c r="R5" s="3" t="s">
        <v>75</v>
      </c>
      <c r="S5" s="3" t="s">
        <v>75</v>
      </c>
      <c r="T5" s="3" t="s">
        <v>75</v>
      </c>
    </row>
    <row r="6" spans="1:22" x14ac:dyDescent="0.2">
      <c r="A6" s="483" t="s">
        <v>25</v>
      </c>
      <c r="B6" s="484">
        <v>10000000</v>
      </c>
      <c r="C6" s="485">
        <v>750000</v>
      </c>
      <c r="D6" s="485">
        <v>500000</v>
      </c>
      <c r="E6" s="485">
        <v>350000</v>
      </c>
      <c r="F6" s="485">
        <v>250000</v>
      </c>
      <c r="G6" s="484">
        <v>10000000</v>
      </c>
      <c r="H6" s="485">
        <v>750000</v>
      </c>
      <c r="I6" s="485">
        <v>500000</v>
      </c>
      <c r="J6" s="485">
        <v>350000</v>
      </c>
      <c r="K6" s="485">
        <v>250000</v>
      </c>
      <c r="L6" s="486">
        <v>1</v>
      </c>
      <c r="M6" s="485">
        <v>750000</v>
      </c>
      <c r="N6" s="485">
        <v>500000</v>
      </c>
      <c r="O6" s="485">
        <v>350000</v>
      </c>
      <c r="P6" s="485">
        <v>250000</v>
      </c>
      <c r="Q6" s="485">
        <v>750000</v>
      </c>
      <c r="R6" s="485">
        <v>500000</v>
      </c>
      <c r="S6" s="485">
        <v>350000</v>
      </c>
      <c r="T6" s="485">
        <v>250000</v>
      </c>
    </row>
    <row r="7" spans="1:22" x14ac:dyDescent="0.2">
      <c r="A7" s="134">
        <v>1</v>
      </c>
      <c r="B7" s="135">
        <v>54.148174703414085</v>
      </c>
      <c r="C7" s="135">
        <v>52.618897490031323</v>
      </c>
      <c r="D7" s="135">
        <v>52.13783780531891</v>
      </c>
      <c r="E7" s="135">
        <v>50.821709501643888</v>
      </c>
      <c r="F7" s="135">
        <v>46.1059519569109</v>
      </c>
      <c r="G7" s="135">
        <v>690.44188564959745</v>
      </c>
      <c r="H7" s="135">
        <v>672.96211536769067</v>
      </c>
      <c r="I7" s="135">
        <v>663.8695032996402</v>
      </c>
      <c r="J7" s="135">
        <v>637.9483388662801</v>
      </c>
      <c r="K7" s="135">
        <v>604.69618424536361</v>
      </c>
      <c r="L7" s="135">
        <v>14.685829787234043</v>
      </c>
      <c r="M7" s="135">
        <v>89.981422345072687</v>
      </c>
      <c r="N7" s="135">
        <v>85.233585084350324</v>
      </c>
      <c r="O7" s="135">
        <v>95.927395690369252</v>
      </c>
      <c r="P7" s="135">
        <v>172.83741731771718</v>
      </c>
      <c r="Q7" s="135">
        <v>1097.9229033679992</v>
      </c>
      <c r="R7" s="135">
        <v>1127.1182905052176</v>
      </c>
      <c r="S7" s="135">
        <v>1525.924517038439</v>
      </c>
      <c r="T7" s="135">
        <v>1820.5376410272286</v>
      </c>
    </row>
    <row r="8" spans="1:22" x14ac:dyDescent="0.2">
      <c r="A8" s="136">
        <v>3</v>
      </c>
      <c r="B8" s="137">
        <v>13.030309407537871</v>
      </c>
      <c r="C8" s="137">
        <v>12.662301522333603</v>
      </c>
      <c r="D8" s="137">
        <v>12.546538496716783</v>
      </c>
      <c r="E8" s="137">
        <v>12.229823129839934</v>
      </c>
      <c r="F8" s="137">
        <v>11.095015165668105</v>
      </c>
      <c r="G8" s="137">
        <v>57.238042275661037</v>
      </c>
      <c r="H8" s="137">
        <v>55.788958940539644</v>
      </c>
      <c r="I8" s="137">
        <v>55.0351760012882</v>
      </c>
      <c r="J8" s="137">
        <v>52.886296078867041</v>
      </c>
      <c r="K8" s="137">
        <v>50.129672717064281</v>
      </c>
      <c r="L8" s="137">
        <v>4.4057489361702125</v>
      </c>
      <c r="M8" s="137">
        <v>21.65328343030394</v>
      </c>
      <c r="N8" s="137">
        <v>20.510755748388394</v>
      </c>
      <c r="O8" s="137">
        <v>23.084132629608568</v>
      </c>
      <c r="P8" s="137">
        <v>41.591891826181929</v>
      </c>
      <c r="Q8" s="137">
        <v>91.018460589581252</v>
      </c>
      <c r="R8" s="137">
        <v>93.438775518247795</v>
      </c>
      <c r="S8" s="137">
        <v>126.50004849219094</v>
      </c>
      <c r="T8" s="137">
        <v>150.92365139972514</v>
      </c>
    </row>
    <row r="9" spans="1:22" x14ac:dyDescent="0.2">
      <c r="A9" s="136">
        <v>4</v>
      </c>
      <c r="B9" s="137">
        <v>9.2298024970059931</v>
      </c>
      <c r="C9" s="137">
        <v>8.9691302449863013</v>
      </c>
      <c r="D9" s="137">
        <v>8.8871314351743891</v>
      </c>
      <c r="E9" s="137">
        <v>8.6627913836366197</v>
      </c>
      <c r="F9" s="137">
        <v>7.858969075681574</v>
      </c>
      <c r="G9" s="137">
        <v>34.481431558945751</v>
      </c>
      <c r="H9" s="137">
        <v>33.608472494368449</v>
      </c>
      <c r="I9" s="137">
        <v>33.154377389142397</v>
      </c>
      <c r="J9" s="137">
        <v>31.859845762492661</v>
      </c>
      <c r="K9" s="137">
        <v>30.199196376093024</v>
      </c>
      <c r="L9" s="137">
        <v>3.2558207547169808</v>
      </c>
      <c r="M9" s="137">
        <v>15.337742429798624</v>
      </c>
      <c r="N9" s="137">
        <v>14.52845198844178</v>
      </c>
      <c r="O9" s="137">
        <v>16.351260612639404</v>
      </c>
      <c r="P9" s="137">
        <v>29.460923376878867</v>
      </c>
      <c r="Q9" s="137">
        <v>54.831484352755176</v>
      </c>
      <c r="R9" s="137">
        <v>56.28953428328883</v>
      </c>
      <c r="S9" s="137">
        <v>76.206358408969976</v>
      </c>
      <c r="T9" s="137">
        <v>90.91966373173284</v>
      </c>
    </row>
    <row r="10" spans="1:22" x14ac:dyDescent="0.2">
      <c r="A10" s="691">
        <v>7</v>
      </c>
      <c r="B10" s="692">
        <f>IF($A10 &lt;= 12, B$12 /  LDF!$AR8, 1 / ((((1 / B$18) - (1 / B$12)) * LDF!$AR8) + (1 / B$12)))</f>
        <v>4.7039920066059908</v>
      </c>
      <c r="C10" s="692">
        <f>IF($A10 &lt;= 12, C$12 /  LDF!$AR8, 1 / ((((1 / C$18) - (1 / C$12)) * LDF!$AR8) + (1 / C$12)))</f>
        <v>4.5711397391558073</v>
      </c>
      <c r="D10" s="692">
        <f>IF($A10 &lt;= 12, D$12 /  LDF!$AR8, 1 / ((((1 / D$18) - (1 / D$12)) * LDF!$AR8) + (1 / D$12)))</f>
        <v>4.5293488399430055</v>
      </c>
      <c r="E10" s="692">
        <f>IF($A10 &lt;= 12, E$12 /  LDF!$AR8, 1 / ((((1 / E$18) - (1 / E$12)) * LDF!$AR8) + (1 / E$12)))</f>
        <v>4.4150133696512457</v>
      </c>
      <c r="F10" s="692">
        <f>IF($A10 &lt;= 12, F$12 /  LDF!$AR8, 1 / ((((1 / F$18) - (1 / F$12)) * LDF!$AR8) + (1 / F$12)))</f>
        <v>4.0053433130515872</v>
      </c>
      <c r="G10" s="692">
        <f>IF($A10 &lt;= 12, G$12 /  LDF!$AS8, 1 / ((((1 / G$18) - (1 / G$12)) * LDF!$AS8) + (1 / G$12)))</f>
        <v>14.428805368630934</v>
      </c>
      <c r="H10" s="692">
        <f>IF($A10 &lt;= 12, H$12 /  LDF!$AS8, 1 / ((((1 / H$18) - (1 / H$12)) * LDF!$AS8) + (1 / H$12)))</f>
        <v>14.063514373794026</v>
      </c>
      <c r="I10" s="692">
        <f>IF($A10 &lt;= 12, I$12 /  LDF!$AS8, 1 / ((((1 / I$18) - (1 / I$12)) * LDF!$AS8) + (1 / I$12)))</f>
        <v>13.873497614166341</v>
      </c>
      <c r="J10" s="692">
        <f>IF($A10 &lt;= 12, J$12 /  LDF!$AS8, 1 / ((((1 / J$18) - (1 / J$12)) * LDF!$AS8) + (1 / J$12)))</f>
        <v>13.331798965357766</v>
      </c>
      <c r="K10" s="692">
        <f>IF($A10 &lt;= 12, K$12 /  LDF!$AS8, 1 / ((((1 / K$18) - (1 / K$12)) * LDF!$AS8) + (1 / K$12)))</f>
        <v>12.636897805557158</v>
      </c>
      <c r="L10" s="692">
        <f>IF($A10 &lt;= 12, L$12 /  LDF!$AT8, 1 / ((((1 / L$18) - (1 / L$12)) * LDF!$AT8) + (1 / L$12)))</f>
        <v>1.808011557449027</v>
      </c>
      <c r="M10" s="692">
        <f>IF($A10 &lt;= 12, M$12 /  LDF!$AR8, 1 / ((((1 / M$18) - (1 / M$12)) * LDF!$AR8) + (1 / M$12)))</f>
        <v>7.8169189224317837</v>
      </c>
      <c r="N10" s="692">
        <f>IF($A10 &lt;= 12, N$12 /  LDF!$AR8, 1 / ((((1 / N$18) - (1 / N$12)) * LDF!$AR8) + (1 / N$12)))</f>
        <v>7.404462017920542</v>
      </c>
      <c r="O10" s="692">
        <f>IF($A10 &lt;= 12, O$12 /  LDF!$AR8, 1 / ((((1 / O$18) - (1 / O$12)) * LDF!$AR8) + (1 / O$12)))</f>
        <v>8.3334610079400484</v>
      </c>
      <c r="P10" s="692">
        <f>IF($A10 &lt;= 12, P$12 /  LDF!$AR8, 1 / ((((1 / P$18) - (1 / P$12)) * LDF!$AR8) + (1 / P$12)))</f>
        <v>15.014833537014933</v>
      </c>
      <c r="Q10" s="692">
        <f>IF($A10 &lt;= 12, Q$12 /  LDF!$AS8, 1 / ((((1 / Q$18) - (1 / Q$12)) * LDF!$AS8) + (1 / Q$12)))</f>
        <v>22.94431466531681</v>
      </c>
      <c r="R10" s="692">
        <f>IF($A10 &lt;= 12, R$12 /  LDF!$AS8, 1 / ((((1 / R$18) - (1 / R$12)) * LDF!$AS8) + (1 / R$12)))</f>
        <v>23.554437787074438</v>
      </c>
      <c r="S10" s="692">
        <f>IF($A10 &lt;= 12, S$12 /  LDF!$AS8, 1 / ((((1 / S$18) - (1 / S$12)) * LDF!$AS8) + (1 / S$12)))</f>
        <v>31.888661915195083</v>
      </c>
      <c r="T10" s="692">
        <f>IF($A10 &lt;= 12, T$12 /  LDF!$AS8, 1 / ((((1 / T$18) - (1 / T$12)) * LDF!$AS8) + (1 / T$12)))</f>
        <v>38.045466004621282</v>
      </c>
      <c r="V10" s="1" t="s">
        <v>813</v>
      </c>
    </row>
    <row r="11" spans="1:22" x14ac:dyDescent="0.2">
      <c r="A11" s="136">
        <v>9</v>
      </c>
      <c r="B11" s="137">
        <v>3.4710368365255215</v>
      </c>
      <c r="C11" s="137">
        <v>3.3730062460211294</v>
      </c>
      <c r="D11" s="137">
        <v>3.3421690867752267</v>
      </c>
      <c r="E11" s="137">
        <v>3.2578018879052375</v>
      </c>
      <c r="F11" s="137">
        <v>2.9555097379011621</v>
      </c>
      <c r="G11" s="137">
        <v>9.03101013138048</v>
      </c>
      <c r="H11" s="137">
        <v>8.8023739698278209</v>
      </c>
      <c r="I11" s="137">
        <v>8.6834422053824785</v>
      </c>
      <c r="J11" s="137">
        <v>8.3443922382811806</v>
      </c>
      <c r="K11" s="137">
        <v>7.9094525981560864</v>
      </c>
      <c r="L11" s="137">
        <v>1.3981782579338282</v>
      </c>
      <c r="M11" s="137">
        <v>5.7680398882035702</v>
      </c>
      <c r="N11" s="137">
        <v>5.46369134615093</v>
      </c>
      <c r="O11" s="137">
        <v>6.1491920253451759</v>
      </c>
      <c r="P11" s="137">
        <v>11.079321611960166</v>
      </c>
      <c r="Q11" s="137">
        <v>14.360879705990437</v>
      </c>
      <c r="R11" s="137">
        <v>14.742756649591167</v>
      </c>
      <c r="S11" s="137">
        <v>19.959159575219847</v>
      </c>
      <c r="T11" s="137">
        <v>23.812712152026734</v>
      </c>
    </row>
    <row r="12" spans="1:22" x14ac:dyDescent="0.2">
      <c r="A12" s="136">
        <v>12</v>
      </c>
      <c r="B12" s="137">
        <v>2.453844772707138</v>
      </c>
      <c r="C12" s="137">
        <v>2.3845421800226458</v>
      </c>
      <c r="D12" s="137">
        <v>2.362741892216873</v>
      </c>
      <c r="E12" s="137">
        <v>2.3030986156729409</v>
      </c>
      <c r="F12" s="137">
        <v>2.0893935911937378</v>
      </c>
      <c r="G12" s="137">
        <v>5.6515104909834006</v>
      </c>
      <c r="H12" s="137">
        <v>5.5084324026150613</v>
      </c>
      <c r="I12" s="137">
        <v>5.434006164055269</v>
      </c>
      <c r="J12" s="137">
        <v>5.2218322855892882</v>
      </c>
      <c r="K12" s="137">
        <v>4.9496516653317215</v>
      </c>
      <c r="L12" s="137">
        <v>1.0353509999999999</v>
      </c>
      <c r="M12" s="137">
        <v>4.0777079573152859</v>
      </c>
      <c r="N12" s="137">
        <v>3.8625491692730143</v>
      </c>
      <c r="O12" s="137">
        <v>4.347162942491213</v>
      </c>
      <c r="P12" s="137">
        <v>7.8325113512375077</v>
      </c>
      <c r="Q12" s="137">
        <v>8.9868864210596726</v>
      </c>
      <c r="R12" s="137">
        <v>9.2258609678299255</v>
      </c>
      <c r="S12" s="137">
        <v>12.490230670721687</v>
      </c>
      <c r="T12" s="137">
        <v>14.901743059541385</v>
      </c>
    </row>
    <row r="13" spans="1:22" x14ac:dyDescent="0.2">
      <c r="A13" s="136">
        <v>13</v>
      </c>
      <c r="B13" s="137">
        <v>2.1713125387027192</v>
      </c>
      <c r="C13" s="137">
        <v>2.1099893490152009</v>
      </c>
      <c r="D13" s="137">
        <v>2.0906991156693566</v>
      </c>
      <c r="E13" s="137">
        <v>2.0379230820548577</v>
      </c>
      <c r="F13" s="137">
        <v>1.8849963920207979</v>
      </c>
      <c r="G13" s="137">
        <v>4.7280452648955507</v>
      </c>
      <c r="H13" s="137">
        <v>4.6083463491278964</v>
      </c>
      <c r="I13" s="137">
        <v>4.5503546567945676</v>
      </c>
      <c r="J13" s="137">
        <v>4.3767975227472844</v>
      </c>
      <c r="K13" s="137">
        <v>4.1564844515614645</v>
      </c>
      <c r="L13" s="137">
        <v>1.0330318258077069</v>
      </c>
      <c r="M13" s="137">
        <v>3.6082064013848125</v>
      </c>
      <c r="N13" s="137">
        <v>3.417820693419706</v>
      </c>
      <c r="O13" s="137">
        <v>3.8466367187528334</v>
      </c>
      <c r="P13" s="137">
        <v>5.5560278708795687</v>
      </c>
      <c r="Q13" s="137">
        <v>7.5184158035335695</v>
      </c>
      <c r="R13" s="137">
        <v>7.6010386044001104</v>
      </c>
      <c r="S13" s="137">
        <v>10.146014443132239</v>
      </c>
      <c r="T13" s="137">
        <v>11.878693485181518</v>
      </c>
    </row>
    <row r="14" spans="1:22" x14ac:dyDescent="0.2">
      <c r="A14" s="136">
        <v>15</v>
      </c>
      <c r="B14" s="137">
        <v>1.9482410190453274</v>
      </c>
      <c r="C14" s="137">
        <v>1.8932179159966522</v>
      </c>
      <c r="D14" s="137">
        <v>1.8759094801075551</v>
      </c>
      <c r="E14" s="137">
        <v>1.828555434258534</v>
      </c>
      <c r="F14" s="137">
        <v>1.7178768505831197</v>
      </c>
      <c r="G14" s="137">
        <v>3.6736621983601334</v>
      </c>
      <c r="H14" s="137">
        <v>3.5806568742983647</v>
      </c>
      <c r="I14" s="137">
        <v>3.5393962697931163</v>
      </c>
      <c r="J14" s="137">
        <v>3.4080670149554138</v>
      </c>
      <c r="K14" s="137">
        <v>3.2435265204296675</v>
      </c>
      <c r="L14" s="137">
        <v>1.0289832965510377</v>
      </c>
      <c r="M14" s="137">
        <v>3.2375144485463161</v>
      </c>
      <c r="N14" s="137">
        <v>3.0666881676281155</v>
      </c>
      <c r="O14" s="137">
        <v>3.4514494377293534</v>
      </c>
      <c r="P14" s="137">
        <v>4.3102369942582435</v>
      </c>
      <c r="Q14" s="137">
        <v>5.8417630080800258</v>
      </c>
      <c r="R14" s="137">
        <v>5.8052250733743103</v>
      </c>
      <c r="S14" s="137">
        <v>7.6305148749819853</v>
      </c>
      <c r="T14" s="137">
        <v>8.7579723467388888</v>
      </c>
    </row>
    <row r="15" spans="1:22" x14ac:dyDescent="0.2">
      <c r="A15" s="136">
        <v>16</v>
      </c>
      <c r="B15" s="137">
        <v>1.8606716256061158</v>
      </c>
      <c r="C15" s="137">
        <v>1.8081216969296114</v>
      </c>
      <c r="D15" s="137">
        <v>1.7915912393385653</v>
      </c>
      <c r="E15" s="137">
        <v>1.7463656596450938</v>
      </c>
      <c r="F15" s="137">
        <v>1.6508297769838238</v>
      </c>
      <c r="G15" s="137">
        <v>3.3339918663905799</v>
      </c>
      <c r="H15" s="137">
        <v>3.2495859038360009</v>
      </c>
      <c r="I15" s="137">
        <v>3.2132524436225882</v>
      </c>
      <c r="J15" s="137">
        <v>3.0951007058113005</v>
      </c>
      <c r="K15" s="137">
        <v>2.9477327674918974</v>
      </c>
      <c r="L15" s="137">
        <v>1.0271442560015025</v>
      </c>
      <c r="M15" s="137">
        <v>3.0919948882155288</v>
      </c>
      <c r="N15" s="137">
        <v>2.9288468943558779</v>
      </c>
      <c r="O15" s="137">
        <v>3.2963139433046584</v>
      </c>
      <c r="P15" s="137">
        <v>3.9087433230384772</v>
      </c>
      <c r="Q15" s="137">
        <v>5.3016279948151306</v>
      </c>
      <c r="R15" s="137">
        <v>5.2396775022751907</v>
      </c>
      <c r="S15" s="137">
        <v>6.8541615936766318</v>
      </c>
      <c r="T15" s="137">
        <v>7.8194612705570155</v>
      </c>
    </row>
    <row r="16" spans="1:22" x14ac:dyDescent="0.2">
      <c r="A16" s="691">
        <v>19</v>
      </c>
      <c r="B16" s="692">
        <f>IF($A16 &lt;= 12, B$12 /  LDF!$AR14, 1 / ((((1 / B$18) - (1 / B$12)) * LDF!$AR14) + (1 / B$12)))</f>
        <v>1.6604362965278177</v>
      </c>
      <c r="C16" s="692">
        <f>IF($A16 &lt;= 12, C$12 /  LDF!$AR14, 1 / ((((1 / C$18) - (1 / C$12)) * LDF!$AR14) + (1 / C$12)))</f>
        <v>1.6135415044787413</v>
      </c>
      <c r="D16" s="692">
        <f>IF($A16 &lt;= 12, D$12 /  LDF!$AR14, 1 / ((((1 / D$18) - (1 / D$12)) * LDF!$AR14) + (1 / D$12)))</f>
        <v>1.5987899645483976</v>
      </c>
      <c r="E16" s="692">
        <f>IF($A16 &lt;= 12, E$12 /  LDF!$AR14, 1 / ((((1 / E$18) - (1 / E$12)) * LDF!$AR14) + (1 / E$12)))</f>
        <v>1.5584313150042635</v>
      </c>
      <c r="F16" s="692">
        <f>IF($A16 &lt;= 12, F$12 /  LDF!$AR14, 1 / ((((1 / F$18) - (1 / F$12)) * LDF!$AR14) + (1 / F$12)))</f>
        <v>1.4943530208284144</v>
      </c>
      <c r="G16" s="692">
        <f>IF($A16 &lt;= 12, G$12 /  LDF!$AS14, 1 / ((((1 / G$18) - (1 / G$12)) * LDF!$AS14) + (1 / G$12)))</f>
        <v>2.5804098746134532</v>
      </c>
      <c r="H16" s="692">
        <f>IF($A16 &lt;= 12, H$12 /  LDF!$AS14, 1 / ((((1 / H$18) - (1 / H$12)) * LDF!$AS14) + (1 / H$12)))</f>
        <v>2.5150821869703859</v>
      </c>
      <c r="I16" s="692">
        <f>IF($A16 &lt;= 12, I$12 /  LDF!$AS14, 1 / ((((1 / I$18) - (1 / I$12)) * LDF!$AS14) + (1 / I$12)))</f>
        <v>2.4888729842878141</v>
      </c>
      <c r="J16" s="692">
        <f>IF($A16 &lt;= 12, J$12 /  LDF!$AS14, 1 / ((((1 / J$18) - (1 / J$12)) * LDF!$AS14) + (1 / J$12)))</f>
        <v>2.399209864363232</v>
      </c>
      <c r="K16" s="692">
        <f>IF($A16 &lt;= 12, K$12 /  LDF!$AS14, 1 / ((((1 / K$18) - (1 / K$12)) * LDF!$AS14) + (1 / K$12)))</f>
        <v>2.2885387762769187</v>
      </c>
      <c r="L16" s="692">
        <f>IF($A16 &lt;= 12, L$12 /  LDF!$AT14, 1 / ((((1 / L$18) - (1 / L$12)) * LDF!$AT14) + (1 / L$12)))</f>
        <v>1.0177296104460731</v>
      </c>
      <c r="M16" s="692">
        <f>IF($A16 &lt;= 12, M$12 /  LDF!$AR14, 1 / ((((1 / M$18) - (1 / M$12)) * LDF!$AR14) + (1 / M$12)))</f>
        <v>2.7592512673476817</v>
      </c>
      <c r="N16" s="692">
        <f>IF($A16 &lt;= 12, N$12 /  LDF!$AR14, 1 / ((((1 / N$18) - (1 / N$12)) * LDF!$AR14) + (1 / N$12)))</f>
        <v>2.6136603705003987</v>
      </c>
      <c r="O16" s="692">
        <f>IF($A16 &lt;= 12, O$12 /  LDF!$AR14, 1 / ((((1 / O$18) - (1 / O$12)) * LDF!$AR14) + (1 / O$12)))</f>
        <v>2.9415826204319386</v>
      </c>
      <c r="P16" s="692">
        <f>IF($A16 &lt;= 12, P$12 /  LDF!$AR14, 1 / ((((1 / P$18) - (1 / P$12)) * LDF!$AR14) + (1 / P$12)))</f>
        <v>3.1272158616310071</v>
      </c>
      <c r="Q16" s="692">
        <f>IF($A16 &lt;= 12, Q$12 /  LDF!$AS14, 1 / ((((1 / Q$18) - (1 / Q$12)) * LDF!$AS14) + (1 / Q$12)))</f>
        <v>4.1033013209353273</v>
      </c>
      <c r="R16" s="692">
        <f>IF($A16 &lt;= 12, R$12 /  LDF!$AS14, 1 / ((((1 / R$18) - (1 / R$12)) * LDF!$AS14) + (1 / R$12)))</f>
        <v>4.0067756062270652</v>
      </c>
      <c r="S16" s="692">
        <f>IF($A16 &lt;= 12, S$12 /  LDF!$AS14, 1 / ((((1 / S$18) - (1 / S$12)) * LDF!$AS14) + (1 / S$12)))</f>
        <v>5.1872105471287808</v>
      </c>
      <c r="T16" s="692">
        <f>IF($A16 &lt;= 12, T$12 /  LDF!$AS14, 1 / ((((1 / T$18) - (1 / T$12)) * LDF!$AS14) + (1 / T$12)))</f>
        <v>5.8420924615834426</v>
      </c>
      <c r="V16" s="1" t="s">
        <v>813</v>
      </c>
    </row>
    <row r="17" spans="1:20" x14ac:dyDescent="0.2">
      <c r="A17" s="136">
        <v>21</v>
      </c>
      <c r="B17" s="137">
        <v>1.5561515596925701</v>
      </c>
      <c r="C17" s="137">
        <v>1.5122020242956209</v>
      </c>
      <c r="D17" s="137">
        <v>1.4983769640277416</v>
      </c>
      <c r="E17" s="137">
        <v>1.460553064630624</v>
      </c>
      <c r="F17" s="137">
        <v>1.4110632064074169</v>
      </c>
      <c r="G17" s="137">
        <v>2.3698642187445604</v>
      </c>
      <c r="H17" s="137">
        <v>2.3098668706636407</v>
      </c>
      <c r="I17" s="137">
        <v>2.2862872240450742</v>
      </c>
      <c r="J17" s="137">
        <v>2.2043989116987603</v>
      </c>
      <c r="K17" s="137">
        <v>2.1036324234437451</v>
      </c>
      <c r="L17" s="137">
        <v>1.019129962791909</v>
      </c>
      <c r="M17" s="137">
        <v>2.5859547711921893</v>
      </c>
      <c r="N17" s="137">
        <v>2.4495078013929152</v>
      </c>
      <c r="O17" s="137">
        <v>2.7568346899679024</v>
      </c>
      <c r="P17" s="137">
        <v>2.7809581673451924</v>
      </c>
      <c r="Q17" s="137">
        <v>3.7684970418386055</v>
      </c>
      <c r="R17" s="137">
        <v>3.6675727174526318</v>
      </c>
      <c r="S17" s="137">
        <v>4.7346152421304808</v>
      </c>
      <c r="T17" s="137">
        <v>5.3139123115765567</v>
      </c>
    </row>
    <row r="18" spans="1:20" x14ac:dyDescent="0.2">
      <c r="A18" s="136">
        <v>24</v>
      </c>
      <c r="B18" s="137">
        <v>1.4266539376204286</v>
      </c>
      <c r="C18" s="137">
        <v>1.3863617325713051</v>
      </c>
      <c r="D18" s="137">
        <v>1.3736871466377178</v>
      </c>
      <c r="E18" s="137">
        <v>1.3390108230656632</v>
      </c>
      <c r="F18" s="137">
        <v>1.3058709944960851</v>
      </c>
      <c r="G18" s="137">
        <v>2.0625950697019713</v>
      </c>
      <c r="H18" s="137">
        <v>2.0103767892755697</v>
      </c>
      <c r="I18" s="137">
        <v>1.9904784483718938</v>
      </c>
      <c r="J18" s="137">
        <v>1.9197912814666498</v>
      </c>
      <c r="K18" s="137">
        <v>1.8332043204932298</v>
      </c>
      <c r="L18" s="137">
        <v>1.01505</v>
      </c>
      <c r="M18" s="137">
        <v>2.3707604402996059</v>
      </c>
      <c r="N18" s="137">
        <v>2.2456681216703211</v>
      </c>
      <c r="O18" s="137">
        <v>2.5274203154018662</v>
      </c>
      <c r="P18" s="137">
        <v>2.3973273130075947</v>
      </c>
      <c r="Q18" s="137">
        <v>3.2798855551312864</v>
      </c>
      <c r="R18" s="137">
        <v>3.1765832703846839</v>
      </c>
      <c r="S18" s="137">
        <v>4.0840193048789244</v>
      </c>
      <c r="T18" s="137">
        <v>4.5610346472610725</v>
      </c>
    </row>
    <row r="19" spans="1:20" x14ac:dyDescent="0.2">
      <c r="A19" s="136">
        <v>25</v>
      </c>
      <c r="B19" s="137">
        <v>1.4061242116053203</v>
      </c>
      <c r="C19" s="137">
        <v>1.3672973480298747</v>
      </c>
      <c r="D19" s="137">
        <v>1.3548964884720387</v>
      </c>
      <c r="E19" s="137">
        <v>1.3210372884096222</v>
      </c>
      <c r="F19" s="137">
        <v>1.2894895967668538</v>
      </c>
      <c r="G19" s="137">
        <v>1.9969673014451748</v>
      </c>
      <c r="H19" s="137">
        <v>1.9457016476481619</v>
      </c>
      <c r="I19" s="137">
        <v>1.9261504242630434</v>
      </c>
      <c r="J19" s="137">
        <v>1.8566099616728211</v>
      </c>
      <c r="K19" s="137">
        <v>1.7768364422391132</v>
      </c>
      <c r="L19" s="137">
        <v>1.0137262615863785</v>
      </c>
      <c r="M19" s="137">
        <v>2.2987038012317549</v>
      </c>
      <c r="N19" s="137">
        <v>2.1859398175788662</v>
      </c>
      <c r="O19" s="137">
        <v>2.4558985963191517</v>
      </c>
      <c r="P19" s="137">
        <v>2.3258359290822161</v>
      </c>
      <c r="Q19" s="137">
        <v>3.1858930220970345</v>
      </c>
      <c r="R19" s="137">
        <v>3.0851756912746997</v>
      </c>
      <c r="S19" s="137">
        <v>3.969596468252711</v>
      </c>
      <c r="T19" s="137">
        <v>4.336091862676196</v>
      </c>
    </row>
    <row r="20" spans="1:20" x14ac:dyDescent="0.2">
      <c r="A20" s="136">
        <v>27</v>
      </c>
      <c r="B20" s="137">
        <v>1.3683388415443059</v>
      </c>
      <c r="C20" s="137">
        <v>1.3322620705531405</v>
      </c>
      <c r="D20" s="137">
        <v>1.3204133438347934</v>
      </c>
      <c r="E20" s="137">
        <v>1.2881888383983287</v>
      </c>
      <c r="F20" s="137">
        <v>1.2595595830644573</v>
      </c>
      <c r="G20" s="137">
        <v>1.8799164743958694</v>
      </c>
      <c r="H20" s="137">
        <v>1.8307861954150495</v>
      </c>
      <c r="I20" s="137">
        <v>1.8120317350985127</v>
      </c>
      <c r="J20" s="137">
        <v>1.7452304849505922</v>
      </c>
      <c r="K20" s="137">
        <v>1.6771866316809474</v>
      </c>
      <c r="L20" s="137">
        <v>1.01141974049836</v>
      </c>
      <c r="M20" s="137">
        <v>2.1681756852333067</v>
      </c>
      <c r="N20" s="137">
        <v>2.0767335482235891</v>
      </c>
      <c r="O20" s="137">
        <v>2.3249967534571989</v>
      </c>
      <c r="P20" s="137">
        <v>2.1960012899132821</v>
      </c>
      <c r="Q20" s="137">
        <v>3.0122841055812355</v>
      </c>
      <c r="R20" s="137">
        <v>2.9165679627378327</v>
      </c>
      <c r="S20" s="137">
        <v>3.7566973746276169</v>
      </c>
      <c r="T20" s="137">
        <v>3.9385864762186156</v>
      </c>
    </row>
    <row r="21" spans="1:20" x14ac:dyDescent="0.2">
      <c r="A21" s="136">
        <v>28</v>
      </c>
      <c r="B21" s="137">
        <v>1.3509462020868512</v>
      </c>
      <c r="C21" s="137">
        <v>1.3161603303115046</v>
      </c>
      <c r="D21" s="137">
        <v>1.3045880124433265</v>
      </c>
      <c r="E21" s="137">
        <v>1.2731759522579453</v>
      </c>
      <c r="F21" s="137">
        <v>1.2458853200693376</v>
      </c>
      <c r="G21" s="137">
        <v>1.8276557546890362</v>
      </c>
      <c r="H21" s="137">
        <v>1.7796697050673909</v>
      </c>
      <c r="I21" s="137">
        <v>1.761348280316253</v>
      </c>
      <c r="J21" s="137">
        <v>1.6960696643490987</v>
      </c>
      <c r="K21" s="137">
        <v>1.6330841880742939</v>
      </c>
      <c r="L21" s="137">
        <v>1.0104169422658527</v>
      </c>
      <c r="M21" s="137">
        <v>2.1090016511056846</v>
      </c>
      <c r="N21" s="137">
        <v>2.0267732545310206</v>
      </c>
      <c r="O21" s="137">
        <v>2.2650499378711237</v>
      </c>
      <c r="P21" s="137">
        <v>2.136994395062485</v>
      </c>
      <c r="Q21" s="137">
        <v>2.9320625140663936</v>
      </c>
      <c r="R21" s="137">
        <v>2.8387599213854919</v>
      </c>
      <c r="S21" s="137">
        <v>3.6576110616472479</v>
      </c>
      <c r="T21" s="137">
        <v>3.7626967009423198</v>
      </c>
    </row>
    <row r="22" spans="1:20" x14ac:dyDescent="0.2">
      <c r="A22" s="136">
        <v>33</v>
      </c>
      <c r="B22" s="137">
        <v>1.2766742054313418</v>
      </c>
      <c r="C22" s="137">
        <v>1.2476080584515425</v>
      </c>
      <c r="D22" s="137">
        <v>1.2373924812046169</v>
      </c>
      <c r="E22" s="137">
        <v>1.2099216832309119</v>
      </c>
      <c r="F22" s="137">
        <v>1.1883209890957069</v>
      </c>
      <c r="G22" s="137">
        <v>1.615862107511099</v>
      </c>
      <c r="H22" s="137">
        <v>1.5738585110657843</v>
      </c>
      <c r="I22" s="137">
        <v>1.5578320403081003</v>
      </c>
      <c r="J22" s="137">
        <v>1.5007896640088085</v>
      </c>
      <c r="K22" s="137">
        <v>1.4571305302559789</v>
      </c>
      <c r="L22" s="137">
        <v>1.0065828296491073</v>
      </c>
      <c r="M22" s="137">
        <v>1.8626685212216112</v>
      </c>
      <c r="N22" s="137">
        <v>1.8154486677193797</v>
      </c>
      <c r="O22" s="137">
        <v>2.0109946577542863</v>
      </c>
      <c r="P22" s="137">
        <v>1.8902743864369826</v>
      </c>
      <c r="Q22" s="137">
        <v>2.5865811185031364</v>
      </c>
      <c r="R22" s="137">
        <v>2.5044611174110556</v>
      </c>
      <c r="S22" s="137">
        <v>3.225354898817931</v>
      </c>
      <c r="T22" s="137">
        <v>3.0604288982215624</v>
      </c>
    </row>
    <row r="23" spans="1:20" x14ac:dyDescent="0.2">
      <c r="A23" s="136">
        <v>36</v>
      </c>
      <c r="B23" s="137">
        <v>1.2405686414090686</v>
      </c>
      <c r="C23" s="137">
        <v>1.2144274111043782</v>
      </c>
      <c r="D23" s="137">
        <v>1.2049887251208053</v>
      </c>
      <c r="E23" s="137">
        <v>1.1797452185600559</v>
      </c>
      <c r="F23" s="137">
        <v>1.1609006822322765</v>
      </c>
      <c r="G23" s="137">
        <v>1.5195268376228992</v>
      </c>
      <c r="H23" s="137">
        <v>1.4810573000544318</v>
      </c>
      <c r="I23" s="137">
        <v>1.4663980664164524</v>
      </c>
      <c r="J23" s="137">
        <v>1.4143223833287564</v>
      </c>
      <c r="K23" s="137">
        <v>1.3788055372258301</v>
      </c>
      <c r="L23" s="137">
        <v>1.0049999999999999</v>
      </c>
      <c r="M23" s="137">
        <v>1.7465542158647986</v>
      </c>
      <c r="N23" s="137">
        <v>1.7137514359964465</v>
      </c>
      <c r="O23" s="137">
        <v>1.8883968769235551</v>
      </c>
      <c r="P23" s="137">
        <v>1.7733053127301959</v>
      </c>
      <c r="Q23" s="137">
        <v>2.4163124398788525</v>
      </c>
      <c r="R23" s="137">
        <v>2.3402089931257795</v>
      </c>
      <c r="S23" s="137">
        <v>3.008722860968605</v>
      </c>
      <c r="T23" s="137">
        <v>2.7467135424470834</v>
      </c>
    </row>
    <row r="24" spans="1:20" x14ac:dyDescent="0.2">
      <c r="A24" s="136">
        <v>37</v>
      </c>
      <c r="B24" s="137">
        <v>1.2341699185924488</v>
      </c>
      <c r="C24" s="137">
        <v>1.2080605334896859</v>
      </c>
      <c r="D24" s="137">
        <v>1.1986265708359161</v>
      </c>
      <c r="E24" s="137">
        <v>1.1733703644234448</v>
      </c>
      <c r="F24" s="137">
        <v>1.1544816521601684</v>
      </c>
      <c r="G24" s="137">
        <v>1.5038422726119736</v>
      </c>
      <c r="H24" s="137">
        <v>1.4662749664147547</v>
      </c>
      <c r="I24" s="137">
        <v>1.4517585818589418</v>
      </c>
      <c r="J24" s="137">
        <v>1.4006742619598562</v>
      </c>
      <c r="K24" s="137">
        <v>1.365715576763697</v>
      </c>
      <c r="L24" s="137">
        <v>1.0045814244064972</v>
      </c>
      <c r="M24" s="137">
        <v>1.7382643572443197</v>
      </c>
      <c r="N24" s="137">
        <v>1.7056033259296575</v>
      </c>
      <c r="O24" s="137">
        <v>1.8794868300486465</v>
      </c>
      <c r="P24" s="137">
        <v>1.7648993164815483</v>
      </c>
      <c r="Q24" s="137">
        <v>2.3719279819911097</v>
      </c>
      <c r="R24" s="137">
        <v>2.3028641566527455</v>
      </c>
      <c r="S24" s="137">
        <v>2.9465293084086848</v>
      </c>
      <c r="T24" s="137">
        <v>2.695879126163867</v>
      </c>
    </row>
    <row r="25" spans="1:20" x14ac:dyDescent="0.2">
      <c r="A25" s="136">
        <v>39</v>
      </c>
      <c r="B25" s="137">
        <v>1.2219223387600318</v>
      </c>
      <c r="C25" s="137">
        <v>1.1959323121395411</v>
      </c>
      <c r="D25" s="137">
        <v>1.1865326507434857</v>
      </c>
      <c r="E25" s="137">
        <v>1.1613356549164573</v>
      </c>
      <c r="F25" s="137">
        <v>1.1424471581734341</v>
      </c>
      <c r="G25" s="137">
        <v>1.4740851688807912</v>
      </c>
      <c r="H25" s="137">
        <v>1.4382470411479702</v>
      </c>
      <c r="I25" s="137">
        <v>1.4240298193204908</v>
      </c>
      <c r="J25" s="137">
        <v>1.3748797761679008</v>
      </c>
      <c r="K25" s="137">
        <v>1.3410351884556417</v>
      </c>
      <c r="L25" s="137">
        <v>1.0037453183520599</v>
      </c>
      <c r="M25" s="137">
        <v>1.7220115837626722</v>
      </c>
      <c r="N25" s="137">
        <v>1.689636230213946</v>
      </c>
      <c r="O25" s="137">
        <v>1.8619887024948483</v>
      </c>
      <c r="P25" s="137">
        <v>1.7484128214648162</v>
      </c>
      <c r="Q25" s="137">
        <v>2.2882440924506597</v>
      </c>
      <c r="R25" s="137">
        <v>2.2319770101313461</v>
      </c>
      <c r="S25" s="137">
        <v>2.8293111956914823</v>
      </c>
      <c r="T25" s="137">
        <v>2.5996909584476788</v>
      </c>
    </row>
    <row r="26" spans="1:20" x14ac:dyDescent="0.2">
      <c r="A26" s="136">
        <v>40</v>
      </c>
      <c r="B26" s="137">
        <v>1.2160615043639176</v>
      </c>
      <c r="C26" s="137">
        <v>1.1901564947473231</v>
      </c>
      <c r="D26" s="137">
        <v>1.1807852390089284</v>
      </c>
      <c r="E26" s="137">
        <v>1.1556559018522368</v>
      </c>
      <c r="F26" s="137">
        <v>1.1368069272353043</v>
      </c>
      <c r="G26" s="137">
        <v>1.4599684733459097</v>
      </c>
      <c r="H26" s="137">
        <v>1.424959066024172</v>
      </c>
      <c r="I26" s="137">
        <v>1.4108970779472239</v>
      </c>
      <c r="J26" s="137">
        <v>1.3626899944943376</v>
      </c>
      <c r="K26" s="137">
        <v>1.3293999020294736</v>
      </c>
      <c r="L26" s="137">
        <v>1.0033277870216304</v>
      </c>
      <c r="M26" s="137">
        <v>1.7140451545442381</v>
      </c>
      <c r="N26" s="137">
        <v>1.6818136283048988</v>
      </c>
      <c r="O26" s="137">
        <v>1.8533974299226479</v>
      </c>
      <c r="P26" s="137">
        <v>1.7403288824644789</v>
      </c>
      <c r="Q26" s="137">
        <v>2.2487840693010575</v>
      </c>
      <c r="R26" s="137">
        <v>2.1983279570698362</v>
      </c>
      <c r="S26" s="137">
        <v>2.774058590678222</v>
      </c>
      <c r="T26" s="137">
        <v>2.5541740549600052</v>
      </c>
    </row>
    <row r="27" spans="1:20" x14ac:dyDescent="0.2">
      <c r="A27" s="136">
        <v>45</v>
      </c>
      <c r="B27" s="137">
        <v>1.1891673243708325</v>
      </c>
      <c r="C27" s="137">
        <v>1.1638971084734773</v>
      </c>
      <c r="D27" s="137">
        <v>1.1547600788701109</v>
      </c>
      <c r="E27" s="137">
        <v>1.1302764928339033</v>
      </c>
      <c r="F27" s="137">
        <v>1.1119368442656714</v>
      </c>
      <c r="G27" s="137">
        <v>1.3962142214268729</v>
      </c>
      <c r="H27" s="137">
        <v>1.3650219060518822</v>
      </c>
      <c r="I27" s="137">
        <v>1.3517747210773883</v>
      </c>
      <c r="J27" s="137">
        <v>1.3080439983236787</v>
      </c>
      <c r="K27" s="137">
        <v>1.2774782548243033</v>
      </c>
      <c r="L27" s="137">
        <v>1.0012453300124533</v>
      </c>
      <c r="M27" s="137">
        <v>1.6757453286566326</v>
      </c>
      <c r="N27" s="137">
        <v>1.6442409410790368</v>
      </c>
      <c r="O27" s="137">
        <v>1.8119576827870845</v>
      </c>
      <c r="P27" s="137">
        <v>1.7014363870577134</v>
      </c>
      <c r="Q27" s="137">
        <v>2.0724802292461977</v>
      </c>
      <c r="R27" s="137">
        <v>2.0461244665456153</v>
      </c>
      <c r="S27" s="137">
        <v>2.5273519099384036</v>
      </c>
      <c r="T27" s="137">
        <v>2.3494706576431295</v>
      </c>
    </row>
    <row r="28" spans="1:20" x14ac:dyDescent="0.2">
      <c r="A28" s="136">
        <v>48</v>
      </c>
      <c r="B28" s="137">
        <v>1.1747809104252549</v>
      </c>
      <c r="C28" s="137">
        <v>1.1500259574852059</v>
      </c>
      <c r="D28" s="137">
        <v>1.1410878078795501</v>
      </c>
      <c r="E28" s="137">
        <v>1.1171829721212654</v>
      </c>
      <c r="F28" s="137">
        <v>1.0993377672654132</v>
      </c>
      <c r="G28" s="137">
        <v>1.3628043386752451</v>
      </c>
      <c r="H28" s="137">
        <v>1.3336668072412425</v>
      </c>
      <c r="I28" s="137">
        <v>1.3209266485693822</v>
      </c>
      <c r="J28" s="137">
        <v>1.2796959321620238</v>
      </c>
      <c r="K28" s="137">
        <v>1.2507114140977904</v>
      </c>
      <c r="L28" s="137">
        <v>1</v>
      </c>
      <c r="M28" s="137">
        <v>1.6539339165386777</v>
      </c>
      <c r="N28" s="137">
        <v>1.6228706780269586</v>
      </c>
      <c r="O28" s="137">
        <v>1.7882546182988264</v>
      </c>
      <c r="P28" s="137">
        <v>1.6792663946308741</v>
      </c>
      <c r="Q28" s="137">
        <v>1.9813195194251867</v>
      </c>
      <c r="R28" s="137">
        <v>1.9661438367144781</v>
      </c>
      <c r="S28" s="137">
        <v>2.3998851256701581</v>
      </c>
      <c r="T28" s="137">
        <v>2.2427051537448031</v>
      </c>
    </row>
    <row r="29" spans="1:20" x14ac:dyDescent="0.2">
      <c r="A29" s="136">
        <v>49</v>
      </c>
      <c r="B29" s="137">
        <v>1.1709198044183817</v>
      </c>
      <c r="C29" s="137">
        <v>1.1461970207250609</v>
      </c>
      <c r="D29" s="137">
        <v>1.1374031492639751</v>
      </c>
      <c r="E29" s="137">
        <v>1.1135830483568567</v>
      </c>
      <c r="F29" s="137">
        <v>1.0960191758945454</v>
      </c>
      <c r="G29" s="137">
        <v>1.3547056704588676</v>
      </c>
      <c r="H29" s="137">
        <v>1.3256720080826276</v>
      </c>
      <c r="I29" s="137">
        <v>1.3129736884035157</v>
      </c>
      <c r="J29" s="137">
        <v>1.272058972156684</v>
      </c>
      <c r="K29" s="137">
        <v>1.2433896900222827</v>
      </c>
      <c r="L29" s="137">
        <v>1</v>
      </c>
      <c r="M29" s="137">
        <v>1.6483188359463761</v>
      </c>
      <c r="N29" s="137">
        <v>1.6151461337668249</v>
      </c>
      <c r="O29" s="137">
        <v>1.7790251616655501</v>
      </c>
      <c r="P29" s="137">
        <v>1.6693218612579601</v>
      </c>
      <c r="Q29" s="137">
        <v>1.9702261257230507</v>
      </c>
      <c r="R29" s="137">
        <v>1.95512956219275</v>
      </c>
      <c r="S29" s="137">
        <v>2.3827496150308893</v>
      </c>
      <c r="T29" s="137">
        <v>2.2250539543289425</v>
      </c>
    </row>
    <row r="30" spans="1:20" x14ac:dyDescent="0.2">
      <c r="A30" s="136">
        <v>51</v>
      </c>
      <c r="B30" s="137">
        <v>1.1634688362238057</v>
      </c>
      <c r="C30" s="137">
        <v>1.1388469975985307</v>
      </c>
      <c r="D30" s="137">
        <v>1.1303360270960743</v>
      </c>
      <c r="E30" s="137">
        <v>1.1067270098049913</v>
      </c>
      <c r="F30" s="137">
        <v>1.0897241218279439</v>
      </c>
      <c r="G30" s="137">
        <v>1.3391104577308266</v>
      </c>
      <c r="H30" s="137">
        <v>1.3103159293868833</v>
      </c>
      <c r="I30" s="137">
        <v>1.2977174425291143</v>
      </c>
      <c r="J30" s="137">
        <v>1.2574649936938356</v>
      </c>
      <c r="K30" s="137">
        <v>1.2294378026550921</v>
      </c>
      <c r="L30" s="137">
        <v>1</v>
      </c>
      <c r="M30" s="137">
        <v>1.6372584394736525</v>
      </c>
      <c r="N30" s="137">
        <v>1.6000320869569666</v>
      </c>
      <c r="O30" s="137">
        <v>1.7609515296904414</v>
      </c>
      <c r="P30" s="137">
        <v>1.6499446736314725</v>
      </c>
      <c r="Q30" s="137">
        <v>1.948494077934011</v>
      </c>
      <c r="R30" s="137">
        <v>1.9335557753025761</v>
      </c>
      <c r="S30" s="137">
        <v>2.3492569941648198</v>
      </c>
      <c r="T30" s="137">
        <v>2.1906735504492247</v>
      </c>
    </row>
    <row r="31" spans="1:20" x14ac:dyDescent="0.2">
      <c r="A31" s="136">
        <v>52</v>
      </c>
      <c r="B31" s="137">
        <v>1.159874247199026</v>
      </c>
      <c r="C31" s="137">
        <v>1.1353198356290704</v>
      </c>
      <c r="D31" s="137">
        <v>1.1269475040803205</v>
      </c>
      <c r="E31" s="137">
        <v>1.1034629599450474</v>
      </c>
      <c r="F31" s="137">
        <v>1.086739214369097</v>
      </c>
      <c r="G31" s="137">
        <v>1.3316022261107394</v>
      </c>
      <c r="H31" s="137">
        <v>1.3029416231119186</v>
      </c>
      <c r="I31" s="137">
        <v>1.2904004244122267</v>
      </c>
      <c r="J31" s="137">
        <v>1.2504924683531999</v>
      </c>
      <c r="K31" s="137">
        <v>1.2227910411320371</v>
      </c>
      <c r="L31" s="137">
        <v>1</v>
      </c>
      <c r="M31" s="137">
        <v>1.6318117319728704</v>
      </c>
      <c r="N31" s="137">
        <v>1.5926386572392552</v>
      </c>
      <c r="O31" s="137">
        <v>1.7521029620393602</v>
      </c>
      <c r="P31" s="137">
        <v>1.6405048735228542</v>
      </c>
      <c r="Q31" s="137">
        <v>1.9378502963576032</v>
      </c>
      <c r="R31" s="137">
        <v>1.9229911004105096</v>
      </c>
      <c r="S31" s="137">
        <v>2.3328900971631676</v>
      </c>
      <c r="T31" s="137">
        <v>2.1739310419738729</v>
      </c>
    </row>
    <row r="32" spans="1:20" x14ac:dyDescent="0.2">
      <c r="A32" s="136">
        <v>57</v>
      </c>
      <c r="B32" s="137">
        <v>1.143121975810403</v>
      </c>
      <c r="C32" s="137">
        <v>1.1190500004623376</v>
      </c>
      <c r="D32" s="137">
        <v>1.1113431521262773</v>
      </c>
      <c r="E32" s="137">
        <v>1.0886371479380925</v>
      </c>
      <c r="F32" s="137">
        <v>1.0732870847902978</v>
      </c>
      <c r="G32" s="137">
        <v>1.2967388095399059</v>
      </c>
      <c r="H32" s="137">
        <v>1.2688677281194887</v>
      </c>
      <c r="I32" s="137">
        <v>1.256674261548107</v>
      </c>
      <c r="J32" s="137">
        <v>1.2185915561305591</v>
      </c>
      <c r="K32" s="137">
        <v>1.1925475285581597</v>
      </c>
      <c r="L32" s="137">
        <v>1</v>
      </c>
      <c r="M32" s="137">
        <v>1.605386189733226</v>
      </c>
      <c r="N32" s="137">
        <v>1.5572325894832162</v>
      </c>
      <c r="O32" s="137">
        <v>1.7096587742378502</v>
      </c>
      <c r="P32" s="137">
        <v>1.595658850369077</v>
      </c>
      <c r="Q32" s="137">
        <v>1.8867558889419533</v>
      </c>
      <c r="R32" s="137">
        <v>1.8722913513770927</v>
      </c>
      <c r="S32" s="137">
        <v>2.2546637847440318</v>
      </c>
      <c r="T32" s="137">
        <v>2.0944445788338806</v>
      </c>
    </row>
    <row r="33" spans="1:20" x14ac:dyDescent="0.2">
      <c r="A33" s="136">
        <v>60</v>
      </c>
      <c r="B33" s="137">
        <v>1.1339740228521329</v>
      </c>
      <c r="C33" s="137">
        <v>1.1102885977953678</v>
      </c>
      <c r="D33" s="137">
        <v>1.1029593057033948</v>
      </c>
      <c r="E33" s="137">
        <v>1.0808197421097909</v>
      </c>
      <c r="F33" s="137">
        <v>1.0662701464055235</v>
      </c>
      <c r="G33" s="137">
        <v>1.2777862161278599</v>
      </c>
      <c r="H33" s="137">
        <v>1.2504664204816609</v>
      </c>
      <c r="I33" s="137">
        <v>1.2385210526249597</v>
      </c>
      <c r="J33" s="137">
        <v>1.2015924245652811</v>
      </c>
      <c r="K33" s="137">
        <v>1.176551962892372</v>
      </c>
      <c r="L33" s="137">
        <v>1</v>
      </c>
      <c r="M33" s="137">
        <v>1.5901540103328766</v>
      </c>
      <c r="N33" s="137">
        <v>1.5371742622461606</v>
      </c>
      <c r="O33" s="137">
        <v>1.6855598969792911</v>
      </c>
      <c r="P33" s="137">
        <v>1.5705203036729125</v>
      </c>
      <c r="Q33" s="137">
        <v>1.8577155207236919</v>
      </c>
      <c r="R33" s="137">
        <v>1.8434865682337573</v>
      </c>
      <c r="S33" s="137">
        <v>2.2104572632014436</v>
      </c>
      <c r="T33" s="137">
        <v>2.0499233668768766</v>
      </c>
    </row>
    <row r="34" spans="1:20" x14ac:dyDescent="0.2">
      <c r="A34" s="136">
        <v>61</v>
      </c>
      <c r="B34" s="137">
        <v>1.132280730670371</v>
      </c>
      <c r="C34" s="137">
        <v>1.108736178733895</v>
      </c>
      <c r="D34" s="137">
        <v>1.1014430647616844</v>
      </c>
      <c r="E34" s="137">
        <v>1.0794837962260269</v>
      </c>
      <c r="F34" s="137">
        <v>1.0650732627673554</v>
      </c>
      <c r="G34" s="137">
        <v>1.2733956517117953</v>
      </c>
      <c r="H34" s="137">
        <v>1.2462001956696005</v>
      </c>
      <c r="I34" s="137">
        <v>1.2343319470477976</v>
      </c>
      <c r="J34" s="137">
        <v>1.1976999182712704</v>
      </c>
      <c r="K34" s="137">
        <v>1.1728055136165962</v>
      </c>
      <c r="L34" s="137">
        <v>1</v>
      </c>
      <c r="M34" s="137">
        <v>1.5844116169117246</v>
      </c>
      <c r="N34" s="137">
        <v>1.532205605501648</v>
      </c>
      <c r="O34" s="137">
        <v>1.6783190774055585</v>
      </c>
      <c r="P34" s="137">
        <v>1.5642590334248039</v>
      </c>
      <c r="Q34" s="137">
        <v>1.849793019903357</v>
      </c>
      <c r="R34" s="137">
        <v>1.8351826110574951</v>
      </c>
      <c r="S34" s="137">
        <v>2.1964534223605638</v>
      </c>
      <c r="T34" s="137">
        <v>2.0379547407721175</v>
      </c>
    </row>
    <row r="35" spans="1:20" x14ac:dyDescent="0.2">
      <c r="A35" s="136">
        <v>63</v>
      </c>
      <c r="B35" s="137">
        <v>1.1289616433768586</v>
      </c>
      <c r="C35" s="137">
        <v>1.1056996432241124</v>
      </c>
      <c r="D35" s="137">
        <v>1.0984801715052355</v>
      </c>
      <c r="E35" s="137">
        <v>1.0768801037068674</v>
      </c>
      <c r="F35" s="137">
        <v>1.0627458324913825</v>
      </c>
      <c r="G35" s="137">
        <v>1.2648422508605075</v>
      </c>
      <c r="H35" s="137">
        <v>1.2379044130387475</v>
      </c>
      <c r="I35" s="137">
        <v>1.2261925336335722</v>
      </c>
      <c r="J35" s="137">
        <v>1.1901561589546663</v>
      </c>
      <c r="K35" s="137">
        <v>1.1655656772278762</v>
      </c>
      <c r="L35" s="137">
        <v>1</v>
      </c>
      <c r="M35" s="137">
        <v>1.5731217831580386</v>
      </c>
      <c r="N35" s="137">
        <v>1.522427485381294</v>
      </c>
      <c r="O35" s="137">
        <v>1.6641073409641691</v>
      </c>
      <c r="P35" s="137">
        <v>1.551975378006851</v>
      </c>
      <c r="Q35" s="137">
        <v>1.8342111310684108</v>
      </c>
      <c r="R35" s="137">
        <v>1.8188681161196907</v>
      </c>
      <c r="S35" s="137">
        <v>2.1690417792907022</v>
      </c>
      <c r="T35" s="137">
        <v>2.0145146108158531</v>
      </c>
    </row>
    <row r="36" spans="1:20" x14ac:dyDescent="0.2">
      <c r="A36" s="136">
        <v>64</v>
      </c>
      <c r="B36" s="137">
        <v>1.1273351918205037</v>
      </c>
      <c r="C36" s="137">
        <v>1.104214802358668</v>
      </c>
      <c r="D36" s="137">
        <v>1.0970327523744845</v>
      </c>
      <c r="E36" s="137">
        <v>1.075611531903637</v>
      </c>
      <c r="F36" s="137">
        <v>1.0616144224291313</v>
      </c>
      <c r="G36" s="137">
        <v>1.2606763837950545</v>
      </c>
      <c r="H36" s="137">
        <v>1.233871512274014</v>
      </c>
      <c r="I36" s="137">
        <v>1.2222387721752723</v>
      </c>
      <c r="J36" s="137">
        <v>1.1865011584717926</v>
      </c>
      <c r="K36" s="137">
        <v>1.1620680464277651</v>
      </c>
      <c r="L36" s="137">
        <v>1</v>
      </c>
      <c r="M36" s="137">
        <v>1.5675725579169844</v>
      </c>
      <c r="N36" s="137">
        <v>1.5176166533178423</v>
      </c>
      <c r="O36" s="137">
        <v>1.6571336916978037</v>
      </c>
      <c r="P36" s="137">
        <v>1.5459505400556097</v>
      </c>
      <c r="Q36" s="137">
        <v>1.826549348016514</v>
      </c>
      <c r="R36" s="137">
        <v>1.8108547386676372</v>
      </c>
      <c r="S36" s="137">
        <v>2.1556269676358273</v>
      </c>
      <c r="T36" s="137">
        <v>2.0030374177383887</v>
      </c>
    </row>
    <row r="37" spans="1:20" x14ac:dyDescent="0.2">
      <c r="A37" s="136">
        <v>68</v>
      </c>
      <c r="B37" s="137">
        <v>1.1210425933706119</v>
      </c>
      <c r="C37" s="137">
        <v>1.0984901328559771</v>
      </c>
      <c r="D37" s="137">
        <v>1.0914613074533377</v>
      </c>
      <c r="E37" s="137">
        <v>1.070749828333097</v>
      </c>
      <c r="F37" s="137">
        <v>1.057294499220464</v>
      </c>
      <c r="G37" s="137">
        <v>1.2447180962513378</v>
      </c>
      <c r="H37" s="137">
        <v>1.2184694311935116</v>
      </c>
      <c r="I37" s="137">
        <v>1.2071584269288786</v>
      </c>
      <c r="J37" s="137">
        <v>1.1726189659625723</v>
      </c>
      <c r="K37" s="137">
        <v>1.1488460912838585</v>
      </c>
      <c r="L37" s="137">
        <v>1</v>
      </c>
      <c r="M37" s="137">
        <v>1.5459934619514952</v>
      </c>
      <c r="N37" s="137">
        <v>1.4988793701210961</v>
      </c>
      <c r="O37" s="137">
        <v>1.6300898340850705</v>
      </c>
      <c r="P37" s="137">
        <v>1.5226035572696441</v>
      </c>
      <c r="Q37" s="137">
        <v>1.7967362625910375</v>
      </c>
      <c r="R37" s="137">
        <v>1.7797283827626333</v>
      </c>
      <c r="S37" s="137">
        <v>2.1038294351403586</v>
      </c>
      <c r="T37" s="137">
        <v>1.9586841289581711</v>
      </c>
    </row>
    <row r="38" spans="1:20" x14ac:dyDescent="0.2">
      <c r="A38" s="136">
        <v>69</v>
      </c>
      <c r="B38" s="137">
        <v>1.1195212108643038</v>
      </c>
      <c r="C38" s="137">
        <v>1.0971109539285142</v>
      </c>
      <c r="D38" s="137">
        <v>1.0901212248845469</v>
      </c>
      <c r="E38" s="137">
        <v>1.0695856453402517</v>
      </c>
      <c r="F38" s="137">
        <v>1.056263966584053</v>
      </c>
      <c r="G38" s="137">
        <v>1.2408979320980476</v>
      </c>
      <c r="H38" s="137">
        <v>1.2147937350405227</v>
      </c>
      <c r="I38" s="137">
        <v>1.2035642261179751</v>
      </c>
      <c r="J38" s="137">
        <v>1.1693244739434681</v>
      </c>
      <c r="K38" s="137">
        <v>1.1457233107534808</v>
      </c>
      <c r="L38" s="137">
        <v>1</v>
      </c>
      <c r="M38" s="137">
        <v>1.5407489652635316</v>
      </c>
      <c r="N38" s="137">
        <v>1.4943183467310335</v>
      </c>
      <c r="O38" s="137">
        <v>1.6235352101966851</v>
      </c>
      <c r="P38" s="137">
        <v>1.5169492143875958</v>
      </c>
      <c r="Q38" s="137">
        <v>1.7894858999374348</v>
      </c>
      <c r="R38" s="137">
        <v>1.7721719669567124</v>
      </c>
      <c r="S38" s="137">
        <v>2.0913293926405356</v>
      </c>
      <c r="T38" s="137">
        <v>1.9479715918896825</v>
      </c>
    </row>
    <row r="39" spans="1:20" x14ac:dyDescent="0.2">
      <c r="A39" s="136">
        <v>72</v>
      </c>
      <c r="B39" s="137">
        <v>1.1150765729240413</v>
      </c>
      <c r="C39" s="137">
        <v>1.0930930098190297</v>
      </c>
      <c r="D39" s="137">
        <v>1.0862221843651068</v>
      </c>
      <c r="E39" s="137">
        <v>1.0662102576399077</v>
      </c>
      <c r="F39" s="137">
        <v>1.0532850010578598</v>
      </c>
      <c r="G39" s="137">
        <v>1.2298231146562664</v>
      </c>
      <c r="H39" s="137">
        <v>1.2041633583301627</v>
      </c>
      <c r="I39" s="137">
        <v>1.193180204841001</v>
      </c>
      <c r="J39" s="137">
        <v>1.1598382476498852</v>
      </c>
      <c r="K39" s="137">
        <v>1.1367651815385238</v>
      </c>
      <c r="L39" s="137">
        <v>1</v>
      </c>
      <c r="M39" s="137">
        <v>1.5253632723616621</v>
      </c>
      <c r="N39" s="137">
        <v>1.4809212593087433</v>
      </c>
      <c r="O39" s="137">
        <v>1.6043470727748526</v>
      </c>
      <c r="P39" s="137">
        <v>1.5004064901039067</v>
      </c>
      <c r="Q39" s="137">
        <v>1.7682045150954024</v>
      </c>
      <c r="R39" s="137">
        <v>1.7500227831606496</v>
      </c>
      <c r="S39" s="137">
        <v>2.0548585938843162</v>
      </c>
      <c r="T39" s="137">
        <v>1.9166958891836079</v>
      </c>
    </row>
    <row r="40" spans="1:20" x14ac:dyDescent="0.2">
      <c r="A40" s="136">
        <v>73</v>
      </c>
      <c r="B40" s="137">
        <v>1.1137651113621359</v>
      </c>
      <c r="C40" s="137">
        <v>1.0919033659336772</v>
      </c>
      <c r="D40" s="137">
        <v>1.0850634935649213</v>
      </c>
      <c r="E40" s="137">
        <v>1.0652103977864831</v>
      </c>
      <c r="F40" s="137">
        <v>1.0523831383706144</v>
      </c>
      <c r="G40" s="137">
        <v>1.2265700175951333</v>
      </c>
      <c r="H40" s="137">
        <v>1.201024892199666</v>
      </c>
      <c r="I40" s="137">
        <v>1.1901074171601231</v>
      </c>
      <c r="J40" s="137">
        <v>1.156918872330889</v>
      </c>
      <c r="K40" s="137">
        <v>1.1339326054312946</v>
      </c>
      <c r="L40" s="137">
        <v>1</v>
      </c>
      <c r="M40" s="137">
        <v>1.5206965397302197</v>
      </c>
      <c r="N40" s="137">
        <v>1.4768842821442085</v>
      </c>
      <c r="O40" s="137">
        <v>1.5984915535959119</v>
      </c>
      <c r="P40" s="137">
        <v>1.495529012548642</v>
      </c>
      <c r="Q40" s="137">
        <v>1.7616822701001005</v>
      </c>
      <c r="R40" s="137">
        <v>1.7432796466246117</v>
      </c>
      <c r="S40" s="137">
        <v>2.0453529853107351</v>
      </c>
      <c r="T40" s="137">
        <v>1.9085364532003459</v>
      </c>
    </row>
    <row r="41" spans="1:20" x14ac:dyDescent="0.2">
      <c r="A41" s="136">
        <v>75</v>
      </c>
      <c r="B41" s="137">
        <v>1.1111890442962911</v>
      </c>
      <c r="C41" s="137">
        <v>1.0895713260985402</v>
      </c>
      <c r="D41" s="137">
        <v>1.0827943649132838</v>
      </c>
      <c r="E41" s="137">
        <v>1.0632570711391227</v>
      </c>
      <c r="F41" s="137">
        <v>1.050626032942003</v>
      </c>
      <c r="G41" s="137">
        <v>1.2202132213153332</v>
      </c>
      <c r="H41" s="137">
        <v>1.1949032695865121</v>
      </c>
      <c r="I41" s="137">
        <v>1.1841186377267465</v>
      </c>
      <c r="J41" s="137">
        <v>1.1512492403617076</v>
      </c>
      <c r="K41" s="137">
        <v>1.1284519184443</v>
      </c>
      <c r="L41" s="137">
        <v>1</v>
      </c>
      <c r="M41" s="137">
        <v>1.5115064459316734</v>
      </c>
      <c r="N41" s="137">
        <v>1.4689267404979029</v>
      </c>
      <c r="O41" s="137">
        <v>1.5869788505512459</v>
      </c>
      <c r="P41" s="137">
        <v>1.4859377400068041</v>
      </c>
      <c r="Q41" s="137">
        <v>1.7488352955269446</v>
      </c>
      <c r="R41" s="137">
        <v>1.7300091210608637</v>
      </c>
      <c r="S41" s="137">
        <v>2.0266545736147372</v>
      </c>
      <c r="T41" s="137">
        <v>1.8924801035880372</v>
      </c>
    </row>
    <row r="42" spans="1:20" x14ac:dyDescent="0.2">
      <c r="A42" s="136">
        <v>76</v>
      </c>
      <c r="B42" s="137">
        <v>1.1099240341486714</v>
      </c>
      <c r="C42" s="137">
        <v>1.0884284820801076</v>
      </c>
      <c r="D42" s="137">
        <v>1.0816834491980232</v>
      </c>
      <c r="E42" s="137">
        <v>1.0623030988643321</v>
      </c>
      <c r="F42" s="137">
        <v>1.0497702292505613</v>
      </c>
      <c r="G42" s="137">
        <v>1.2171077850307601</v>
      </c>
      <c r="H42" s="137">
        <v>1.1919181840644704</v>
      </c>
      <c r="I42" s="137">
        <v>1.1812006458032742</v>
      </c>
      <c r="J42" s="137">
        <v>1.1484965669609766</v>
      </c>
      <c r="K42" s="137">
        <v>1.1258008749001522</v>
      </c>
      <c r="L42" s="137">
        <v>1</v>
      </c>
      <c r="M42" s="137">
        <v>1.5069819041743728</v>
      </c>
      <c r="N42" s="137">
        <v>1.4650052807948091</v>
      </c>
      <c r="O42" s="137">
        <v>1.5813198527641115</v>
      </c>
      <c r="P42" s="137">
        <v>1.4812224771642313</v>
      </c>
      <c r="Q42" s="137">
        <v>1.7425089327956704</v>
      </c>
      <c r="R42" s="137">
        <v>1.7234798493242749</v>
      </c>
      <c r="S42" s="137">
        <v>2.0174589323636662</v>
      </c>
      <c r="T42" s="137">
        <v>1.8845808697771607</v>
      </c>
    </row>
    <row r="43" spans="1:20" x14ac:dyDescent="0.2">
      <c r="A43" s="136">
        <v>80</v>
      </c>
      <c r="B43" s="137">
        <v>1.1050128989823775</v>
      </c>
      <c r="C43" s="137">
        <v>1.0840065487043193</v>
      </c>
      <c r="D43" s="137">
        <v>1.0773920505101033</v>
      </c>
      <c r="E43" s="137">
        <v>1.0586327941232256</v>
      </c>
      <c r="F43" s="137">
        <v>1.0464923816446805</v>
      </c>
      <c r="G43" s="137">
        <v>1.2051530074220345</v>
      </c>
      <c r="H43" s="137">
        <v>1.1804611417988662</v>
      </c>
      <c r="I43" s="137">
        <v>1.1700156872369523</v>
      </c>
      <c r="J43" s="137">
        <v>1.1380066652642038</v>
      </c>
      <c r="K43" s="137">
        <v>1.115759646916368</v>
      </c>
      <c r="L43" s="137">
        <v>1</v>
      </c>
      <c r="M43" s="137">
        <v>1.4893404053817929</v>
      </c>
      <c r="N43" s="137">
        <v>1.449691360365722</v>
      </c>
      <c r="O43" s="137">
        <v>1.5593124192752759</v>
      </c>
      <c r="P43" s="137">
        <v>1.4628806744760554</v>
      </c>
      <c r="Q43" s="137">
        <v>1.7178324921200121</v>
      </c>
      <c r="R43" s="137">
        <v>1.698048093426239</v>
      </c>
      <c r="S43" s="137">
        <v>1.9816680961241893</v>
      </c>
      <c r="T43" s="137">
        <v>1.8538173310992156</v>
      </c>
    </row>
    <row r="44" spans="1:20" x14ac:dyDescent="0.2">
      <c r="A44" s="136">
        <v>81</v>
      </c>
      <c r="B44" s="137">
        <v>1.1038213877707319</v>
      </c>
      <c r="C44" s="137">
        <v>1.0829373750736515</v>
      </c>
      <c r="D44" s="137">
        <v>1.0763561488400797</v>
      </c>
      <c r="E44" s="137">
        <v>1.0577504378534994</v>
      </c>
      <c r="F44" s="137">
        <v>1.0457079648259648</v>
      </c>
      <c r="G44" s="137">
        <v>1.2022770564636738</v>
      </c>
      <c r="H44" s="137">
        <v>1.1777132884211805</v>
      </c>
      <c r="I44" s="137">
        <v>1.1673366288114908</v>
      </c>
      <c r="J44" s="137">
        <v>1.1355089180166866</v>
      </c>
      <c r="K44" s="137">
        <v>1.1133835060281281</v>
      </c>
      <c r="L44" s="137">
        <v>1</v>
      </c>
      <c r="M44" s="137">
        <v>1.4850414181693337</v>
      </c>
      <c r="N44" s="137">
        <v>1.4459537436263725</v>
      </c>
      <c r="O44" s="137">
        <v>1.5539634582603659</v>
      </c>
      <c r="P44" s="137">
        <v>1.4584215983615598</v>
      </c>
      <c r="Q44" s="137">
        <v>1.7118167906773107</v>
      </c>
      <c r="R44" s="137">
        <v>1.6918570708445377</v>
      </c>
      <c r="S44" s="137">
        <v>1.9729616773353138</v>
      </c>
      <c r="T44" s="137">
        <v>1.8463293569987005</v>
      </c>
    </row>
    <row r="45" spans="1:20" x14ac:dyDescent="0.2">
      <c r="A45" s="136">
        <v>84</v>
      </c>
      <c r="B45" s="137">
        <v>1.1003309549504572</v>
      </c>
      <c r="C45" s="137">
        <v>1.079813752086878</v>
      </c>
      <c r="D45" s="137">
        <v>1.0733336713056334</v>
      </c>
      <c r="E45" s="137">
        <v>1.0551842810144474</v>
      </c>
      <c r="F45" s="137">
        <v>1.0434348508271416</v>
      </c>
      <c r="G45" s="137">
        <v>1.1939075671784936</v>
      </c>
      <c r="H45" s="137">
        <v>1.1697356410692665</v>
      </c>
      <c r="I45" s="137">
        <v>1.1595667728558361</v>
      </c>
      <c r="J45" s="137">
        <v>1.1282984609713773</v>
      </c>
      <c r="K45" s="137">
        <v>1.106557297128393</v>
      </c>
      <c r="L45" s="137">
        <v>1</v>
      </c>
      <c r="M45" s="137">
        <v>1.4724031847483348</v>
      </c>
      <c r="N45" s="137">
        <v>1.4349524018813831</v>
      </c>
      <c r="O45" s="137">
        <v>1.5382704500777049</v>
      </c>
      <c r="P45" s="137">
        <v>1.4453370619887276</v>
      </c>
      <c r="Q45" s="137">
        <v>1.6941259743319399</v>
      </c>
      <c r="R45" s="137">
        <v>1.6736709633631117</v>
      </c>
      <c r="S45" s="137">
        <v>1.9474010323139066</v>
      </c>
      <c r="T45" s="137">
        <v>1.8243356310796186</v>
      </c>
    </row>
    <row r="46" spans="1:20" x14ac:dyDescent="0.2">
      <c r="A46" s="136">
        <v>85</v>
      </c>
      <c r="B46" s="137">
        <v>1.0993420380388195</v>
      </c>
      <c r="C46" s="137">
        <v>1.0788923709992926</v>
      </c>
      <c r="D46" s="137">
        <v>1.0724324850186979</v>
      </c>
      <c r="E46" s="137">
        <v>1.05440583310733</v>
      </c>
      <c r="F46" s="137">
        <v>1.0427302850318794</v>
      </c>
      <c r="G46" s="137">
        <v>1.191474956430925</v>
      </c>
      <c r="H46" s="137">
        <v>1.1674578863074723</v>
      </c>
      <c r="I46" s="137">
        <v>1.1573552682590162</v>
      </c>
      <c r="J46" s="137">
        <v>1.1263749425574716</v>
      </c>
      <c r="K46" s="137">
        <v>1.1048397849514169</v>
      </c>
      <c r="L46" s="137">
        <v>1</v>
      </c>
      <c r="M46" s="137">
        <v>1.4695894548719091</v>
      </c>
      <c r="N46" s="137">
        <v>1.4324109506653957</v>
      </c>
      <c r="O46" s="137">
        <v>1.5343353981797647</v>
      </c>
      <c r="P46" s="137">
        <v>1.4419546570033679</v>
      </c>
      <c r="Q46" s="137">
        <v>1.6873594267539356</v>
      </c>
      <c r="R46" s="137">
        <v>1.6670625814971249</v>
      </c>
      <c r="S46" s="137">
        <v>1.9358268515184565</v>
      </c>
      <c r="T46" s="137">
        <v>1.8141006167659981</v>
      </c>
    </row>
    <row r="47" spans="1:20" x14ac:dyDescent="0.2">
      <c r="A47" s="136">
        <v>87</v>
      </c>
      <c r="B47" s="137">
        <v>1.0973946202547096</v>
      </c>
      <c r="C47" s="137">
        <v>1.0770825164207447</v>
      </c>
      <c r="D47" s="137">
        <v>1.0706642769649519</v>
      </c>
      <c r="E47" s="137">
        <v>1.0528825402310333</v>
      </c>
      <c r="F47" s="137">
        <v>1.0413559261086163</v>
      </c>
      <c r="G47" s="137">
        <v>1.1867078337241064</v>
      </c>
      <c r="H47" s="137">
        <v>1.162999868315107</v>
      </c>
      <c r="I47" s="137">
        <v>1.1530296836049279</v>
      </c>
      <c r="J47" s="137">
        <v>1.1226185778041045</v>
      </c>
      <c r="K47" s="137">
        <v>1.1014910924407166</v>
      </c>
      <c r="L47" s="137">
        <v>1</v>
      </c>
      <c r="M47" s="137">
        <v>1.4640195818968895</v>
      </c>
      <c r="N47" s="137">
        <v>1.427378743227993</v>
      </c>
      <c r="O47" s="137">
        <v>1.526565094676456</v>
      </c>
      <c r="P47" s="137">
        <v>1.4352776082411984</v>
      </c>
      <c r="Q47" s="137">
        <v>1.6740594992604032</v>
      </c>
      <c r="R47" s="137">
        <v>1.6540744066814059</v>
      </c>
      <c r="S47" s="137">
        <v>1.9131895268984567</v>
      </c>
      <c r="T47" s="137">
        <v>1.7940849866447794</v>
      </c>
    </row>
    <row r="48" spans="1:20" x14ac:dyDescent="0.2">
      <c r="A48" s="136">
        <v>88</v>
      </c>
      <c r="B48" s="137">
        <v>1.0964358950468511</v>
      </c>
      <c r="C48" s="137">
        <v>1.0761937645144981</v>
      </c>
      <c r="D48" s="137">
        <v>1.0697969496419339</v>
      </c>
      <c r="E48" s="137">
        <v>1.0521373572051316</v>
      </c>
      <c r="F48" s="137">
        <v>1.0406857363678099</v>
      </c>
      <c r="G48" s="137">
        <v>1.1843723320540822</v>
      </c>
      <c r="H48" s="137">
        <v>1.1608185709236878</v>
      </c>
      <c r="I48" s="137">
        <v>1.1509145443996658</v>
      </c>
      <c r="J48" s="137">
        <v>1.1207846917059558</v>
      </c>
      <c r="K48" s="137">
        <v>1.0998588682408803</v>
      </c>
      <c r="L48" s="137">
        <v>1</v>
      </c>
      <c r="M48" s="137">
        <v>1.4612631246540617</v>
      </c>
      <c r="N48" s="137">
        <v>1.4248877188534941</v>
      </c>
      <c r="O48" s="137">
        <v>1.5227291634614366</v>
      </c>
      <c r="P48" s="137">
        <v>1.4319823599770451</v>
      </c>
      <c r="Q48" s="137">
        <v>1.6675239355376241</v>
      </c>
      <c r="R48" s="137">
        <v>1.6476924675437636</v>
      </c>
      <c r="S48" s="137">
        <v>1.9021201838216111</v>
      </c>
      <c r="T48" s="137">
        <v>1.7842988533485464</v>
      </c>
    </row>
    <row r="49" spans="1:20" x14ac:dyDescent="0.2">
      <c r="A49" s="136">
        <v>92</v>
      </c>
      <c r="B49" s="137">
        <v>1.0926983326343802</v>
      </c>
      <c r="C49" s="137">
        <v>1.0727434348657809</v>
      </c>
      <c r="D49" s="137">
        <v>1.0664360243294484</v>
      </c>
      <c r="E49" s="137">
        <v>1.0492625644463731</v>
      </c>
      <c r="F49" s="137">
        <v>1.0381137819699053</v>
      </c>
      <c r="G49" s="137">
        <v>1.1753395799051394</v>
      </c>
      <c r="H49" s="137">
        <v>1.1523998328396865</v>
      </c>
      <c r="I49" s="137">
        <v>1.1427597775764935</v>
      </c>
      <c r="J49" s="137">
        <v>1.1137327940608543</v>
      </c>
      <c r="K49" s="137">
        <v>1.0935990966375855</v>
      </c>
      <c r="L49" s="137">
        <v>1</v>
      </c>
      <c r="M49" s="137">
        <v>1.4504235643514356</v>
      </c>
      <c r="N49" s="137">
        <v>1.4150877480981541</v>
      </c>
      <c r="O49" s="137">
        <v>1.5077058412155446</v>
      </c>
      <c r="P49" s="137">
        <v>1.4190829964981746</v>
      </c>
      <c r="Q49" s="137">
        <v>1.6421197267632321</v>
      </c>
      <c r="R49" s="137">
        <v>1.6228881715840722</v>
      </c>
      <c r="S49" s="137">
        <v>1.8594357476562391</v>
      </c>
      <c r="T49" s="137">
        <v>1.7465706216391024</v>
      </c>
    </row>
    <row r="50" spans="1:20" x14ac:dyDescent="0.2">
      <c r="A50" s="136">
        <v>93</v>
      </c>
      <c r="B50" s="137">
        <v>1.091787743058483</v>
      </c>
      <c r="C50" s="137">
        <v>1.0719063640408359</v>
      </c>
      <c r="D50" s="137">
        <v>1.0656221690548553</v>
      </c>
      <c r="E50" s="137">
        <v>1.0485695596013629</v>
      </c>
      <c r="F50" s="137">
        <v>1.0374970732273909</v>
      </c>
      <c r="G50" s="137">
        <v>1.1731564008388973</v>
      </c>
      <c r="H50" s="137">
        <v>1.1503693604293548</v>
      </c>
      <c r="I50" s="137">
        <v>1.1407950784417786</v>
      </c>
      <c r="J50" s="137">
        <v>1.1120383287418718</v>
      </c>
      <c r="K50" s="137">
        <v>1.0920990309267551</v>
      </c>
      <c r="L50" s="137">
        <v>1</v>
      </c>
      <c r="M50" s="137">
        <v>1.4477594866393237</v>
      </c>
      <c r="N50" s="137">
        <v>1.4126781419820928</v>
      </c>
      <c r="O50" s="137">
        <v>1.5040284945473579</v>
      </c>
      <c r="P50" s="137">
        <v>1.4159271255980288</v>
      </c>
      <c r="Q50" s="137">
        <v>1.6359480873528611</v>
      </c>
      <c r="R50" s="137">
        <v>1.6168629526680922</v>
      </c>
      <c r="S50" s="137">
        <v>1.8491486864808191</v>
      </c>
      <c r="T50" s="137">
        <v>1.7374800153046261</v>
      </c>
    </row>
    <row r="51" spans="1:20" x14ac:dyDescent="0.2">
      <c r="A51" s="136">
        <v>96</v>
      </c>
      <c r="B51" s="137">
        <v>1.0891114362687131</v>
      </c>
      <c r="C51" s="137">
        <v>1.0694543393602896</v>
      </c>
      <c r="D51" s="137">
        <v>1.0632416770195516</v>
      </c>
      <c r="E51" s="137">
        <v>1.046549767541525</v>
      </c>
      <c r="F51" s="137">
        <v>1.035707189281625</v>
      </c>
      <c r="G51" s="137">
        <v>1.1667797963088085</v>
      </c>
      <c r="H51" s="137">
        <v>1.144448680413908</v>
      </c>
      <c r="I51" s="137">
        <v>1.1350710315519417</v>
      </c>
      <c r="J51" s="137">
        <v>1.1071119961474762</v>
      </c>
      <c r="K51" s="137">
        <v>1.0877471895850084</v>
      </c>
      <c r="L51" s="137">
        <v>1</v>
      </c>
      <c r="M51" s="137">
        <v>1.4398748408407596</v>
      </c>
      <c r="N51" s="137">
        <v>1.405544230956471</v>
      </c>
      <c r="O51" s="137">
        <v>1.4931797837542804</v>
      </c>
      <c r="P51" s="137">
        <v>1.4066205679292783</v>
      </c>
      <c r="Q51" s="137">
        <v>1.6178480539946638</v>
      </c>
      <c r="R51" s="137">
        <v>1.5991939168370572</v>
      </c>
      <c r="S51" s="137">
        <v>1.8191660018336522</v>
      </c>
      <c r="T51" s="137">
        <v>1.7109892271080751</v>
      </c>
    </row>
    <row r="52" spans="1:20" x14ac:dyDescent="0.2">
      <c r="A52" s="136">
        <v>97</v>
      </c>
      <c r="B52" s="137">
        <v>1.0882697159721293</v>
      </c>
      <c r="C52" s="137">
        <v>1.068663177136477</v>
      </c>
      <c r="D52" s="137">
        <v>1.0625065646898797</v>
      </c>
      <c r="E52" s="137">
        <v>1.045914045692899</v>
      </c>
      <c r="F52" s="137">
        <v>1.035132239311551</v>
      </c>
      <c r="G52" s="137">
        <v>1.1648610482060915</v>
      </c>
      <c r="H52" s="137">
        <v>1.14270703410678</v>
      </c>
      <c r="I52" s="137">
        <v>1.1334100966536267</v>
      </c>
      <c r="J52" s="137">
        <v>1.1056635195885549</v>
      </c>
      <c r="K52" s="137">
        <v>1.0864265173451817</v>
      </c>
      <c r="L52" s="137">
        <v>1</v>
      </c>
      <c r="M52" s="137">
        <v>1.4376645578639855</v>
      </c>
      <c r="N52" s="137">
        <v>1.4028855984154138</v>
      </c>
      <c r="O52" s="137">
        <v>1.4895717948375979</v>
      </c>
      <c r="P52" s="137">
        <v>1.4036115613227773</v>
      </c>
      <c r="Q52" s="137">
        <v>1.6111561124676828</v>
      </c>
      <c r="R52" s="137">
        <v>1.5925945656382401</v>
      </c>
      <c r="S52" s="137">
        <v>1.8094470397162503</v>
      </c>
      <c r="T52" s="137">
        <v>1.7030174012021815</v>
      </c>
    </row>
    <row r="53" spans="1:20" x14ac:dyDescent="0.2">
      <c r="A53" s="136">
        <v>99</v>
      </c>
      <c r="B53" s="137">
        <v>1.0866109847008749</v>
      </c>
      <c r="C53" s="137">
        <v>1.0671086227361062</v>
      </c>
      <c r="D53" s="137">
        <v>1.0610626013541962</v>
      </c>
      <c r="E53" s="137">
        <v>1.0446690786083377</v>
      </c>
      <c r="F53" s="137">
        <v>1.0340104145776583</v>
      </c>
      <c r="G53" s="137">
        <v>1.1610939643065159</v>
      </c>
      <c r="H53" s="137">
        <v>1.1392902231082718</v>
      </c>
      <c r="I53" s="137">
        <v>1.1301526763495167</v>
      </c>
      <c r="J53" s="137">
        <v>1.1028277380122664</v>
      </c>
      <c r="K53" s="137">
        <v>1.0838467622352217</v>
      </c>
      <c r="L53" s="137">
        <v>1</v>
      </c>
      <c r="M53" s="137">
        <v>1.4332819617078278</v>
      </c>
      <c r="N53" s="137">
        <v>1.397627479041869</v>
      </c>
      <c r="O53" s="137">
        <v>1.4824467430718804</v>
      </c>
      <c r="P53" s="137">
        <v>1.3976690831345053</v>
      </c>
      <c r="Q53" s="137">
        <v>1.5980258530646572</v>
      </c>
      <c r="R53" s="137">
        <v>1.5796495354025519</v>
      </c>
      <c r="S53" s="137">
        <v>1.7904214081935763</v>
      </c>
      <c r="T53" s="137">
        <v>1.6873899616088039</v>
      </c>
    </row>
    <row r="54" spans="1:20" x14ac:dyDescent="0.2">
      <c r="A54" s="136">
        <v>100</v>
      </c>
      <c r="B54" s="137">
        <v>1.0857938009111132</v>
      </c>
      <c r="C54" s="137">
        <v>1.0663450011831155</v>
      </c>
      <c r="D54" s="137">
        <v>1.060353530491646</v>
      </c>
      <c r="E54" s="137">
        <v>1.0440595779748711</v>
      </c>
      <c r="F54" s="137">
        <v>1.0334632248388309</v>
      </c>
      <c r="G54" s="137">
        <v>1.1592449887479117</v>
      </c>
      <c r="H54" s="137">
        <v>1.1376144361880394</v>
      </c>
      <c r="I54" s="137">
        <v>1.1285555804416674</v>
      </c>
      <c r="J54" s="137">
        <v>1.1014398112908321</v>
      </c>
      <c r="K54" s="137">
        <v>1.0825869957429448</v>
      </c>
      <c r="L54" s="137">
        <v>1</v>
      </c>
      <c r="M54" s="137">
        <v>1.4311094754043427</v>
      </c>
      <c r="N54" s="137">
        <v>1.3950276449323114</v>
      </c>
      <c r="O54" s="137">
        <v>1.4789290680644798</v>
      </c>
      <c r="P54" s="137">
        <v>1.3947351111105035</v>
      </c>
      <c r="Q54" s="137">
        <v>1.591584937581094</v>
      </c>
      <c r="R54" s="137">
        <v>1.5733012255038274</v>
      </c>
      <c r="S54" s="137">
        <v>1.7811099557094361</v>
      </c>
      <c r="T54" s="137">
        <v>1.6797309364251065</v>
      </c>
    </row>
    <row r="55" spans="1:20" x14ac:dyDescent="0.2">
      <c r="A55" s="136">
        <v>105</v>
      </c>
      <c r="B55" s="137">
        <v>1.0818263340199021</v>
      </c>
      <c r="C55" s="137">
        <v>1.0626590008153463</v>
      </c>
      <c r="D55" s="137">
        <v>1.0569330208449188</v>
      </c>
      <c r="E55" s="137">
        <v>1.041136971640555</v>
      </c>
      <c r="F55" s="137">
        <v>1.0308584512353678</v>
      </c>
      <c r="G55" s="137">
        <v>1.1503334275603132</v>
      </c>
      <c r="H55" s="137">
        <v>1.1295496874393094</v>
      </c>
      <c r="I55" s="137">
        <v>1.1208744729012081</v>
      </c>
      <c r="J55" s="137">
        <v>1.0947878569501266</v>
      </c>
      <c r="K55" s="137">
        <v>1.0765761610541325</v>
      </c>
      <c r="L55" s="137">
        <v>1</v>
      </c>
      <c r="M55" s="137">
        <v>1.4204317630476624</v>
      </c>
      <c r="N55" s="137">
        <v>1.3823139489505283</v>
      </c>
      <c r="O55" s="137">
        <v>1.4617772913766771</v>
      </c>
      <c r="P55" s="137">
        <v>1.3804281796680611</v>
      </c>
      <c r="Q55" s="137">
        <v>1.5605726874943648</v>
      </c>
      <c r="R55" s="137">
        <v>1.5427513020303107</v>
      </c>
      <c r="S55" s="137">
        <v>1.7364751092194215</v>
      </c>
      <c r="T55" s="137">
        <v>1.6429174809552722</v>
      </c>
    </row>
    <row r="56" spans="1:20" x14ac:dyDescent="0.2">
      <c r="A56" s="136">
        <v>108</v>
      </c>
      <c r="B56" s="137">
        <v>1.0795376815111857</v>
      </c>
      <c r="C56" s="137">
        <v>1.0605492290956282</v>
      </c>
      <c r="D56" s="137">
        <v>1.0549768954865242</v>
      </c>
      <c r="E56" s="137">
        <v>1.0394790717079501</v>
      </c>
      <c r="F56" s="137">
        <v>1.0293953417324988</v>
      </c>
      <c r="G56" s="137">
        <v>1.1452425027155571</v>
      </c>
      <c r="H56" s="137">
        <v>1.1249518542738024</v>
      </c>
      <c r="I56" s="137">
        <v>1.1164991745068664</v>
      </c>
      <c r="J56" s="137">
        <v>1.0910165581226421</v>
      </c>
      <c r="K56" s="137">
        <v>1.0731888417455402</v>
      </c>
      <c r="L56" s="137">
        <v>1</v>
      </c>
      <c r="M56" s="137">
        <v>1.4141699208896328</v>
      </c>
      <c r="N56" s="137">
        <v>1.3749081833157697</v>
      </c>
      <c r="O56" s="137">
        <v>1.4518251382403859</v>
      </c>
      <c r="P56" s="137">
        <v>1.3721258795883002</v>
      </c>
      <c r="Q56" s="137">
        <v>1.5428765964905642</v>
      </c>
      <c r="R56" s="137">
        <v>1.5253315503086715</v>
      </c>
      <c r="S56" s="137">
        <v>1.7111546468598693</v>
      </c>
      <c r="T56" s="137">
        <v>1.6219590708155489</v>
      </c>
    </row>
    <row r="57" spans="1:20" x14ac:dyDescent="0.2">
      <c r="A57" s="136">
        <v>109</v>
      </c>
      <c r="B57" s="137">
        <v>1.0788166946226776</v>
      </c>
      <c r="C57" s="137">
        <v>1.0598685206581344</v>
      </c>
      <c r="D57" s="137">
        <v>1.0543455097990158</v>
      </c>
      <c r="E57" s="137">
        <v>1.0389964994750065</v>
      </c>
      <c r="F57" s="137">
        <v>1.0290071431388756</v>
      </c>
      <c r="G57" s="137">
        <v>1.1437008493907115</v>
      </c>
      <c r="H57" s="137">
        <v>1.1235479855664063</v>
      </c>
      <c r="I57" s="137">
        <v>1.1151604945640869</v>
      </c>
      <c r="J57" s="137">
        <v>1.0898692370076957</v>
      </c>
      <c r="K57" s="137">
        <v>1.0721572885260395</v>
      </c>
      <c r="L57" s="137">
        <v>1</v>
      </c>
      <c r="M57" s="137">
        <v>1.4123506005017903</v>
      </c>
      <c r="N57" s="137">
        <v>1.3726842982345704</v>
      </c>
      <c r="O57" s="137">
        <v>1.4480729128211272</v>
      </c>
      <c r="P57" s="137">
        <v>1.3688636048505132</v>
      </c>
      <c r="Q57" s="137">
        <v>1.5377976556017321</v>
      </c>
      <c r="R57" s="137">
        <v>1.520283947879949</v>
      </c>
      <c r="S57" s="137">
        <v>1.7035583620525288</v>
      </c>
      <c r="T57" s="137">
        <v>1.6155841002493041</v>
      </c>
    </row>
    <row r="58" spans="1:20" x14ac:dyDescent="0.2">
      <c r="A58" s="136">
        <v>111</v>
      </c>
      <c r="B58" s="137">
        <v>1.0773949603407869</v>
      </c>
      <c r="C58" s="137">
        <v>1.0585306010440045</v>
      </c>
      <c r="D58" s="137">
        <v>1.0531049495001608</v>
      </c>
      <c r="E58" s="137">
        <v>1.0380492996470085</v>
      </c>
      <c r="F58" s="137">
        <v>1.0282462671697901</v>
      </c>
      <c r="G58" s="137">
        <v>1.1406693992274379</v>
      </c>
      <c r="H58" s="137">
        <v>1.1207898729922938</v>
      </c>
      <c r="I58" s="137">
        <v>1.1125313819834217</v>
      </c>
      <c r="J58" s="137">
        <v>1.0876195116417819</v>
      </c>
      <c r="K58" s="137">
        <v>1.0701389974608218</v>
      </c>
      <c r="L58" s="137">
        <v>1</v>
      </c>
      <c r="M58" s="137">
        <v>1.4087391633131878</v>
      </c>
      <c r="N58" s="137">
        <v>1.3682810406560471</v>
      </c>
      <c r="O58" s="137">
        <v>1.4406749832539127</v>
      </c>
      <c r="P58" s="137">
        <v>1.3624353248429029</v>
      </c>
      <c r="Q58" s="137">
        <v>1.5278044931257604</v>
      </c>
      <c r="R58" s="137">
        <v>1.510356395107328</v>
      </c>
      <c r="S58" s="137">
        <v>1.6886529668737862</v>
      </c>
      <c r="T58" s="137">
        <v>1.6030630234902388</v>
      </c>
    </row>
    <row r="59" spans="1:20" x14ac:dyDescent="0.2">
      <c r="A59" s="136">
        <v>112</v>
      </c>
      <c r="B59" s="137">
        <v>1.0766940783749981</v>
      </c>
      <c r="C59" s="137">
        <v>1.0578732001393159</v>
      </c>
      <c r="D59" s="137">
        <v>1.0524955928290245</v>
      </c>
      <c r="E59" s="137">
        <v>1.0375845183348531</v>
      </c>
      <c r="F59" s="137">
        <v>1.027873447957812</v>
      </c>
      <c r="G59" s="137">
        <v>1.139179174483882</v>
      </c>
      <c r="H59" s="137">
        <v>1.1194352029693129</v>
      </c>
      <c r="I59" s="137">
        <v>1.1112405287294478</v>
      </c>
      <c r="J59" s="137">
        <v>1.0865166880128962</v>
      </c>
      <c r="K59" s="137">
        <v>1.0691518003404739</v>
      </c>
      <c r="L59" s="137">
        <v>1</v>
      </c>
      <c r="M59" s="137">
        <v>1.40694693895334</v>
      </c>
      <c r="N59" s="137">
        <v>1.3661014342131987</v>
      </c>
      <c r="O59" s="137">
        <v>1.4370284757393039</v>
      </c>
      <c r="P59" s="137">
        <v>1.3592685744541331</v>
      </c>
      <c r="Q59" s="137">
        <v>1.5228888371927631</v>
      </c>
      <c r="R59" s="137">
        <v>1.5054749525113571</v>
      </c>
      <c r="S59" s="137">
        <v>1.6813409032775697</v>
      </c>
      <c r="T59" s="137">
        <v>1.596914695885068</v>
      </c>
    </row>
    <row r="60" spans="1:20" x14ac:dyDescent="0.2">
      <c r="A60" s="136">
        <v>117</v>
      </c>
      <c r="B60" s="137">
        <v>1.0732868949712928</v>
      </c>
      <c r="C60" s="137">
        <v>1.0546981011746774</v>
      </c>
      <c r="D60" s="137">
        <v>1.0495545106775375</v>
      </c>
      <c r="E60" s="137">
        <v>1.0353458167774625</v>
      </c>
      <c r="F60" s="137">
        <v>1.0260827935423311</v>
      </c>
      <c r="G60" s="137">
        <v>1.1319747663165625</v>
      </c>
      <c r="H60" s="137">
        <v>1.1128974696765519</v>
      </c>
      <c r="I60" s="137">
        <v>1.1050151570520261</v>
      </c>
      <c r="J60" s="137">
        <v>1.0812148632205454</v>
      </c>
      <c r="K60" s="137">
        <v>1.0644264571832787</v>
      </c>
      <c r="L60" s="137">
        <v>1</v>
      </c>
      <c r="M60" s="137">
        <v>1.398118642742074</v>
      </c>
      <c r="N60" s="137">
        <v>1.3554190455780599</v>
      </c>
      <c r="O60" s="137">
        <v>1.4193049312482737</v>
      </c>
      <c r="P60" s="137">
        <v>1.3438942783093148</v>
      </c>
      <c r="Q60" s="137">
        <v>1.4990921292361419</v>
      </c>
      <c r="R60" s="137">
        <v>1.4818623009859824</v>
      </c>
      <c r="S60" s="137">
        <v>1.6461303008613146</v>
      </c>
      <c r="T60" s="137">
        <v>1.5672524714073708</v>
      </c>
    </row>
    <row r="61" spans="1:20" x14ac:dyDescent="0.2">
      <c r="A61" s="136">
        <v>120</v>
      </c>
      <c r="B61" s="137">
        <v>1.0713180738329968</v>
      </c>
      <c r="C61" s="137">
        <v>1.0528793690431271</v>
      </c>
      <c r="D61" s="137">
        <v>1.0478713563393183</v>
      </c>
      <c r="E61" s="137">
        <v>1.0340681759501187</v>
      </c>
      <c r="F61" s="137">
        <v>1.0250647787872338</v>
      </c>
      <c r="G61" s="137">
        <v>1.12784232040318</v>
      </c>
      <c r="H61" s="137">
        <v>1.1091561946507027</v>
      </c>
      <c r="I61" s="137">
        <v>1.1014560193626528</v>
      </c>
      <c r="J61" s="137">
        <v>1.0781966214433019</v>
      </c>
      <c r="K61" s="137">
        <v>1.0617521688289118</v>
      </c>
      <c r="L61" s="137">
        <v>1</v>
      </c>
      <c r="M61" s="137">
        <v>1.3929260575088078</v>
      </c>
      <c r="N61" s="137">
        <v>1.3491781113868713</v>
      </c>
      <c r="O61" s="137">
        <v>1.4090644934370173</v>
      </c>
      <c r="P61" s="137">
        <v>1.3350247573671219</v>
      </c>
      <c r="Q61" s="137">
        <v>1.4854155062872212</v>
      </c>
      <c r="R61" s="137">
        <v>1.4683055832558358</v>
      </c>
      <c r="S61" s="137">
        <v>1.6260352962802205</v>
      </c>
      <c r="T61" s="137">
        <v>1.5502820574665106</v>
      </c>
    </row>
    <row r="62" spans="1:20" x14ac:dyDescent="0.2">
      <c r="A62" s="136">
        <v>121</v>
      </c>
      <c r="B62" s="137">
        <v>1.0706988299480276</v>
      </c>
      <c r="C62" s="137">
        <v>1.0523353428274766</v>
      </c>
      <c r="D62" s="137">
        <v>1.0473423639751815</v>
      </c>
      <c r="E62" s="137">
        <v>1.0336615705710854</v>
      </c>
      <c r="F62" s="137">
        <v>1.0247360976775182</v>
      </c>
      <c r="G62" s="137">
        <v>1.126518685491682</v>
      </c>
      <c r="H62" s="137">
        <v>1.1079527947677781</v>
      </c>
      <c r="I62" s="137">
        <v>1.1003105607671502</v>
      </c>
      <c r="J62" s="137">
        <v>1.0772188953711015</v>
      </c>
      <c r="K62" s="137">
        <v>1.0608759455028269</v>
      </c>
      <c r="L62" s="137">
        <v>1</v>
      </c>
      <c r="M62" s="137">
        <v>1.3903961665091766</v>
      </c>
      <c r="N62" s="137">
        <v>1.347085152598049</v>
      </c>
      <c r="O62" s="137">
        <v>1.4058581417139508</v>
      </c>
      <c r="P62" s="137">
        <v>1.3322753513219223</v>
      </c>
      <c r="Q62" s="137">
        <v>1.4811205479996636</v>
      </c>
      <c r="R62" s="137">
        <v>1.4640246559376853</v>
      </c>
      <c r="S62" s="137">
        <v>1.6197365129636379</v>
      </c>
      <c r="T62" s="137">
        <v>1.5449497609331635</v>
      </c>
    </row>
    <row r="63" spans="1:20" x14ac:dyDescent="0.2">
      <c r="A63" s="136">
        <v>123</v>
      </c>
      <c r="B63" s="137">
        <v>1.069476941649848</v>
      </c>
      <c r="C63" s="137">
        <v>1.0512644277641996</v>
      </c>
      <c r="D63" s="137">
        <v>1.0463022343571453</v>
      </c>
      <c r="E63" s="137">
        <v>1.0328630896569635</v>
      </c>
      <c r="F63" s="137">
        <v>1.0240917598812722</v>
      </c>
      <c r="G63" s="137">
        <v>1.1239145946759925</v>
      </c>
      <c r="H63" s="137">
        <v>1.1055875060096416</v>
      </c>
      <c r="I63" s="137">
        <v>1.0980599890342477</v>
      </c>
      <c r="J63" s="137">
        <v>1.0753012253405008</v>
      </c>
      <c r="K63" s="137">
        <v>1.0591616460973063</v>
      </c>
      <c r="L63" s="137">
        <v>1</v>
      </c>
      <c r="M63" s="137">
        <v>1.3853915291972707</v>
      </c>
      <c r="N63" s="137">
        <v>1.3429413362651559</v>
      </c>
      <c r="O63" s="137">
        <v>1.3995307087107469</v>
      </c>
      <c r="P63" s="137">
        <v>1.3268519222412909</v>
      </c>
      <c r="Q63" s="137">
        <v>1.4726612343123602</v>
      </c>
      <c r="R63" s="137">
        <v>1.4555968810769462</v>
      </c>
      <c r="S63" s="137">
        <v>1.6073610657802322</v>
      </c>
      <c r="T63" s="137">
        <v>1.5344644403570182</v>
      </c>
    </row>
    <row r="64" spans="1:20" x14ac:dyDescent="0.2">
      <c r="A64" s="136">
        <v>124</v>
      </c>
      <c r="B64" s="137">
        <v>1.0688741923979597</v>
      </c>
      <c r="C64" s="137">
        <v>1.0507374133215965</v>
      </c>
      <c r="D64" s="137">
        <v>1.0457909573994755</v>
      </c>
      <c r="E64" s="137">
        <v>1.0324710917177788</v>
      </c>
      <c r="F64" s="137">
        <v>1.0237759856543951</v>
      </c>
      <c r="G64" s="137">
        <v>1.1226337960594497</v>
      </c>
      <c r="H64" s="137">
        <v>1.1044252721044123</v>
      </c>
      <c r="I64" s="137">
        <v>1.0969545349348953</v>
      </c>
      <c r="J64" s="137">
        <v>1.0743609358807054</v>
      </c>
      <c r="K64" s="137">
        <v>1.0583231811990095</v>
      </c>
      <c r="L64" s="137">
        <v>1</v>
      </c>
      <c r="M64" s="137">
        <v>1.3829164662978493</v>
      </c>
      <c r="N64" s="137">
        <v>1.3408902574331296</v>
      </c>
      <c r="O64" s="137">
        <v>1.3964090287516744</v>
      </c>
      <c r="P64" s="137">
        <v>1.3241773609677019</v>
      </c>
      <c r="Q64" s="137">
        <v>1.4684958193442834</v>
      </c>
      <c r="R64" s="137">
        <v>1.4514489156512911</v>
      </c>
      <c r="S64" s="137">
        <v>1.601282283417184</v>
      </c>
      <c r="T64" s="137">
        <v>1.5293097969625435</v>
      </c>
    </row>
    <row r="65" spans="1:20" x14ac:dyDescent="0.2">
      <c r="A65" s="136">
        <v>129</v>
      </c>
      <c r="B65" s="137">
        <v>1.0659403469697004</v>
      </c>
      <c r="C65" s="137">
        <v>1.0481843264341226</v>
      </c>
      <c r="D65" s="137">
        <v>1.0433197353482935</v>
      </c>
      <c r="E65" s="137">
        <v>1.0305811507711482</v>
      </c>
      <c r="F65" s="137">
        <v>1.0222587841976394</v>
      </c>
      <c r="G65" s="137">
        <v>1.116435623319008</v>
      </c>
      <c r="H65" s="137">
        <v>1.0988115222716393</v>
      </c>
      <c r="I65" s="137">
        <v>1.0916189783857595</v>
      </c>
      <c r="J65" s="137">
        <v>1.0698382662863317</v>
      </c>
      <c r="K65" s="137">
        <v>1.0543102150444075</v>
      </c>
      <c r="L65" s="137">
        <v>1</v>
      </c>
      <c r="M65" s="137">
        <v>1.370807524034416</v>
      </c>
      <c r="N65" s="137">
        <v>1.3308388243423772</v>
      </c>
      <c r="O65" s="137">
        <v>1.3812093588356065</v>
      </c>
      <c r="P65" s="137">
        <v>1.3111656297954839</v>
      </c>
      <c r="Q65" s="137">
        <v>1.4482906638707287</v>
      </c>
      <c r="R65" s="137">
        <v>1.4313467004224407</v>
      </c>
      <c r="S65" s="137">
        <v>1.5719370395374377</v>
      </c>
      <c r="T65" s="137">
        <v>1.5043855389347147</v>
      </c>
    </row>
    <row r="66" spans="1:20" x14ac:dyDescent="0.2">
      <c r="A66" s="136">
        <v>132</v>
      </c>
      <c r="B66" s="137">
        <v>1.0642421690438044</v>
      </c>
      <c r="C66" s="137">
        <v>1.046715932229197</v>
      </c>
      <c r="D66" s="137">
        <v>1.0419027713837969</v>
      </c>
      <c r="E66" s="137">
        <v>1.0295011625595314</v>
      </c>
      <c r="F66" s="137">
        <v>1.0213958279801436</v>
      </c>
      <c r="G66" s="137">
        <v>1.1128756119641845</v>
      </c>
      <c r="H66" s="137">
        <v>1.095595419556417</v>
      </c>
      <c r="I66" s="137">
        <v>1.0885653001146907</v>
      </c>
      <c r="J66" s="137">
        <v>1.0672619216078645</v>
      </c>
      <c r="K66" s="137">
        <v>1.0520394827066555</v>
      </c>
      <c r="L66" s="137">
        <v>1</v>
      </c>
      <c r="M66" s="137">
        <v>1.3637498460291384</v>
      </c>
      <c r="N66" s="137">
        <v>1.3249673343902086</v>
      </c>
      <c r="O66" s="137">
        <v>1.3724064274407914</v>
      </c>
      <c r="P66" s="137">
        <v>1.3036383653981911</v>
      </c>
      <c r="Q66" s="137">
        <v>1.4366473866675142</v>
      </c>
      <c r="R66" s="137">
        <v>1.4197768033008091</v>
      </c>
      <c r="S66" s="137">
        <v>1.555133860279813</v>
      </c>
      <c r="T66" s="137">
        <v>1.4900832982382088</v>
      </c>
    </row>
    <row r="67" spans="1:20" x14ac:dyDescent="0.2">
      <c r="A67" s="136">
        <v>133</v>
      </c>
      <c r="B67" s="137">
        <v>1.0637059098897808</v>
      </c>
      <c r="C67" s="137">
        <v>1.0462479786700363</v>
      </c>
      <c r="D67" s="137">
        <v>1.0414471683901423</v>
      </c>
      <c r="E67" s="137">
        <v>1.0291527533568794</v>
      </c>
      <c r="F67" s="137">
        <v>1.0211158208825919</v>
      </c>
      <c r="G67" s="137">
        <v>1.1117930841095094</v>
      </c>
      <c r="H67" s="137">
        <v>1.0946071512402127</v>
      </c>
      <c r="I67" s="137">
        <v>1.0876249979241455</v>
      </c>
      <c r="J67" s="137">
        <v>1.0664560244088566</v>
      </c>
      <c r="K67" s="137">
        <v>1.0513146837936902</v>
      </c>
      <c r="L67" s="137">
        <v>1</v>
      </c>
      <c r="M67" s="137">
        <v>1.3615223714234692</v>
      </c>
      <c r="N67" s="137">
        <v>1.3231380561076751</v>
      </c>
      <c r="O67" s="137">
        <v>1.3696706576156616</v>
      </c>
      <c r="P67" s="137">
        <v>1.3012892869244463</v>
      </c>
      <c r="Q67" s="137">
        <v>1.4333108729948221</v>
      </c>
      <c r="R67" s="137">
        <v>1.4164148912451979</v>
      </c>
      <c r="S67" s="137">
        <v>1.5502909959804829</v>
      </c>
      <c r="T67" s="137">
        <v>1.4859437873276025</v>
      </c>
    </row>
    <row r="68" spans="1:20" x14ac:dyDescent="0.2">
      <c r="A68" s="136">
        <v>135</v>
      </c>
      <c r="B68" s="137">
        <v>1.0626471736382324</v>
      </c>
      <c r="C68" s="137">
        <v>1.0453263883199357</v>
      </c>
      <c r="D68" s="137">
        <v>1.0405510559353659</v>
      </c>
      <c r="E68" s="137">
        <v>1.0284683997311606</v>
      </c>
      <c r="F68" s="137">
        <v>1.020566861916697</v>
      </c>
      <c r="G68" s="137">
        <v>1.1096605780511803</v>
      </c>
      <c r="H68" s="137">
        <v>1.0926624321075018</v>
      </c>
      <c r="I68" s="137">
        <v>1.0857753971537023</v>
      </c>
      <c r="J68" s="137">
        <v>1.0648739496850748</v>
      </c>
      <c r="K68" s="137">
        <v>1.049895939216497</v>
      </c>
      <c r="L68" s="137">
        <v>1</v>
      </c>
      <c r="M68" s="137">
        <v>1.3571133366992929</v>
      </c>
      <c r="N68" s="137">
        <v>1.3195138806112332</v>
      </c>
      <c r="O68" s="137">
        <v>1.3642668359276169</v>
      </c>
      <c r="P68" s="137">
        <v>1.296651432140191</v>
      </c>
      <c r="Q68" s="137">
        <v>1.4267248026364241</v>
      </c>
      <c r="R68" s="137">
        <v>1.409782594356805</v>
      </c>
      <c r="S68" s="137">
        <v>1.5407520533883554</v>
      </c>
      <c r="T68" s="137">
        <v>1.477785055764663</v>
      </c>
    </row>
    <row r="69" spans="1:20" x14ac:dyDescent="0.2">
      <c r="A69" s="136">
        <v>136</v>
      </c>
      <c r="B69" s="137">
        <v>1.0621246134803057</v>
      </c>
      <c r="C69" s="137">
        <v>1.0448726500844334</v>
      </c>
      <c r="D69" s="137">
        <v>1.0401104310806208</v>
      </c>
      <c r="E69" s="137">
        <v>1.0281323533888524</v>
      </c>
      <c r="F69" s="137">
        <v>1.0202978109483112</v>
      </c>
      <c r="G69" s="137">
        <v>1.1086103635284867</v>
      </c>
      <c r="H69" s="137">
        <v>1.0917057363140703</v>
      </c>
      <c r="I69" s="137">
        <v>1.0848658551143286</v>
      </c>
      <c r="J69" s="137">
        <v>1.0640975146223781</v>
      </c>
      <c r="K69" s="137">
        <v>1.0492016881457216</v>
      </c>
      <c r="L69" s="137">
        <v>1</v>
      </c>
      <c r="M69" s="137">
        <v>1.3549315285920782</v>
      </c>
      <c r="N69" s="137">
        <v>1.3177188153906654</v>
      </c>
      <c r="O69" s="137">
        <v>1.3615983442643462</v>
      </c>
      <c r="P69" s="137">
        <v>1.2943622554761656</v>
      </c>
      <c r="Q69" s="137">
        <v>1.4234746450858968</v>
      </c>
      <c r="R69" s="137">
        <v>1.4065115505958967</v>
      </c>
      <c r="S69" s="137">
        <v>1.5360547788902936</v>
      </c>
      <c r="T69" s="137">
        <v>1.4737649018919829</v>
      </c>
    </row>
    <row r="70" spans="1:20" x14ac:dyDescent="0.2">
      <c r="A70" s="136">
        <v>141</v>
      </c>
      <c r="B70" s="137">
        <v>1.0595782677174741</v>
      </c>
      <c r="C70" s="137">
        <v>1.0426725508983219</v>
      </c>
      <c r="D70" s="137">
        <v>1.0379793754558839</v>
      </c>
      <c r="E70" s="137">
        <v>1.0265114463723863</v>
      </c>
      <c r="F70" s="137">
        <v>1.0190049207219736</v>
      </c>
      <c r="G70" s="137">
        <v>1.1035150790991357</v>
      </c>
      <c r="H70" s="137">
        <v>1.0870741362761778</v>
      </c>
      <c r="I70" s="137">
        <v>1.080466001105316</v>
      </c>
      <c r="J70" s="137">
        <v>1.060356374204549</v>
      </c>
      <c r="K70" s="137">
        <v>1.0458757535872687</v>
      </c>
      <c r="L70" s="137">
        <v>1</v>
      </c>
      <c r="M70" s="137">
        <v>1.3442447285820678</v>
      </c>
      <c r="N70" s="137">
        <v>1.3089104203153032</v>
      </c>
      <c r="O70" s="137">
        <v>1.3485815111661537</v>
      </c>
      <c r="P70" s="137">
        <v>1.2832060843931101</v>
      </c>
      <c r="Q70" s="137">
        <v>1.4076409507594454</v>
      </c>
      <c r="R70" s="137">
        <v>1.3905945816408116</v>
      </c>
      <c r="S70" s="137">
        <v>1.513267236146048</v>
      </c>
      <c r="T70" s="137">
        <v>1.4542381705139642</v>
      </c>
    </row>
    <row r="71" spans="1:20" x14ac:dyDescent="0.2">
      <c r="A71" s="136">
        <v>144</v>
      </c>
      <c r="B71" s="137">
        <v>1.0581022012406021</v>
      </c>
      <c r="C71" s="137">
        <v>1.0414056402538063</v>
      </c>
      <c r="D71" s="137">
        <v>1.0367564432994758</v>
      </c>
      <c r="E71" s="137">
        <v>1.0255846420055561</v>
      </c>
      <c r="F71" s="137">
        <v>1.0182694150462284</v>
      </c>
      <c r="G71" s="137">
        <v>1.1005785394175447</v>
      </c>
      <c r="H71" s="137">
        <v>1.0844125458294633</v>
      </c>
      <c r="I71" s="137">
        <v>1.0779402696522657</v>
      </c>
      <c r="J71" s="137">
        <v>1.0582202007056976</v>
      </c>
      <c r="K71" s="137">
        <v>1.0439913756352999</v>
      </c>
      <c r="L71" s="137">
        <v>1</v>
      </c>
      <c r="M71" s="137">
        <v>1.3380061894581008</v>
      </c>
      <c r="N71" s="137">
        <v>1.3037560339473551</v>
      </c>
      <c r="O71" s="137">
        <v>1.3410244456265812</v>
      </c>
      <c r="P71" s="137">
        <v>1.2767373614404438</v>
      </c>
      <c r="Q71" s="137">
        <v>1.3984642493512678</v>
      </c>
      <c r="R71" s="137">
        <v>1.3813838873321951</v>
      </c>
      <c r="S71" s="137">
        <v>1.5001337788437705</v>
      </c>
      <c r="T71" s="137">
        <v>1.4429657055921328</v>
      </c>
    </row>
    <row r="72" spans="1:20" x14ac:dyDescent="0.2">
      <c r="A72" s="136">
        <v>145</v>
      </c>
      <c r="B72" s="137">
        <v>1.0576352854872924</v>
      </c>
      <c r="C72" s="137">
        <v>1.041004099621913</v>
      </c>
      <c r="D72" s="137">
        <v>1.0363687857363173</v>
      </c>
      <c r="E72" s="137">
        <v>1.0252876546465157</v>
      </c>
      <c r="F72" s="137">
        <v>1.0180303874670982</v>
      </c>
      <c r="G72" s="137">
        <v>1.0996086146350816</v>
      </c>
      <c r="H72" s="137">
        <v>1.0835307460363703</v>
      </c>
      <c r="I72" s="137">
        <v>1.0771036826372673</v>
      </c>
      <c r="J72" s="137">
        <v>1.0575090348702432</v>
      </c>
      <c r="K72" s="137">
        <v>1.0433557041861292</v>
      </c>
      <c r="L72" s="137">
        <v>1</v>
      </c>
      <c r="M72" s="137">
        <v>1.3359629492869296</v>
      </c>
      <c r="N72" s="137">
        <v>1.3020484887012362</v>
      </c>
      <c r="O72" s="137">
        <v>1.3386364403551769</v>
      </c>
      <c r="P72" s="137">
        <v>1.2747084511779152</v>
      </c>
      <c r="Q72" s="137">
        <v>1.3954423874308999</v>
      </c>
      <c r="R72" s="137">
        <v>1.3783382064378975</v>
      </c>
      <c r="S72" s="137">
        <v>1.4958057871365349</v>
      </c>
      <c r="T72" s="137">
        <v>1.4392505045125428</v>
      </c>
    </row>
    <row r="73" spans="1:20" x14ac:dyDescent="0.2">
      <c r="A73" s="136">
        <v>147</v>
      </c>
      <c r="B73" s="137">
        <v>1.0567129785132203</v>
      </c>
      <c r="C73" s="137">
        <v>1.0402128860497637</v>
      </c>
      <c r="D73" s="137">
        <v>1.0356059016362176</v>
      </c>
      <c r="E73" s="137">
        <v>1.0247041058106343</v>
      </c>
      <c r="F73" s="137">
        <v>1.0175617536536508</v>
      </c>
      <c r="G73" s="137">
        <v>1.0976979575642265</v>
      </c>
      <c r="H73" s="137">
        <v>1.0817957100661764</v>
      </c>
      <c r="I73" s="137">
        <v>1.0754582795261327</v>
      </c>
      <c r="J73" s="137">
        <v>1.0561133399656055</v>
      </c>
      <c r="K73" s="137">
        <v>1.042112334120632</v>
      </c>
      <c r="L73" s="137">
        <v>1</v>
      </c>
      <c r="M73" s="137">
        <v>1.3319178178786122</v>
      </c>
      <c r="N73" s="137">
        <v>1.2986652907934404</v>
      </c>
      <c r="O73" s="137">
        <v>1.3339164132479846</v>
      </c>
      <c r="P73" s="137">
        <v>1.2706996794445298</v>
      </c>
      <c r="Q73" s="137">
        <v>1.389476273002608</v>
      </c>
      <c r="R73" s="137">
        <v>1.3723289136493617</v>
      </c>
      <c r="S73" s="137">
        <v>1.487278846489321</v>
      </c>
      <c r="T73" s="137">
        <v>1.431926447585675</v>
      </c>
    </row>
    <row r="74" spans="1:20" x14ac:dyDescent="0.2">
      <c r="A74" s="136">
        <v>148</v>
      </c>
      <c r="B74" s="137">
        <v>1.0562575208722016</v>
      </c>
      <c r="C74" s="137">
        <v>1.0398231322005849</v>
      </c>
      <c r="D74" s="137">
        <v>1.0352305834737201</v>
      </c>
      <c r="E74" s="137">
        <v>1.0244174609545194</v>
      </c>
      <c r="F74" s="137">
        <v>1.0173320633332001</v>
      </c>
      <c r="G74" s="137">
        <v>1.0967570145479935</v>
      </c>
      <c r="H74" s="137">
        <v>1.0809422540835734</v>
      </c>
      <c r="I74" s="137">
        <v>1.074649245305175</v>
      </c>
      <c r="J74" s="137">
        <v>1.0554285778951369</v>
      </c>
      <c r="K74" s="137">
        <v>1.0415043509320987</v>
      </c>
      <c r="L74" s="137">
        <v>1</v>
      </c>
      <c r="M74" s="137">
        <v>1.329915708496537</v>
      </c>
      <c r="N74" s="137">
        <v>1.2969894840041456</v>
      </c>
      <c r="O74" s="137">
        <v>1.3315840491162263</v>
      </c>
      <c r="P74" s="137">
        <v>1.268719513327738</v>
      </c>
      <c r="Q74" s="137">
        <v>1.3865314951618097</v>
      </c>
      <c r="R74" s="137">
        <v>1.3693647206680886</v>
      </c>
      <c r="S74" s="137">
        <v>1.4830788691682217</v>
      </c>
      <c r="T74" s="137">
        <v>1.428316784066636</v>
      </c>
    </row>
    <row r="75" spans="1:20" x14ac:dyDescent="0.2">
      <c r="A75" s="136">
        <v>153</v>
      </c>
      <c r="B75" s="137">
        <v>1.054035890528408</v>
      </c>
      <c r="C75" s="137">
        <v>1.0379313134373489</v>
      </c>
      <c r="D75" s="137">
        <v>1.0334134468257798</v>
      </c>
      <c r="E75" s="137">
        <v>1.0230339111833244</v>
      </c>
      <c r="F75" s="137">
        <v>1.0162282475693356</v>
      </c>
      <c r="G75" s="137">
        <v>1.0921920540763901</v>
      </c>
      <c r="H75" s="137">
        <v>1.0768113233065089</v>
      </c>
      <c r="I75" s="137">
        <v>1.0707365112194687</v>
      </c>
      <c r="J75" s="137">
        <v>1.0521311086434897</v>
      </c>
      <c r="K75" s="137">
        <v>1.0385959676984657</v>
      </c>
      <c r="L75" s="137">
        <v>1</v>
      </c>
      <c r="M75" s="137">
        <v>1.3201054543116217</v>
      </c>
      <c r="N75" s="137">
        <v>1.2887653487899211</v>
      </c>
      <c r="O75" s="137">
        <v>1.3201920445516178</v>
      </c>
      <c r="P75" s="137">
        <v>1.2590549378450397</v>
      </c>
      <c r="Q75" s="137">
        <v>1.3721801789783721</v>
      </c>
      <c r="R75" s="137">
        <v>1.3549369984281099</v>
      </c>
      <c r="S75" s="137">
        <v>1.4626940051521919</v>
      </c>
      <c r="T75" s="137">
        <v>1.4107764560301435</v>
      </c>
    </row>
    <row r="76" spans="1:20" x14ac:dyDescent="0.2">
      <c r="A76" s="136">
        <v>156</v>
      </c>
      <c r="B76" s="137">
        <v>1.0527462978919127</v>
      </c>
      <c r="C76" s="137">
        <v>1.0368404035575316</v>
      </c>
      <c r="D76" s="137">
        <v>1.0323691729109858</v>
      </c>
      <c r="E76" s="137">
        <v>1.0222421114269498</v>
      </c>
      <c r="F76" s="137">
        <v>1.0156002546631409</v>
      </c>
      <c r="G76" s="137">
        <v>1.0895613121543344</v>
      </c>
      <c r="H76" s="137">
        <v>1.0744381333038375</v>
      </c>
      <c r="I76" s="137">
        <v>1.0684911415976917</v>
      </c>
      <c r="J76" s="137">
        <v>1.0502497944461591</v>
      </c>
      <c r="K76" s="137">
        <v>1.0369514434454634</v>
      </c>
      <c r="L76" s="137">
        <v>1</v>
      </c>
      <c r="M76" s="137">
        <v>1.3143757914639753</v>
      </c>
      <c r="N76" s="137">
        <v>1.2839521300250976</v>
      </c>
      <c r="O76" s="137">
        <v>1.3135668632510948</v>
      </c>
      <c r="P76" s="137">
        <v>1.2534400088945405</v>
      </c>
      <c r="Q76" s="137">
        <v>1.3638585528178866</v>
      </c>
      <c r="R76" s="137">
        <v>1.346585147220082</v>
      </c>
      <c r="S76" s="137">
        <v>1.4509378851342536</v>
      </c>
      <c r="T76" s="137">
        <v>1.4006450790470368</v>
      </c>
    </row>
    <row r="77" spans="1:20" x14ac:dyDescent="0.2">
      <c r="A77" s="136">
        <v>157</v>
      </c>
      <c r="B77" s="137">
        <v>1.0523338173074159</v>
      </c>
      <c r="C77" s="137">
        <v>1.0364897518028926</v>
      </c>
      <c r="D77" s="137">
        <v>1.0320321346870627</v>
      </c>
      <c r="E77" s="137">
        <v>1.0219846094120899</v>
      </c>
      <c r="F77" s="137">
        <v>1.0153936787507252</v>
      </c>
      <c r="G77" s="137">
        <v>1.0886726781436296</v>
      </c>
      <c r="H77" s="137">
        <v>1.0736352377870804</v>
      </c>
      <c r="I77" s="137">
        <v>1.0677322003107337</v>
      </c>
      <c r="J77" s="137">
        <v>1.04961218973125</v>
      </c>
      <c r="K77" s="137">
        <v>1.0363866638571995</v>
      </c>
      <c r="L77" s="137">
        <v>1</v>
      </c>
      <c r="M77" s="137">
        <v>1.312508449759423</v>
      </c>
      <c r="N77" s="137">
        <v>1.2823826866010191</v>
      </c>
      <c r="O77" s="137">
        <v>1.3114564377023348</v>
      </c>
      <c r="P77" s="137">
        <v>1.2516552967398784</v>
      </c>
      <c r="Q77" s="137">
        <v>1.3610247865920684</v>
      </c>
      <c r="R77" s="137">
        <v>1.343734001092445</v>
      </c>
      <c r="S77" s="137">
        <v>1.4469334265368721</v>
      </c>
      <c r="T77" s="137">
        <v>1.3971965792814025</v>
      </c>
    </row>
    <row r="78" spans="1:20" x14ac:dyDescent="0.2">
      <c r="A78" s="136">
        <v>159</v>
      </c>
      <c r="B78" s="137">
        <v>1.0515187420224401</v>
      </c>
      <c r="C78" s="137">
        <v>1.0357986004794923</v>
      </c>
      <c r="D78" s="137">
        <v>1.0313687083336551</v>
      </c>
      <c r="E78" s="137">
        <v>1.0214786076161932</v>
      </c>
      <c r="F78" s="137">
        <v>1.0149887571752296</v>
      </c>
      <c r="G78" s="137">
        <v>1.0869228111263569</v>
      </c>
      <c r="H78" s="137">
        <v>1.072056191746467</v>
      </c>
      <c r="I78" s="137">
        <v>1.0662402246727798</v>
      </c>
      <c r="J78" s="137">
        <v>1.0483617009237984</v>
      </c>
      <c r="K78" s="137">
        <v>1.0352833055037332</v>
      </c>
      <c r="L78" s="137">
        <v>1</v>
      </c>
      <c r="M78" s="137">
        <v>1.3088107033659331</v>
      </c>
      <c r="N78" s="137">
        <v>1.2792724853624047</v>
      </c>
      <c r="O78" s="137">
        <v>1.3072828559250507</v>
      </c>
      <c r="P78" s="137">
        <v>1.2481270743936403</v>
      </c>
      <c r="Q78" s="137">
        <v>1.3554314648509749</v>
      </c>
      <c r="R78" s="137">
        <v>1.3381102667528577</v>
      </c>
      <c r="S78" s="137">
        <v>1.4390460053412941</v>
      </c>
      <c r="T78" s="137">
        <v>1.390400074988523</v>
      </c>
    </row>
    <row r="79" spans="1:20" x14ac:dyDescent="0.2">
      <c r="A79" s="136">
        <v>160</v>
      </c>
      <c r="B79" s="137">
        <v>1.0511160922086991</v>
      </c>
      <c r="C79" s="137">
        <v>1.035458033350205</v>
      </c>
      <c r="D79" s="137">
        <v>1.0310422431205335</v>
      </c>
      <c r="E79" s="137">
        <v>1.0212300363409597</v>
      </c>
      <c r="F79" s="137">
        <v>1.0147903374333511</v>
      </c>
      <c r="G79" s="137">
        <v>1.0860613767716725</v>
      </c>
      <c r="H79" s="137">
        <v>1.0712798308961347</v>
      </c>
      <c r="I79" s="137">
        <v>1.065506982347749</v>
      </c>
      <c r="J79" s="137">
        <v>1.0477485942529827</v>
      </c>
      <c r="K79" s="137">
        <v>1.0347444472235885</v>
      </c>
      <c r="L79" s="137">
        <v>1</v>
      </c>
      <c r="M79" s="137">
        <v>1.3069801091746571</v>
      </c>
      <c r="N79" s="137">
        <v>1.2777315925436223</v>
      </c>
      <c r="O79" s="137">
        <v>1.3052194251898805</v>
      </c>
      <c r="P79" s="137">
        <v>1.2463833213672122</v>
      </c>
      <c r="Q79" s="137">
        <v>1.3526714002805795</v>
      </c>
      <c r="R79" s="137">
        <v>1.3353371135324426</v>
      </c>
      <c r="S79" s="137">
        <v>1.4351620637077194</v>
      </c>
      <c r="T79" s="137">
        <v>1.387051298495924</v>
      </c>
    </row>
    <row r="80" spans="1:20" x14ac:dyDescent="0.2">
      <c r="A80" s="136">
        <v>165</v>
      </c>
      <c r="B80" s="137">
        <v>1.049150641367756</v>
      </c>
      <c r="C80" s="137">
        <v>1.033803963678378</v>
      </c>
      <c r="D80" s="137">
        <v>1.0294608942996373</v>
      </c>
      <c r="E80" s="137">
        <v>1.0200300857019067</v>
      </c>
      <c r="F80" s="137">
        <v>1.0138372133502909</v>
      </c>
      <c r="G80" s="137">
        <v>1.0818852795879144</v>
      </c>
      <c r="H80" s="137">
        <v>1.0675255632791607</v>
      </c>
      <c r="I80" s="137">
        <v>1.0619641881376516</v>
      </c>
      <c r="J80" s="137">
        <v>1.0448001302955159</v>
      </c>
      <c r="K80" s="137">
        <v>1.0321729845153556</v>
      </c>
      <c r="L80" s="137">
        <v>1</v>
      </c>
      <c r="M80" s="137">
        <v>1.2980062161191539</v>
      </c>
      <c r="N80" s="137">
        <v>1.2701665571237581</v>
      </c>
      <c r="O80" s="137">
        <v>1.2951305104458852</v>
      </c>
      <c r="P80" s="137">
        <v>1.2378633944969029</v>
      </c>
      <c r="Q80" s="137">
        <v>1.3392271394051372</v>
      </c>
      <c r="R80" s="137">
        <v>1.321847512002674</v>
      </c>
      <c r="S80" s="137">
        <v>1.4163210988537154</v>
      </c>
      <c r="T80" s="137">
        <v>1.3707872092846647</v>
      </c>
    </row>
    <row r="81" spans="1:20" x14ac:dyDescent="0.2">
      <c r="A81" s="136">
        <v>168</v>
      </c>
      <c r="B81" s="137">
        <v>1.0480086612313348</v>
      </c>
      <c r="C81" s="137">
        <v>1.0328493813239448</v>
      </c>
      <c r="D81" s="137">
        <v>1.0285515565868106</v>
      </c>
      <c r="E81" s="137">
        <v>1.019343230446029</v>
      </c>
      <c r="F81" s="137">
        <v>1.0132952749353585</v>
      </c>
      <c r="G81" s="137">
        <v>1.0794810726603141</v>
      </c>
      <c r="H81" s="137">
        <v>1.0653714843922575</v>
      </c>
      <c r="I81" s="137">
        <v>1.0599337411777912</v>
      </c>
      <c r="J81" s="137">
        <v>1.0431209822576366</v>
      </c>
      <c r="K81" s="137">
        <v>1.0307237485396585</v>
      </c>
      <c r="L81" s="137">
        <v>1</v>
      </c>
      <c r="M81" s="137">
        <v>1.2927618851285008</v>
      </c>
      <c r="N81" s="137">
        <v>1.2657367489170293</v>
      </c>
      <c r="O81" s="137">
        <v>1.2892550625765473</v>
      </c>
      <c r="P81" s="137">
        <v>1.2329063612621158</v>
      </c>
      <c r="Q81" s="137">
        <v>1.3314368189581618</v>
      </c>
      <c r="R81" s="137">
        <v>1.3140451501262376</v>
      </c>
      <c r="S81" s="137">
        <v>1.4054631323615614</v>
      </c>
      <c r="T81" s="137">
        <v>1.3613996267418156</v>
      </c>
    </row>
    <row r="82" spans="1:20" x14ac:dyDescent="0.2">
      <c r="A82" s="136">
        <v>169</v>
      </c>
      <c r="B82" s="137">
        <v>1.0476409538099567</v>
      </c>
      <c r="C82" s="137">
        <v>1.0325411088129348</v>
      </c>
      <c r="D82" s="137">
        <v>1.028256528214565</v>
      </c>
      <c r="E82" s="137">
        <v>1.019118625225417</v>
      </c>
      <c r="F82" s="137">
        <v>1.0131158168477985</v>
      </c>
      <c r="G82" s="137">
        <v>1.0786914089073061</v>
      </c>
      <c r="H82" s="137">
        <v>1.0646598371377534</v>
      </c>
      <c r="I82" s="137">
        <v>1.0592630532959009</v>
      </c>
      <c r="J82" s="137">
        <v>1.0425613590986349</v>
      </c>
      <c r="K82" s="137">
        <v>1.0302303470614194</v>
      </c>
      <c r="L82" s="137">
        <v>1</v>
      </c>
      <c r="M82" s="137">
        <v>1.2910286434550482</v>
      </c>
      <c r="N82" s="137">
        <v>1.2642767213257182</v>
      </c>
      <c r="O82" s="137">
        <v>1.2873641319479474</v>
      </c>
      <c r="P82" s="137">
        <v>1.2313156337185853</v>
      </c>
      <c r="Q82" s="137">
        <v>1.3289207150336215</v>
      </c>
      <c r="R82" s="137">
        <v>1.3115040574660042</v>
      </c>
      <c r="S82" s="137">
        <v>1.4019373485078583</v>
      </c>
      <c r="T82" s="137">
        <v>1.3583500298206523</v>
      </c>
    </row>
    <row r="83" spans="1:20" x14ac:dyDescent="0.2">
      <c r="A83" s="136">
        <v>171</v>
      </c>
      <c r="B83" s="137">
        <v>1.0469141536196465</v>
      </c>
      <c r="C83" s="137">
        <v>1.0319333485758027</v>
      </c>
      <c r="D83" s="137">
        <v>1.0276757077827949</v>
      </c>
      <c r="E83" s="137">
        <v>1.0186772797422321</v>
      </c>
      <c r="F83" s="137">
        <v>1.0127641803595113</v>
      </c>
      <c r="G83" s="137">
        <v>1.0771363678548516</v>
      </c>
      <c r="H83" s="137">
        <v>1.0632603802948244</v>
      </c>
      <c r="I83" s="137">
        <v>1.0579447170100176</v>
      </c>
      <c r="J83" s="137">
        <v>1.0414642351593328</v>
      </c>
      <c r="K83" s="137">
        <v>1.0292675219891212</v>
      </c>
      <c r="L83" s="137">
        <v>1</v>
      </c>
      <c r="M83" s="137">
        <v>1.2875961580531337</v>
      </c>
      <c r="N83" s="137">
        <v>1.2613830724365818</v>
      </c>
      <c r="O83" s="137">
        <v>1.2836231767104807</v>
      </c>
      <c r="P83" s="137">
        <v>1.2281696049862687</v>
      </c>
      <c r="Q83" s="137">
        <v>1.323952297101809</v>
      </c>
      <c r="R83" s="137">
        <v>1.3064902476299514</v>
      </c>
      <c r="S83" s="137">
        <v>1.394989672828296</v>
      </c>
      <c r="T83" s="137">
        <v>1.3523372857665004</v>
      </c>
    </row>
    <row r="84" spans="1:20" x14ac:dyDescent="0.2">
      <c r="A84" s="136">
        <v>172</v>
      </c>
      <c r="B84" s="137">
        <v>1.0465550140676521</v>
      </c>
      <c r="C84" s="137">
        <v>1.0316338034914829</v>
      </c>
      <c r="D84" s="137">
        <v>1.0273898496967244</v>
      </c>
      <c r="E84" s="137">
        <v>1.0184604770702441</v>
      </c>
      <c r="F84" s="137">
        <v>1.0125919353790107</v>
      </c>
      <c r="G84" s="137">
        <v>1.0763708136472157</v>
      </c>
      <c r="H84" s="137">
        <v>1.0625723833173573</v>
      </c>
      <c r="I84" s="137">
        <v>1.0572968835521406</v>
      </c>
      <c r="J84" s="137">
        <v>1.0409265323544992</v>
      </c>
      <c r="K84" s="137">
        <v>1.0287978317225419</v>
      </c>
      <c r="L84" s="137">
        <v>1</v>
      </c>
      <c r="M84" s="137">
        <v>1.2858967422412986</v>
      </c>
      <c r="N84" s="137">
        <v>1.2599493287549217</v>
      </c>
      <c r="O84" s="137">
        <v>1.2817729239833484</v>
      </c>
      <c r="P84" s="137">
        <v>1.2266141036098352</v>
      </c>
      <c r="Q84" s="137">
        <v>1.3214995622037928</v>
      </c>
      <c r="R84" s="137">
        <v>1.3040170535068727</v>
      </c>
      <c r="S84" s="137">
        <v>1.3915669734332066</v>
      </c>
      <c r="T84" s="137">
        <v>1.3493734971031883</v>
      </c>
    </row>
    <row r="85" spans="1:20" x14ac:dyDescent="0.2">
      <c r="A85" s="136">
        <v>177</v>
      </c>
      <c r="B85" s="137">
        <v>1.0448010043516125</v>
      </c>
      <c r="C85" s="137">
        <v>1.0301783076611548</v>
      </c>
      <c r="D85" s="137">
        <v>1.0260047931049485</v>
      </c>
      <c r="E85" s="137">
        <v>1.0174139504335165</v>
      </c>
      <c r="F85" s="137">
        <v>1.0117651531371343</v>
      </c>
      <c r="G85" s="137">
        <v>1.072659262744557</v>
      </c>
      <c r="H85" s="137">
        <v>1.0592460724288151</v>
      </c>
      <c r="I85" s="137">
        <v>1.0541674697706505</v>
      </c>
      <c r="J85" s="137">
        <v>1.0383427006753783</v>
      </c>
      <c r="K85" s="137">
        <v>1.0265614767992113</v>
      </c>
      <c r="L85" s="137">
        <v>1</v>
      </c>
      <c r="M85" s="137">
        <v>1.2775645600154359</v>
      </c>
      <c r="N85" s="137">
        <v>1.252909015488719</v>
      </c>
      <c r="O85" s="137">
        <v>1.2727194484089146</v>
      </c>
      <c r="P85" s="137">
        <v>1.2190078122638992</v>
      </c>
      <c r="Q85" s="137">
        <v>1.3095424328022072</v>
      </c>
      <c r="R85" s="137">
        <v>1.2919789174220973</v>
      </c>
      <c r="S85" s="137">
        <v>1.3749492134769454</v>
      </c>
      <c r="T85" s="137">
        <v>1.3349679381493764</v>
      </c>
    </row>
    <row r="86" spans="1:20" x14ac:dyDescent="0.2">
      <c r="A86" s="136">
        <v>180</v>
      </c>
      <c r="B86" s="137">
        <v>1.043781142943822</v>
      </c>
      <c r="C86" s="137">
        <v>1.0293378134388513</v>
      </c>
      <c r="D86" s="137">
        <v>1.0252080228384921</v>
      </c>
      <c r="E86" s="137">
        <v>1.0168149677284335</v>
      </c>
      <c r="F86" s="137">
        <v>1.0112955211351899</v>
      </c>
      <c r="G86" s="137">
        <v>1.0705223107673811</v>
      </c>
      <c r="H86" s="137">
        <v>1.0573380627008639</v>
      </c>
      <c r="I86" s="137">
        <v>1.0523745046768311</v>
      </c>
      <c r="J86" s="137">
        <v>1.0368727679774741</v>
      </c>
      <c r="K86" s="137">
        <v>1.0253049450151908</v>
      </c>
      <c r="L86" s="137">
        <v>1</v>
      </c>
      <c r="M86" s="137">
        <v>1.2726942079102965</v>
      </c>
      <c r="N86" s="137">
        <v>1.2487854379542036</v>
      </c>
      <c r="O86" s="137">
        <v>1.2674416872713536</v>
      </c>
      <c r="P86" s="137">
        <v>1.21457758252365</v>
      </c>
      <c r="Q86" s="137">
        <v>1.3026062515190913</v>
      </c>
      <c r="R86" s="137">
        <v>1.2850102391577416</v>
      </c>
      <c r="S86" s="137">
        <v>1.3653615970606618</v>
      </c>
      <c r="T86" s="137">
        <v>1.3266445097035702</v>
      </c>
    </row>
    <row r="87" spans="1:20" x14ac:dyDescent="0.2">
      <c r="A87" s="136">
        <v>181</v>
      </c>
      <c r="B87" s="137">
        <v>1.0434543005835559</v>
      </c>
      <c r="C87" s="137">
        <v>1.0290827778267859</v>
      </c>
      <c r="D87" s="137">
        <v>1.0249819221856278</v>
      </c>
      <c r="E87" s="137">
        <v>1.0166320720490298</v>
      </c>
      <c r="F87" s="137">
        <v>1.0111397752513251</v>
      </c>
      <c r="G87" s="137">
        <v>1.0698166257957304</v>
      </c>
      <c r="H87" s="137">
        <v>1.0567233367414526</v>
      </c>
      <c r="I87" s="137">
        <v>1.0517964972376925</v>
      </c>
      <c r="J87" s="137">
        <v>1.0364139193412611</v>
      </c>
      <c r="K87" s="137">
        <v>1.0249375706263224</v>
      </c>
      <c r="L87" s="137">
        <v>1</v>
      </c>
      <c r="M87" s="137">
        <v>1.2707721751187362</v>
      </c>
      <c r="N87" s="137">
        <v>1.2470042681471338</v>
      </c>
      <c r="O87" s="137">
        <v>1.2656324754614534</v>
      </c>
      <c r="P87" s="137">
        <v>1.2131644272115425</v>
      </c>
      <c r="Q87" s="137">
        <v>1.2999542769983081</v>
      </c>
      <c r="R87" s="137">
        <v>1.2824847261019328</v>
      </c>
      <c r="S87" s="137">
        <v>1.3618594259694805</v>
      </c>
      <c r="T87" s="137">
        <v>1.32349277081349</v>
      </c>
    </row>
    <row r="88" spans="1:20" x14ac:dyDescent="0.2">
      <c r="A88" s="136">
        <v>183</v>
      </c>
      <c r="B88" s="137">
        <v>1.0428080663399792</v>
      </c>
      <c r="C88" s="137">
        <v>1.0285794300946149</v>
      </c>
      <c r="D88" s="137">
        <v>1.0245358589416642</v>
      </c>
      <c r="E88" s="137">
        <v>1.0162722745520525</v>
      </c>
      <c r="F88" s="137">
        <v>1.0108347305722838</v>
      </c>
      <c r="G88" s="137">
        <v>1.0684270370506452</v>
      </c>
      <c r="H88" s="137">
        <v>1.0555140983393378</v>
      </c>
      <c r="I88" s="137">
        <v>1.0506600039033942</v>
      </c>
      <c r="J88" s="137">
        <v>1.0355135713645214</v>
      </c>
      <c r="K88" s="137">
        <v>1.0242189322454078</v>
      </c>
      <c r="L88" s="137">
        <v>1</v>
      </c>
      <c r="M88" s="137">
        <v>1.2669727418699621</v>
      </c>
      <c r="N88" s="137">
        <v>1.2434836807686855</v>
      </c>
      <c r="O88" s="137">
        <v>1.2620543281058645</v>
      </c>
      <c r="P88" s="137">
        <v>1.2103683119160409</v>
      </c>
      <c r="Q88" s="137">
        <v>1.2947273786208326</v>
      </c>
      <c r="R88" s="137">
        <v>1.2775075749132425</v>
      </c>
      <c r="S88" s="137">
        <v>1.3549678699095629</v>
      </c>
      <c r="T88" s="137">
        <v>1.3172906134565472</v>
      </c>
    </row>
    <row r="89" spans="1:20" x14ac:dyDescent="0.2">
      <c r="A89" s="136">
        <v>184</v>
      </c>
      <c r="B89" s="137">
        <v>1.0424886352138731</v>
      </c>
      <c r="C89" s="137">
        <v>1.0283310774802135</v>
      </c>
      <c r="D89" s="137">
        <v>1.0243158584114995</v>
      </c>
      <c r="E89" s="137">
        <v>1.016095328322759</v>
      </c>
      <c r="F89" s="137">
        <v>1.0106853717104405</v>
      </c>
      <c r="G89" s="137">
        <v>1.0677429749633467</v>
      </c>
      <c r="H89" s="137">
        <v>1.0549194307699339</v>
      </c>
      <c r="I89" s="137">
        <v>1.0501013646696569</v>
      </c>
      <c r="J89" s="137">
        <v>1.0350719212107389</v>
      </c>
      <c r="K89" s="137">
        <v>1.0238675073027417</v>
      </c>
      <c r="L89" s="137">
        <v>1</v>
      </c>
      <c r="M89" s="137">
        <v>1.265095075402072</v>
      </c>
      <c r="N89" s="137">
        <v>1.2417440136800311</v>
      </c>
      <c r="O89" s="137">
        <v>1.2602851627453524</v>
      </c>
      <c r="P89" s="137">
        <v>1.208985189192491</v>
      </c>
      <c r="Q89" s="137">
        <v>1.2921518760514639</v>
      </c>
      <c r="R89" s="137">
        <v>1.2750553805636207</v>
      </c>
      <c r="S89" s="137">
        <v>1.3515775336318647</v>
      </c>
      <c r="T89" s="137">
        <v>1.3142393485330788</v>
      </c>
    </row>
    <row r="90" spans="1:20" x14ac:dyDescent="0.2">
      <c r="A90" s="136">
        <v>189</v>
      </c>
      <c r="B90" s="137">
        <v>1.040927569485149</v>
      </c>
      <c r="C90" s="137">
        <v>1.0271217341743439</v>
      </c>
      <c r="D90" s="137">
        <v>1.0232454242766778</v>
      </c>
      <c r="E90" s="137">
        <v>1.0152392567998161</v>
      </c>
      <c r="F90" s="137">
        <v>1.0099690489653559</v>
      </c>
      <c r="G90" s="137">
        <v>1.0644269054165671</v>
      </c>
      <c r="H90" s="137">
        <v>1.0520425928343287</v>
      </c>
      <c r="I90" s="137">
        <v>1.047401262743944</v>
      </c>
      <c r="J90" s="137">
        <v>1.0329459851344109</v>
      </c>
      <c r="K90" s="137">
        <v>1.0221862177651264</v>
      </c>
      <c r="L90" s="137">
        <v>1</v>
      </c>
      <c r="M90" s="137">
        <v>1.2559220505214144</v>
      </c>
      <c r="N90" s="137">
        <v>1.2332470720217035</v>
      </c>
      <c r="O90" s="137">
        <v>1.2516339270909167</v>
      </c>
      <c r="P90" s="137">
        <v>1.2022157390754962</v>
      </c>
      <c r="Q90" s="137">
        <v>1.2796426012057496</v>
      </c>
      <c r="R90" s="137">
        <v>1.2631474295650049</v>
      </c>
      <c r="S90" s="137">
        <v>1.3351618851733642</v>
      </c>
      <c r="T90" s="137">
        <v>1.2994647958980885</v>
      </c>
    </row>
    <row r="91" spans="1:20" x14ac:dyDescent="0.2">
      <c r="A91" s="136">
        <v>192</v>
      </c>
      <c r="B91" s="137">
        <v>1.0400191248388062</v>
      </c>
      <c r="C91" s="137">
        <v>1.0264213689174138</v>
      </c>
      <c r="D91" s="137">
        <v>1.022626168019215</v>
      </c>
      <c r="E91" s="137">
        <v>1.0147477867925956</v>
      </c>
      <c r="F91" s="137">
        <v>1.0095626261415263</v>
      </c>
      <c r="G91" s="137">
        <v>1.0625179723927809</v>
      </c>
      <c r="H91" s="137">
        <v>1.0503910668363552</v>
      </c>
      <c r="I91" s="137">
        <v>1.0458530870462686</v>
      </c>
      <c r="J91" s="137">
        <v>1.0317337421869763</v>
      </c>
      <c r="K91" s="137">
        <v>1.0212354336313814</v>
      </c>
      <c r="L91" s="137">
        <v>1</v>
      </c>
      <c r="M91" s="137">
        <v>1.2505859414360638</v>
      </c>
      <c r="N91" s="137">
        <v>1.2283057631154477</v>
      </c>
      <c r="O91" s="137">
        <v>1.2465949272112797</v>
      </c>
      <c r="P91" s="137">
        <v>1.1982682065755019</v>
      </c>
      <c r="Q91" s="137">
        <v>1.2724218876637352</v>
      </c>
      <c r="R91" s="137">
        <v>1.2562757151624393</v>
      </c>
      <c r="S91" s="137">
        <v>1.3257254521510584</v>
      </c>
      <c r="T91" s="137">
        <v>1.2909713468608426</v>
      </c>
    </row>
    <row r="92" spans="1:20" x14ac:dyDescent="0.2">
      <c r="A92" s="136">
        <v>193</v>
      </c>
      <c r="B92" s="137">
        <v>1.0396901953622515</v>
      </c>
      <c r="C92" s="137">
        <v>1.0261590820640392</v>
      </c>
      <c r="D92" s="137">
        <v>1.022387222431614</v>
      </c>
      <c r="E92" s="137">
        <v>1.0145734022709791</v>
      </c>
      <c r="F92" s="137">
        <v>1.0094329891671163</v>
      </c>
      <c r="G92" s="137">
        <v>1.0618946786635386</v>
      </c>
      <c r="H92" s="137">
        <v>1.049851034547798</v>
      </c>
      <c r="I92" s="137">
        <v>1.045348591226958</v>
      </c>
      <c r="J92" s="137">
        <v>1.0313398064971648</v>
      </c>
      <c r="K92" s="137">
        <v>1.0209277412675501</v>
      </c>
      <c r="L92" s="137">
        <v>1</v>
      </c>
      <c r="M92" s="137">
        <v>1.2488071149836648</v>
      </c>
      <c r="N92" s="137">
        <v>1.2267013446770543</v>
      </c>
      <c r="O92" s="137">
        <v>1.244719577203943</v>
      </c>
      <c r="P92" s="137">
        <v>1.1967125724612937</v>
      </c>
      <c r="Q92" s="137">
        <v>1.2700701739303082</v>
      </c>
      <c r="R92" s="137">
        <v>1.2540095257658821</v>
      </c>
      <c r="S92" s="137">
        <v>1.3226190249057905</v>
      </c>
      <c r="T92" s="137">
        <v>1.2881639990864475</v>
      </c>
    </row>
    <row r="93" spans="1:20" x14ac:dyDescent="0.2">
      <c r="A93" s="136">
        <v>195</v>
      </c>
      <c r="B93" s="137">
        <v>1.0390405757608114</v>
      </c>
      <c r="C93" s="137">
        <v>1.0256423905753873</v>
      </c>
      <c r="D93" s="137">
        <v>1.0219169553729717</v>
      </c>
      <c r="E93" s="137">
        <v>1.0142308379560327</v>
      </c>
      <c r="F93" s="137">
        <v>1.0091789875385333</v>
      </c>
      <c r="G93" s="137">
        <v>1.06066719696627</v>
      </c>
      <c r="H93" s="137">
        <v>1.048788668882682</v>
      </c>
      <c r="I93" s="137">
        <v>1.0443565398916093</v>
      </c>
      <c r="J93" s="137">
        <v>1.0305667604585778</v>
      </c>
      <c r="K93" s="137">
        <v>1.0203257989573917</v>
      </c>
      <c r="L93" s="137">
        <v>1</v>
      </c>
      <c r="M93" s="137">
        <v>1.2452908264699349</v>
      </c>
      <c r="N93" s="137">
        <v>1.2235292220398479</v>
      </c>
      <c r="O93" s="137">
        <v>1.241015533444547</v>
      </c>
      <c r="P93" s="137">
        <v>1.193640690294927</v>
      </c>
      <c r="Q93" s="137">
        <v>1.2654335641764374</v>
      </c>
      <c r="R93" s="137">
        <v>1.2495428229025916</v>
      </c>
      <c r="S93" s="137">
        <v>1.3165048627984701</v>
      </c>
      <c r="T93" s="137">
        <v>1.2826388032257792</v>
      </c>
    </row>
    <row r="94" spans="1:20" x14ac:dyDescent="0.2">
      <c r="A94" s="136">
        <v>196</v>
      </c>
      <c r="B94" s="137">
        <v>1.0387198380831566</v>
      </c>
      <c r="C94" s="137">
        <v>1.0253879319486119</v>
      </c>
      <c r="D94" s="137">
        <v>1.0216855786271153</v>
      </c>
      <c r="E94" s="137">
        <v>1.0140626083333828</v>
      </c>
      <c r="F94" s="137">
        <v>1.0090545746999535</v>
      </c>
      <c r="G94" s="137">
        <v>1.0600628718238569</v>
      </c>
      <c r="H94" s="137">
        <v>1.0482662007955381</v>
      </c>
      <c r="I94" s="137">
        <v>1.0438688527116744</v>
      </c>
      <c r="J94" s="137">
        <v>1.0301875223587018</v>
      </c>
      <c r="K94" s="137">
        <v>1.0200314156741195</v>
      </c>
      <c r="L94" s="137">
        <v>1</v>
      </c>
      <c r="M94" s="137">
        <v>1.2435531190509834</v>
      </c>
      <c r="N94" s="137">
        <v>1.2219613049854643</v>
      </c>
      <c r="O94" s="137">
        <v>1.2391865439804257</v>
      </c>
      <c r="P94" s="137">
        <v>1.192124192197467</v>
      </c>
      <c r="Q94" s="137">
        <v>1.2631481810793577</v>
      </c>
      <c r="R94" s="137">
        <v>1.2473418232865969</v>
      </c>
      <c r="S94" s="137">
        <v>1.3134963132493147</v>
      </c>
      <c r="T94" s="137">
        <v>1.2799202197327888</v>
      </c>
    </row>
    <row r="95" spans="1:20" x14ac:dyDescent="0.2">
      <c r="A95" s="136">
        <v>201</v>
      </c>
      <c r="B95" s="137">
        <v>1.0371559394206242</v>
      </c>
      <c r="C95" s="137">
        <v>1.0241534560100531</v>
      </c>
      <c r="D95" s="137">
        <v>1.020565185082396</v>
      </c>
      <c r="E95" s="137">
        <v>1.0132510164351045</v>
      </c>
      <c r="F95" s="137">
        <v>1.0084574564951745</v>
      </c>
      <c r="G95" s="137">
        <v>1.0571327313510723</v>
      </c>
      <c r="H95" s="137">
        <v>1.0457383872694108</v>
      </c>
      <c r="I95" s="137">
        <v>1.0415112415591221</v>
      </c>
      <c r="J95" s="137">
        <v>1.0283617033144441</v>
      </c>
      <c r="K95" s="137">
        <v>1.018622802613153</v>
      </c>
      <c r="L95" s="137">
        <v>1</v>
      </c>
      <c r="M95" s="137">
        <v>1.2350641585217872</v>
      </c>
      <c r="N95" s="137">
        <v>1.2142990026374867</v>
      </c>
      <c r="O95" s="137">
        <v>1.2302661548762717</v>
      </c>
      <c r="P95" s="137">
        <v>1.1847312548841804</v>
      </c>
      <c r="Q95" s="137">
        <v>1.2520410234966972</v>
      </c>
      <c r="R95" s="137">
        <v>1.2366509049980916</v>
      </c>
      <c r="S95" s="137">
        <v>1.2989231228207516</v>
      </c>
      <c r="T95" s="137">
        <v>1.2667532181925467</v>
      </c>
    </row>
    <row r="96" spans="1:20" x14ac:dyDescent="0.2">
      <c r="A96" s="136">
        <v>204</v>
      </c>
      <c r="B96" s="137">
        <v>1.0362486146364904</v>
      </c>
      <c r="C96" s="137">
        <v>1.0234421032763599</v>
      </c>
      <c r="D96" s="137">
        <v>1.0199212009725269</v>
      </c>
      <c r="E96" s="137">
        <v>1.0127868633190751</v>
      </c>
      <c r="F96" s="137">
        <v>1.0081183337586399</v>
      </c>
      <c r="G96" s="137">
        <v>1.0554455069753375</v>
      </c>
      <c r="H96" s="137">
        <v>1.0442870405969997</v>
      </c>
      <c r="I96" s="137">
        <v>1.040159108374157</v>
      </c>
      <c r="J96" s="137">
        <v>1.0273203611294961</v>
      </c>
      <c r="K96" s="137">
        <v>1.017826056254413</v>
      </c>
      <c r="L96" s="137">
        <v>1</v>
      </c>
      <c r="M96" s="137">
        <v>1.230126253937242</v>
      </c>
      <c r="N96" s="137">
        <v>1.2098398078648049</v>
      </c>
      <c r="O96" s="137">
        <v>1.225088536618447</v>
      </c>
      <c r="P96" s="137">
        <v>1.1804428783966545</v>
      </c>
      <c r="Q96" s="137">
        <v>1.2456243198837813</v>
      </c>
      <c r="R96" s="137">
        <v>1.2304794248724977</v>
      </c>
      <c r="S96" s="137">
        <v>1.2905412376830252</v>
      </c>
      <c r="T96" s="137">
        <v>1.2591814504064247</v>
      </c>
    </row>
    <row r="97" spans="1:20" x14ac:dyDescent="0.2">
      <c r="A97" s="136">
        <v>205</v>
      </c>
      <c r="B97" s="137">
        <v>1.0359512089861054</v>
      </c>
      <c r="C97" s="137">
        <v>1.0232097250909427</v>
      </c>
      <c r="D97" s="137">
        <v>1.0197110959628561</v>
      </c>
      <c r="E97" s="137">
        <v>1.0126358097580379</v>
      </c>
      <c r="F97" s="137">
        <v>1.0080083540952296</v>
      </c>
      <c r="G97" s="137">
        <v>1.0548945319942051</v>
      </c>
      <c r="H97" s="137">
        <v>1.0438137800941893</v>
      </c>
      <c r="I97" s="137">
        <v>1.039718443254336</v>
      </c>
      <c r="J97" s="137">
        <v>1.026981925951244</v>
      </c>
      <c r="K97" s="137">
        <v>1.0175681882521737</v>
      </c>
      <c r="L97" s="137">
        <v>1</v>
      </c>
      <c r="M97" s="137">
        <v>1.2284509376500883</v>
      </c>
      <c r="N97" s="137">
        <v>1.2083350721829724</v>
      </c>
      <c r="O97" s="137">
        <v>1.2233702089792418</v>
      </c>
      <c r="P97" s="137">
        <v>1.1790221487893771</v>
      </c>
      <c r="Q97" s="137">
        <v>1.2435057812668484</v>
      </c>
      <c r="R97" s="137">
        <v>1.2284457297844098</v>
      </c>
      <c r="S97" s="137">
        <v>1.2877844999790762</v>
      </c>
      <c r="T97" s="137">
        <v>1.2566834284445436</v>
      </c>
    </row>
    <row r="98" spans="1:20" x14ac:dyDescent="0.2">
      <c r="A98" s="136">
        <v>207</v>
      </c>
      <c r="B98" s="137">
        <v>1.035363821808879</v>
      </c>
      <c r="C98" s="137">
        <v>1.0227519327567434</v>
      </c>
      <c r="D98" s="137">
        <v>1.0192975728543467</v>
      </c>
      <c r="E98" s="137">
        <v>1.0123390672429582</v>
      </c>
      <c r="F98" s="137">
        <v>1.0077928614681224</v>
      </c>
      <c r="G98" s="137">
        <v>1.0538093668501562</v>
      </c>
      <c r="H98" s="137">
        <v>1.0428826853876716</v>
      </c>
      <c r="I98" s="137">
        <v>1.0388518344222903</v>
      </c>
      <c r="J98" s="137">
        <v>1.0263177406671307</v>
      </c>
      <c r="K98" s="137">
        <v>1.0170636821758179</v>
      </c>
      <c r="L98" s="137">
        <v>1</v>
      </c>
      <c r="M98" s="137">
        <v>1.2251400333837474</v>
      </c>
      <c r="N98" s="137">
        <v>1.2053605505682925</v>
      </c>
      <c r="O98" s="137">
        <v>1.2199762153074387</v>
      </c>
      <c r="P98" s="137">
        <v>1.176216591528584</v>
      </c>
      <c r="Q98" s="137">
        <v>1.2393284298910212</v>
      </c>
      <c r="R98" s="137">
        <v>1.2244367477818465</v>
      </c>
      <c r="S98" s="137">
        <v>1.2823574535711704</v>
      </c>
      <c r="T98" s="137">
        <v>1.2517663130254488</v>
      </c>
    </row>
    <row r="99" spans="1:20" x14ac:dyDescent="0.2">
      <c r="A99" s="136">
        <v>208</v>
      </c>
      <c r="B99" s="137">
        <v>1.0350737977074662</v>
      </c>
      <c r="C99" s="137">
        <v>1.0225264711569011</v>
      </c>
      <c r="D99" s="137">
        <v>1.0190941065099401</v>
      </c>
      <c r="E99" s="137">
        <v>1.0121933353614605</v>
      </c>
      <c r="F99" s="137">
        <v>1.00768730779243</v>
      </c>
      <c r="G99" s="137">
        <v>1.0532750575089056</v>
      </c>
      <c r="H99" s="137">
        <v>1.0424247349349343</v>
      </c>
      <c r="I99" s="137">
        <v>1.0384257773657664</v>
      </c>
      <c r="J99" s="137">
        <v>1.0259918820849809</v>
      </c>
      <c r="K99" s="137">
        <v>1.0168169333869523</v>
      </c>
      <c r="L99" s="137">
        <v>1</v>
      </c>
      <c r="M99" s="137">
        <v>1.2235042065850332</v>
      </c>
      <c r="N99" s="137">
        <v>1.2038905602313312</v>
      </c>
      <c r="O99" s="137">
        <v>1.2183002812289787</v>
      </c>
      <c r="P99" s="137">
        <v>1.1748315379049654</v>
      </c>
      <c r="Q99" s="137">
        <v>1.2372691883698401</v>
      </c>
      <c r="R99" s="137">
        <v>1.2224610356968977</v>
      </c>
      <c r="S99" s="137">
        <v>1.2796864465195272</v>
      </c>
      <c r="T99" s="137">
        <v>1.2493465821598604</v>
      </c>
    </row>
    <row r="100" spans="1:20" x14ac:dyDescent="0.2">
      <c r="A100" s="136">
        <v>213</v>
      </c>
      <c r="B100" s="137">
        <v>1.0336595378949458</v>
      </c>
      <c r="C100" s="137">
        <v>1.0214325823154262</v>
      </c>
      <c r="D100" s="137">
        <v>1.0181087860691085</v>
      </c>
      <c r="E100" s="137">
        <v>1.011490234659236</v>
      </c>
      <c r="F100" s="137">
        <v>1.0071806767047637</v>
      </c>
      <c r="G100" s="137">
        <v>1.0506839207098264</v>
      </c>
      <c r="H100" s="137">
        <v>1.0402086892302047</v>
      </c>
      <c r="I100" s="137">
        <v>1.0363657607774743</v>
      </c>
      <c r="J100" s="137">
        <v>1.0244228250030982</v>
      </c>
      <c r="K100" s="137">
        <v>1.0156360926886017</v>
      </c>
      <c r="L100" s="137">
        <v>1</v>
      </c>
      <c r="M100" s="137">
        <v>1.2155166628409537</v>
      </c>
      <c r="N100" s="137">
        <v>1.1967093190988209</v>
      </c>
      <c r="O100" s="137">
        <v>1.2101260101826139</v>
      </c>
      <c r="P100" s="137">
        <v>1.1680791111772797</v>
      </c>
      <c r="Q100" s="137">
        <v>1.2272589902715634</v>
      </c>
      <c r="R100" s="137">
        <v>1.2128620046550924</v>
      </c>
      <c r="S100" s="137">
        <v>1.2667430538571116</v>
      </c>
      <c r="T100" s="137">
        <v>1.2376238548773586</v>
      </c>
    </row>
    <row r="101" spans="1:20" x14ac:dyDescent="0.2">
      <c r="A101" s="136">
        <v>216</v>
      </c>
      <c r="B101" s="137">
        <v>1.0328389383972381</v>
      </c>
      <c r="C101" s="137">
        <v>1.0208021745621099</v>
      </c>
      <c r="D101" s="137">
        <v>1.0175423818501279</v>
      </c>
      <c r="E101" s="137">
        <v>1.0110880947112384</v>
      </c>
      <c r="F101" s="137">
        <v>1.006892924437552</v>
      </c>
      <c r="G101" s="137">
        <v>1.0491915416179074</v>
      </c>
      <c r="H101" s="137">
        <v>1.0389360574622863</v>
      </c>
      <c r="I101" s="137">
        <v>1.0351840473707106</v>
      </c>
      <c r="J101" s="137">
        <v>1.0235277539195837</v>
      </c>
      <c r="K101" s="137">
        <v>1.0149680649568718</v>
      </c>
      <c r="L101" s="137">
        <v>1</v>
      </c>
      <c r="M101" s="137">
        <v>1.2108733329083936</v>
      </c>
      <c r="N101" s="137">
        <v>1.1925320484590927</v>
      </c>
      <c r="O101" s="137">
        <v>1.2053812030331457</v>
      </c>
      <c r="P101" s="137">
        <v>1.1641620784930939</v>
      </c>
      <c r="Q101" s="137">
        <v>1.2214744379252891</v>
      </c>
      <c r="R101" s="137">
        <v>1.2073190340628288</v>
      </c>
      <c r="S101" s="137">
        <v>1.2592946382374113</v>
      </c>
      <c r="T101" s="137">
        <v>1.2308802823752647</v>
      </c>
    </row>
    <row r="102" spans="1:20" x14ac:dyDescent="0.2">
      <c r="A102" s="136">
        <v>217</v>
      </c>
      <c r="B102" s="137">
        <v>1.0325699453525068</v>
      </c>
      <c r="C102" s="137">
        <v>1.0205962281584511</v>
      </c>
      <c r="D102" s="137">
        <v>1.0173575787471807</v>
      </c>
      <c r="E102" s="137">
        <v>1.010957217407054</v>
      </c>
      <c r="F102" s="137">
        <v>1.0067996014179141</v>
      </c>
      <c r="G102" s="137">
        <v>1.0487041378420967</v>
      </c>
      <c r="H102" s="137">
        <v>1.0385210276564938</v>
      </c>
      <c r="I102" s="137">
        <v>1.0347988822716874</v>
      </c>
      <c r="J102" s="137">
        <v>1.0232368299037407</v>
      </c>
      <c r="K102" s="137">
        <v>1.0147518390836252</v>
      </c>
      <c r="L102" s="137">
        <v>1</v>
      </c>
      <c r="M102" s="137">
        <v>1.2093021269052977</v>
      </c>
      <c r="N102" s="137">
        <v>1.1911260731274915</v>
      </c>
      <c r="O102" s="137">
        <v>1.2038088333297428</v>
      </c>
      <c r="P102" s="137">
        <v>1.1628661641367042</v>
      </c>
      <c r="Q102" s="137">
        <v>1.2195662347143843</v>
      </c>
      <c r="R102" s="137">
        <v>1.2054935778650302</v>
      </c>
      <c r="S102" s="137">
        <v>1.2568465852335915</v>
      </c>
      <c r="T102" s="137">
        <v>1.2286586773644421</v>
      </c>
    </row>
    <row r="103" spans="1:20" x14ac:dyDescent="0.2">
      <c r="A103" s="136">
        <v>219</v>
      </c>
      <c r="B103" s="137">
        <v>1.0320386531217238</v>
      </c>
      <c r="C103" s="137">
        <v>1.0201904920123437</v>
      </c>
      <c r="D103" s="137">
        <v>1.0169938410129715</v>
      </c>
      <c r="E103" s="137">
        <v>1.0107001033426366</v>
      </c>
      <c r="F103" s="137">
        <v>1.0066167411466673</v>
      </c>
      <c r="G103" s="137">
        <v>1.0477440964798226</v>
      </c>
      <c r="H103" s="137">
        <v>1.0377044311393704</v>
      </c>
      <c r="I103" s="137">
        <v>1.0340413613830948</v>
      </c>
      <c r="J103" s="137">
        <v>1.0226658479043749</v>
      </c>
      <c r="K103" s="137">
        <v>1.0143287785642567</v>
      </c>
      <c r="L103" s="137">
        <v>1</v>
      </c>
      <c r="M103" s="137">
        <v>1.2061976392522691</v>
      </c>
      <c r="N103" s="137">
        <v>1.1883472064875524</v>
      </c>
      <c r="O103" s="137">
        <v>1.2007030237101535</v>
      </c>
      <c r="P103" s="137">
        <v>1.1603070007818836</v>
      </c>
      <c r="Q103" s="137">
        <v>1.2158032140354718</v>
      </c>
      <c r="R103" s="137">
        <v>1.2018946419083187</v>
      </c>
      <c r="S103" s="137">
        <v>1.2520262595038116</v>
      </c>
      <c r="T103" s="137">
        <v>1.2242850228927384</v>
      </c>
    </row>
    <row r="104" spans="1:20" x14ac:dyDescent="0.2">
      <c r="A104" s="136">
        <v>220</v>
      </c>
      <c r="B104" s="137">
        <v>1.0317763157731286</v>
      </c>
      <c r="C104" s="137">
        <v>1.0199906605178324</v>
      </c>
      <c r="D104" s="137">
        <v>1.016814864223001</v>
      </c>
      <c r="E104" s="137">
        <v>1.0105738295654292</v>
      </c>
      <c r="F104" s="137">
        <v>1.0065271694685793</v>
      </c>
      <c r="G104" s="137">
        <v>1.0472713550969921</v>
      </c>
      <c r="H104" s="137">
        <v>1.0373027638733872</v>
      </c>
      <c r="I104" s="137">
        <v>1.0336689077955337</v>
      </c>
      <c r="J104" s="137">
        <v>1.022385697617284</v>
      </c>
      <c r="K104" s="137">
        <v>1.0141218518079127</v>
      </c>
      <c r="L104" s="137">
        <v>1</v>
      </c>
      <c r="M104" s="137">
        <v>1.2046641270336746</v>
      </c>
      <c r="N104" s="137">
        <v>1.1869741203647326</v>
      </c>
      <c r="O104" s="137">
        <v>1.1991693414878415</v>
      </c>
      <c r="P104" s="137">
        <v>1.1590435480529624</v>
      </c>
      <c r="Q104" s="137">
        <v>1.2139480190947389</v>
      </c>
      <c r="R104" s="137">
        <v>1.200120789917424</v>
      </c>
      <c r="S104" s="137">
        <v>1.2496533871700524</v>
      </c>
      <c r="T104" s="137">
        <v>1.2221324214882059</v>
      </c>
    </row>
    <row r="105" spans="1:20" x14ac:dyDescent="0.2">
      <c r="A105" s="136">
        <v>225</v>
      </c>
      <c r="B105" s="137">
        <v>1.0304969688109396</v>
      </c>
      <c r="C105" s="137">
        <v>1.0190210534255484</v>
      </c>
      <c r="D105" s="137">
        <v>1.0159480787607726</v>
      </c>
      <c r="E105" s="137">
        <v>1.0099645730311517</v>
      </c>
      <c r="F105" s="137">
        <v>1.0060972283009966</v>
      </c>
      <c r="G105" s="137">
        <v>1.0449784176447647</v>
      </c>
      <c r="H105" s="137">
        <v>1.0353587796644887</v>
      </c>
      <c r="I105" s="137">
        <v>1.0318678051910042</v>
      </c>
      <c r="J105" s="137">
        <v>1.0210365616929622</v>
      </c>
      <c r="K105" s="137">
        <v>1.013131472708775</v>
      </c>
      <c r="L105" s="137">
        <v>1</v>
      </c>
      <c r="M105" s="137">
        <v>1.1971793807655804</v>
      </c>
      <c r="N105" s="137">
        <v>1.1802683551413964</v>
      </c>
      <c r="O105" s="137">
        <v>1.1916884284029658</v>
      </c>
      <c r="P105" s="137">
        <v>1.1528835976675038</v>
      </c>
      <c r="Q105" s="137">
        <v>1.2049278586941414</v>
      </c>
      <c r="R105" s="137">
        <v>1.1915004539594569</v>
      </c>
      <c r="S105" s="137">
        <v>1.2381503137012466</v>
      </c>
      <c r="T105" s="137">
        <v>1.2117009782462018</v>
      </c>
    </row>
    <row r="106" spans="1:20" x14ac:dyDescent="0.2">
      <c r="A106" s="136">
        <v>228</v>
      </c>
      <c r="B106" s="137">
        <v>1.0297545758654452</v>
      </c>
      <c r="C106" s="137">
        <v>1.0184622166345694</v>
      </c>
      <c r="D106" s="137">
        <v>1.0154497685582162</v>
      </c>
      <c r="E106" s="137">
        <v>1.009616082303268</v>
      </c>
      <c r="F106" s="137">
        <v>1.0058530192748556</v>
      </c>
      <c r="G106" s="137">
        <v>1.0436575054959853</v>
      </c>
      <c r="H106" s="137">
        <v>1.0342421656134078</v>
      </c>
      <c r="I106" s="137">
        <v>1.0308344191659142</v>
      </c>
      <c r="J106" s="137">
        <v>1.0202668179869283</v>
      </c>
      <c r="K106" s="137">
        <v>1.0125711121723564</v>
      </c>
      <c r="L106" s="137">
        <v>1</v>
      </c>
      <c r="M106" s="137">
        <v>1.1928308512246637</v>
      </c>
      <c r="N106" s="137">
        <v>1.176369298219468</v>
      </c>
      <c r="O106" s="137">
        <v>1.1873457500159532</v>
      </c>
      <c r="P106" s="137">
        <v>1.1493100043874556</v>
      </c>
      <c r="Q106" s="137">
        <v>1.1997140308596734</v>
      </c>
      <c r="R106" s="137">
        <v>1.1865211008325594</v>
      </c>
      <c r="S106" s="137">
        <v>1.2315274410918218</v>
      </c>
      <c r="T106" s="137">
        <v>1.2056981021608177</v>
      </c>
    </row>
    <row r="107" spans="1:20" x14ac:dyDescent="0.2">
      <c r="A107" s="136">
        <v>229</v>
      </c>
      <c r="B107" s="137">
        <v>1.0295112070992984</v>
      </c>
      <c r="C107" s="137">
        <v>1.0182796432424484</v>
      </c>
      <c r="D107" s="137">
        <v>1.0152871756745605</v>
      </c>
      <c r="E107" s="137">
        <v>1.0095026613027083</v>
      </c>
      <c r="F107" s="137">
        <v>1.0057738158243643</v>
      </c>
      <c r="G107" s="137">
        <v>1.0432260571788099</v>
      </c>
      <c r="H107" s="137">
        <v>1.0338779811450149</v>
      </c>
      <c r="I107" s="137">
        <v>1.030497568538256</v>
      </c>
      <c r="J107" s="137">
        <v>1.020016609110389</v>
      </c>
      <c r="K107" s="137">
        <v>1.0123897232283305</v>
      </c>
      <c r="L107" s="137">
        <v>1</v>
      </c>
      <c r="M107" s="137">
        <v>1.1913622742483787</v>
      </c>
      <c r="N107" s="137">
        <v>1.1750595865727134</v>
      </c>
      <c r="O107" s="137">
        <v>1.1859083771017886</v>
      </c>
      <c r="P107" s="137">
        <v>1.1481290521717207</v>
      </c>
      <c r="Q107" s="137">
        <v>1.1979952825736455</v>
      </c>
      <c r="R107" s="137">
        <v>1.1848820715191273</v>
      </c>
      <c r="S107" s="137">
        <v>1.2293518204360607</v>
      </c>
      <c r="T107" s="137">
        <v>1.2037226921013393</v>
      </c>
    </row>
    <row r="108" spans="1:20" x14ac:dyDescent="0.2">
      <c r="A108" s="136">
        <v>231</v>
      </c>
      <c r="B108" s="137">
        <v>1.029030508525147</v>
      </c>
      <c r="C108" s="137">
        <v>1.0179199423798793</v>
      </c>
      <c r="D108" s="137">
        <v>1.0149671428735165</v>
      </c>
      <c r="E108" s="137">
        <v>1.0092798352441397</v>
      </c>
      <c r="F108" s="137">
        <v>1.0056186187108298</v>
      </c>
      <c r="G108" s="137">
        <v>1.0423761669276139</v>
      </c>
      <c r="H108" s="137">
        <v>1.0331613755585063</v>
      </c>
      <c r="I108" s="137">
        <v>1.029835025265927</v>
      </c>
      <c r="J108" s="137">
        <v>1.0195255082927399</v>
      </c>
      <c r="K108" s="137">
        <v>1.0120348057204434</v>
      </c>
      <c r="L108" s="137">
        <v>1</v>
      </c>
      <c r="M108" s="137">
        <v>1.188461157262438</v>
      </c>
      <c r="N108" s="137">
        <v>1.1724713462677407</v>
      </c>
      <c r="O108" s="137">
        <v>1.1830691039709285</v>
      </c>
      <c r="P108" s="137">
        <v>1.1457968286272666</v>
      </c>
      <c r="Q108" s="137">
        <v>1.1946055171769907</v>
      </c>
      <c r="R108" s="137">
        <v>1.1816503017308209</v>
      </c>
      <c r="S108" s="137">
        <v>1.2250671189115667</v>
      </c>
      <c r="T108" s="137">
        <v>1.1998331623624301</v>
      </c>
    </row>
    <row r="109" spans="1:20" x14ac:dyDescent="0.2">
      <c r="A109" s="136">
        <v>232</v>
      </c>
      <c r="B109" s="137">
        <v>1.0287931444723857</v>
      </c>
      <c r="C109" s="137">
        <v>1.017742778133125</v>
      </c>
      <c r="D109" s="137">
        <v>1.0148096660786645</v>
      </c>
      <c r="E109" s="137">
        <v>1.009170398239184</v>
      </c>
      <c r="F109" s="137">
        <v>1.0055425959161362</v>
      </c>
      <c r="G109" s="137">
        <v>1.0419576343939212</v>
      </c>
      <c r="H109" s="137">
        <v>1.0328088672773601</v>
      </c>
      <c r="I109" s="137">
        <v>1.0295092480644528</v>
      </c>
      <c r="J109" s="137">
        <v>1.0192845376652797</v>
      </c>
      <c r="K109" s="137">
        <v>1.0118612003976113</v>
      </c>
      <c r="L109" s="137">
        <v>1</v>
      </c>
      <c r="M109" s="137">
        <v>1.1870283959481773</v>
      </c>
      <c r="N109" s="137">
        <v>1.1711926329747129</v>
      </c>
      <c r="O109" s="137">
        <v>1.1816669851228458</v>
      </c>
      <c r="P109" s="137">
        <v>1.1446453739096969</v>
      </c>
      <c r="Q109" s="137">
        <v>1.1929341675521907</v>
      </c>
      <c r="R109" s="137">
        <v>1.1800572349272307</v>
      </c>
      <c r="S109" s="137">
        <v>1.2229575221227198</v>
      </c>
      <c r="T109" s="137">
        <v>1.197918564712916</v>
      </c>
    </row>
    <row r="110" spans="1:20" x14ac:dyDescent="0.2">
      <c r="A110" s="136">
        <v>237</v>
      </c>
      <c r="B110" s="137">
        <v>1.0276355053147641</v>
      </c>
      <c r="C110" s="137">
        <v>1.0168831003826169</v>
      </c>
      <c r="D110" s="137">
        <v>1.0140469587580745</v>
      </c>
      <c r="E110" s="137">
        <v>1.0086423518125434</v>
      </c>
      <c r="F110" s="137">
        <v>1.0051776747841983</v>
      </c>
      <c r="G110" s="137">
        <v>1.0399273307111385</v>
      </c>
      <c r="H110" s="137">
        <v>1.0311025733006505</v>
      </c>
      <c r="I110" s="137">
        <v>1.0279336602717215</v>
      </c>
      <c r="J110" s="137">
        <v>1.0181239545580945</v>
      </c>
      <c r="K110" s="137">
        <v>1.011030224048018</v>
      </c>
      <c r="L110" s="137">
        <v>1</v>
      </c>
      <c r="M110" s="137">
        <v>1.1800382413045101</v>
      </c>
      <c r="N110" s="137">
        <v>1.1649495274679753</v>
      </c>
      <c r="O110" s="137">
        <v>1.1748273005843912</v>
      </c>
      <c r="P110" s="137">
        <v>1.1390310903308718</v>
      </c>
      <c r="Q110" s="137">
        <v>1.1848062809929478</v>
      </c>
      <c r="R110" s="137">
        <v>1.1723137344034997</v>
      </c>
      <c r="S110" s="137">
        <v>1.2127270741654639</v>
      </c>
      <c r="T110" s="137">
        <v>1.1886379806657614</v>
      </c>
    </row>
    <row r="111" spans="1:20" x14ac:dyDescent="0.2">
      <c r="A111" s="136">
        <v>240</v>
      </c>
      <c r="B111" s="137">
        <v>1.0269636772703599</v>
      </c>
      <c r="C111" s="137">
        <v>1.0163875803775331</v>
      </c>
      <c r="D111" s="137">
        <v>1.0136084476379914</v>
      </c>
      <c r="E111" s="137">
        <v>1.0083402938113044</v>
      </c>
      <c r="F111" s="137">
        <v>1.0049703870618625</v>
      </c>
      <c r="G111" s="137">
        <v>1.0387574935652248</v>
      </c>
      <c r="H111" s="137">
        <v>1.0301223155399062</v>
      </c>
      <c r="I111" s="137">
        <v>1.0270295126331288</v>
      </c>
      <c r="J111" s="137">
        <v>1.0174616945843427</v>
      </c>
      <c r="K111" s="137">
        <v>1.0105599969786636</v>
      </c>
      <c r="L111" s="137">
        <v>1</v>
      </c>
      <c r="M111" s="137">
        <v>1.1759792955159942</v>
      </c>
      <c r="N111" s="137">
        <v>1.1613208769175354</v>
      </c>
      <c r="O111" s="137">
        <v>1.1708564890741315</v>
      </c>
      <c r="P111" s="137">
        <v>1.1357737828160532</v>
      </c>
      <c r="Q111" s="137">
        <v>1.1801070084599268</v>
      </c>
      <c r="R111" s="137">
        <v>1.1678395785008766</v>
      </c>
      <c r="S111" s="137">
        <v>1.2068341636516913</v>
      </c>
      <c r="T111" s="137">
        <v>1.1832955206650866</v>
      </c>
    </row>
    <row r="112" spans="1:20" x14ac:dyDescent="0.2">
      <c r="A112" s="136">
        <v>241</v>
      </c>
      <c r="B112" s="137">
        <v>1.0267434310976729</v>
      </c>
      <c r="C112" s="137">
        <v>1.0162256861721217</v>
      </c>
      <c r="D112" s="137">
        <v>1.0134653609952033</v>
      </c>
      <c r="E112" s="137">
        <v>1.0082419819958579</v>
      </c>
      <c r="F112" s="137">
        <v>1.0049031565416204</v>
      </c>
      <c r="G112" s="137">
        <v>1.0383753554167574</v>
      </c>
      <c r="H112" s="137">
        <v>1.0298025766453509</v>
      </c>
      <c r="I112" s="137">
        <v>1.0267347657179215</v>
      </c>
      <c r="J112" s="137">
        <v>1.017246409046529</v>
      </c>
      <c r="K112" s="137">
        <v>1.0104077754048353</v>
      </c>
      <c r="L112" s="137">
        <v>1</v>
      </c>
      <c r="M112" s="137">
        <v>1.1746104033012073</v>
      </c>
      <c r="N112" s="137">
        <v>1.1601038572141713</v>
      </c>
      <c r="O112" s="137">
        <v>1.1695435070066906</v>
      </c>
      <c r="P112" s="137">
        <v>1.134698358783945</v>
      </c>
      <c r="Q112" s="137">
        <v>1.1785587529304502</v>
      </c>
      <c r="R112" s="137">
        <v>1.1663674313526695</v>
      </c>
      <c r="S112" s="137">
        <v>1.2048990625982212</v>
      </c>
      <c r="T112" s="137">
        <v>1.1815389398815004</v>
      </c>
    </row>
    <row r="113" spans="1:20" x14ac:dyDescent="0.2">
      <c r="A113" s="136">
        <v>243</v>
      </c>
      <c r="B113" s="137">
        <v>1.0263083897845597</v>
      </c>
      <c r="C113" s="137">
        <v>1.0159067173830592</v>
      </c>
      <c r="D113" s="137">
        <v>1.0131837145505793</v>
      </c>
      <c r="E113" s="137">
        <v>1.0080488350804826</v>
      </c>
      <c r="F113" s="137">
        <v>1.0047714177661022</v>
      </c>
      <c r="G113" s="137">
        <v>1.0376225480841008</v>
      </c>
      <c r="H113" s="137">
        <v>1.0291733876007549</v>
      </c>
      <c r="I113" s="137">
        <v>1.0261550009735854</v>
      </c>
      <c r="J113" s="137">
        <v>1.0168238334068684</v>
      </c>
      <c r="K113" s="137">
        <v>1.0101099161310942</v>
      </c>
      <c r="L113" s="137">
        <v>1</v>
      </c>
      <c r="M113" s="137">
        <v>1.1719067485844334</v>
      </c>
      <c r="N113" s="137">
        <v>1.1576991128421676</v>
      </c>
      <c r="O113" s="137">
        <v>1.1669498326828995</v>
      </c>
      <c r="P113" s="137">
        <v>1.1325744545565251</v>
      </c>
      <c r="Q113" s="137">
        <v>1.1755049369724171</v>
      </c>
      <c r="R113" s="137">
        <v>1.163464396830336</v>
      </c>
      <c r="S113" s="137">
        <v>1.2010873792554646</v>
      </c>
      <c r="T113" s="137">
        <v>1.1780798045047025</v>
      </c>
    </row>
    <row r="114" spans="1:20" x14ac:dyDescent="0.2">
      <c r="A114" s="136">
        <v>244</v>
      </c>
      <c r="B114" s="137">
        <v>1.0260935638845097</v>
      </c>
      <c r="C114" s="137">
        <v>1.0157496103752752</v>
      </c>
      <c r="D114" s="137">
        <v>1.013045122461667</v>
      </c>
      <c r="E114" s="137">
        <v>1.0079539723891331</v>
      </c>
      <c r="F114" s="137">
        <v>1.0047068848450238</v>
      </c>
      <c r="G114" s="137">
        <v>1.0372517996610731</v>
      </c>
      <c r="H114" s="137">
        <v>1.0288638617531298</v>
      </c>
      <c r="I114" s="137">
        <v>1.0258699099029394</v>
      </c>
      <c r="J114" s="137">
        <v>1.0166164761195939</v>
      </c>
      <c r="K114" s="137">
        <v>1.0099642143752063</v>
      </c>
      <c r="L114" s="137">
        <v>1</v>
      </c>
      <c r="M114" s="137">
        <v>1.1705717745085904</v>
      </c>
      <c r="N114" s="137">
        <v>1.1565112138949827</v>
      </c>
      <c r="O114" s="137">
        <v>1.1656689433905358</v>
      </c>
      <c r="P114" s="137">
        <v>1.1315258094456071</v>
      </c>
      <c r="Q114" s="137">
        <v>1.1739990833599279</v>
      </c>
      <c r="R114" s="137">
        <v>1.1620332229207513</v>
      </c>
      <c r="S114" s="137">
        <v>1.1992103519779189</v>
      </c>
      <c r="T114" s="137">
        <v>1.1763768356770037</v>
      </c>
    </row>
    <row r="115" spans="1:20" x14ac:dyDescent="0.2">
      <c r="A115" s="136">
        <v>249</v>
      </c>
      <c r="B115" s="137">
        <v>1.0250457789195258</v>
      </c>
      <c r="C115" s="137">
        <v>1.0149872157499928</v>
      </c>
      <c r="D115" s="137">
        <v>1.0123738433981837</v>
      </c>
      <c r="E115" s="137">
        <v>1.0074962296365004</v>
      </c>
      <c r="F115" s="137">
        <v>1.0043971066594319</v>
      </c>
      <c r="G115" s="137">
        <v>1.035453064072287</v>
      </c>
      <c r="H115" s="137">
        <v>1.0273654444014191</v>
      </c>
      <c r="I115" s="137">
        <v>1.0244909412668977</v>
      </c>
      <c r="J115" s="137">
        <v>1.0156176901720302</v>
      </c>
      <c r="K115" s="137">
        <v>1.0092667456655811</v>
      </c>
      <c r="L115" s="137">
        <v>1</v>
      </c>
      <c r="M115" s="137">
        <v>1.1640613074557373</v>
      </c>
      <c r="N115" s="137">
        <v>1.1507130462161745</v>
      </c>
      <c r="O115" s="137">
        <v>1.1594201282453491</v>
      </c>
      <c r="P115" s="137">
        <v>1.1264124328707004</v>
      </c>
      <c r="Q115" s="137">
        <v>1.1666746518192959</v>
      </c>
      <c r="R115" s="137">
        <v>1.1550752102372213</v>
      </c>
      <c r="S115" s="137">
        <v>1.1901047244825682</v>
      </c>
      <c r="T115" s="137">
        <v>1.1681199422466693</v>
      </c>
    </row>
    <row r="116" spans="1:20" x14ac:dyDescent="0.2">
      <c r="A116" s="136">
        <v>252</v>
      </c>
      <c r="B116" s="137">
        <v>1.0244376539174258</v>
      </c>
      <c r="C116" s="137">
        <v>1.0145477372997351</v>
      </c>
      <c r="D116" s="137">
        <v>1.0119878710024888</v>
      </c>
      <c r="E116" s="137">
        <v>1.0072343731580029</v>
      </c>
      <c r="F116" s="137">
        <v>1.0042211344885716</v>
      </c>
      <c r="G116" s="137">
        <v>1.0344164781552079</v>
      </c>
      <c r="H116" s="137">
        <v>1.0265044778462078</v>
      </c>
      <c r="I116" s="137">
        <v>1.0236995068988863</v>
      </c>
      <c r="J116" s="137">
        <v>1.0150476860123816</v>
      </c>
      <c r="K116" s="137">
        <v>1.0088720265477598</v>
      </c>
      <c r="L116" s="137">
        <v>1</v>
      </c>
      <c r="M116" s="137">
        <v>1.160282942118033</v>
      </c>
      <c r="N116" s="137">
        <v>1.1473442281738522</v>
      </c>
      <c r="O116" s="137">
        <v>1.1557919811949209</v>
      </c>
      <c r="P116" s="137">
        <v>1.1234454696735494</v>
      </c>
      <c r="Q116" s="137">
        <v>1.1624388921030058</v>
      </c>
      <c r="R116" s="137">
        <v>1.1510538328870694</v>
      </c>
      <c r="S116" s="137">
        <v>1.1848574638639975</v>
      </c>
      <c r="T116" s="137">
        <v>1.1633651939723668</v>
      </c>
    </row>
    <row r="117" spans="1:20" x14ac:dyDescent="0.2">
      <c r="A117" s="136">
        <v>253</v>
      </c>
      <c r="B117" s="137">
        <v>1.024238283573863</v>
      </c>
      <c r="C117" s="137">
        <v>1.0144041475791887</v>
      </c>
      <c r="D117" s="137">
        <v>1.0118619235241122</v>
      </c>
      <c r="E117" s="137">
        <v>1.0071491436295512</v>
      </c>
      <c r="F117" s="137">
        <v>1.0041640595035344</v>
      </c>
      <c r="G117" s="137">
        <v>1.0340778399036989</v>
      </c>
      <c r="H117" s="137">
        <v>1.0262236281615584</v>
      </c>
      <c r="I117" s="137">
        <v>1.0234414855259537</v>
      </c>
      <c r="J117" s="137">
        <v>1.0148623797616803</v>
      </c>
      <c r="K117" s="137">
        <v>1.008744242092471</v>
      </c>
      <c r="L117" s="137">
        <v>1</v>
      </c>
      <c r="M117" s="137">
        <v>1.1590098017848554</v>
      </c>
      <c r="N117" s="137">
        <v>1.1462156323995414</v>
      </c>
      <c r="O117" s="137">
        <v>1.1545932940892174</v>
      </c>
      <c r="P117" s="137">
        <v>1.1224666660635341</v>
      </c>
      <c r="Q117" s="137">
        <v>1.1610439893855917</v>
      </c>
      <c r="R117" s="137">
        <v>1.1497310951313313</v>
      </c>
      <c r="S117" s="137">
        <v>1.1831348577658496</v>
      </c>
      <c r="T117" s="137">
        <v>1.1618028921422967</v>
      </c>
    </row>
    <row r="118" spans="1:20" x14ac:dyDescent="0.2">
      <c r="A118" s="136">
        <v>255</v>
      </c>
      <c r="B118" s="137">
        <v>1.0238444656150574</v>
      </c>
      <c r="C118" s="137">
        <v>1.0141212353706772</v>
      </c>
      <c r="D118" s="137">
        <v>1.0116140070255215</v>
      </c>
      <c r="E118" s="137">
        <v>1.0069816954461761</v>
      </c>
      <c r="F118" s="137">
        <v>1.0040522189199537</v>
      </c>
      <c r="G118" s="137">
        <v>1.0334106866615818</v>
      </c>
      <c r="H118" s="137">
        <v>1.0256709359472174</v>
      </c>
      <c r="I118" s="137">
        <v>1.0229339332973566</v>
      </c>
      <c r="J118" s="137">
        <v>1.0144986336533377</v>
      </c>
      <c r="K118" s="137">
        <v>1.0084941912405287</v>
      </c>
      <c r="L118" s="137">
        <v>1</v>
      </c>
      <c r="M118" s="137">
        <v>1.1564957703798018</v>
      </c>
      <c r="N118" s="137">
        <v>1.1439858954735278</v>
      </c>
      <c r="O118" s="137">
        <v>1.1522252924798615</v>
      </c>
      <c r="P118" s="137">
        <v>1.1205335025395717</v>
      </c>
      <c r="Q118" s="137">
        <v>1.1582923968372183</v>
      </c>
      <c r="R118" s="137">
        <v>1.1471224309330579</v>
      </c>
      <c r="S118" s="137">
        <v>1.1797411948834584</v>
      </c>
      <c r="T118" s="137">
        <v>1.1587259417107332</v>
      </c>
    </row>
    <row r="119" spans="1:20" x14ac:dyDescent="0.2">
      <c r="A119" s="136">
        <v>256</v>
      </c>
      <c r="B119" s="137">
        <v>1.0236499903455838</v>
      </c>
      <c r="C119" s="137">
        <v>1.0139818842715573</v>
      </c>
      <c r="D119" s="137">
        <v>1.0114920097144735</v>
      </c>
      <c r="E119" s="137">
        <v>1.0068994529464135</v>
      </c>
      <c r="F119" s="137">
        <v>1.0039974324262859</v>
      </c>
      <c r="G119" s="137">
        <v>1.033082102243432</v>
      </c>
      <c r="H119" s="137">
        <v>1.0253990275664493</v>
      </c>
      <c r="I119" s="137">
        <v>1.0226843388986575</v>
      </c>
      <c r="J119" s="137">
        <v>1.0143201363502672</v>
      </c>
      <c r="K119" s="137">
        <v>1.0083718713251526</v>
      </c>
      <c r="L119" s="137">
        <v>1</v>
      </c>
      <c r="M119" s="137">
        <v>1.1552546775160577</v>
      </c>
      <c r="N119" s="137">
        <v>1.1428845902742426</v>
      </c>
      <c r="O119" s="137">
        <v>1.1510558005209892</v>
      </c>
      <c r="P119" s="137">
        <v>1.1195789944008048</v>
      </c>
      <c r="Q119" s="137">
        <v>1.156935448196192</v>
      </c>
      <c r="R119" s="137">
        <v>1.1458362524680177</v>
      </c>
      <c r="S119" s="137">
        <v>1.1780697532934032</v>
      </c>
      <c r="T119" s="137">
        <v>1.1572109336548422</v>
      </c>
    </row>
    <row r="120" spans="1:20" x14ac:dyDescent="0.2">
      <c r="A120" s="136">
        <v>261</v>
      </c>
      <c r="B120" s="137">
        <v>1.0227014088609081</v>
      </c>
      <c r="C120" s="137">
        <v>1.0133056197836012</v>
      </c>
      <c r="D120" s="137">
        <v>1.0109010804826601</v>
      </c>
      <c r="E120" s="137">
        <v>1.006502592269809</v>
      </c>
      <c r="F120" s="137">
        <v>1.0037344327676112</v>
      </c>
      <c r="G120" s="137">
        <v>1.0314877472618056</v>
      </c>
      <c r="H120" s="137">
        <v>1.0240825795368176</v>
      </c>
      <c r="I120" s="137">
        <v>1.0214769462844482</v>
      </c>
      <c r="J120" s="137">
        <v>1.0134602914086241</v>
      </c>
      <c r="K120" s="137">
        <v>1.0077862916819151</v>
      </c>
      <c r="L120" s="137">
        <v>1</v>
      </c>
      <c r="M120" s="137">
        <v>1.1492045033692806</v>
      </c>
      <c r="N120" s="137">
        <v>1.1375104914010619</v>
      </c>
      <c r="O120" s="137">
        <v>1.1453499628615198</v>
      </c>
      <c r="P120" s="137">
        <v>1.1149242938340955</v>
      </c>
      <c r="Q120" s="137">
        <v>1.150334140611974</v>
      </c>
      <c r="R120" s="137">
        <v>1.1395819887953573</v>
      </c>
      <c r="S120" s="137">
        <v>1.1699589711411025</v>
      </c>
      <c r="T120" s="137">
        <v>1.1498635852144614</v>
      </c>
    </row>
    <row r="121" spans="1:20" x14ac:dyDescent="0.2">
      <c r="A121" s="136">
        <v>264</v>
      </c>
      <c r="B121" s="137">
        <v>1.0221508195129687</v>
      </c>
      <c r="C121" s="137">
        <v>1.0129157648825373</v>
      </c>
      <c r="D121" s="137">
        <v>1.0105612866750462</v>
      </c>
      <c r="E121" s="137">
        <v>1.0062755533012646</v>
      </c>
      <c r="F121" s="137">
        <v>1.0035850281083103</v>
      </c>
      <c r="G121" s="137">
        <v>1.0305688044855743</v>
      </c>
      <c r="H121" s="137">
        <v>1.02332606668097</v>
      </c>
      <c r="I121" s="137">
        <v>1.0207838955342863</v>
      </c>
      <c r="J121" s="137">
        <v>1.0129695284662579</v>
      </c>
      <c r="K121" s="137">
        <v>1.0074548655134308</v>
      </c>
      <c r="L121" s="137">
        <v>1</v>
      </c>
      <c r="M121" s="137">
        <v>1.1456951907542154</v>
      </c>
      <c r="N121" s="137">
        <v>1.1343891694090047</v>
      </c>
      <c r="O121" s="137">
        <v>1.1420367266828535</v>
      </c>
      <c r="P121" s="137">
        <v>1.1122232121742659</v>
      </c>
      <c r="Q121" s="137">
        <v>1.1465157120723388</v>
      </c>
      <c r="R121" s="137">
        <v>1.1359664578238624</v>
      </c>
      <c r="S121" s="137">
        <v>1.1652831538379709</v>
      </c>
      <c r="T121" s="137">
        <v>1.1456312697075022</v>
      </c>
    </row>
    <row r="122" spans="1:20" x14ac:dyDescent="0.2">
      <c r="A122" s="136">
        <v>265</v>
      </c>
      <c r="B122" s="137">
        <v>1.0219703053242033</v>
      </c>
      <c r="C122" s="137">
        <v>1.0127883844635357</v>
      </c>
      <c r="D122" s="137">
        <v>1.0104504045109295</v>
      </c>
      <c r="E122" s="137">
        <v>1.0062016545578829</v>
      </c>
      <c r="F122" s="137">
        <v>1.0035365692100249</v>
      </c>
      <c r="G122" s="137">
        <v>1.0302685766442208</v>
      </c>
      <c r="H122" s="137">
        <v>1.0230792738154888</v>
      </c>
      <c r="I122" s="137">
        <v>1.0205579348318345</v>
      </c>
      <c r="J122" s="137">
        <v>1.0128099750986843</v>
      </c>
      <c r="K122" s="137">
        <v>1.0073475667896461</v>
      </c>
      <c r="L122" s="137">
        <v>1</v>
      </c>
      <c r="M122" s="137">
        <v>1.1445132396864972</v>
      </c>
      <c r="N122" s="137">
        <v>1.1333443168230644</v>
      </c>
      <c r="O122" s="137">
        <v>1.1409428356888285</v>
      </c>
      <c r="P122" s="137">
        <v>1.1113327020981509</v>
      </c>
      <c r="Q122" s="137">
        <v>1.145258718844377</v>
      </c>
      <c r="R122" s="137">
        <v>1.1347775304532319</v>
      </c>
      <c r="S122" s="137">
        <v>1.1637484595555039</v>
      </c>
      <c r="T122" s="137">
        <v>1.1442413558057292</v>
      </c>
    </row>
    <row r="123" spans="1:20" x14ac:dyDescent="0.2">
      <c r="A123" s="136">
        <v>267</v>
      </c>
      <c r="B123" s="137">
        <v>1.0216137245324994</v>
      </c>
      <c r="C123" s="137">
        <v>1.0125374032650674</v>
      </c>
      <c r="D123" s="137">
        <v>1.0102321379806907</v>
      </c>
      <c r="E123" s="137">
        <v>1.0060564652596109</v>
      </c>
      <c r="F123" s="137">
        <v>1.0034416109716346</v>
      </c>
      <c r="G123" s="137">
        <v>1.0296770642967403</v>
      </c>
      <c r="H123" s="137">
        <v>1.0225935796149144</v>
      </c>
      <c r="I123" s="137">
        <v>1.0201134287019451</v>
      </c>
      <c r="J123" s="137">
        <v>1.0124967688753348</v>
      </c>
      <c r="K123" s="137">
        <v>1.0071375965164351</v>
      </c>
      <c r="L123" s="137">
        <v>1</v>
      </c>
      <c r="M123" s="137">
        <v>1.1421797665340614</v>
      </c>
      <c r="N123" s="137">
        <v>1.1312802970498235</v>
      </c>
      <c r="O123" s="137">
        <v>1.1387817613833584</v>
      </c>
      <c r="P123" s="137">
        <v>1.1095738485398661</v>
      </c>
      <c r="Q123" s="137">
        <v>1.1427789565316262</v>
      </c>
      <c r="R123" s="137">
        <v>1.1324325493009675</v>
      </c>
      <c r="S123" s="137">
        <v>1.1607245556883152</v>
      </c>
      <c r="T123" s="137">
        <v>1.1415035942422787</v>
      </c>
    </row>
    <row r="124" spans="1:20" x14ac:dyDescent="0.2">
      <c r="A124" s="136">
        <v>273</v>
      </c>
      <c r="B124" s="137">
        <v>1.0205786767469183</v>
      </c>
      <c r="C124" s="137">
        <v>1.011813798796648</v>
      </c>
      <c r="D124" s="137">
        <v>1.0096044397295243</v>
      </c>
      <c r="E124" s="137">
        <v>1.0056410316404549</v>
      </c>
      <c r="F124" s="137">
        <v>1.0031717859805431</v>
      </c>
      <c r="G124" s="137">
        <v>1.0279719096382318</v>
      </c>
      <c r="H124" s="137">
        <v>1.0211975928970769</v>
      </c>
      <c r="I124" s="137">
        <v>1.0188372735058231</v>
      </c>
      <c r="J124" s="137">
        <v>1.0116026119576351</v>
      </c>
      <c r="K124" s="137">
        <v>1.0065431210356524</v>
      </c>
      <c r="L124" s="137">
        <v>1</v>
      </c>
      <c r="M124" s="137">
        <v>1.1354159506795529</v>
      </c>
      <c r="N124" s="137">
        <v>1.1252882421328245</v>
      </c>
      <c r="O124" s="137">
        <v>1.1325065213497378</v>
      </c>
      <c r="P124" s="137">
        <v>1.1044698859921025</v>
      </c>
      <c r="Q124" s="137">
        <v>1.1356053444112357</v>
      </c>
      <c r="R124" s="137">
        <v>1.1256527151222551</v>
      </c>
      <c r="S124" s="137">
        <v>1.1520048992906398</v>
      </c>
      <c r="T124" s="137">
        <v>1.133615770437471</v>
      </c>
    </row>
    <row r="125" spans="1:20" x14ac:dyDescent="0.2">
      <c r="A125" s="136">
        <v>276</v>
      </c>
      <c r="B125" s="137">
        <v>1.0200800751209926</v>
      </c>
      <c r="C125" s="137">
        <v>1.01146790122624</v>
      </c>
      <c r="D125" s="137">
        <v>1.0093052488431837</v>
      </c>
      <c r="E125" s="137">
        <v>1.0054441554846649</v>
      </c>
      <c r="F125" s="137">
        <v>1.0030449254430454</v>
      </c>
      <c r="G125" s="137">
        <v>1.0271569192014118</v>
      </c>
      <c r="H125" s="137">
        <v>1.0205326129247696</v>
      </c>
      <c r="I125" s="137">
        <v>1.0182301619613063</v>
      </c>
      <c r="J125" s="137">
        <v>1.0111799531458665</v>
      </c>
      <c r="K125" s="137">
        <v>1.0062647751953069</v>
      </c>
      <c r="L125" s="137">
        <v>1</v>
      </c>
      <c r="M125" s="137">
        <v>1.1321625887868294</v>
      </c>
      <c r="N125" s="137">
        <v>1.1224010650566831</v>
      </c>
      <c r="O125" s="137">
        <v>1.1294821064652791</v>
      </c>
      <c r="P125" s="137">
        <v>1.1020118341193423</v>
      </c>
      <c r="Q125" s="137">
        <v>1.1321625887868294</v>
      </c>
      <c r="R125" s="137">
        <v>1.1224010650566831</v>
      </c>
      <c r="S125" s="137">
        <v>1.1478352789970865</v>
      </c>
      <c r="T125" s="137">
        <v>1.1298476069345287</v>
      </c>
    </row>
    <row r="126" spans="1:20" x14ac:dyDescent="0.2">
      <c r="A126" s="136">
        <v>277</v>
      </c>
      <c r="B126" s="137">
        <v>1.0200800751209926</v>
      </c>
      <c r="C126" s="137">
        <v>1.01146790122624</v>
      </c>
      <c r="D126" s="137">
        <v>1.0093052488431837</v>
      </c>
      <c r="E126" s="137">
        <v>1.0054441554846649</v>
      </c>
      <c r="F126" s="137">
        <v>1.0030449254430454</v>
      </c>
      <c r="G126" s="137">
        <v>1.0271569192014118</v>
      </c>
      <c r="H126" s="137">
        <v>1.0205326129247696</v>
      </c>
      <c r="I126" s="137">
        <v>1.0182301619613063</v>
      </c>
      <c r="J126" s="137">
        <v>1.0111799531458665</v>
      </c>
      <c r="K126" s="137">
        <v>1.0062647751953069</v>
      </c>
      <c r="L126" s="137">
        <v>1</v>
      </c>
      <c r="M126" s="137">
        <v>1.1321625887868294</v>
      </c>
      <c r="N126" s="137">
        <v>1.1224010650566831</v>
      </c>
      <c r="O126" s="137">
        <v>1.1294821064652791</v>
      </c>
      <c r="P126" s="137">
        <v>1.1020118341193423</v>
      </c>
      <c r="Q126" s="137">
        <v>1.1321625887868294</v>
      </c>
      <c r="R126" s="137">
        <v>1.1224010650566831</v>
      </c>
      <c r="S126" s="137">
        <v>1.1478352789970865</v>
      </c>
      <c r="T126" s="137">
        <v>1.1298476069345287</v>
      </c>
    </row>
    <row r="127" spans="1:20" x14ac:dyDescent="0.2">
      <c r="A127" s="136">
        <v>279</v>
      </c>
      <c r="B127" s="137">
        <v>1.0200800751209926</v>
      </c>
      <c r="C127" s="137">
        <v>1.01146790122624</v>
      </c>
      <c r="D127" s="137">
        <v>1.0093052488431837</v>
      </c>
      <c r="E127" s="137">
        <v>1.0054441554846649</v>
      </c>
      <c r="F127" s="137">
        <v>1.0030449254430454</v>
      </c>
      <c r="G127" s="137">
        <v>1.0271569192014118</v>
      </c>
      <c r="H127" s="137">
        <v>1.0205326129247696</v>
      </c>
      <c r="I127" s="137">
        <v>1.0182301619613063</v>
      </c>
      <c r="J127" s="137">
        <v>1.0111799531458665</v>
      </c>
      <c r="K127" s="137">
        <v>1.0062647751953069</v>
      </c>
      <c r="L127" s="137">
        <v>1</v>
      </c>
      <c r="M127" s="137">
        <v>1.1321625887868294</v>
      </c>
      <c r="N127" s="137">
        <v>1.1224010650566831</v>
      </c>
      <c r="O127" s="137">
        <v>1.1294821064652791</v>
      </c>
      <c r="P127" s="137">
        <v>1.1020118341193423</v>
      </c>
      <c r="Q127" s="137">
        <v>1.1321625887868294</v>
      </c>
      <c r="R127" s="137">
        <v>1.1224010650566831</v>
      </c>
      <c r="S127" s="137">
        <v>1.1478352789970865</v>
      </c>
      <c r="T127" s="137">
        <v>1.1298476069345287</v>
      </c>
    </row>
  </sheetData>
  <printOptions horizontalCentered="1"/>
  <pageMargins left="0.7" right="0.7" top="0.75" bottom="0.75" header="0.3" footer="0.3"/>
  <pageSetup scale="33" orientation="portrait" blackAndWhite="1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>
    <tabColor rgb="FFCCCCFF"/>
    <pageSetUpPr fitToPage="1"/>
  </sheetPr>
  <dimension ref="A1:U145"/>
  <sheetViews>
    <sheetView zoomScale="85" zoomScaleNormal="85" workbookViewId="0"/>
  </sheetViews>
  <sheetFormatPr defaultColWidth="9" defaultRowHeight="12.75" x14ac:dyDescent="0.2"/>
  <cols>
    <col min="1" max="16384" width="9" style="1"/>
  </cols>
  <sheetData>
    <row r="1" spans="1:21" x14ac:dyDescent="0.2">
      <c r="A1" s="133" t="s">
        <v>551</v>
      </c>
      <c r="L1" s="133" t="s">
        <v>546</v>
      </c>
    </row>
    <row r="2" spans="1:21" x14ac:dyDescent="0.2">
      <c r="L2" s="3">
        <v>1</v>
      </c>
      <c r="M2" s="3">
        <f>L2+1</f>
        <v>2</v>
      </c>
      <c r="N2" s="3">
        <f t="shared" ref="N2:U2" si="0">M2+1</f>
        <v>3</v>
      </c>
      <c r="O2" s="3">
        <f t="shared" si="0"/>
        <v>4</v>
      </c>
      <c r="P2" s="3">
        <f t="shared" si="0"/>
        <v>5</v>
      </c>
      <c r="Q2" s="3">
        <f t="shared" si="0"/>
        <v>6</v>
      </c>
      <c r="R2" s="3">
        <f t="shared" si="0"/>
        <v>7</v>
      </c>
      <c r="S2" s="3">
        <f t="shared" si="0"/>
        <v>8</v>
      </c>
      <c r="T2" s="3">
        <f t="shared" si="0"/>
        <v>9</v>
      </c>
      <c r="U2" s="3">
        <f t="shared" si="0"/>
        <v>10</v>
      </c>
    </row>
    <row r="3" spans="1:21" x14ac:dyDescent="0.2">
      <c r="A3" s="368" t="s">
        <v>25</v>
      </c>
      <c r="B3" s="368" t="s">
        <v>14</v>
      </c>
      <c r="C3" s="368" t="s">
        <v>266</v>
      </c>
      <c r="D3" s="368" t="s">
        <v>265</v>
      </c>
      <c r="E3" s="368" t="s">
        <v>264</v>
      </c>
      <c r="F3" s="368" t="s">
        <v>263</v>
      </c>
      <c r="G3" s="368" t="s">
        <v>547</v>
      </c>
      <c r="H3" s="368" t="s">
        <v>548</v>
      </c>
      <c r="I3" s="368" t="s">
        <v>549</v>
      </c>
      <c r="J3" s="368" t="s">
        <v>550</v>
      </c>
      <c r="L3" s="368" t="s">
        <v>25</v>
      </c>
      <c r="M3" s="368" t="s">
        <v>14</v>
      </c>
      <c r="N3" s="368" t="s">
        <v>266</v>
      </c>
      <c r="O3" s="368" t="s">
        <v>265</v>
      </c>
      <c r="P3" s="368" t="s">
        <v>264</v>
      </c>
      <c r="Q3" s="368" t="s">
        <v>263</v>
      </c>
      <c r="R3" s="368" t="s">
        <v>547</v>
      </c>
      <c r="S3" s="368" t="s">
        <v>548</v>
      </c>
      <c r="T3" s="368" t="s">
        <v>549</v>
      </c>
      <c r="U3" s="368" t="s">
        <v>550</v>
      </c>
    </row>
    <row r="4" spans="1:21" x14ac:dyDescent="0.2">
      <c r="A4" s="139">
        <v>9.9999999999999998E-17</v>
      </c>
      <c r="B4" s="111">
        <f ca="1">'e9.5'!$M19</f>
        <v>0.89439876078558678</v>
      </c>
      <c r="C4" s="111">
        <f ca="1">'e9.4'!$M19</f>
        <v>0.90057505634760315</v>
      </c>
      <c r="D4" s="111">
        <f ca="1">'e9.3'!$M19</f>
        <v>0.90311977373478292</v>
      </c>
      <c r="E4" s="111">
        <f ca="1">'e9.2'!$M19</f>
        <v>0.91135864353905938</v>
      </c>
      <c r="F4" s="111">
        <f ca="1">'e9.1'!$M19</f>
        <v>0.91786430809385333</v>
      </c>
      <c r="G4" s="111">
        <f ca="1">'e9.9'!$M19</f>
        <v>0.81374968279512794</v>
      </c>
      <c r="H4" s="111">
        <f ca="1">'e9.8'!$M19</f>
        <v>0.8159793430057326</v>
      </c>
      <c r="I4" s="111">
        <f ca="1">'e9.7'!$M19</f>
        <v>0.78360520144222467</v>
      </c>
      <c r="J4" s="111">
        <f ca="1">'e9.6'!$M19</f>
        <v>0.79159405690868145</v>
      </c>
      <c r="L4" s="254">
        <f>IF(LDF!W5 &lt; 12, LDF!W5/2 + 6, LDF!W5)</f>
        <v>6.5</v>
      </c>
      <c r="M4" s="141">
        <f ca="1">[1]!ldf(B$4:B$27, $A$4:$A$27, $L4, $A$27, 1)</f>
        <v>0.89801384465699141</v>
      </c>
      <c r="N4" s="141">
        <f ca="1">[1]!ldf(C$4:C$27, $A$4:$A$27, $L4, $A$27, 1)</f>
        <v>0.9047022577829712</v>
      </c>
      <c r="O4" s="141">
        <f ca="1">[1]!ldf(D$4:D$27, $A$4:$A$27, $L4, $A$27, 1)</f>
        <v>0.90743380605947732</v>
      </c>
      <c r="P4" s="141">
        <f ca="1">[1]!ldf(E$4:E$27, $A$4:$A$27, $L4, $A$27, 1)</f>
        <v>0.91636955361909167</v>
      </c>
      <c r="Q4" s="141">
        <f ca="1">[1]!ldf(F$4:F$27, $A$4:$A$27, $L4, $A$27, 1)</f>
        <v>0.92322308710984025</v>
      </c>
      <c r="R4" s="141">
        <f ca="1">[1]!ldf(G$4:G$27, $A$4:$A$27, $L4, $A$27, 1)</f>
        <v>0.81436021658279212</v>
      </c>
      <c r="S4" s="141">
        <f ca="1">[1]!ldf(H$4:H$27, $A$4:$A$27, $L4, $A$27, 1)</f>
        <v>0.8171697422150852</v>
      </c>
      <c r="T4" s="141">
        <f ca="1">[1]!ldf(I$4:I$27, $A$4:$A$27, $L4, $A$27, 1)</f>
        <v>0.78630066847416957</v>
      </c>
      <c r="U4" s="141">
        <f ca="1">[1]!ldf(J$4:J$27, $A$4:$A$27, $L4, $A$27, 1)</f>
        <v>0.79666541221691389</v>
      </c>
    </row>
    <row r="5" spans="1:21" x14ac:dyDescent="0.2">
      <c r="A5" s="396">
        <f>'e9.1'!A19</f>
        <v>12</v>
      </c>
      <c r="B5" s="111">
        <f ca="1">'e9.5'!$M20</f>
        <v>0.90109566574319511</v>
      </c>
      <c r="C5" s="111">
        <f ca="1">'e9.4'!$M20</f>
        <v>0.9082241668501092</v>
      </c>
      <c r="D5" s="111">
        <f ca="1">'e9.3'!$M20</f>
        <v>0.91111646305687932</v>
      </c>
      <c r="E5" s="111">
        <f ca="1">'e9.2'!$M20</f>
        <v>0.92065279452209736</v>
      </c>
      <c r="F5" s="111">
        <f ca="1">'e9.1'!$M20</f>
        <v>0.92780655438419612</v>
      </c>
      <c r="G5" s="111">
        <f ca="1">'e9.9'!$M20</f>
        <v>0.81487753810956298</v>
      </c>
      <c r="H5" s="111">
        <f ca="1">'e9.8'!$M20</f>
        <v>0.81817971927206135</v>
      </c>
      <c r="I5" s="111">
        <f ca="1">'e9.7'!$M20</f>
        <v>0.78859597453239383</v>
      </c>
      <c r="J5" s="111">
        <f ca="1">'e9.6'!$M20</f>
        <v>0.80100758876653633</v>
      </c>
      <c r="L5" s="254">
        <f>IF(LDF!W6 &lt; 12, LDF!W6/2 + 6, LDF!W6)</f>
        <v>7.5</v>
      </c>
      <c r="M5" s="141">
        <f ca="1">[1]!ldf(B$4:B$27, $A$4:$A$27, $L5, $A$27, 1)</f>
        <v>0.89857260684204865</v>
      </c>
      <c r="N5" s="141">
        <f ca="1">[1]!ldf(C$4:C$27, $A$4:$A$27, $L5, $A$27, 1)</f>
        <v>0.90534057179579186</v>
      </c>
      <c r="O5" s="141">
        <f ca="1">[1]!ldf(D$4:D$27, $A$4:$A$27, $L5, $A$27, 1)</f>
        <v>0.90810116413399278</v>
      </c>
      <c r="P5" s="141">
        <f ca="1">[1]!ldf(E$4:E$27, $A$4:$A$27, $L5, $A$27, 1)</f>
        <v>0.91714535778639672</v>
      </c>
      <c r="Q5" s="141">
        <f ca="1">[1]!ldf(F$4:F$27, $A$4:$A$27, $L5, $A$27, 1)</f>
        <v>0.92405307341203724</v>
      </c>
      <c r="R5" s="141">
        <f ca="1">[1]!ldf(G$4:G$27, $A$4:$A$27, $L5, $A$27, 1)</f>
        <v>0.814454226180792</v>
      </c>
      <c r="S5" s="141">
        <f ca="1">[1]!ldf(H$4:H$27, $A$4:$A$27, $L5, $A$27, 1)</f>
        <v>0.81735318890085085</v>
      </c>
      <c r="T5" s="141">
        <f ca="1">[1]!ldf(I$4:I$27, $A$4:$A$27, $L5, $A$27, 1)</f>
        <v>0.78671700248832221</v>
      </c>
      <c r="U5" s="141">
        <f ca="1">[1]!ldf(J$4:J$27, $A$4:$A$27, $L5, $A$27, 1)</f>
        <v>0.7974513938163289</v>
      </c>
    </row>
    <row r="6" spans="1:21" x14ac:dyDescent="0.2">
      <c r="A6" s="396">
        <f>'e9.1'!A20</f>
        <v>24</v>
      </c>
      <c r="B6" s="111">
        <f ca="1">'e9.5'!$M21</f>
        <v>0.87627796514443901</v>
      </c>
      <c r="C6" s="111">
        <f ca="1">'e9.4'!$M21</f>
        <v>0.88553383833094501</v>
      </c>
      <c r="D6" s="111">
        <f ca="1">'e9.3'!$M21</f>
        <v>0.88954481131771312</v>
      </c>
      <c r="E6" s="111">
        <f ca="1">'e9.2'!$M21</f>
        <v>0.90247360156504441</v>
      </c>
      <c r="F6" s="111">
        <f ca="1">'e9.1'!$M21</f>
        <v>0.91086835763094509</v>
      </c>
      <c r="G6" s="111">
        <f ca="1">'e9.9'!$M21</f>
        <v>0.78710314141521442</v>
      </c>
      <c r="H6" s="111">
        <f ca="1">'e9.8'!$M21</f>
        <v>0.78808849931282932</v>
      </c>
      <c r="I6" s="111">
        <f ca="1">'e9.7'!$M21</f>
        <v>0.7670709644565431</v>
      </c>
      <c r="J6" s="111">
        <f ca="1">'e9.6'!$M21</f>
        <v>0.78808188366788567</v>
      </c>
      <c r="L6" s="254">
        <f>IF(LDF!W7 &lt; 12, LDF!W7/2 + 6, LDF!W7)</f>
        <v>8</v>
      </c>
      <c r="M6" s="141">
        <f ca="1">[1]!ldf(B$4:B$27, $A$4:$A$27, $L6, $A$27, 1)</f>
        <v>0.8988522487704862</v>
      </c>
      <c r="N6" s="141">
        <f ca="1">[1]!ldf(C$4:C$27, $A$4:$A$27, $L6, $A$27, 1)</f>
        <v>0.9056600666939475</v>
      </c>
      <c r="O6" s="141">
        <f ca="1">[1]!ldf(D$4:D$27, $A$4:$A$27, $L6, $A$27, 1)</f>
        <v>0.90843521140524097</v>
      </c>
      <c r="P6" s="141">
        <f ca="1">[1]!ldf(E$4:E$27, $A$4:$A$27, $L6, $A$27, 1)</f>
        <v>0.91753375267913428</v>
      </c>
      <c r="Q6" s="141">
        <f ca="1">[1]!ldf(F$4:F$27, $A$4:$A$27, $L6, $A$27, 1)</f>
        <v>0.92446862643896477</v>
      </c>
      <c r="R6" s="141">
        <f ca="1">[1]!ldf(G$4:G$27, $A$4:$A$27, $L6, $A$27, 1)</f>
        <v>0.81450123911960026</v>
      </c>
      <c r="S6" s="141">
        <f ca="1">[1]!ldf(H$4:H$27, $A$4:$A$27, $L6, $A$27, 1)</f>
        <v>0.81744494313370286</v>
      </c>
      <c r="T6" s="141">
        <f ca="1">[1]!ldf(I$4:I$27, $A$4:$A$27, $L6, $A$27, 1)</f>
        <v>0.78692533487098526</v>
      </c>
      <c r="U6" s="141">
        <f ca="1">[1]!ldf(J$4:J$27, $A$4:$A$27, $L6, $A$27, 1)</f>
        <v>0.7978449664838666</v>
      </c>
    </row>
    <row r="7" spans="1:21" x14ac:dyDescent="0.2">
      <c r="A7" s="396">
        <f>'e9.1'!A21</f>
        <v>36</v>
      </c>
      <c r="B7" s="111">
        <f ca="1">'e9.5'!$M22</f>
        <v>0.845641629094953</v>
      </c>
      <c r="C7" s="111">
        <f ca="1">'e9.4'!$M22</f>
        <v>0.85580337594607636</v>
      </c>
      <c r="D7" s="111">
        <f ca="1">'e9.3'!$M22</f>
        <v>0.86053618327573034</v>
      </c>
      <c r="E7" s="111">
        <f ca="1">'e9.2'!$M22</f>
        <v>0.87531507298358191</v>
      </c>
      <c r="F7" s="111">
        <f ca="1">'e9.1'!$M22</f>
        <v>0.88800921582971359</v>
      </c>
      <c r="G7" s="111">
        <f ca="1">'e9.9'!$M22</f>
        <v>0.76966629775872231</v>
      </c>
      <c r="H7" s="111">
        <f ca="1">'e9.8'!$M22</f>
        <v>0.76906801736574815</v>
      </c>
      <c r="I7" s="111">
        <f ca="1">'e9.7'!$M22</f>
        <v>0.75982078669795439</v>
      </c>
      <c r="J7" s="111">
        <f ca="1">'e9.6'!$M22</f>
        <v>0.76548066771326517</v>
      </c>
      <c r="L7" s="254">
        <f>IF(LDF!W8 &lt; 12, LDF!W8/2 + 6, LDF!W8)</f>
        <v>9.5</v>
      </c>
      <c r="M7" s="141">
        <f ca="1">[1]!ldf(B$4:B$27, $A$4:$A$27, $L7, $A$27, 1)</f>
        <v>0.89969221984942815</v>
      </c>
      <c r="N7" s="141">
        <f ca="1">[1]!ldf(C$4:C$27, $A$4:$A$27, $L7, $A$27, 1)</f>
        <v>0.90661990582023733</v>
      </c>
      <c r="O7" s="141">
        <f ca="1">[1]!ldf(D$4:D$27, $A$4:$A$27, $L7, $A$27, 1)</f>
        <v>0.90943882940947929</v>
      </c>
      <c r="P7" s="141">
        <f ca="1">[1]!ldf(E$4:E$27, $A$4:$A$27, $L7, $A$27, 1)</f>
        <v>0.91870091360876083</v>
      </c>
      <c r="Q7" s="141">
        <f ca="1">[1]!ldf(F$4:F$27, $A$4:$A$27, $L7, $A$27, 1)</f>
        <v>0.92571753107394539</v>
      </c>
      <c r="R7" s="141">
        <f ca="1">[1]!ldf(G$4:G$27, $A$4:$A$27, $L7, $A$27, 1)</f>
        <v>0.81464231050653646</v>
      </c>
      <c r="S7" s="141">
        <f ca="1">[1]!ldf(H$4:H$27, $A$4:$A$27, $L7, $A$27, 1)</f>
        <v>0.81772032947538753</v>
      </c>
      <c r="T7" s="141">
        <f ca="1">[1]!ldf(I$4:I$27, $A$4:$A$27, $L7, $A$27, 1)</f>
        <v>0.78755099457319955</v>
      </c>
      <c r="U7" s="141">
        <f ca="1">[1]!ldf(J$4:J$27, $A$4:$A$27, $L7, $A$27, 1)</f>
        <v>0.79902801886019437</v>
      </c>
    </row>
    <row r="8" spans="1:21" x14ac:dyDescent="0.2">
      <c r="A8" s="396">
        <f>'e9.1'!A22</f>
        <v>48</v>
      </c>
      <c r="B8" s="111">
        <f ca="1">'e9.5'!$M23</f>
        <v>0.83010876593614502</v>
      </c>
      <c r="C8" s="111">
        <f ca="1">'e9.4'!$M23</f>
        <v>0.84175544193031993</v>
      </c>
      <c r="D8" s="111">
        <f ca="1">'e9.3'!$M23</f>
        <v>0.84661959497567529</v>
      </c>
      <c r="E8" s="111">
        <f ca="1">'e9.2'!$M23</f>
        <v>0.86301054747222838</v>
      </c>
      <c r="F8" s="111">
        <f ca="1">'e9.1'!$M23</f>
        <v>0.87750523467608355</v>
      </c>
      <c r="G8" s="111">
        <f ca="1">'e9.9'!$M23</f>
        <v>0.7501347780803107</v>
      </c>
      <c r="H8" s="111">
        <f ca="1">'e9.8'!$M23</f>
        <v>0.75423505424905257</v>
      </c>
      <c r="I8" s="111">
        <f ca="1">'e9.7'!$M23</f>
        <v>0.74876675016025451</v>
      </c>
      <c r="J8" s="111">
        <f ca="1">'e9.6'!$M23</f>
        <v>0.75502056186370448</v>
      </c>
      <c r="L8" s="254">
        <f>IF(LDF!W9 &lt; 12, LDF!W9/2 + 6, LDF!W9)</f>
        <v>10.5</v>
      </c>
      <c r="M8" s="141">
        <f ca="1">[1]!ldf(B$4:B$27, $A$4:$A$27, $L8, $A$27, 1)</f>
        <v>0.90025307327579451</v>
      </c>
      <c r="N8" s="141">
        <f ca="1">[1]!ldf(C$4:C$27, $A$4:$A$27, $L8, $A$27, 1)</f>
        <v>0.90726092965840466</v>
      </c>
      <c r="O8" s="141">
        <f ca="1">[1]!ldf(D$4:D$27, $A$4:$A$27, $L8, $A$27, 1)</f>
        <v>0.91010914095782058</v>
      </c>
      <c r="P8" s="141">
        <f ca="1">[1]!ldf(E$4:E$27, $A$4:$A$27, $L8, $A$27, 1)</f>
        <v>0.91948067196477457</v>
      </c>
      <c r="Q8" s="141">
        <f ca="1">[1]!ldf(F$4:F$27, $A$4:$A$27, $L8, $A$27, 1)</f>
        <v>0.92655201051968294</v>
      </c>
      <c r="R8" s="141">
        <f ca="1">[1]!ldf(G$4:G$27, $A$4:$A$27, $L8, $A$27, 1)</f>
        <v>0.81473638524932301</v>
      </c>
      <c r="S8" s="141">
        <f ca="1">[1]!ldf(H$4:H$27, $A$4:$A$27, $L8, $A$27, 1)</f>
        <v>0.81790402347522284</v>
      </c>
      <c r="T8" s="141">
        <f ca="1">[1]!ldf(I$4:I$27, $A$4:$A$27, $L8, $A$27, 1)</f>
        <v>0.78796865404828986</v>
      </c>
      <c r="U8" s="141">
        <f ca="1">[1]!ldf(J$4:J$27, $A$4:$A$27, $L8, $A$27, 1)</f>
        <v>0.79981867153060426</v>
      </c>
    </row>
    <row r="9" spans="1:21" x14ac:dyDescent="0.2">
      <c r="A9" s="396">
        <f>'e9.1'!A23</f>
        <v>60</v>
      </c>
      <c r="B9" s="111">
        <f ca="1">'e9.5'!$M24</f>
        <v>0.81910713502224741</v>
      </c>
      <c r="C9" s="111">
        <f ca="1">'e9.4'!$M24</f>
        <v>0.83017136299098604</v>
      </c>
      <c r="D9" s="111">
        <f ca="1">'e9.3'!$M24</f>
        <v>0.83465057555342037</v>
      </c>
      <c r="E9" s="111">
        <f ca="1">'e9.2'!$M24</f>
        <v>0.85075743501366541</v>
      </c>
      <c r="F9" s="111">
        <f ca="1">'e9.1'!$M24</f>
        <v>0.86653203634363385</v>
      </c>
      <c r="G9" s="111">
        <f ca="1">'e9.9'!$M24</f>
        <v>0.7534709933742727</v>
      </c>
      <c r="H9" s="111">
        <f ca="1">'e9.8'!$M24</f>
        <v>0.75800122120191693</v>
      </c>
      <c r="I9" s="111">
        <f ca="1">'e9.7'!$M24</f>
        <v>0.75505686616546897</v>
      </c>
      <c r="J9" s="111">
        <f ca="1">'e9.6'!$M24</f>
        <v>0.75826094129342414</v>
      </c>
      <c r="L9" s="254">
        <f>IF(LDF!W10 &lt; 12, LDF!W10/2 + 6, LDF!W10)</f>
        <v>12</v>
      </c>
      <c r="M9" s="141">
        <f ca="1">[1]!ldf(B$4:B$27, $A$4:$A$27, $L9, $A$27, 1)</f>
        <v>0.90109566574319511</v>
      </c>
      <c r="N9" s="141">
        <f ca="1">[1]!ldf(C$4:C$27, $A$4:$A$27, $L9, $A$27, 1)</f>
        <v>0.90822416685010932</v>
      </c>
      <c r="O9" s="141">
        <f ca="1">[1]!ldf(D$4:D$27, $A$4:$A$27, $L9, $A$27, 1)</f>
        <v>0.91111646305687932</v>
      </c>
      <c r="P9" s="141">
        <f ca="1">[1]!ldf(E$4:E$27, $A$4:$A$27, $L9, $A$27, 1)</f>
        <v>0.92065279452209736</v>
      </c>
      <c r="Q9" s="141">
        <f ca="1">[1]!ldf(F$4:F$27, $A$4:$A$27, $L9, $A$27, 1)</f>
        <v>0.92780655438419612</v>
      </c>
      <c r="R9" s="141">
        <f ca="1">[1]!ldf(G$4:G$27, $A$4:$A$27, $L9, $A$27, 1)</f>
        <v>0.81487753810956298</v>
      </c>
      <c r="S9" s="141">
        <f ca="1">[1]!ldf(H$4:H$27, $A$4:$A$27, $L9, $A$27, 1)</f>
        <v>0.81817971927206123</v>
      </c>
      <c r="T9" s="141">
        <f ca="1">[1]!ldf(I$4:I$27, $A$4:$A$27, $L9, $A$27, 1)</f>
        <v>0.78859597453239383</v>
      </c>
      <c r="U9" s="141">
        <f ca="1">[1]!ldf(J$4:J$27, $A$4:$A$27, $L9, $A$27, 1)</f>
        <v>0.80100758876653644</v>
      </c>
    </row>
    <row r="10" spans="1:21" x14ac:dyDescent="0.2">
      <c r="A10" s="396">
        <f>'e9.1'!A24</f>
        <v>72</v>
      </c>
      <c r="B10" s="111">
        <f ca="1">'e9.5'!$M25</f>
        <v>0.81571749762239143</v>
      </c>
      <c r="C10" s="111">
        <f ca="1">'e9.4'!$M25</f>
        <v>0.82610002685787887</v>
      </c>
      <c r="D10" s="111">
        <f ca="1">'e9.3'!$M25</f>
        <v>0.83027889462917737</v>
      </c>
      <c r="E10" s="111">
        <f ca="1">'e9.2'!$M25</f>
        <v>0.84614638861704283</v>
      </c>
      <c r="F10" s="111">
        <f ca="1">'e9.1'!$M25</f>
        <v>0.86227309682976705</v>
      </c>
      <c r="G10" s="111">
        <f ca="1">'e9.9'!$M25</f>
        <v>0.76008870788744853</v>
      </c>
      <c r="H10" s="111">
        <f ca="1">'e9.8'!$M25</f>
        <v>0.76419060561013696</v>
      </c>
      <c r="I10" s="111">
        <f ca="1">'e9.7'!$M25</f>
        <v>0.76172734304888512</v>
      </c>
      <c r="J10" s="111">
        <f ca="1">'e9.6'!$M25</f>
        <v>0.76443388371868359</v>
      </c>
      <c r="L10" s="254">
        <f>IF(LDF!W11 &lt; 12, LDF!W11/2 + 6, LDF!W11)</f>
        <v>13</v>
      </c>
      <c r="M10" s="141">
        <f ca="1">[1]!ldf(B$4:B$27, $A$4:$A$27, $L10, $A$27, 1)</f>
        <v>0.89897395822678372</v>
      </c>
      <c r="N10" s="141">
        <f ca="1">[1]!ldf(C$4:C$27, $A$4:$A$27, $L10, $A$27, 1)</f>
        <v>0.90628898813042502</v>
      </c>
      <c r="O10" s="141">
        <f ca="1">[1]!ldf(D$4:D$27, $A$4:$A$27, $L10, $A$27, 1)</f>
        <v>0.90927894566408263</v>
      </c>
      <c r="P10" s="141">
        <f ca="1">[1]!ldf(E$4:E$27, $A$4:$A$27, $L10, $A$27, 1)</f>
        <v>0.91910993527823748</v>
      </c>
      <c r="Q10" s="141">
        <f ca="1">[1]!ldf(F$4:F$27, $A$4:$A$27, $L10, $A$27, 1)</f>
        <v>0.92637101447894166</v>
      </c>
      <c r="R10" s="141">
        <f ca="1">[1]!ldf(G$4:G$27, $A$4:$A$27, $L10, $A$27, 1)</f>
        <v>0.81248835800750485</v>
      </c>
      <c r="S10" s="141">
        <f ca="1">[1]!ldf(H$4:H$27, $A$4:$A$27, $L10, $A$27, 1)</f>
        <v>0.81558462827380451</v>
      </c>
      <c r="T10" s="141">
        <f ca="1">[1]!ldf(I$4:I$27, $A$4:$A$27, $L10, $A$27, 1)</f>
        <v>0.78675619093545701</v>
      </c>
      <c r="U10" s="141">
        <f ca="1">[1]!ldf(J$4:J$27, $A$4:$A$27, $L10, $A$27, 1)</f>
        <v>0.79991427428700612</v>
      </c>
    </row>
    <row r="11" spans="1:21" x14ac:dyDescent="0.2">
      <c r="A11" s="396">
        <f>'e9.1'!A25</f>
        <v>84</v>
      </c>
      <c r="B11" s="111">
        <f ca="1">'e9.5'!$M26</f>
        <v>0.81387796406539203</v>
      </c>
      <c r="C11" s="111">
        <f ca="1">'e9.4'!$M26</f>
        <v>0.82326759336150679</v>
      </c>
      <c r="D11" s="111">
        <f ca="1">'e9.3'!$M26</f>
        <v>0.82699211045700194</v>
      </c>
      <c r="E11" s="111">
        <f ca="1">'e9.2'!$M26</f>
        <v>0.84114552062390835</v>
      </c>
      <c r="F11" s="111">
        <f ca="1">'e9.1'!$M26</f>
        <v>0.85653256236303676</v>
      </c>
      <c r="G11" s="111">
        <f ca="1">'e9.9'!$M26</f>
        <v>0.76806810575934981</v>
      </c>
      <c r="H11" s="111">
        <f ca="1">'e9.8'!$M26</f>
        <v>0.77178007625555467</v>
      </c>
      <c r="I11" s="111">
        <f ca="1">'e9.7'!$M26</f>
        <v>0.77173116442049328</v>
      </c>
      <c r="J11" s="111">
        <f ca="1">'e9.6'!$M26</f>
        <v>0.77407282846752024</v>
      </c>
      <c r="L11" s="254">
        <f>IF(LDF!W12 &lt; 12, LDF!W12/2 + 6, LDF!W12)</f>
        <v>15</v>
      </c>
      <c r="M11" s="141">
        <f ca="1">[1]!ldf(B$4:B$27, $A$4:$A$27, $L11, $A$27, 1)</f>
        <v>0.89476037716145984</v>
      </c>
      <c r="N11" s="141">
        <f ca="1">[1]!ldf(C$4:C$27, $A$4:$A$27, $L11, $A$27, 1)</f>
        <v>0.9024432657474728</v>
      </c>
      <c r="O11" s="141">
        <f ca="1">[1]!ldf(D$4:D$27, $A$4:$A$27, $L11, $A$27, 1)</f>
        <v>0.90562605671287921</v>
      </c>
      <c r="P11" s="141">
        <f ca="1">[1]!ldf(E$4:E$27, $A$4:$A$27, $L11, $A$27, 1)</f>
        <v>0.91603967840403466</v>
      </c>
      <c r="Q11" s="141">
        <f ca="1">[1]!ldf(F$4:F$27, $A$4:$A$27, $L11, $A$27, 1)</f>
        <v>0.92351322030941441</v>
      </c>
      <c r="R11" s="141">
        <f ca="1">[1]!ldf(G$4:G$27, $A$4:$A$27, $L11, $A$27, 1)</f>
        <v>0.8077517825199152</v>
      </c>
      <c r="S11" s="141">
        <f ca="1">[1]!ldf(H$4:H$27, $A$4:$A$27, $L11, $A$27, 1)</f>
        <v>0.8104435214058251</v>
      </c>
      <c r="T11" s="141">
        <f ca="1">[1]!ldf(I$4:I$27, $A$4:$A$27, $L11, $A$27, 1)</f>
        <v>0.78310225727566563</v>
      </c>
      <c r="U11" s="141">
        <f ca="1">[1]!ldf(J$4:J$27, $A$4:$A$27, $L11, $A$27, 1)</f>
        <v>0.7977365746991345</v>
      </c>
    </row>
    <row r="12" spans="1:21" x14ac:dyDescent="0.2">
      <c r="A12" s="396">
        <f>'e9.1'!A26</f>
        <v>96</v>
      </c>
      <c r="B12" s="111">
        <f ca="1">'e9.5'!$M27</f>
        <v>0.81423527886948399</v>
      </c>
      <c r="C12" s="111">
        <f ca="1">'e9.4'!$M27</f>
        <v>0.82298310661911711</v>
      </c>
      <c r="D12" s="111">
        <f ca="1">'e9.3'!$M27</f>
        <v>0.82629526594207015</v>
      </c>
      <c r="E12" s="111">
        <f ca="1">'e9.2'!$M27</f>
        <v>0.84034534365714519</v>
      </c>
      <c r="F12" s="111">
        <f ca="1">'e9.1'!$M27</f>
        <v>0.85652895068495993</v>
      </c>
      <c r="G12" s="111">
        <f ca="1">'e9.9'!$M27</f>
        <v>0.77432869662741988</v>
      </c>
      <c r="H12" s="111">
        <f ca="1">'e9.8'!$M27</f>
        <v>0.77821224227021768</v>
      </c>
      <c r="I12" s="111">
        <f ca="1">'e9.7'!$M27</f>
        <v>0.777125712470767</v>
      </c>
      <c r="J12" s="111">
        <f ca="1">'e9.6'!$M27</f>
        <v>0.77828329147776287</v>
      </c>
      <c r="L12" s="254">
        <f>IF(LDF!W13 &lt; 12, LDF!W13/2 + 6, LDF!W13)</f>
        <v>16</v>
      </c>
      <c r="M12" s="141">
        <f ca="1">[1]!ldf(B$4:B$27, $A$4:$A$27, $L12, $A$27, 1)</f>
        <v>0.89266836410469419</v>
      </c>
      <c r="N12" s="141">
        <f ca="1">[1]!ldf(C$4:C$27, $A$4:$A$27, $L12, $A$27, 1)</f>
        <v>0.90053261776978932</v>
      </c>
      <c r="O12" s="141">
        <f ca="1">[1]!ldf(D$4:D$27, $A$4:$A$27, $L12, $A$27, 1)</f>
        <v>0.90381059636532224</v>
      </c>
      <c r="P12" s="141">
        <f ca="1">[1]!ldf(E$4:E$27, $A$4:$A$27, $L12, $A$27, 1)</f>
        <v>0.91451222921079556</v>
      </c>
      <c r="Q12" s="141">
        <f ca="1">[1]!ldf(F$4:F$27, $A$4:$A$27, $L12, $A$27, 1)</f>
        <v>0.92209092512292679</v>
      </c>
      <c r="R12" s="141">
        <f ca="1">[1]!ldf(G$4:G$27, $A$4:$A$27, $L12, $A$27, 1)</f>
        <v>0.80540414424937423</v>
      </c>
      <c r="S12" s="141">
        <f ca="1">[1]!ldf(H$4:H$27, $A$4:$A$27, $L12, $A$27, 1)</f>
        <v>0.8078971971588087</v>
      </c>
      <c r="T12" s="141">
        <f ca="1">[1]!ldf(I$4:I$27, $A$4:$A$27, $L12, $A$27, 1)</f>
        <v>0.7812879884387387</v>
      </c>
      <c r="U12" s="141">
        <f ca="1">[1]!ldf(J$4:J$27, $A$4:$A$27, $L12, $A$27, 1)</f>
        <v>0.79665216531437377</v>
      </c>
    </row>
    <row r="13" spans="1:21" x14ac:dyDescent="0.2">
      <c r="A13" s="396">
        <f>'e9.1'!A27</f>
        <v>108</v>
      </c>
      <c r="B13" s="111">
        <f ca="1">'e9.5'!$M28</f>
        <v>0.81626581906363294</v>
      </c>
      <c r="C13" s="111">
        <f ca="1">'e9.4'!$M28</f>
        <v>0.82487566666381085</v>
      </c>
      <c r="D13" s="111">
        <f ca="1">'e9.3'!$M28</f>
        <v>0.82807835864456492</v>
      </c>
      <c r="E13" s="111">
        <f ca="1">'e9.2'!$M28</f>
        <v>0.84170243302035064</v>
      </c>
      <c r="F13" s="111">
        <f ca="1">'e9.1'!$M28</f>
        <v>0.85796467156833356</v>
      </c>
      <c r="G13" s="111">
        <f ca="1">'e9.9'!$M28</f>
        <v>0.77870197135217589</v>
      </c>
      <c r="H13" s="111">
        <f ca="1">'e9.8'!$M28</f>
        <v>0.78257381335508558</v>
      </c>
      <c r="I13" s="111">
        <f ca="1">'e9.7'!$M28</f>
        <v>0.7824824454156466</v>
      </c>
      <c r="J13" s="111">
        <f ca="1">'e9.6'!$M28</f>
        <v>0.78379267078402848</v>
      </c>
      <c r="L13" s="254">
        <f>IF(LDF!W14 &lt; 12, LDF!W14/2 + 6, LDF!W14)</f>
        <v>19</v>
      </c>
      <c r="M13" s="141">
        <f ca="1">[1]!ldf(B$4:B$27, $A$4:$A$27, $L13, $A$27, 1)</f>
        <v>0.8864506113949715</v>
      </c>
      <c r="N13" s="141">
        <f ca="1">[1]!ldf(C$4:C$27, $A$4:$A$27, $L13, $A$27, 1)</f>
        <v>0.89484891002274047</v>
      </c>
      <c r="O13" s="141">
        <f ca="1">[1]!ldf(D$4:D$27, $A$4:$A$27, $L13, $A$27, 1)</f>
        <v>0.89840762653085293</v>
      </c>
      <c r="P13" s="141">
        <f ca="1">[1]!ldf(E$4:E$27, $A$4:$A$27, $L13, $A$27, 1)</f>
        <v>0.90996029282227875</v>
      </c>
      <c r="Q13" s="141">
        <f ca="1">[1]!ldf(F$4:F$27, $A$4:$A$27, $L13, $A$27, 1)</f>
        <v>0.91785020425811104</v>
      </c>
      <c r="R13" s="141">
        <f ca="1">[1]!ldf(G$4:G$27, $A$4:$A$27, $L13, $A$27, 1)</f>
        <v>0.79844239941297135</v>
      </c>
      <c r="S13" s="141">
        <f ca="1">[1]!ldf(H$4:H$27, $A$4:$A$27, $L13, $A$27, 1)</f>
        <v>0.80035333121518915</v>
      </c>
      <c r="T13" s="141">
        <f ca="1">[1]!ldf(I$4:I$27, $A$4:$A$27, $L13, $A$27, 1)</f>
        <v>0.77589527273286651</v>
      </c>
      <c r="U13" s="141">
        <f ca="1">[1]!ldf(J$4:J$27, $A$4:$A$27, $L13, $A$27, 1)</f>
        <v>0.79341655451865756</v>
      </c>
    </row>
    <row r="14" spans="1:21" x14ac:dyDescent="0.2">
      <c r="A14" s="396">
        <f>'e9.1'!A28</f>
        <v>120</v>
      </c>
      <c r="B14" s="111">
        <f ca="1">'e9.5'!$M29</f>
        <v>0.82005863918879796</v>
      </c>
      <c r="C14" s="111">
        <f ca="1">'e9.4'!$M29</f>
        <v>0.82836327580858626</v>
      </c>
      <c r="D14" s="111">
        <f ca="1">'e9.3'!$M29</f>
        <v>0.83141107009502713</v>
      </c>
      <c r="E14" s="111">
        <f ca="1">'e9.2'!$M29</f>
        <v>0.84472350949528774</v>
      </c>
      <c r="F14" s="111">
        <f ca="1">'e9.1'!$M29</f>
        <v>0.86106460751491731</v>
      </c>
      <c r="G14" s="111">
        <f ca="1">'e9.9'!$M29</f>
        <v>0.78544991201355174</v>
      </c>
      <c r="H14" s="111">
        <f ca="1">'e9.8'!$M29</f>
        <v>0.78916352900436615</v>
      </c>
      <c r="I14" s="111">
        <f ca="1">'e9.7'!$M29</f>
        <v>0.78931072772749022</v>
      </c>
      <c r="J14" s="111">
        <f ca="1">'e9.6'!$M29</f>
        <v>0.79063806895112831</v>
      </c>
      <c r="L14" s="254">
        <f>IF(LDF!W15 &lt; 12, LDF!W15/2 + 6, LDF!W15)</f>
        <v>21</v>
      </c>
      <c r="M14" s="141">
        <f ca="1">[1]!ldf(B$4:B$27, $A$4:$A$27, $L14, $A$27, 1)</f>
        <v>0.88235334145659805</v>
      </c>
      <c r="N14" s="141">
        <f ca="1">[1]!ldf(C$4:C$27, $A$4:$A$27, $L14, $A$27, 1)</f>
        <v>0.89109946306828103</v>
      </c>
      <c r="O14" s="141">
        <f ca="1">[1]!ldf(D$4:D$27, $A$4:$A$27, $L14, $A$27, 1)</f>
        <v>0.89484139184538669</v>
      </c>
      <c r="P14" s="141">
        <f ca="1">[1]!ldf(E$4:E$27, $A$4:$A$27, $L14, $A$27, 1)</f>
        <v>0.90695075977348327</v>
      </c>
      <c r="Q14" s="141">
        <f ca="1">[1]!ldf(F$4:F$27, $A$4:$A$27, $L14, $A$27, 1)</f>
        <v>0.91504466098657544</v>
      </c>
      <c r="R14" s="141">
        <f ca="1">[1]!ldf(G$4:G$27, $A$4:$A$27, $L14, $A$27, 1)</f>
        <v>0.79386771517412369</v>
      </c>
      <c r="S14" s="141">
        <f ca="1">[1]!ldf(H$4:H$27, $A$4:$A$27, $L14, $A$27, 1)</f>
        <v>0.79540187194999468</v>
      </c>
      <c r="T14" s="141">
        <f ca="1">[1]!ldf(I$4:I$27, $A$4:$A$27, $L14, $A$27, 1)</f>
        <v>0.77234129766618131</v>
      </c>
      <c r="U14" s="141">
        <f ca="1">[1]!ldf(J$4:J$27, $A$4:$A$27, $L14, $A$27, 1)</f>
        <v>0.79127404285388558</v>
      </c>
    </row>
    <row r="15" spans="1:21" x14ac:dyDescent="0.2">
      <c r="A15" s="396">
        <f>'e9.1'!A29</f>
        <v>132</v>
      </c>
      <c r="B15" s="111">
        <f ca="1">'e9.5'!$M30</f>
        <v>0.82464746613669682</v>
      </c>
      <c r="C15" s="111">
        <f ca="1">'e9.4'!$M30</f>
        <v>0.83253675021324014</v>
      </c>
      <c r="D15" s="111">
        <f ca="1">'e9.3'!$M30</f>
        <v>0.83540390452639779</v>
      </c>
      <c r="E15" s="111">
        <f ca="1">'e9.2'!$M30</f>
        <v>0.84822886751090221</v>
      </c>
      <c r="F15" s="111">
        <f ca="1">'e9.1'!$M30</f>
        <v>0.86439729144196886</v>
      </c>
      <c r="G15" s="111">
        <f ca="1">'e9.9'!$M30</f>
        <v>0.79326847224752983</v>
      </c>
      <c r="H15" s="111">
        <f ca="1">'e9.8'!$M30</f>
        <v>0.79672964091350518</v>
      </c>
      <c r="I15" s="111">
        <f ca="1">'e9.7'!$M30</f>
        <v>0.79709020759993809</v>
      </c>
      <c r="J15" s="111">
        <f ca="1">'e9.6'!$M30</f>
        <v>0.79847029908478817</v>
      </c>
      <c r="L15" s="254">
        <f>IF(LDF!W16 &lt; 12, LDF!W16/2 + 6, LDF!W16)</f>
        <v>24</v>
      </c>
      <c r="M15" s="141">
        <f ca="1">[1]!ldf(B$4:B$27, $A$4:$A$27, $L15, $A$27, 1)</f>
        <v>0.87627796514443901</v>
      </c>
      <c r="N15" s="141">
        <f ca="1">[1]!ldf(C$4:C$27, $A$4:$A$27, $L15, $A$27, 1)</f>
        <v>0.88553383833094501</v>
      </c>
      <c r="O15" s="141">
        <f ca="1">[1]!ldf(D$4:D$27, $A$4:$A$27, $L15, $A$27, 1)</f>
        <v>0.88954481131771312</v>
      </c>
      <c r="P15" s="141">
        <f ca="1">[1]!ldf(E$4:E$27, $A$4:$A$27, $L15, $A$27, 1)</f>
        <v>0.90247360156504441</v>
      </c>
      <c r="Q15" s="141">
        <f ca="1">[1]!ldf(F$4:F$27, $A$4:$A$27, $L15, $A$27, 1)</f>
        <v>0.91086835763094509</v>
      </c>
      <c r="R15" s="141">
        <f ca="1">[1]!ldf(G$4:G$27, $A$4:$A$27, $L15, $A$27, 1)</f>
        <v>0.78710314141521454</v>
      </c>
      <c r="S15" s="141">
        <f ca="1">[1]!ldf(H$4:H$27, $A$4:$A$27, $L15, $A$27, 1)</f>
        <v>0.78808849931282932</v>
      </c>
      <c r="T15" s="141">
        <f ca="1">[1]!ldf(I$4:I$27, $A$4:$A$27, $L15, $A$27, 1)</f>
        <v>0.7670709644565431</v>
      </c>
      <c r="U15" s="141">
        <f ca="1">[1]!ldf(J$4:J$27, $A$4:$A$27, $L15, $A$27, 1)</f>
        <v>0.78808188366788579</v>
      </c>
    </row>
    <row r="16" spans="1:21" x14ac:dyDescent="0.2">
      <c r="A16" s="396">
        <f>'e9.1'!A30</f>
        <v>144</v>
      </c>
      <c r="B16" s="111">
        <f ca="1">'e9.5'!$M31</f>
        <v>0.83120438448906098</v>
      </c>
      <c r="C16" s="111">
        <f ca="1">'e9.4'!$M31</f>
        <v>0.83848291275552911</v>
      </c>
      <c r="D16" s="111">
        <f ca="1">'e9.3'!$M31</f>
        <v>0.84112737145360106</v>
      </c>
      <c r="E16" s="111">
        <f ca="1">'e9.2'!$M31</f>
        <v>0.85312712755887588</v>
      </c>
      <c r="F16" s="111">
        <f ca="1">'e9.1'!$M31</f>
        <v>0.86866850576300125</v>
      </c>
      <c r="G16" s="111">
        <f ca="1">'e9.9'!$M31</f>
        <v>0.8036223952531959</v>
      </c>
      <c r="H16" s="111">
        <f ca="1">'e9.8'!$M31</f>
        <v>0.80667121387195151</v>
      </c>
      <c r="I16" s="111">
        <f ca="1">'e9.7'!$M31</f>
        <v>0.80725386943849198</v>
      </c>
      <c r="J16" s="111">
        <f ca="1">'e9.6'!$M31</f>
        <v>0.80868719010733459</v>
      </c>
      <c r="L16" s="254">
        <f>IF(LDF!W17 &lt; 12, LDF!W17/2 + 6, LDF!W17)</f>
        <v>25</v>
      </c>
      <c r="M16" s="141">
        <f ca="1">[1]!ldf(B$4:B$27, $A$4:$A$27, $L16, $A$27, 1)</f>
        <v>0.873640407638404</v>
      </c>
      <c r="N16" s="141">
        <f ca="1">[1]!ldf(C$4:C$27, $A$4:$A$27, $L16, $A$27, 1)</f>
        <v>0.8829776307199988</v>
      </c>
      <c r="O16" s="141">
        <f ca="1">[1]!ldf(D$4:D$27, $A$4:$A$27, $L16, $A$27, 1)</f>
        <v>0.88705293579018507</v>
      </c>
      <c r="P16" s="141">
        <f ca="1">[1]!ldf(E$4:E$27, $A$4:$A$27, $L16, $A$27, 1)</f>
        <v>0.90014618763159093</v>
      </c>
      <c r="Q16" s="141">
        <f ca="1">[1]!ldf(F$4:F$27, $A$4:$A$27, $L16, $A$27, 1)</f>
        <v>0.90891857507023432</v>
      </c>
      <c r="R16" s="141">
        <f ca="1">[1]!ldf(G$4:G$27, $A$4:$A$27, $L16, $A$27, 1)</f>
        <v>0.78561995184833222</v>
      </c>
      <c r="S16" s="141">
        <f ca="1">[1]!ldf(H$4:H$27, $A$4:$A$27, $L16, $A$27, 1)</f>
        <v>0.78646759881730632</v>
      </c>
      <c r="T16" s="141">
        <f ca="1">[1]!ldf(I$4:I$27, $A$4:$A$27, $L16, $A$27, 1)</f>
        <v>0.76646150252423606</v>
      </c>
      <c r="U16" s="141">
        <f ca="1">[1]!ldf(J$4:J$27, $A$4:$A$27, $L16, $A$27, 1)</f>
        <v>0.78614759884495011</v>
      </c>
    </row>
    <row r="17" spans="1:21" x14ac:dyDescent="0.2">
      <c r="A17" s="396">
        <f>'e9.1'!A31</f>
        <v>156</v>
      </c>
      <c r="B17" s="111">
        <f ca="1">'e9.5'!$M32</f>
        <v>0.83839695293593586</v>
      </c>
      <c r="C17" s="111">
        <f ca="1">'e9.4'!$M32</f>
        <v>0.8449466727096524</v>
      </c>
      <c r="D17" s="111">
        <f ca="1">'e9.3'!$M32</f>
        <v>0.84735168530250127</v>
      </c>
      <c r="E17" s="111">
        <f ca="1">'e9.2'!$M32</f>
        <v>0.85831080691759498</v>
      </c>
      <c r="F17" s="111">
        <f ca="1">'e9.1'!$M32</f>
        <v>0.87280039902986473</v>
      </c>
      <c r="G17" s="111">
        <f ca="1">'e9.9'!$M32</f>
        <v>0.81477767601009066</v>
      </c>
      <c r="H17" s="111">
        <f ca="1">'e9.8'!$M32</f>
        <v>0.81732480129659646</v>
      </c>
      <c r="I17" s="111">
        <f ca="1">'e9.7'!$M32</f>
        <v>0.81809747455448545</v>
      </c>
      <c r="J17" s="111">
        <f ca="1">'e9.6'!$M32</f>
        <v>0.8196305135240568</v>
      </c>
      <c r="L17" s="254">
        <f>IF(LDF!W18 &lt; 12, LDF!W18/2 + 6, LDF!W18)</f>
        <v>27</v>
      </c>
      <c r="M17" s="141">
        <f ca="1">[1]!ldf(B$4:B$27, $A$4:$A$27, $L17, $A$27, 1)</f>
        <v>0.8684126411734896</v>
      </c>
      <c r="N17" s="141">
        <f ca="1">[1]!ldf(C$4:C$27, $A$4:$A$27, $L17, $A$27, 1)</f>
        <v>0.87790923430349088</v>
      </c>
      <c r="O17" s="141">
        <f ca="1">[1]!ldf(D$4:D$27, $A$4:$A$27, $L17, $A$27, 1)</f>
        <v>0.88211083422899139</v>
      </c>
      <c r="P17" s="141">
        <f ca="1">[1]!ldf(E$4:E$27, $A$4:$A$27, $L17, $A$27, 1)</f>
        <v>0.8955271883559297</v>
      </c>
      <c r="Q17" s="141">
        <f ca="1">[1]!ldf(F$4:F$27, $A$4:$A$27, $L17, $A$27, 1)</f>
        <v>0.90504394513907982</v>
      </c>
      <c r="R17" s="141">
        <f ca="1">[1]!ldf(G$4:G$27, $A$4:$A$27, $L17, $A$27, 1)</f>
        <v>0.78267027897573127</v>
      </c>
      <c r="S17" s="141">
        <f ca="1">[1]!ldf(H$4:H$27, $A$4:$A$27, $L17, $A$27, 1)</f>
        <v>0.78324571859827186</v>
      </c>
      <c r="T17" s="141">
        <f ca="1">[1]!ldf(I$4:I$27, $A$4:$A$27, $L17, $A$27, 1)</f>
        <v>0.76524547946974009</v>
      </c>
      <c r="U17" s="141">
        <f ca="1">[1]!ldf(J$4:J$27, $A$4:$A$27, $L17, $A$27, 1)</f>
        <v>0.78230737534947692</v>
      </c>
    </row>
    <row r="18" spans="1:21" x14ac:dyDescent="0.2">
      <c r="A18" s="396">
        <f>'e9.1'!A32</f>
        <v>168</v>
      </c>
      <c r="B18" s="111">
        <f ca="1">'e9.5'!$M33</f>
        <v>0.84593275073238949</v>
      </c>
      <c r="C18" s="111">
        <f ca="1">'e9.4'!$M33</f>
        <v>0.851629081392698</v>
      </c>
      <c r="D18" s="111">
        <f ca="1">'e9.3'!$M33</f>
        <v>0.85378134539891115</v>
      </c>
      <c r="E18" s="111">
        <f ca="1">'e9.2'!$M33</f>
        <v>0.86346616334378135</v>
      </c>
      <c r="F18" s="111">
        <f ca="1">'e9.1'!$M33</f>
        <v>0.87632774910928002</v>
      </c>
      <c r="G18" s="111">
        <f ca="1">'e9.9'!$M33</f>
        <v>0.82641306405108506</v>
      </c>
      <c r="H18" s="111">
        <f ca="1">'e9.8'!$M33</f>
        <v>0.82837222349104611</v>
      </c>
      <c r="I18" s="111">
        <f ca="1">'e9.7'!$M33</f>
        <v>0.82929407924985299</v>
      </c>
      <c r="J18" s="111">
        <f ca="1">'e9.6'!$M33</f>
        <v>0.83098873860053946</v>
      </c>
      <c r="L18" s="254">
        <f>IF(LDF!W19 &lt; 12, LDF!W19/2 + 6, LDF!W19)</f>
        <v>28</v>
      </c>
      <c r="M18" s="141">
        <f ca="1">[1]!ldf(B$4:B$27, $A$4:$A$27, $L18, $A$27, 1)</f>
        <v>0.86582214973137495</v>
      </c>
      <c r="N18" s="141">
        <f ca="1">[1]!ldf(C$4:C$27, $A$4:$A$27, $L18, $A$27, 1)</f>
        <v>0.8753967935478727</v>
      </c>
      <c r="O18" s="141">
        <f ca="1">[1]!ldf(D$4:D$27, $A$4:$A$27, $L18, $A$27, 1)</f>
        <v>0.87966037679512521</v>
      </c>
      <c r="P18" s="141">
        <f ca="1">[1]!ldf(E$4:E$27, $A$4:$A$27, $L18, $A$27, 1)</f>
        <v>0.89323541963381858</v>
      </c>
      <c r="Q18" s="141">
        <f ca="1">[1]!ldf(F$4:F$27, $A$4:$A$27, $L18, $A$27, 1)</f>
        <v>0.90311899169847143</v>
      </c>
      <c r="R18" s="141">
        <f ca="1">[1]!ldf(G$4:G$27, $A$4:$A$27, $L18, $A$27, 1)</f>
        <v>0.78120373306255286</v>
      </c>
      <c r="S18" s="141">
        <f ca="1">[1]!ldf(H$4:H$27, $A$4:$A$27, $L18, $A$27, 1)</f>
        <v>0.78164465743320588</v>
      </c>
      <c r="T18" s="141">
        <f ca="1">[1]!ldf(I$4:I$27, $A$4:$A$27, $L18, $A$27, 1)</f>
        <v>0.76463891374894299</v>
      </c>
      <c r="U18" s="141">
        <f ca="1">[1]!ldf(J$4:J$27, $A$4:$A$27, $L18, $A$27, 1)</f>
        <v>0.78040129854724383</v>
      </c>
    </row>
    <row r="19" spans="1:21" x14ac:dyDescent="0.2">
      <c r="A19" s="396">
        <f>'e9.1'!A33</f>
        <v>180</v>
      </c>
      <c r="B19" s="111">
        <f ca="1">'e9.5'!$M34</f>
        <v>0.85441427780242818</v>
      </c>
      <c r="C19" s="111">
        <f ca="1">'e9.4'!$M34</f>
        <v>0.85906661227642767</v>
      </c>
      <c r="D19" s="111">
        <f ca="1">'e9.3'!$M34</f>
        <v>0.8609446086578928</v>
      </c>
      <c r="E19" s="111">
        <f ca="1">'e9.2'!$M34</f>
        <v>0.86897978359919281</v>
      </c>
      <c r="F19" s="111">
        <f ca="1">'e9.1'!$M34</f>
        <v>0.87929237284493145</v>
      </c>
      <c r="G19" s="111">
        <f ca="1">'e9.9'!$M34</f>
        <v>0.83930028869289774</v>
      </c>
      <c r="H19" s="111">
        <f ca="1">'e9.8'!$M34</f>
        <v>0.84054592776529913</v>
      </c>
      <c r="I19" s="111">
        <f ca="1">'e9.7'!$M34</f>
        <v>0.84159293976604177</v>
      </c>
      <c r="J19" s="111">
        <f ca="1">'e9.6'!$M34</f>
        <v>0.84349533584510783</v>
      </c>
      <c r="L19" s="254">
        <f>IF(LDF!W20 &lt; 12, LDF!W20/2 + 6, LDF!W20)</f>
        <v>31</v>
      </c>
      <c r="M19" s="141">
        <f ca="1">[1]!ldf(B$4:B$27, $A$4:$A$27, $L19, $A$27, 1)</f>
        <v>0.85814258274449917</v>
      </c>
      <c r="N19" s="141">
        <f ca="1">[1]!ldf(C$4:C$27, $A$4:$A$27, $L19, $A$27, 1)</f>
        <v>0.86794501941720259</v>
      </c>
      <c r="O19" s="141">
        <f ca="1">[1]!ldf(D$4:D$27, $A$4:$A$27, $L19, $A$27, 1)</f>
        <v>0.87239001625444634</v>
      </c>
      <c r="P19" s="141">
        <f ca="1">[1]!ldf(E$4:E$27, $A$4:$A$27, $L19, $A$27, 1)</f>
        <v>0.88642995641106104</v>
      </c>
      <c r="Q19" s="141">
        <f ca="1">[1]!ldf(F$4:F$27, $A$4:$A$27, $L19, $A$27, 1)</f>
        <v>0.89739295047075718</v>
      </c>
      <c r="R19" s="141">
        <f ca="1">[1]!ldf(G$4:G$27, $A$4:$A$27, $L19, $A$27, 1)</f>
        <v>0.77683688667031414</v>
      </c>
      <c r="S19" s="141">
        <f ca="1">[1]!ldf(H$4:H$27, $A$4:$A$27, $L19, $A$27, 1)</f>
        <v>0.77688050801593145</v>
      </c>
      <c r="T19" s="141">
        <f ca="1">[1]!ldf(I$4:I$27, $A$4:$A$27, $L19, $A$27, 1)</f>
        <v>0.76282497237343716</v>
      </c>
      <c r="U19" s="141">
        <f ca="1">[1]!ldf(J$4:J$27, $A$4:$A$27, $L19, $A$27, 1)</f>
        <v>0.77473839317693172</v>
      </c>
    </row>
    <row r="20" spans="1:21" x14ac:dyDescent="0.2">
      <c r="A20" s="396">
        <f>'e9.1'!A34</f>
        <v>192</v>
      </c>
      <c r="B20" s="111">
        <f ca="1">'e9.5'!$M35</f>
        <v>0.8639197847683614</v>
      </c>
      <c r="C20" s="111">
        <f ca="1">'e9.4'!$M35</f>
        <v>0.86788111761449938</v>
      </c>
      <c r="D20" s="111">
        <f ca="1">'e9.3'!$M35</f>
        <v>0.86945855687571061</v>
      </c>
      <c r="E20" s="111">
        <f ca="1">'e9.2'!$M35</f>
        <v>0.8763321975785433</v>
      </c>
      <c r="F20" s="111">
        <f ca="1">'e9.1'!$M35</f>
        <v>0.88525741474940889</v>
      </c>
      <c r="G20" s="111">
        <f ca="1">'e9.9'!$M35</f>
        <v>0.85155700960201552</v>
      </c>
      <c r="H20" s="111">
        <f ca="1">'e9.8'!$M35</f>
        <v>0.85264621778241367</v>
      </c>
      <c r="I20" s="111">
        <f ca="1">'e9.7'!$M35</f>
        <v>0.85362616090106069</v>
      </c>
      <c r="J20" s="111">
        <f ca="1">'e9.6'!$M35</f>
        <v>0.85530037585496754</v>
      </c>
      <c r="L20" s="254">
        <f>IF(LDF!W21 &lt; 12, LDF!W21/2 + 6, LDF!W21)</f>
        <v>33</v>
      </c>
      <c r="M20" s="141">
        <f ca="1">[1]!ldf(B$4:B$27, $A$4:$A$27, $L20, $A$27, 1)</f>
        <v>0.85309811020799964</v>
      </c>
      <c r="N20" s="141">
        <f ca="1">[1]!ldf(C$4:C$27, $A$4:$A$27, $L20, $A$27, 1)</f>
        <v>0.86304725325163567</v>
      </c>
      <c r="O20" s="141">
        <f ca="1">[1]!ldf(D$4:D$27, $A$4:$A$27, $L20, $A$27, 1)</f>
        <v>0.86760950921113511</v>
      </c>
      <c r="P20" s="141">
        <f ca="1">[1]!ldf(E$4:E$27, $A$4:$A$27, $L20, $A$27, 1)</f>
        <v>0.88195030098783311</v>
      </c>
      <c r="Q20" s="141">
        <f ca="1">[1]!ldf(F$4:F$27, $A$4:$A$27, $L20, $A$27, 1)</f>
        <v>0.8936157585229465</v>
      </c>
      <c r="R20" s="141">
        <f ca="1">[1]!ldf(G$4:G$27, $A$4:$A$27, $L20, $A$27, 1)</f>
        <v>0.77395267749886876</v>
      </c>
      <c r="S20" s="141">
        <f ca="1">[1]!ldf(H$4:H$27, $A$4:$A$27, $L20, $A$27, 1)</f>
        <v>0.77373654188410346</v>
      </c>
      <c r="T20" s="141">
        <f ca="1">[1]!ldf(I$4:I$27, $A$4:$A$27, $L20, $A$27, 1)</f>
        <v>0.76162045189082783</v>
      </c>
      <c r="U20" s="141">
        <f ca="1">[1]!ldf(J$4:J$27, $A$4:$A$27, $L20, $A$27, 1)</f>
        <v>0.77100856124715322</v>
      </c>
    </row>
    <row r="21" spans="1:21" x14ac:dyDescent="0.2">
      <c r="A21" s="396">
        <f>'e9.1'!A35</f>
        <v>204</v>
      </c>
      <c r="B21" s="111">
        <f ca="1">'e9.5'!$M36</f>
        <v>0.87482470408750479</v>
      </c>
      <c r="C21" s="111">
        <f ca="1">'e9.4'!$M36</f>
        <v>0.87810643861790094</v>
      </c>
      <c r="D21" s="111">
        <f ca="1">'e9.3'!$M36</f>
        <v>0.87936255539300612</v>
      </c>
      <c r="E21" s="111">
        <f ca="1">'e9.2'!$M36</f>
        <v>0.88504416402214936</v>
      </c>
      <c r="F21" s="111">
        <f ca="1">'e9.1'!$M36</f>
        <v>0.89251132254962617</v>
      </c>
      <c r="G21" s="111">
        <f ca="1">'e9.9'!$M36</f>
        <v>0.86496901572849738</v>
      </c>
      <c r="H21" s="111">
        <f ca="1">'e9.8'!$M36</f>
        <v>0.86596114403645252</v>
      </c>
      <c r="I21" s="111">
        <f ca="1">'e9.7'!$M36</f>
        <v>0.86682675910259532</v>
      </c>
      <c r="J21" s="111">
        <f ca="1">'e9.6'!$M36</f>
        <v>0.86823541457980269</v>
      </c>
      <c r="L21" s="254">
        <f>IF(LDF!W22 &lt; 12, LDF!W22/2 + 6, LDF!W22)</f>
        <v>36</v>
      </c>
      <c r="M21" s="141">
        <f ca="1">[1]!ldf(B$4:B$27, $A$4:$A$27, $L21, $A$27, 1)</f>
        <v>0.845641629094953</v>
      </c>
      <c r="N21" s="141">
        <f ca="1">[1]!ldf(C$4:C$27, $A$4:$A$27, $L21, $A$27, 1)</f>
        <v>0.85580337594607625</v>
      </c>
      <c r="O21" s="141">
        <f ca="1">[1]!ldf(D$4:D$27, $A$4:$A$27, $L21, $A$27, 1)</f>
        <v>0.86053618327573034</v>
      </c>
      <c r="P21" s="141">
        <f ca="1">[1]!ldf(E$4:E$27, $A$4:$A$27, $L21, $A$27, 1)</f>
        <v>0.87531507298358191</v>
      </c>
      <c r="Q21" s="141">
        <f ca="1">[1]!ldf(F$4:F$27, $A$4:$A$27, $L21, $A$27, 1)</f>
        <v>0.88800921582971359</v>
      </c>
      <c r="R21" s="141">
        <f ca="1">[1]!ldf(G$4:G$27, $A$4:$A$27, $L21, $A$27, 1)</f>
        <v>0.76966629775872231</v>
      </c>
      <c r="S21" s="141">
        <f ca="1">[1]!ldf(H$4:H$27, $A$4:$A$27, $L21, $A$27, 1)</f>
        <v>0.76906801736574815</v>
      </c>
      <c r="T21" s="141">
        <f ca="1">[1]!ldf(I$4:I$27, $A$4:$A$27, $L21, $A$27, 1)</f>
        <v>0.75982078669795439</v>
      </c>
      <c r="U21" s="141">
        <f ca="1">[1]!ldf(J$4:J$27, $A$4:$A$27, $L21, $A$27, 1)</f>
        <v>0.76548066771326517</v>
      </c>
    </row>
    <row r="22" spans="1:21" x14ac:dyDescent="0.2">
      <c r="A22" s="396">
        <f>'e9.1'!A36</f>
        <v>216</v>
      </c>
      <c r="B22" s="111">
        <f ca="1">'e9.5'!$M37</f>
        <v>0.88735915327706072</v>
      </c>
      <c r="C22" s="111">
        <f ca="1">'e9.4'!$M37</f>
        <v>0.88992185271291391</v>
      </c>
      <c r="D22" s="111">
        <f ca="1">'e9.3'!$M37</f>
        <v>0.89090597192178489</v>
      </c>
      <c r="E22" s="111">
        <f ca="1">'e9.2'!$M37</f>
        <v>0.89538764676125082</v>
      </c>
      <c r="F22" s="111">
        <f ca="1">'e9.1'!$M37</f>
        <v>0.90135209499193503</v>
      </c>
      <c r="G22" s="111">
        <f ca="1">'e9.9'!$M37</f>
        <v>0.8799561640135144</v>
      </c>
      <c r="H22" s="111">
        <f ca="1">'e9.8'!$M37</f>
        <v>0.880703006079819</v>
      </c>
      <c r="I22" s="111">
        <f ca="1">'e9.7'!$M37</f>
        <v>0.88142033765712813</v>
      </c>
      <c r="J22" s="111">
        <f ca="1">'e9.6'!$M37</f>
        <v>0.88254214769233352</v>
      </c>
      <c r="L22" s="254">
        <f>IF(LDF!W23 &lt; 12, LDF!W23/2 + 6, LDF!W23)</f>
        <v>37</v>
      </c>
      <c r="M22" s="141">
        <f ca="1">[1]!ldf(B$4:B$27, $A$4:$A$27, $L22, $A$27, 1)</f>
        <v>0.84432505608509634</v>
      </c>
      <c r="N22" s="141">
        <f ca="1">[1]!ldf(C$4:C$27, $A$4:$A$27, $L22, $A$27, 1)</f>
        <v>0.85461483073913158</v>
      </c>
      <c r="O22" s="141">
        <f ca="1">[1]!ldf(D$4:D$27, $A$4:$A$27, $L22, $A$27, 1)</f>
        <v>0.85935901688061012</v>
      </c>
      <c r="P22" s="141">
        <f ca="1">[1]!ldf(E$4:E$27, $A$4:$A$27, $L22, $A$27, 1)</f>
        <v>0.87427631055683386</v>
      </c>
      <c r="Q22" s="141">
        <f ca="1">[1]!ldf(F$4:F$27, $A$4:$A$27, $L22, $A$27, 1)</f>
        <v>0.88712428883795602</v>
      </c>
      <c r="R22" s="141">
        <f ca="1">[1]!ldf(G$4:G$27, $A$4:$A$27, $L22, $A$27, 1)</f>
        <v>0.76799990773685545</v>
      </c>
      <c r="S22" s="141">
        <f ca="1">[1]!ldf(H$4:H$27, $A$4:$A$27, $L22, $A$27, 1)</f>
        <v>0.76780969027523727</v>
      </c>
      <c r="T22" s="141">
        <f ca="1">[1]!ldf(I$4:I$27, $A$4:$A$27, $L22, $A$27, 1)</f>
        <v>0.75888716635233755</v>
      </c>
      <c r="U22" s="141">
        <f ca="1">[1]!ldf(J$4:J$27, $A$4:$A$27, $L22, $A$27, 1)</f>
        <v>0.76459793509451124</v>
      </c>
    </row>
    <row r="23" spans="1:21" x14ac:dyDescent="0.2">
      <c r="A23" s="396">
        <f>'e9.1'!A37</f>
        <v>228</v>
      </c>
      <c r="B23" s="111">
        <f ca="1">'e9.5'!$M38</f>
        <v>0.90178837075314511</v>
      </c>
      <c r="C23" s="111">
        <f ca="1">'e9.4'!$M38</f>
        <v>0.90365919423933783</v>
      </c>
      <c r="D23" s="111">
        <f ca="1">'e9.3'!$M38</f>
        <v>0.90438011984746658</v>
      </c>
      <c r="E23" s="111">
        <f ca="1">'e9.2'!$M38</f>
        <v>0.90768613493685324</v>
      </c>
      <c r="F23" s="111">
        <f ca="1">'e9.1'!$M38</f>
        <v>0.91214345995231561</v>
      </c>
      <c r="G23" s="111">
        <f ca="1">'e9.9'!$M38</f>
        <v>0.89658389623479873</v>
      </c>
      <c r="H23" s="111">
        <f ca="1">'e9.8'!$M38</f>
        <v>0.89711009700201683</v>
      </c>
      <c r="I23" s="111">
        <f ca="1">'e9.7'!$M38</f>
        <v>0.89765890665203829</v>
      </c>
      <c r="J23" s="111">
        <f ca="1">'e9.6'!$M38</f>
        <v>0.89848897393808258</v>
      </c>
      <c r="L23" s="254">
        <f>IF(LDF!W24 &lt; 12, LDF!W24/2 + 6, LDF!W24)</f>
        <v>39</v>
      </c>
      <c r="M23" s="141">
        <f ca="1">[1]!ldf(B$4:B$27, $A$4:$A$27, $L23, $A$27, 1)</f>
        <v>0.84170417046407342</v>
      </c>
      <c r="N23" s="141">
        <f ca="1">[1]!ldf(C$4:C$27, $A$4:$A$27, $L23, $A$27, 1)</f>
        <v>0.85224761684723971</v>
      </c>
      <c r="O23" s="141">
        <f ca="1">[1]!ldf(D$4:D$27, $A$4:$A$27, $L23, $A$27, 1)</f>
        <v>0.85701431952403828</v>
      </c>
      <c r="P23" s="141">
        <f ca="1">[1]!ldf(E$4:E$27, $A$4:$A$27, $L23, $A$27, 1)</f>
        <v>0.87220616457146471</v>
      </c>
      <c r="Q23" s="141">
        <f ca="1">[1]!ldf(F$4:F$27, $A$4:$A$27, $L23, $A$27, 1)</f>
        <v>0.885359715462677</v>
      </c>
      <c r="R23" s="141">
        <f ca="1">[1]!ldf(G$4:G$27, $A$4:$A$27, $L23, $A$27, 1)</f>
        <v>0.7646886815794175</v>
      </c>
      <c r="S23" s="141">
        <f ca="1">[1]!ldf(H$4:H$27, $A$4:$A$27, $L23, $A$27, 1)</f>
        <v>0.76530534883544876</v>
      </c>
      <c r="T23" s="141">
        <f ca="1">[1]!ldf(I$4:I$27, $A$4:$A$27, $L23, $A$27, 1)</f>
        <v>0.75702679183401322</v>
      </c>
      <c r="U23" s="141">
        <f ca="1">[1]!ldf(J$4:J$27, $A$4:$A$27, $L23, $A$27, 1)</f>
        <v>0.76283856347032564</v>
      </c>
    </row>
    <row r="24" spans="1:21" x14ac:dyDescent="0.2">
      <c r="A24" s="396">
        <f>'e9.1'!A38</f>
        <v>240</v>
      </c>
      <c r="B24" s="111">
        <f ca="1">'e9.5'!$M39</f>
        <v>0.9184183707800615</v>
      </c>
      <c r="C24" s="111">
        <f ca="1">'e9.4'!$M39</f>
        <v>0.91964949516852212</v>
      </c>
      <c r="D24" s="111">
        <f ca="1">'e9.3'!$M39</f>
        <v>0.92012564798903218</v>
      </c>
      <c r="E24" s="111">
        <f ca="1">'e9.2'!$M39</f>
        <v>0.92232479322461913</v>
      </c>
      <c r="F24" s="111">
        <f ca="1">'e9.1'!$M39</f>
        <v>0.92532986804761796</v>
      </c>
      <c r="G24" s="111">
        <f ca="1">'e9.9'!$M39</f>
        <v>0.9151165246328179</v>
      </c>
      <c r="H24" s="111">
        <f ca="1">'e9.8'!$M39</f>
        <v>0.91545109753834819</v>
      </c>
      <c r="I24" s="111">
        <f ca="1">'e9.7'!$M39</f>
        <v>0.91582595717996496</v>
      </c>
      <c r="J24" s="111">
        <f ca="1">'e9.6'!$M39</f>
        <v>0.91637692444230923</v>
      </c>
      <c r="L24" s="254">
        <f>IF(LDF!W25 &lt; 12, LDF!W25/2 + 6, LDF!W25)</f>
        <v>40</v>
      </c>
      <c r="M24" s="141">
        <f ca="1">[1]!ldf(B$4:B$27, $A$4:$A$27, $L24, $A$27, 1)</f>
        <v>0.84039981985414425</v>
      </c>
      <c r="N24" s="141">
        <f ca="1">[1]!ldf(C$4:C$27, $A$4:$A$27, $L24, $A$27, 1)</f>
        <v>0.85106892084296226</v>
      </c>
      <c r="O24" s="141">
        <f ca="1">[1]!ldf(D$4:D$27, $A$4:$A$27, $L24, $A$27, 1)</f>
        <v>0.85584676230883605</v>
      </c>
      <c r="P24" s="141">
        <f ca="1">[1]!ldf(E$4:E$27, $A$4:$A$27, $L24, $A$27, 1)</f>
        <v>0.87117476356152934</v>
      </c>
      <c r="Q24" s="141">
        <f ca="1">[1]!ldf(F$4:F$27, $A$4:$A$27, $L24, $A$27, 1)</f>
        <v>0.88448005858596679</v>
      </c>
      <c r="R24" s="141">
        <f ca="1">[1]!ldf(G$4:G$27, $A$4:$A$27, $L24, $A$27, 1)</f>
        <v>0.76304375271432001</v>
      </c>
      <c r="S24" s="141">
        <f ca="1">[1]!ldf(H$4:H$27, $A$4:$A$27, $L24, $A$27, 1)</f>
        <v>0.76405929439146669</v>
      </c>
      <c r="T24" s="141">
        <f ca="1">[1]!ldf(I$4:I$27, $A$4:$A$27, $L24, $A$27, 1)</f>
        <v>0.75610002084982664</v>
      </c>
      <c r="U24" s="141">
        <f ca="1">[1]!ldf(J$4:J$27, $A$4:$A$27, $L24, $A$27, 1)</f>
        <v>0.76196191045935036</v>
      </c>
    </row>
    <row r="25" spans="1:21" x14ac:dyDescent="0.2">
      <c r="A25" s="396">
        <f>'e9.1'!A39</f>
        <v>252</v>
      </c>
      <c r="B25" s="111">
        <f ca="1">'e9.5'!$M40</f>
        <v>0.93760247480547954</v>
      </c>
      <c r="C25" s="111">
        <f ca="1">'e9.4'!$M40</f>
        <v>0.9382786631053307</v>
      </c>
      <c r="D25" s="111">
        <f ca="1">'e9.3'!$M40</f>
        <v>0.93854118975576406</v>
      </c>
      <c r="E25" s="111">
        <f ca="1">'e9.2'!$M40</f>
        <v>0.93976255638153539</v>
      </c>
      <c r="F25" s="111">
        <f ca="1">'e9.1'!$M40</f>
        <v>0.94145482525351865</v>
      </c>
      <c r="G25" s="111">
        <f ca="1">'e9.9'!$M40</f>
        <v>0.935852307310303</v>
      </c>
      <c r="H25" s="111">
        <f ca="1">'e9.8'!$M40</f>
        <v>0.93603004294901859</v>
      </c>
      <c r="I25" s="111">
        <f ca="1">'e9.7'!$M40</f>
        <v>0.93624212771732329</v>
      </c>
      <c r="J25" s="111">
        <f ca="1">'e9.6'!$M40</f>
        <v>0.93654616698176674</v>
      </c>
      <c r="L25" s="254">
        <f>IF(LDF!W26 &lt; 12, LDF!W26/2 + 6, LDF!W26)</f>
        <v>43</v>
      </c>
      <c r="M25" s="141">
        <f ca="1">[1]!ldf(B$4:B$27, $A$4:$A$27, $L25, $A$27, 1)</f>
        <v>0.83651091129583399</v>
      </c>
      <c r="N25" s="141">
        <f ca="1">[1]!ldf(C$4:C$27, $A$4:$A$27, $L25, $A$27, 1)</f>
        <v>0.84755231426118705</v>
      </c>
      <c r="O25" s="141">
        <f ca="1">[1]!ldf(D$4:D$27, $A$4:$A$27, $L25, $A$27, 1)</f>
        <v>0.85236310048915642</v>
      </c>
      <c r="P25" s="141">
        <f ca="1">[1]!ldf(E$4:E$27, $A$4:$A$27, $L25, $A$27, 1)</f>
        <v>0.86809514461850301</v>
      </c>
      <c r="Q25" s="141">
        <f ca="1">[1]!ldf(F$4:F$27, $A$4:$A$27, $L25, $A$27, 1)</f>
        <v>0.88185154467699378</v>
      </c>
      <c r="R25" s="141">
        <f ca="1">[1]!ldf(G$4:G$27, $A$4:$A$27, $L25, $A$27, 1)</f>
        <v>0.7581511549204315</v>
      </c>
      <c r="S25" s="141">
        <f ca="1">[1]!ldf(H$4:H$27, $A$4:$A$27, $L25, $A$27, 1)</f>
        <v>0.7603453583234312</v>
      </c>
      <c r="T25" s="141">
        <f ca="1">[1]!ldf(I$4:I$27, $A$4:$A$27, $L25, $A$27, 1)</f>
        <v>0.75333327298953945</v>
      </c>
      <c r="U25" s="141">
        <f ca="1">[1]!ldf(J$4:J$27, $A$4:$A$27, $L25, $A$27, 1)</f>
        <v>0.75934399927130436</v>
      </c>
    </row>
    <row r="26" spans="1:21" x14ac:dyDescent="0.2">
      <c r="A26" s="396">
        <f>'e9.1'!A40</f>
        <v>264</v>
      </c>
      <c r="B26" s="111">
        <f ca="1">'e9.5'!$M41</f>
        <v>0.95974885881826377</v>
      </c>
      <c r="C26" s="111">
        <f ca="1">'e9.4'!$M41</f>
        <v>0.95999683247129952</v>
      </c>
      <c r="D26" s="111">
        <f ca="1">'e9.3'!$M41</f>
        <v>0.96009349157404633</v>
      </c>
      <c r="E26" s="111">
        <f ca="1">'e9.2'!$M41</f>
        <v>0.9605465482016935</v>
      </c>
      <c r="F26" s="111">
        <f ca="1">'e9.1'!$M41</f>
        <v>0.96118332108475402</v>
      </c>
      <c r="G26" s="111">
        <f ca="1">'e9.9'!$M41</f>
        <v>0.95912885668200465</v>
      </c>
      <c r="H26" s="111">
        <f ca="1">'e9.8'!$M41</f>
        <v>0.95919195921023226</v>
      </c>
      <c r="I26" s="111">
        <f ca="1">'e9.7'!$M41</f>
        <v>0.95927158800906243</v>
      </c>
      <c r="J26" s="111">
        <f ca="1">'e9.6'!$M41</f>
        <v>0.95938325244233258</v>
      </c>
      <c r="L26" s="254">
        <f>IF(LDF!W27 &lt; 12, LDF!W27/2 + 6, LDF!W27)</f>
        <v>45</v>
      </c>
      <c r="M26" s="141">
        <f ca="1">[1]!ldf(B$4:B$27, $A$4:$A$27, $L26, $A$27, 1)</f>
        <v>0.83393823935286548</v>
      </c>
      <c r="N26" s="141">
        <f ca="1">[1]!ldf(C$4:C$27, $A$4:$A$27, $L26, $A$27, 1)</f>
        <v>0.84522401060603958</v>
      </c>
      <c r="O26" s="141">
        <f ca="1">[1]!ldf(D$4:D$27, $A$4:$A$27, $L26, $A$27, 1)</f>
        <v>0.85005637218313668</v>
      </c>
      <c r="P26" s="141">
        <f ca="1">[1]!ldf(E$4:E$27, $A$4:$A$27, $L26, $A$27, 1)</f>
        <v>0.86605413300579515</v>
      </c>
      <c r="Q26" s="141">
        <f ca="1">[1]!ldf(F$4:F$27, $A$4:$A$27, $L26, $A$27, 1)</f>
        <v>0.88010786431526233</v>
      </c>
      <c r="R26" s="141">
        <f ca="1">[1]!ldf(G$4:G$27, $A$4:$A$27, $L26, $A$27, 1)</f>
        <v>0.75492413145728821</v>
      </c>
      <c r="S26" s="141">
        <f ca="1">[1]!ldf(H$4:H$27, $A$4:$A$27, $L26, $A$27, 1)</f>
        <v>0.75788939469234384</v>
      </c>
      <c r="T26" s="141">
        <f ca="1">[1]!ldf(I$4:I$27, $A$4:$A$27, $L26, $A$27, 1)</f>
        <v>0.75149999613112861</v>
      </c>
      <c r="U26" s="141">
        <f ca="1">[1]!ldf(J$4:J$27, $A$4:$A$27, $L26, $A$27, 1)</f>
        <v>0.75760869618534576</v>
      </c>
    </row>
    <row r="27" spans="1:21" x14ac:dyDescent="0.2">
      <c r="A27" s="396">
        <f>'e9.1'!A41</f>
        <v>276</v>
      </c>
      <c r="B27" s="111">
        <f ca="1">'e9.5'!$M42</f>
        <v>0.98532927816429217</v>
      </c>
      <c r="C27" s="111">
        <f ca="1">'e9.4'!$M42</f>
        <v>0.98532927816429228</v>
      </c>
      <c r="D27" s="111">
        <f ca="1">'e9.3'!$M42</f>
        <v>0.98532927816429217</v>
      </c>
      <c r="E27" s="111">
        <f ca="1">'e9.2'!$M42</f>
        <v>0.98532927816429228</v>
      </c>
      <c r="F27" s="111">
        <f ca="1">'e9.1'!$M42</f>
        <v>0.98532927816429228</v>
      </c>
      <c r="G27" s="111">
        <f ca="1">'e9.9'!$M42</f>
        <v>0.98532927816429228</v>
      </c>
      <c r="H27" s="111">
        <f ca="1">'e9.8'!$M42</f>
        <v>0.98532927816429217</v>
      </c>
      <c r="I27" s="111">
        <f ca="1">'e9.7'!$M42</f>
        <v>0.98532927816429217</v>
      </c>
      <c r="J27" s="111">
        <f ca="1">'e9.6'!$M42</f>
        <v>0.98532927816429217</v>
      </c>
      <c r="L27" s="254">
        <f>IF(LDF!W28 &lt; 12, LDF!W28/2 + 6, LDF!W28)</f>
        <v>48</v>
      </c>
      <c r="M27" s="141">
        <f ca="1">[1]!ldf(B$4:B$27, $A$4:$A$27, $L27, $A$27, 1)</f>
        <v>0.83010876593614502</v>
      </c>
      <c r="N27" s="141">
        <f ca="1">[1]!ldf(C$4:C$27, $A$4:$A$27, $L27, $A$27, 1)</f>
        <v>0.84175544193031993</v>
      </c>
      <c r="O27" s="141">
        <f ca="1">[1]!ldf(D$4:D$27, $A$4:$A$27, $L27, $A$27, 1)</f>
        <v>0.84661959497567529</v>
      </c>
      <c r="P27" s="141">
        <f ca="1">[1]!ldf(E$4:E$27, $A$4:$A$27, $L27, $A$27, 1)</f>
        <v>0.8630105474722285</v>
      </c>
      <c r="Q27" s="141">
        <f ca="1">[1]!ldf(F$4:F$27, $A$4:$A$27, $L27, $A$27, 1)</f>
        <v>0.87750523467608355</v>
      </c>
      <c r="R27" s="141">
        <f ca="1">[1]!ldf(G$4:G$27, $A$4:$A$27, $L27, $A$27, 1)</f>
        <v>0.7501347780803107</v>
      </c>
      <c r="S27" s="141">
        <f ca="1">[1]!ldf(H$4:H$27, $A$4:$A$27, $L27, $A$27, 1)</f>
        <v>0.75423505424905257</v>
      </c>
      <c r="T27" s="141">
        <f ca="1">[1]!ldf(I$4:I$27, $A$4:$A$27, $L27, $A$27, 1)</f>
        <v>0.7487667501602544</v>
      </c>
      <c r="U27" s="141">
        <f ca="1">[1]!ldf(J$4:J$27, $A$4:$A$27, $L27, $A$27, 1)</f>
        <v>0.75502056186370448</v>
      </c>
    </row>
    <row r="28" spans="1:21" x14ac:dyDescent="0.2">
      <c r="L28" s="254">
        <f>IF(LDF!W29 &lt; 12, LDF!W29/2 + 6, LDF!W29)</f>
        <v>49</v>
      </c>
      <c r="M28" s="141">
        <f ca="1">[1]!ldf(B$4:B$27, $A$4:$A$27, $L28, $A$27, 1)</f>
        <v>0.82918068832742242</v>
      </c>
      <c r="N28" s="141">
        <f ca="1">[1]!ldf(C$4:C$27, $A$4:$A$27, $L28, $A$27, 1)</f>
        <v>0.84077776867744414</v>
      </c>
      <c r="O28" s="141">
        <f ca="1">[1]!ldf(D$4:D$27, $A$4:$A$27, $L28, $A$27, 1)</f>
        <v>0.84560908113389843</v>
      </c>
      <c r="P28" s="141">
        <f ca="1">[1]!ldf(E$4:E$27, $A$4:$A$27, $L28, $A$27, 1)</f>
        <v>0.86197599007780934</v>
      </c>
      <c r="Q28" s="141">
        <f ca="1">[1]!ldf(F$4:F$27, $A$4:$A$27, $L28, $A$27, 1)</f>
        <v>0.87658019786632013</v>
      </c>
      <c r="R28" s="141">
        <f ca="1">[1]!ldf(G$4:G$27, $A$4:$A$27, $L28, $A$27, 1)</f>
        <v>0.75041166718230634</v>
      </c>
      <c r="S28" s="141">
        <f ca="1">[1]!ldf(H$4:H$27, $A$4:$A$27, $L28, $A$27, 1)</f>
        <v>0.75454747148445034</v>
      </c>
      <c r="T28" s="141">
        <f ca="1">[1]!ldf(I$4:I$27, $A$4:$A$27, $L28, $A$27, 1)</f>
        <v>0.7492869208768258</v>
      </c>
      <c r="U28" s="141">
        <f ca="1">[1]!ldf(J$4:J$27, $A$4:$A$27, $L28, $A$27, 1)</f>
        <v>0.75528953530679521</v>
      </c>
    </row>
    <row r="29" spans="1:21" x14ac:dyDescent="0.2">
      <c r="L29" s="254">
        <f>IF(LDF!W30 &lt; 12, LDF!W30/2 + 6, LDF!W30)</f>
        <v>51</v>
      </c>
      <c r="M29" s="141">
        <f ca="1">[1]!ldf(B$4:B$27, $A$4:$A$27, $L29, $A$27, 1)</f>
        <v>0.82733074487222236</v>
      </c>
      <c r="N29" s="141">
        <f ca="1">[1]!ldf(C$4:C$27, $A$4:$A$27, $L29, $A$27, 1)</f>
        <v>0.83882921960751411</v>
      </c>
      <c r="O29" s="141">
        <f ca="1">[1]!ldf(D$4:D$27, $A$4:$A$27, $L29, $A$27, 1)</f>
        <v>0.84359527303090986</v>
      </c>
      <c r="P29" s="141">
        <f ca="1">[1]!ldf(E$4:E$27, $A$4:$A$27, $L29, $A$27, 1)</f>
        <v>0.85991429871399694</v>
      </c>
      <c r="Q29" s="141">
        <f ca="1">[1]!ldf(F$4:F$27, $A$4:$A$27, $L29, $A$27, 1)</f>
        <v>0.87473596279527099</v>
      </c>
      <c r="R29" s="141">
        <f ca="1">[1]!ldf(G$4:G$27, $A$4:$A$27, $L29, $A$27, 1)</f>
        <v>0.75096605906974034</v>
      </c>
      <c r="S29" s="141">
        <f ca="1">[1]!ldf(H$4:H$27, $A$4:$A$27, $L29, $A$27, 1)</f>
        <v>0.75517308305082975</v>
      </c>
      <c r="T29" s="141">
        <f ca="1">[1]!ldf(I$4:I$27, $A$4:$A$27, $L29, $A$27, 1)</f>
        <v>0.75032943351246628</v>
      </c>
      <c r="U29" s="141">
        <f ca="1">[1]!ldf(J$4:J$27, $A$4:$A$27, $L29, $A$27, 1)</f>
        <v>0.75582805752800741</v>
      </c>
    </row>
    <row r="30" spans="1:21" x14ac:dyDescent="0.2">
      <c r="L30" s="254">
        <f>IF(LDF!W31 &lt; 12, LDF!W31/2 + 6, LDF!W31)</f>
        <v>52</v>
      </c>
      <c r="M30" s="141">
        <f ca="1">[1]!ldf(B$4:B$27, $A$4:$A$27, $L30, $A$27, 1)</f>
        <v>0.82640886518243661</v>
      </c>
      <c r="N30" s="141">
        <f ca="1">[1]!ldf(C$4:C$27, $A$4:$A$27, $L30, $A$27, 1)</f>
        <v>0.83785832805525939</v>
      </c>
      <c r="O30" s="141">
        <f ca="1">[1]!ldf(D$4:D$27, $A$4:$A$27, $L30, $A$27, 1)</f>
        <v>0.8425919615968005</v>
      </c>
      <c r="P30" s="141">
        <f ca="1">[1]!ldf(E$4:E$27, $A$4:$A$27, $L30, $A$27, 1)</f>
        <v>0.85888714701031621</v>
      </c>
      <c r="Q30" s="141">
        <f ca="1">[1]!ldf(F$4:F$27, $A$4:$A$27, $L30, $A$27, 1)</f>
        <v>0.87381675226318456</v>
      </c>
      <c r="R30" s="141">
        <f ca="1">[1]!ldf(G$4:G$27, $A$4:$A$27, $L30, $A$27, 1)</f>
        <v>0.7512435623087258</v>
      </c>
      <c r="S30" s="141">
        <f ca="1">[1]!ldf(H$4:H$27, $A$4:$A$27, $L30, $A$27, 1)</f>
        <v>0.75548627802638546</v>
      </c>
      <c r="T30" s="141">
        <f ca="1">[1]!ldf(I$4:I$27, $A$4:$A$27, $L30, $A$27, 1)</f>
        <v>0.75085177845451878</v>
      </c>
      <c r="U30" s="141">
        <f ca="1">[1]!ldf(J$4:J$27, $A$4:$A$27, $L30, $A$27, 1)</f>
        <v>0.75609760671648962</v>
      </c>
    </row>
    <row r="31" spans="1:21" x14ac:dyDescent="0.2">
      <c r="L31" s="254">
        <f>IF(LDF!W32 &lt; 12, LDF!W32/2 + 6, LDF!W32)</f>
        <v>55</v>
      </c>
      <c r="M31" s="141">
        <f ca="1">[1]!ldf(B$4:B$27, $A$4:$A$27, $L31, $A$27, 1)</f>
        <v>0.82365551185018937</v>
      </c>
      <c r="N31" s="141">
        <f ca="1">[1]!ldf(C$4:C$27, $A$4:$A$27, $L31, $A$27, 1)</f>
        <v>0.83495909168040983</v>
      </c>
      <c r="O31" s="141">
        <f ca="1">[1]!ldf(D$4:D$27, $A$4:$A$27, $L31, $A$27, 1)</f>
        <v>0.83959629558139226</v>
      </c>
      <c r="P31" s="141">
        <f ca="1">[1]!ldf(E$4:E$27, $A$4:$A$27, $L31, $A$27, 1)</f>
        <v>0.85582036229297231</v>
      </c>
      <c r="Q31" s="141">
        <f ca="1">[1]!ldf(F$4:F$27, $A$4:$A$27, $L31, $A$27, 1)</f>
        <v>0.87107067559575058</v>
      </c>
      <c r="R31" s="141">
        <f ca="1">[1]!ldf(G$4:G$27, $A$4:$A$27, $L31, $A$27, 1)</f>
        <v>0.75207730393508332</v>
      </c>
      <c r="S31" s="141">
        <f ca="1">[1]!ldf(H$4:H$27, $A$4:$A$27, $L31, $A$27, 1)</f>
        <v>0.75642742360120097</v>
      </c>
      <c r="T31" s="141">
        <f ca="1">[1]!ldf(I$4:I$27, $A$4:$A$27, $L31, $A$27, 1)</f>
        <v>0.75242318600407598</v>
      </c>
      <c r="U31" s="141">
        <f ca="1">[1]!ldf(J$4:J$27, $A$4:$A$27, $L31, $A$27, 1)</f>
        <v>0.75690740906175891</v>
      </c>
    </row>
    <row r="32" spans="1:21" x14ac:dyDescent="0.2">
      <c r="L32" s="254">
        <f>IF(LDF!W33 &lt; 12, LDF!W33/2 + 6, LDF!W33)</f>
        <v>57</v>
      </c>
      <c r="M32" s="141">
        <f ca="1">[1]!ldf(B$4:B$27, $A$4:$A$27, $L32, $A$27, 1)</f>
        <v>0.82183011300665343</v>
      </c>
      <c r="N32" s="141">
        <f ca="1">[1]!ldf(C$4:C$27, $A$4:$A$27, $L32, $A$27, 1)</f>
        <v>0.83303738867646171</v>
      </c>
      <c r="O32" s="141">
        <f ca="1">[1]!ldf(D$4:D$27, $A$4:$A$27, $L32, $A$27, 1)</f>
        <v>0.83761099079677093</v>
      </c>
      <c r="P32" s="141">
        <f ca="1">[1]!ldf(E$4:E$27, $A$4:$A$27, $L32, $A$27, 1)</f>
        <v>0.85378797737877121</v>
      </c>
      <c r="Q32" s="141">
        <f ca="1">[1]!ldf(F$4:F$27, $A$4:$A$27, $L32, $A$27, 1)</f>
        <v>0.86924952653003795</v>
      </c>
      <c r="R32" s="141">
        <f ca="1">[1]!ldf(G$4:G$27, $A$4:$A$27, $L32, $A$27, 1)</f>
        <v>0.75263416055749677</v>
      </c>
      <c r="S32" s="141">
        <f ca="1">[1]!ldf(H$4:H$27, $A$4:$A$27, $L32, $A$27, 1)</f>
        <v>0.75705615776751944</v>
      </c>
      <c r="T32" s="141">
        <f ca="1">[1]!ldf(I$4:I$27, $A$4:$A$27, $L32, $A$27, 1)</f>
        <v>0.75347445024689219</v>
      </c>
      <c r="U32" s="141">
        <f ca="1">[1]!ldf(J$4:J$27, $A$4:$A$27, $L32, $A$27, 1)</f>
        <v>0.75744824167126734</v>
      </c>
    </row>
    <row r="33" spans="12:21" x14ac:dyDescent="0.2">
      <c r="L33" s="254">
        <f>IF(LDF!W34 &lt; 12, LDF!W34/2 + 6, LDF!W34)</f>
        <v>60</v>
      </c>
      <c r="M33" s="141">
        <f ca="1">[1]!ldf(B$4:B$27, $A$4:$A$27, $L33, $A$27, 1)</f>
        <v>0.81910713502224741</v>
      </c>
      <c r="N33" s="141">
        <f ca="1">[1]!ldf(C$4:C$27, $A$4:$A$27, $L33, $A$27, 1)</f>
        <v>0.83017136299098604</v>
      </c>
      <c r="O33" s="141">
        <f ca="1">[1]!ldf(D$4:D$27, $A$4:$A$27, $L33, $A$27, 1)</f>
        <v>0.83465057555342037</v>
      </c>
      <c r="P33" s="141">
        <f ca="1">[1]!ldf(E$4:E$27, $A$4:$A$27, $L33, $A$27, 1)</f>
        <v>0.8507574350136653</v>
      </c>
      <c r="Q33" s="141">
        <f ca="1">[1]!ldf(F$4:F$27, $A$4:$A$27, $L33, $A$27, 1)</f>
        <v>0.86653203634363374</v>
      </c>
      <c r="R33" s="141">
        <f ca="1">[1]!ldf(G$4:G$27, $A$4:$A$27, $L33, $A$27, 1)</f>
        <v>0.7534709933742727</v>
      </c>
      <c r="S33" s="141">
        <f ca="1">[1]!ldf(H$4:H$27, $A$4:$A$27, $L33, $A$27, 1)</f>
        <v>0.75800122120191693</v>
      </c>
      <c r="T33" s="141">
        <f ca="1">[1]!ldf(I$4:I$27, $A$4:$A$27, $L33, $A$27, 1)</f>
        <v>0.75505686616546897</v>
      </c>
      <c r="U33" s="141">
        <f ca="1">[1]!ldf(J$4:J$27, $A$4:$A$27, $L33, $A$27, 1)</f>
        <v>0.75826094129342414</v>
      </c>
    </row>
    <row r="34" spans="12:21" x14ac:dyDescent="0.2">
      <c r="L34" s="254">
        <f>IF(LDF!W35 &lt; 12, LDF!W35/2 + 6, LDF!W35)</f>
        <v>61</v>
      </c>
      <c r="M34" s="141">
        <f ca="1">[1]!ldf(B$4:B$27, $A$4:$A$27, $L34, $A$27, 1)</f>
        <v>0.81882358964946711</v>
      </c>
      <c r="N34" s="141">
        <f ca="1">[1]!ldf(C$4:C$27, $A$4:$A$27, $L34, $A$27, 1)</f>
        <v>0.82983055285860019</v>
      </c>
      <c r="O34" s="141">
        <f ca="1">[1]!ldf(D$4:D$27, $A$4:$A$27, $L34, $A$27, 1)</f>
        <v>0.83428451123989356</v>
      </c>
      <c r="P34" s="141">
        <f ca="1">[1]!ldf(E$4:E$27, $A$4:$A$27, $L34, $A$27, 1)</f>
        <v>0.85037126253820594</v>
      </c>
      <c r="Q34" s="141">
        <f ca="1">[1]!ldf(F$4:F$27, $A$4:$A$27, $L34, $A$27, 1)</f>
        <v>0.86617551848063834</v>
      </c>
      <c r="R34" s="141">
        <f ca="1">[1]!ldf(G$4:G$27, $A$4:$A$27, $L34, $A$27, 1)</f>
        <v>0.75401806507795266</v>
      </c>
      <c r="S34" s="141">
        <f ca="1">[1]!ldf(H$4:H$27, $A$4:$A$27, $L34, $A$27, 1)</f>
        <v>0.75851317131417695</v>
      </c>
      <c r="T34" s="141">
        <f ca="1">[1]!ldf(I$4:I$27, $A$4:$A$27, $L34, $A$27, 1)</f>
        <v>0.75560827382787832</v>
      </c>
      <c r="U34" s="141">
        <f ca="1">[1]!ldf(J$4:J$27, $A$4:$A$27, $L34, $A$27, 1)</f>
        <v>0.75877154279292869</v>
      </c>
    </row>
    <row r="35" spans="12:21" x14ac:dyDescent="0.2">
      <c r="L35" s="254">
        <f>IF(LDF!W36 &lt; 12, LDF!W36/2 + 6, LDF!W36)</f>
        <v>63</v>
      </c>
      <c r="M35" s="141">
        <f ca="1">[1]!ldf(B$4:B$27, $A$4:$A$27, $L35, $A$27, 1)</f>
        <v>0.8182570874156051</v>
      </c>
      <c r="N35" s="141">
        <f ca="1">[1]!ldf(C$4:C$27, $A$4:$A$27, $L35, $A$27, 1)</f>
        <v>0.82914977138154655</v>
      </c>
      <c r="O35" s="141">
        <f ca="1">[1]!ldf(D$4:D$27, $A$4:$A$27, $L35, $A$27, 1)</f>
        <v>0.8335533450681144</v>
      </c>
      <c r="P35" s="141">
        <f ca="1">[1]!ldf(E$4:E$27, $A$4:$A$27, $L35, $A$27, 1)</f>
        <v>0.84959996837271601</v>
      </c>
      <c r="Q35" s="141">
        <f ca="1">[1]!ldf(F$4:F$27, $A$4:$A$27, $L35, $A$27, 1)</f>
        <v>0.86546336212536357</v>
      </c>
      <c r="R35" s="141">
        <f ca="1">[1]!ldf(G$4:G$27, $A$4:$A$27, $L35, $A$27, 1)</f>
        <v>0.75511459522102076</v>
      </c>
      <c r="S35" s="141">
        <f ca="1">[1]!ldf(H$4:H$27, $A$4:$A$27, $L35, $A$27, 1)</f>
        <v>0.75953914895563013</v>
      </c>
      <c r="T35" s="141">
        <f ca="1">[1]!ldf(I$4:I$27, $A$4:$A$27, $L35, $A$27, 1)</f>
        <v>0.75671350879943677</v>
      </c>
      <c r="U35" s="141">
        <f ca="1">[1]!ldf(J$4:J$27, $A$4:$A$27, $L35, $A$27, 1)</f>
        <v>0.75979481156221984</v>
      </c>
    </row>
    <row r="36" spans="12:21" x14ac:dyDescent="0.2">
      <c r="L36" s="254">
        <f>IF(LDF!W37 &lt; 12, LDF!W37/2 + 6, LDF!W37)</f>
        <v>64</v>
      </c>
      <c r="M36" s="141">
        <f ca="1">[1]!ldf(B$4:B$27, $A$4:$A$27, $L36, $A$27, 1)</f>
        <v>0.81797413014750253</v>
      </c>
      <c r="N36" s="141">
        <f ca="1">[1]!ldf(C$4:C$27, $A$4:$A$27, $L36, $A$27, 1)</f>
        <v>0.82880979934903121</v>
      </c>
      <c r="O36" s="141">
        <f ca="1">[1]!ldf(D$4:D$27, $A$4:$A$27, $L36, $A$27, 1)</f>
        <v>0.8331882423667365</v>
      </c>
      <c r="P36" s="141">
        <f ca="1">[1]!ldf(E$4:E$27, $A$4:$A$27, $L36, $A$27, 1)</f>
        <v>0.84921484573004591</v>
      </c>
      <c r="Q36" s="141">
        <f ca="1">[1]!ldf(F$4:F$27, $A$4:$A$27, $L36, $A$27, 1)</f>
        <v>0.86510772291037596</v>
      </c>
      <c r="R36" s="141">
        <f ca="1">[1]!ldf(G$4:G$27, $A$4:$A$27, $L36, $A$27, 1)</f>
        <v>0.7556640571338431</v>
      </c>
      <c r="S36" s="141">
        <f ca="1">[1]!ldf(H$4:H$27, $A$4:$A$27, $L36, $A$27, 1)</f>
        <v>0.76005317929667393</v>
      </c>
      <c r="T36" s="141">
        <f ca="1">[1]!ldf(I$4:I$27, $A$4:$A$27, $L36, $A$27, 1)</f>
        <v>0.75726733965041515</v>
      </c>
      <c r="U36" s="141">
        <f ca="1">[1]!ldf(J$4:J$27, $A$4:$A$27, $L36, $A$27, 1)</f>
        <v>0.76030748161975537</v>
      </c>
    </row>
    <row r="37" spans="12:21" x14ac:dyDescent="0.2">
      <c r="L37" s="254">
        <f>IF(LDF!W38 &lt; 12, LDF!W38/2 + 6, LDF!W38)</f>
        <v>67</v>
      </c>
      <c r="M37" s="141">
        <f ca="1">[1]!ldf(B$4:B$27, $A$4:$A$27, $L37, $A$27, 1)</f>
        <v>0.81712643130229301</v>
      </c>
      <c r="N37" s="141">
        <f ca="1">[1]!ldf(C$4:C$27, $A$4:$A$27, $L37, $A$27, 1)</f>
        <v>0.82779155396027571</v>
      </c>
      <c r="O37" s="141">
        <f ca="1">[1]!ldf(D$4:D$27, $A$4:$A$27, $L37, $A$27, 1)</f>
        <v>0.83209485075738754</v>
      </c>
      <c r="P37" s="141">
        <f ca="1">[1]!ldf(E$4:E$27, $A$4:$A$27, $L37, $A$27, 1)</f>
        <v>0.84806156986460934</v>
      </c>
      <c r="Q37" s="141">
        <f ca="1">[1]!ldf(F$4:F$27, $A$4:$A$27, $L37, $A$27, 1)</f>
        <v>0.86404255679222097</v>
      </c>
      <c r="R37" s="141">
        <f ca="1">[1]!ldf(G$4:G$27, $A$4:$A$27, $L37, $A$27, 1)</f>
        <v>0.75731725118445181</v>
      </c>
      <c r="S37" s="141">
        <f ca="1">[1]!ldf(H$4:H$27, $A$4:$A$27, $L37, $A$27, 1)</f>
        <v>0.76159945335226575</v>
      </c>
      <c r="T37" s="141">
        <f ca="1">[1]!ldf(I$4:I$27, $A$4:$A$27, $L37, $A$27, 1)</f>
        <v>0.7589337070242349</v>
      </c>
      <c r="U37" s="141">
        <f ca="1">[1]!ldf(J$4:J$27, $A$4:$A$27, $L37, $A$27, 1)</f>
        <v>0.76184965128957838</v>
      </c>
    </row>
    <row r="38" spans="12:21" x14ac:dyDescent="0.2">
      <c r="L38" s="254">
        <f>IF(LDF!W39 &lt; 12, LDF!W39/2 + 6, LDF!W39)</f>
        <v>69</v>
      </c>
      <c r="M38" s="141">
        <f ca="1">[1]!ldf(B$4:B$27, $A$4:$A$27, $L38, $A$27, 1)</f>
        <v>0.81656227418016025</v>
      </c>
      <c r="N38" s="141">
        <f ca="1">[1]!ldf(C$4:C$27, $A$4:$A$27, $L38, $A$27, 1)</f>
        <v>0.827114112540278</v>
      </c>
      <c r="O38" s="141">
        <f ca="1">[1]!ldf(D$4:D$27, $A$4:$A$27, $L38, $A$27, 1)</f>
        <v>0.83136751590878399</v>
      </c>
      <c r="P38" s="141">
        <f ca="1">[1]!ldf(E$4:E$27, $A$4:$A$27, $L38, $A$27, 1)</f>
        <v>0.84729445794220548</v>
      </c>
      <c r="Q38" s="141">
        <f ca="1">[1]!ldf(F$4:F$27, $A$4:$A$27, $L38, $A$27, 1)</f>
        <v>0.86333390206111871</v>
      </c>
      <c r="R38" s="141">
        <f ca="1">[1]!ldf(G$4:G$27, $A$4:$A$27, $L38, $A$27, 1)</f>
        <v>0.75842340503611938</v>
      </c>
      <c r="S38" s="141">
        <f ca="1">[1]!ldf(H$4:H$27, $A$4:$A$27, $L38, $A$27, 1)</f>
        <v>0.7626338027857763</v>
      </c>
      <c r="T38" s="141">
        <f ca="1">[1]!ldf(I$4:I$27, $A$4:$A$27, $L38, $A$27, 1)</f>
        <v>0.76004869886219695</v>
      </c>
      <c r="U38" s="141">
        <f ca="1">[1]!ldf(J$4:J$27, $A$4:$A$27, $L38, $A$27, 1)</f>
        <v>0.76288124473104102</v>
      </c>
    </row>
    <row r="39" spans="12:21" x14ac:dyDescent="0.2">
      <c r="L39" s="254">
        <f>IF(LDF!W40 &lt; 12, LDF!W40/2 + 6, LDF!W40)</f>
        <v>72</v>
      </c>
      <c r="M39" s="141">
        <f ca="1">[1]!ldf(B$4:B$27, $A$4:$A$27, $L39, $A$27, 1)</f>
        <v>0.81571749762239143</v>
      </c>
      <c r="N39" s="141">
        <f ca="1">[1]!ldf(C$4:C$27, $A$4:$A$27, $L39, $A$27, 1)</f>
        <v>0.82610002685787887</v>
      </c>
      <c r="O39" s="141">
        <f ca="1">[1]!ldf(D$4:D$27, $A$4:$A$27, $L39, $A$27, 1)</f>
        <v>0.83027889462917737</v>
      </c>
      <c r="P39" s="141">
        <f ca="1">[1]!ldf(E$4:E$27, $A$4:$A$27, $L39, $A$27, 1)</f>
        <v>0.84614638861704283</v>
      </c>
      <c r="Q39" s="141">
        <f ca="1">[1]!ldf(F$4:F$27, $A$4:$A$27, $L39, $A$27, 1)</f>
        <v>0.86227309682976705</v>
      </c>
      <c r="R39" s="141">
        <f ca="1">[1]!ldf(G$4:G$27, $A$4:$A$27, $L39, $A$27, 1)</f>
        <v>0.76008870788744853</v>
      </c>
      <c r="S39" s="141">
        <f ca="1">[1]!ldf(H$4:H$27, $A$4:$A$27, $L39, $A$27, 1)</f>
        <v>0.76419060561013696</v>
      </c>
      <c r="T39" s="141">
        <f ca="1">[1]!ldf(I$4:I$27, $A$4:$A$27, $L39, $A$27, 1)</f>
        <v>0.76172734304888512</v>
      </c>
      <c r="U39" s="141">
        <f ca="1">[1]!ldf(J$4:J$27, $A$4:$A$27, $L39, $A$27, 1)</f>
        <v>0.76443388371868359</v>
      </c>
    </row>
    <row r="40" spans="12:21" x14ac:dyDescent="0.2">
      <c r="L40" s="254">
        <f>IF(LDF!W41 &lt; 12, LDF!W41/2 + 6, LDF!W41)</f>
        <v>73</v>
      </c>
      <c r="M40" s="141">
        <f ca="1">[1]!ldf(B$4:B$27, $A$4:$A$27, $L40, $A$27, 1)</f>
        <v>0.81556388561484805</v>
      </c>
      <c r="N40" s="141">
        <f ca="1">[1]!ldf(C$4:C$27, $A$4:$A$27, $L40, $A$27, 1)</f>
        <v>0.82586324654268595</v>
      </c>
      <c r="O40" s="141">
        <f ca="1">[1]!ldf(D$4:D$27, $A$4:$A$27, $L40, $A$27, 1)</f>
        <v>0.83000399841489902</v>
      </c>
      <c r="P40" s="141">
        <f ca="1">[1]!ldf(E$4:E$27, $A$4:$A$27, $L40, $A$27, 1)</f>
        <v>0.84572737957127164</v>
      </c>
      <c r="Q40" s="141">
        <f ca="1">[1]!ldf(F$4:F$27, $A$4:$A$27, $L40, $A$27, 1)</f>
        <v>0.86179178165632564</v>
      </c>
      <c r="R40" s="141">
        <f ca="1">[1]!ldf(G$4:G$27, $A$4:$A$27, $L40, $A$27, 1)</f>
        <v>0.76074731978864341</v>
      </c>
      <c r="S40" s="141">
        <f ca="1">[1]!ldf(H$4:H$27, $A$4:$A$27, $L40, $A$27, 1)</f>
        <v>0.76481735570912268</v>
      </c>
      <c r="T40" s="141">
        <f ca="1">[1]!ldf(I$4:I$27, $A$4:$A$27, $L40, $A$27, 1)</f>
        <v>0.76255107817026324</v>
      </c>
      <c r="U40" s="141">
        <f ca="1">[1]!ldf(J$4:J$27, $A$4:$A$27, $L40, $A$27, 1)</f>
        <v>0.7652279508989841</v>
      </c>
    </row>
    <row r="41" spans="12:21" x14ac:dyDescent="0.2">
      <c r="L41" s="254">
        <f>IF(LDF!W42 &lt; 12, LDF!W42/2 + 6, LDF!W42)</f>
        <v>75</v>
      </c>
      <c r="M41" s="141">
        <f ca="1">[1]!ldf(B$4:B$27, $A$4:$A$27, $L41, $A$27, 1)</f>
        <v>0.81525683509927582</v>
      </c>
      <c r="N41" s="141">
        <f ca="1">[1]!ldf(C$4:C$27, $A$4:$A$27, $L41, $A$27, 1)</f>
        <v>0.82539009288091281</v>
      </c>
      <c r="O41" s="141">
        <f ca="1">[1]!ldf(D$4:D$27, $A$4:$A$27, $L41, $A$27, 1)</f>
        <v>0.82945475171565908</v>
      </c>
      <c r="P41" s="141">
        <f ca="1">[1]!ldf(E$4:E$27, $A$4:$A$27, $L41, $A$27, 1)</f>
        <v>0.84489060519977233</v>
      </c>
      <c r="Q41" s="141">
        <f ca="1">[1]!ldf(F$4:F$27, $A$4:$A$27, $L41, $A$27, 1)</f>
        <v>0.86083076151362403</v>
      </c>
      <c r="R41" s="141">
        <f ca="1">[1]!ldf(G$4:G$27, $A$4:$A$27, $L41, $A$27, 1)</f>
        <v>0.76206797363271639</v>
      </c>
      <c r="S41" s="141">
        <f ca="1">[1]!ldf(H$4:H$27, $A$4:$A$27, $L41, $A$27, 1)</f>
        <v>0.7660739451448606</v>
      </c>
      <c r="T41" s="141">
        <f ca="1">[1]!ldf(I$4:I$27, $A$4:$A$27, $L41, $A$27, 1)</f>
        <v>0.76420390474127775</v>
      </c>
      <c r="U41" s="141">
        <f ca="1">[1]!ldf(J$4:J$27, $A$4:$A$27, $L41, $A$27, 1)</f>
        <v>0.76682104465815826</v>
      </c>
    </row>
    <row r="42" spans="12:21" x14ac:dyDescent="0.2">
      <c r="L42" s="254">
        <f>IF(LDF!W43 &lt; 12, LDF!W43/2 + 6, LDF!W43)</f>
        <v>76</v>
      </c>
      <c r="M42" s="141">
        <f ca="1">[1]!ldf(B$4:B$27, $A$4:$A$27, $L42, $A$27, 1)</f>
        <v>0.81510339652593877</v>
      </c>
      <c r="N42" s="141">
        <f ca="1">[1]!ldf(C$4:C$27, $A$4:$A$27, $L42, $A$27, 1)</f>
        <v>0.82515371930123871</v>
      </c>
      <c r="O42" s="141">
        <f ca="1">[1]!ldf(D$4:D$27, $A$4:$A$27, $L42, $A$27, 1)</f>
        <v>0.82918040086968614</v>
      </c>
      <c r="P42" s="141">
        <f ca="1">[1]!ldf(E$4:E$27, $A$4:$A$27, $L42, $A$27, 1)</f>
        <v>0.84447283864409861</v>
      </c>
      <c r="Q42" s="141">
        <f ca="1">[1]!ldf(F$4:F$27, $A$4:$A$27, $L42, $A$27, 1)</f>
        <v>0.86035105474975815</v>
      </c>
      <c r="R42" s="141">
        <f ca="1">[1]!ldf(G$4:G$27, $A$4:$A$27, $L42, $A$27, 1)</f>
        <v>0.762730021535304</v>
      </c>
      <c r="S42" s="141">
        <f ca="1">[1]!ldf(H$4:H$27, $A$4:$A$27, $L42, $A$27, 1)</f>
        <v>0.7667037895613813</v>
      </c>
      <c r="T42" s="141">
        <f ca="1">[1]!ldf(I$4:I$27, $A$4:$A$27, $L42, $A$27, 1)</f>
        <v>0.76503300781333095</v>
      </c>
      <c r="U42" s="141">
        <f ca="1">[1]!ldf(J$4:J$27, $A$4:$A$27, $L42, $A$27, 1)</f>
        <v>0.76762008157253991</v>
      </c>
    </row>
    <row r="43" spans="12:21" x14ac:dyDescent="0.2">
      <c r="L43" s="254">
        <f>IF(LDF!W44 &lt; 12, LDF!W44/2 + 6, LDF!W44)</f>
        <v>79</v>
      </c>
      <c r="M43" s="141">
        <f ca="1">[1]!ldf(B$4:B$27, $A$4:$A$27, $L43, $A$27, 1)</f>
        <v>0.81464342715238991</v>
      </c>
      <c r="N43" s="141">
        <f ca="1">[1]!ldf(C$4:C$27, $A$4:$A$27, $L43, $A$27, 1)</f>
        <v>0.82444541017130513</v>
      </c>
      <c r="O43" s="141">
        <f ca="1">[1]!ldf(D$4:D$27, $A$4:$A$27, $L43, $A$27, 1)</f>
        <v>0.82835843618529725</v>
      </c>
      <c r="P43" s="141">
        <f ca="1">[1]!ldf(E$4:E$27, $A$4:$A$27, $L43, $A$27, 1)</f>
        <v>0.84322201414321507</v>
      </c>
      <c r="Q43" s="141">
        <f ca="1">[1]!ldf(F$4:F$27, $A$4:$A$27, $L43, $A$27, 1)</f>
        <v>0.85891513696239941</v>
      </c>
      <c r="R43" s="141">
        <f ca="1">[1]!ldf(G$4:G$27, $A$4:$A$27, $L43, $A$27, 1)</f>
        <v>0.76472308514155263</v>
      </c>
      <c r="S43" s="141">
        <f ca="1">[1]!ldf(H$4:H$27, $A$4:$A$27, $L43, $A$27, 1)</f>
        <v>0.76859955226000576</v>
      </c>
      <c r="T43" s="141">
        <f ca="1">[1]!ldf(I$4:I$27, $A$4:$A$27, $L43, $A$27, 1)</f>
        <v>0.76753114644150233</v>
      </c>
      <c r="U43" s="141">
        <f ca="1">[1]!ldf(J$4:J$27, $A$4:$A$27, $L43, $A$27, 1)</f>
        <v>0.77002721492165893</v>
      </c>
    </row>
    <row r="44" spans="12:21" x14ac:dyDescent="0.2">
      <c r="L44" s="254">
        <f>IF(LDF!W45 &lt; 12, LDF!W45/2 + 6, LDF!W45)</f>
        <v>81</v>
      </c>
      <c r="M44" s="141">
        <f ca="1">[1]!ldf(B$4:B$27, $A$4:$A$27, $L44, $A$27, 1)</f>
        <v>0.81433706919978843</v>
      </c>
      <c r="N44" s="141">
        <f ca="1">[1]!ldf(C$4:C$27, $A$4:$A$27, $L44, $A$27, 1)</f>
        <v>0.82397387926511667</v>
      </c>
      <c r="O44" s="141">
        <f ca="1">[1]!ldf(D$4:D$27, $A$4:$A$27, $L44, $A$27, 1)</f>
        <v>0.82781136447752202</v>
      </c>
      <c r="P44" s="141">
        <f ca="1">[1]!ldf(E$4:E$27, $A$4:$A$27, $L44, $A$27, 1)</f>
        <v>0.84239018767678342</v>
      </c>
      <c r="Q44" s="141">
        <f ca="1">[1]!ldf(F$4:F$27, $A$4:$A$27, $L44, $A$27, 1)</f>
        <v>0.85796051829267816</v>
      </c>
      <c r="R44" s="141">
        <f ca="1">[1]!ldf(G$4:G$27, $A$4:$A$27, $L44, $A$27, 1)</f>
        <v>0.76605759098396253</v>
      </c>
      <c r="S44" s="141">
        <f ca="1">[1]!ldf(H$4:H$27, $A$4:$A$27, $L44, $A$27, 1)</f>
        <v>0.76986861098073567</v>
      </c>
      <c r="T44" s="141">
        <f ca="1">[1]!ldf(I$4:I$27, $A$4:$A$27, $L44, $A$27, 1)</f>
        <v>0.76920565576947497</v>
      </c>
      <c r="U44" s="141">
        <f ca="1">[1]!ldf(J$4:J$27, $A$4:$A$27, $L44, $A$27, 1)</f>
        <v>0.77164037515125938</v>
      </c>
    </row>
    <row r="45" spans="12:21" x14ac:dyDescent="0.2">
      <c r="L45" s="254">
        <f>IF(LDF!W46 &lt; 12, LDF!W46/2 + 6, LDF!W46)</f>
        <v>84</v>
      </c>
      <c r="M45" s="141">
        <f ca="1">[1]!ldf(B$4:B$27, $A$4:$A$27, $L45, $A$27, 1)</f>
        <v>0.81387796406539203</v>
      </c>
      <c r="N45" s="141">
        <f ca="1">[1]!ldf(C$4:C$27, $A$4:$A$27, $L45, $A$27, 1)</f>
        <v>0.82326759336150668</v>
      </c>
      <c r="O45" s="141">
        <f ca="1">[1]!ldf(D$4:D$27, $A$4:$A$27, $L45, $A$27, 1)</f>
        <v>0.82699211045700183</v>
      </c>
      <c r="P45" s="141">
        <f ca="1">[1]!ldf(E$4:E$27, $A$4:$A$27, $L45, $A$27, 1)</f>
        <v>0.84114552062390835</v>
      </c>
      <c r="Q45" s="141">
        <f ca="1">[1]!ldf(F$4:F$27, $A$4:$A$27, $L45, $A$27, 1)</f>
        <v>0.85653256236303676</v>
      </c>
      <c r="R45" s="141">
        <f ca="1">[1]!ldf(G$4:G$27, $A$4:$A$27, $L45, $A$27, 1)</f>
        <v>0.76806810575934992</v>
      </c>
      <c r="S45" s="141">
        <f ca="1">[1]!ldf(H$4:H$27, $A$4:$A$27, $L45, $A$27, 1)</f>
        <v>0.77178007625555467</v>
      </c>
      <c r="T45" s="141">
        <f ca="1">[1]!ldf(I$4:I$27, $A$4:$A$27, $L45, $A$27, 1)</f>
        <v>0.77173116442049328</v>
      </c>
      <c r="U45" s="141">
        <f ca="1">[1]!ldf(J$4:J$27, $A$4:$A$27, $L45, $A$27, 1)</f>
        <v>0.77407282846752035</v>
      </c>
    </row>
    <row r="46" spans="12:21" x14ac:dyDescent="0.2">
      <c r="L46" s="254">
        <f>IF(LDF!W47 &lt; 12, LDF!W47/2 + 6, LDF!W47)</f>
        <v>85</v>
      </c>
      <c r="M46" s="141">
        <f ca="1">[1]!ldf(B$4:B$27, $A$4:$A$27, $L46, $A$27, 1)</f>
        <v>0.81390772832068381</v>
      </c>
      <c r="N46" s="141">
        <f ca="1">[1]!ldf(C$4:C$27, $A$4:$A$27, $L46, $A$27, 1)</f>
        <v>0.82324387862105652</v>
      </c>
      <c r="O46" s="141">
        <f ca="1">[1]!ldf(D$4:D$27, $A$4:$A$27, $L46, $A$27, 1)</f>
        <v>0.82693399519214528</v>
      </c>
      <c r="P46" s="141">
        <f ca="1">[1]!ldf(E$4:E$27, $A$4:$A$27, $L46, $A$27, 1)</f>
        <v>0.84107878101174782</v>
      </c>
      <c r="Q46" s="141">
        <f ca="1">[1]!ldf(F$4:F$27, $A$4:$A$27, $L46, $A$27, 1)</f>
        <v>0.85653226138870042</v>
      </c>
      <c r="R46" s="141">
        <f ca="1">[1]!ldf(G$4:G$27, $A$4:$A$27, $L46, $A$27, 1)</f>
        <v>0.76858595240250194</v>
      </c>
      <c r="S46" s="141">
        <f ca="1">[1]!ldf(H$4:H$27, $A$4:$A$27, $L46, $A$27, 1)</f>
        <v>0.77231202616347361</v>
      </c>
      <c r="T46" s="141">
        <f ca="1">[1]!ldf(I$4:I$27, $A$4:$A$27, $L46, $A$27, 1)</f>
        <v>0.7721778478889193</v>
      </c>
      <c r="U46" s="141">
        <f ca="1">[1]!ldf(J$4:J$27, $A$4:$A$27, $L46, $A$27, 1)</f>
        <v>0.7744219595884192</v>
      </c>
    </row>
    <row r="47" spans="12:21" x14ac:dyDescent="0.2">
      <c r="L47" s="254">
        <f>IF(LDF!W48 &lt; 12, LDF!W48/2 + 6, LDF!W48)</f>
        <v>87</v>
      </c>
      <c r="M47" s="141">
        <f ca="1">[1]!ldf(B$4:B$27, $A$4:$A$27, $L47, $A$27, 1)</f>
        <v>0.8139672633627798</v>
      </c>
      <c r="N47" s="141">
        <f ca="1">[1]!ldf(C$4:C$27, $A$4:$A$27, $L47, $A$27, 1)</f>
        <v>0.82319645323862778</v>
      </c>
      <c r="O47" s="141">
        <f ca="1">[1]!ldf(D$4:D$27, $A$4:$A$27, $L47, $A$27, 1)</f>
        <v>0.82681778916261273</v>
      </c>
      <c r="P47" s="141">
        <f ca="1">[1]!ldf(E$4:E$27, $A$4:$A$27, $L47, $A$27, 1)</f>
        <v>0.84094533355459911</v>
      </c>
      <c r="Q47" s="141">
        <f ca="1">[1]!ldf(F$4:F$27, $A$4:$A$27, $L47, $A$27, 1)</f>
        <v>0.85653165944066212</v>
      </c>
      <c r="R47" s="141">
        <f ca="1">[1]!ldf(G$4:G$27, $A$4:$A$27, $L47, $A$27, 1)</f>
        <v>0.76962374337183592</v>
      </c>
      <c r="S47" s="141">
        <f ca="1">[1]!ldf(H$4:H$27, $A$4:$A$27, $L47, $A$27, 1)</f>
        <v>0.77337812889690827</v>
      </c>
      <c r="T47" s="141">
        <f ca="1">[1]!ldf(I$4:I$27, $A$4:$A$27, $L47, $A$27, 1)</f>
        <v>0.77307276788496193</v>
      </c>
      <c r="U47" s="141">
        <f ca="1">[1]!ldf(J$4:J$27, $A$4:$A$27, $L47, $A$27, 1)</f>
        <v>0.77512116749777515</v>
      </c>
    </row>
    <row r="48" spans="12:21" x14ac:dyDescent="0.2">
      <c r="L48" s="254">
        <f>IF(LDF!W49 &lt; 12, LDF!W49/2 + 6, LDF!W49)</f>
        <v>88</v>
      </c>
      <c r="M48" s="141">
        <f ca="1">[1]!ldf(B$4:B$27, $A$4:$A$27, $L48, $A$27, 1)</f>
        <v>0.81399703415006186</v>
      </c>
      <c r="N48" s="141">
        <f ca="1">[1]!ldf(C$4:C$27, $A$4:$A$27, $L48, $A$27, 1)</f>
        <v>0.82317274259641338</v>
      </c>
      <c r="O48" s="141">
        <f ca="1">[1]!ldf(D$4:D$27, $A$4:$A$27, $L48, $A$27, 1)</f>
        <v>0.82675969839449448</v>
      </c>
      <c r="P48" s="141">
        <f ca="1">[1]!ldf(E$4:E$27, $A$4:$A$27, $L48, $A$27, 1)</f>
        <v>0.84087862570457106</v>
      </c>
      <c r="Q48" s="141">
        <f ca="1">[1]!ldf(F$4:F$27, $A$4:$A$27, $L48, $A$27, 1)</f>
        <v>0.85653135846696027</v>
      </c>
      <c r="R48" s="141">
        <f ca="1">[1]!ldf(G$4:G$27, $A$4:$A$27, $L48, $A$27, 1)</f>
        <v>0.7701436905323491</v>
      </c>
      <c r="S48" s="141">
        <f ca="1">[1]!ldf(H$4:H$27, $A$4:$A$27, $L48, $A$27, 1)</f>
        <v>0.77391228476544083</v>
      </c>
      <c r="T48" s="141">
        <f ca="1">[1]!ldf(I$4:I$27, $A$4:$A$27, $L48, $A$27, 1)</f>
        <v>0.77352100621354902</v>
      </c>
      <c r="U48" s="141">
        <f ca="1">[1]!ldf(J$4:J$27, $A$4:$A$27, $L48, $A$27, 1)</f>
        <v>0.7754712451404393</v>
      </c>
    </row>
    <row r="49" spans="12:21" x14ac:dyDescent="0.2">
      <c r="L49" s="254">
        <f>IF(LDF!W50 &lt; 12, LDF!W50/2 + 6, LDF!W50)</f>
        <v>91</v>
      </c>
      <c r="M49" s="141">
        <f ca="1">[1]!ldf(B$4:B$27, $A$4:$A$27, $L49, $A$27, 1)</f>
        <v>0.81408635957971209</v>
      </c>
      <c r="N49" s="141">
        <f ca="1">[1]!ldf(C$4:C$27, $A$4:$A$27, $L49, $A$27, 1)</f>
        <v>0.82310161886435307</v>
      </c>
      <c r="O49" s="141">
        <f ca="1">[1]!ldf(D$4:D$27, $A$4:$A$27, $L49, $A$27, 1)</f>
        <v>0.82658547505608482</v>
      </c>
      <c r="P49" s="141">
        <f ca="1">[1]!ldf(E$4:E$27, $A$4:$A$27, $L49, $A$27, 1)</f>
        <v>0.84067856563845023</v>
      </c>
      <c r="Q49" s="141">
        <f ca="1">[1]!ldf(F$4:F$27, $A$4:$A$27, $L49, $A$27, 1)</f>
        <v>0.8565304555471237</v>
      </c>
      <c r="R49" s="141">
        <f ca="1">[1]!ldf(G$4:G$27, $A$4:$A$27, $L49, $A$27, 1)</f>
        <v>0.77170775580384765</v>
      </c>
      <c r="S49" s="141">
        <f ca="1">[1]!ldf(H$4:H$27, $A$4:$A$27, $L49, $A$27, 1)</f>
        <v>0.77551918872485803</v>
      </c>
      <c r="T49" s="141">
        <f ca="1">[1]!ldf(I$4:I$27, $A$4:$A$27, $L49, $A$27, 1)</f>
        <v>0.77486884537133116</v>
      </c>
      <c r="U49" s="141">
        <f ca="1">[1]!ldf(J$4:J$27, $A$4:$A$27, $L49, $A$27, 1)</f>
        <v>0.77652337796184623</v>
      </c>
    </row>
    <row r="50" spans="12:21" x14ac:dyDescent="0.2">
      <c r="L50" s="254">
        <f>IF(LDF!W51 &lt; 12, LDF!W51/2 + 6, LDF!W51)</f>
        <v>93</v>
      </c>
      <c r="M50" s="141">
        <f ca="1">[1]!ldf(B$4:B$27, $A$4:$A$27, $L50, $A$27, 1)</f>
        <v>0.81414592075837211</v>
      </c>
      <c r="N50" s="141">
        <f ca="1">[1]!ldf(C$4:C$27, $A$4:$A$27, $L50, $A$27, 1)</f>
        <v>0.82305420987061895</v>
      </c>
      <c r="O50" s="141">
        <f ca="1">[1]!ldf(D$4:D$27, $A$4:$A$27, $L50, $A$27, 1)</f>
        <v>0.82646936695157114</v>
      </c>
      <c r="P50" s="141">
        <f ca="1">[1]!ldf(E$4:E$27, $A$4:$A$27, $L50, $A$27, 1)</f>
        <v>0.84054524513916917</v>
      </c>
      <c r="Q50" s="141">
        <f ca="1">[1]!ldf(F$4:F$27, $A$4:$A$27, $L50, $A$27, 1)</f>
        <v>0.8565298536016237</v>
      </c>
      <c r="R50" s="141">
        <f ca="1">[1]!ldf(G$4:G$27, $A$4:$A$27, $L50, $A$27, 1)</f>
        <v>0.77275400012584161</v>
      </c>
      <c r="S50" s="141">
        <f ca="1">[1]!ldf(H$4:H$27, $A$4:$A$27, $L50, $A$27, 1)</f>
        <v>0.77659417036622069</v>
      </c>
      <c r="T50" s="141">
        <f ca="1">[1]!ldf(I$4:I$27, $A$4:$A$27, $L50, $A$27, 1)</f>
        <v>0.77577001737006213</v>
      </c>
      <c r="U50" s="141">
        <f ca="1">[1]!ldf(J$4:J$27, $A$4:$A$27, $L50, $A$27, 1)</f>
        <v>0.77722638738736938</v>
      </c>
    </row>
    <row r="51" spans="12:21" x14ac:dyDescent="0.2">
      <c r="L51" s="254">
        <f>IF(LDF!W52 &lt; 12, LDF!W52/2 + 6, LDF!W52)</f>
        <v>96</v>
      </c>
      <c r="M51" s="141">
        <f ca="1">[1]!ldf(B$4:B$27, $A$4:$A$27, $L51, $A$27, 1)</f>
        <v>0.81423527886948399</v>
      </c>
      <c r="N51" s="141">
        <f ca="1">[1]!ldf(C$4:C$27, $A$4:$A$27, $L51, $A$27, 1)</f>
        <v>0.82298310661911711</v>
      </c>
      <c r="O51" s="141">
        <f ca="1">[1]!ldf(D$4:D$27, $A$4:$A$27, $L51, $A$27, 1)</f>
        <v>0.82629526594207003</v>
      </c>
      <c r="P51" s="141">
        <f ca="1">[1]!ldf(E$4:E$27, $A$4:$A$27, $L51, $A$27, 1)</f>
        <v>0.84034534365714519</v>
      </c>
      <c r="Q51" s="141">
        <f ca="1">[1]!ldf(F$4:F$27, $A$4:$A$27, $L51, $A$27, 1)</f>
        <v>0.85652895068495993</v>
      </c>
      <c r="R51" s="141">
        <f ca="1">[1]!ldf(G$4:G$27, $A$4:$A$27, $L51, $A$27, 1)</f>
        <v>0.77432869662741999</v>
      </c>
      <c r="S51" s="141">
        <f ca="1">[1]!ldf(H$4:H$27, $A$4:$A$27, $L51, $A$27, 1)</f>
        <v>0.77821224227021768</v>
      </c>
      <c r="T51" s="141">
        <f ca="1">[1]!ldf(I$4:I$27, $A$4:$A$27, $L51, $A$27, 1)</f>
        <v>0.777125712470767</v>
      </c>
      <c r="U51" s="141">
        <f ca="1">[1]!ldf(J$4:J$27, $A$4:$A$27, $L51, $A$27, 1)</f>
        <v>0.77828329147776287</v>
      </c>
    </row>
    <row r="52" spans="12:21" x14ac:dyDescent="0.2">
      <c r="L52" s="254">
        <f>IF(LDF!W53 &lt; 12, LDF!W53/2 + 6, LDF!W53)</f>
        <v>97</v>
      </c>
      <c r="M52" s="141">
        <f ca="1">[1]!ldf(B$4:B$27, $A$4:$A$27, $L52, $A$27, 1)</f>
        <v>0.81440410461943047</v>
      </c>
      <c r="N52" s="141">
        <f ca="1">[1]!ldf(C$4:C$27, $A$4:$A$27, $L52, $A$27, 1)</f>
        <v>0.82314048819613217</v>
      </c>
      <c r="O52" s="141">
        <f ca="1">[1]!ldf(D$4:D$27, $A$4:$A$27, $L52, $A$27, 1)</f>
        <v>0.8264435636516595</v>
      </c>
      <c r="P52" s="141">
        <f ca="1">[1]!ldf(E$4:E$27, $A$4:$A$27, $L52, $A$27, 1)</f>
        <v>0.84045826727183248</v>
      </c>
      <c r="Q52" s="141">
        <f ca="1">[1]!ldf(F$4:F$27, $A$4:$A$27, $L52, $A$27, 1)</f>
        <v>0.85664841053894891</v>
      </c>
      <c r="R52" s="141">
        <f ca="1">[1]!ldf(G$4:G$27, $A$4:$A$27, $L52, $A$27, 1)</f>
        <v>0.77469125913825188</v>
      </c>
      <c r="S52" s="141">
        <f ca="1">[1]!ldf(H$4:H$27, $A$4:$A$27, $L52, $A$27, 1)</f>
        <v>0.77857384875472335</v>
      </c>
      <c r="T52" s="141">
        <f ca="1">[1]!ldf(I$4:I$27, $A$4:$A$27, $L52, $A$27, 1)</f>
        <v>0.77756930400990421</v>
      </c>
      <c r="U52" s="141">
        <f ca="1">[1]!ldf(J$4:J$27, $A$4:$A$27, $L52, $A$27, 1)</f>
        <v>0.77873944643973092</v>
      </c>
    </row>
    <row r="53" spans="12:21" x14ac:dyDescent="0.2">
      <c r="L53" s="254">
        <f>IF(LDF!W54 &lt; 12, LDF!W54/2 + 6, LDF!W54)</f>
        <v>99</v>
      </c>
      <c r="M53" s="141">
        <f ca="1">[1]!ldf(B$4:B$27, $A$4:$A$27, $L53, $A$27, 1)</f>
        <v>0.81474196623518746</v>
      </c>
      <c r="N53" s="141">
        <f ca="1">[1]!ldf(C$4:C$27, $A$4:$A$27, $L53, $A$27, 1)</f>
        <v>0.82345543199861648</v>
      </c>
      <c r="O53" s="141">
        <f ca="1">[1]!ldf(D$4:D$27, $A$4:$A$27, $L53, $A$27, 1)</f>
        <v>0.82674031882080989</v>
      </c>
      <c r="P53" s="141">
        <f ca="1">[1]!ldf(E$4:E$27, $A$4:$A$27, $L53, $A$27, 1)</f>
        <v>0.8406842055721282</v>
      </c>
      <c r="Q53" s="141">
        <f ca="1">[1]!ldf(F$4:F$27, $A$4:$A$27, $L53, $A$27, 1)</f>
        <v>0.85688743024101455</v>
      </c>
      <c r="R53" s="141">
        <f ca="1">[1]!ldf(G$4:G$27, $A$4:$A$27, $L53, $A$27, 1)</f>
        <v>0.77541740368654999</v>
      </c>
      <c r="S53" s="141">
        <f ca="1">[1]!ldf(H$4:H$27, $A$4:$A$27, $L53, $A$27, 1)</f>
        <v>0.77929807081256863</v>
      </c>
      <c r="T53" s="141">
        <f ca="1">[1]!ldf(I$4:I$27, $A$4:$A$27, $L53, $A$27, 1)</f>
        <v>0.77845800806488463</v>
      </c>
      <c r="U53" s="141">
        <f ca="1">[1]!ldf(J$4:J$27, $A$4:$A$27, $L53, $A$27, 1)</f>
        <v>0.77965336237177063</v>
      </c>
    </row>
    <row r="54" spans="12:21" x14ac:dyDescent="0.2">
      <c r="L54" s="254">
        <f>IF(LDF!W55 &lt; 12, LDF!W55/2 + 6, LDF!W55)</f>
        <v>100</v>
      </c>
      <c r="M54" s="141">
        <f ca="1">[1]!ldf(B$4:B$27, $A$4:$A$27, $L54, $A$27, 1)</f>
        <v>0.81491100218818402</v>
      </c>
      <c r="N54" s="141">
        <f ca="1">[1]!ldf(C$4:C$27, $A$4:$A$27, $L54, $A$27, 1)</f>
        <v>0.82361299429321722</v>
      </c>
      <c r="O54" s="141">
        <f ca="1">[1]!ldf(D$4:D$27, $A$4:$A$27, $L54, $A$27, 1)</f>
        <v>0.82688877633774327</v>
      </c>
      <c r="P54" s="141">
        <f ca="1">[1]!ldf(E$4:E$27, $A$4:$A$27, $L54, $A$27, 1)</f>
        <v>0.84079722028222248</v>
      </c>
      <c r="Q54" s="141">
        <f ca="1">[1]!ldf(F$4:F$27, $A$4:$A$27, $L54, $A$27, 1)</f>
        <v>0.85700699011699499</v>
      </c>
      <c r="R54" s="141">
        <f ca="1">[1]!ldf(G$4:G$27, $A$4:$A$27, $L54, $A$27, 1)</f>
        <v>0.77578098668010131</v>
      </c>
      <c r="S54" s="141">
        <f ca="1">[1]!ldf(H$4:H$27, $A$4:$A$27, $L54, $A$27, 1)</f>
        <v>0.77966068732498972</v>
      </c>
      <c r="T54" s="141">
        <f ca="1">[1]!ldf(I$4:I$27, $A$4:$A$27, $L54, $A$27, 1)</f>
        <v>0.77890312232008529</v>
      </c>
      <c r="U54" s="141">
        <f ca="1">[1]!ldf(J$4:J$27, $A$4:$A$27, $L54, $A$27, 1)</f>
        <v>0.78011112522773396</v>
      </c>
    </row>
    <row r="55" spans="12:21" x14ac:dyDescent="0.2">
      <c r="L55" s="254">
        <f>IF(LDF!W56 &lt; 12, LDF!W56/2 + 6, LDF!W56)</f>
        <v>103</v>
      </c>
      <c r="M55" s="141">
        <f ca="1">[1]!ldf(B$4:B$27, $A$4:$A$27, $L55, $A$27, 1)</f>
        <v>0.81541853115152396</v>
      </c>
      <c r="N55" s="141">
        <f ca="1">[1]!ldf(C$4:C$27, $A$4:$A$27, $L55, $A$27, 1)</f>
        <v>0.82408604316580025</v>
      </c>
      <c r="O55" s="141">
        <f ca="1">[1]!ldf(D$4:D$27, $A$4:$A$27, $L55, $A$27, 1)</f>
        <v>0.82733446896264429</v>
      </c>
      <c r="P55" s="141">
        <f ca="1">[1]!ldf(E$4:E$27, $A$4:$A$27, $L55, $A$27, 1)</f>
        <v>0.84113644679934263</v>
      </c>
      <c r="Q55" s="141">
        <f ca="1">[1]!ldf(F$4:F$27, $A$4:$A$27, $L55, $A$27, 1)</f>
        <v>0.8573658700123149</v>
      </c>
      <c r="R55" s="141">
        <f ca="1">[1]!ldf(G$4:G$27, $A$4:$A$27, $L55, $A$27, 1)</f>
        <v>0.77687378429373044</v>
      </c>
      <c r="S55" s="141">
        <f ca="1">[1]!ldf(H$4:H$27, $A$4:$A$27, $L55, $A$27, 1)</f>
        <v>0.78075056444911584</v>
      </c>
      <c r="T55" s="141">
        <f ca="1">[1]!ldf(I$4:I$27, $A$4:$A$27, $L55, $A$27, 1)</f>
        <v>0.78024152447451844</v>
      </c>
      <c r="U55" s="141">
        <f ca="1">[1]!ldf(J$4:J$27, $A$4:$A$27, $L55, $A$27, 1)</f>
        <v>0.7814876447173349</v>
      </c>
    </row>
    <row r="56" spans="12:21" x14ac:dyDescent="0.2">
      <c r="L56" s="254">
        <f>IF(LDF!W57 &lt; 12, LDF!W57/2 + 6, LDF!W57)</f>
        <v>105</v>
      </c>
      <c r="M56" s="141">
        <f ca="1">[1]!ldf(B$4:B$27, $A$4:$A$27, $L56, $A$27, 1)</f>
        <v>0.81575723515133225</v>
      </c>
      <c r="N56" s="141">
        <f ca="1">[1]!ldf(C$4:C$27, $A$4:$A$27, $L56, $A$27, 1)</f>
        <v>0.82440171108482396</v>
      </c>
      <c r="O56" s="141">
        <f ca="1">[1]!ldf(D$4:D$27, $A$4:$A$27, $L56, $A$27, 1)</f>
        <v>0.8276318643952989</v>
      </c>
      <c r="P56" s="141">
        <f ca="1">[1]!ldf(E$4:E$27, $A$4:$A$27, $L56, $A$27, 1)</f>
        <v>0.84136274992246252</v>
      </c>
      <c r="Q56" s="141">
        <f ca="1">[1]!ldf(F$4:F$27, $A$4:$A$27, $L56, $A$27, 1)</f>
        <v>0.85760529030515564</v>
      </c>
      <c r="R56" s="141">
        <f ca="1">[1]!ldf(G$4:G$27, $A$4:$A$27, $L56, $A$27, 1)</f>
        <v>0.77760402804446727</v>
      </c>
      <c r="S56" s="141">
        <f ca="1">[1]!ldf(H$4:H$27, $A$4:$A$27, $L56, $A$27, 1)</f>
        <v>0.78147884358255204</v>
      </c>
      <c r="T56" s="141">
        <f ca="1">[1]!ldf(I$4:I$27, $A$4:$A$27, $L56, $A$27, 1)</f>
        <v>0.78113635083987842</v>
      </c>
      <c r="U56" s="141">
        <f ca="1">[1]!ldf(J$4:J$27, $A$4:$A$27, $L56, $A$27, 1)</f>
        <v>0.78240802632471318</v>
      </c>
    </row>
    <row r="57" spans="12:21" x14ac:dyDescent="0.2">
      <c r="L57" s="254">
        <f>IF(LDF!W58 &lt; 12, LDF!W58/2 + 6, LDF!W58)</f>
        <v>108</v>
      </c>
      <c r="M57" s="141">
        <f ca="1">[1]!ldf(B$4:B$27, $A$4:$A$27, $L57, $A$27, 1)</f>
        <v>0.81626581906363294</v>
      </c>
      <c r="N57" s="141">
        <f ca="1">[1]!ldf(C$4:C$27, $A$4:$A$27, $L57, $A$27, 1)</f>
        <v>0.82487566666381085</v>
      </c>
      <c r="O57" s="141">
        <f ca="1">[1]!ldf(D$4:D$27, $A$4:$A$27, $L57, $A$27, 1)</f>
        <v>0.82807835864456492</v>
      </c>
      <c r="P57" s="141">
        <f ca="1">[1]!ldf(E$4:E$27, $A$4:$A$27, $L57, $A$27, 1)</f>
        <v>0.84170243302035075</v>
      </c>
      <c r="Q57" s="141">
        <f ca="1">[1]!ldf(F$4:F$27, $A$4:$A$27, $L57, $A$27, 1)</f>
        <v>0.85796467156833367</v>
      </c>
      <c r="R57" s="141">
        <f ca="1">[1]!ldf(G$4:G$27, $A$4:$A$27, $L57, $A$27, 1)</f>
        <v>0.77870197135217589</v>
      </c>
      <c r="S57" s="141">
        <f ca="1">[1]!ldf(H$4:H$27, $A$4:$A$27, $L57, $A$27, 1)</f>
        <v>0.78257381335508558</v>
      </c>
      <c r="T57" s="141">
        <f ca="1">[1]!ldf(I$4:I$27, $A$4:$A$27, $L57, $A$27, 1)</f>
        <v>0.7824824454156466</v>
      </c>
      <c r="U57" s="141">
        <f ca="1">[1]!ldf(J$4:J$27, $A$4:$A$27, $L57, $A$27, 1)</f>
        <v>0.78379267078402848</v>
      </c>
    </row>
    <row r="58" spans="12:21" x14ac:dyDescent="0.2">
      <c r="L58" s="254">
        <f>IF(LDF!W59 &lt; 12, LDF!W59/2 + 6, LDF!W59)</f>
        <v>109</v>
      </c>
      <c r="M58" s="141">
        <f ca="1">[1]!ldf(B$4:B$27, $A$4:$A$27, $L58, $A$27, 1)</f>
        <v>0.81658054687536097</v>
      </c>
      <c r="N58" s="141">
        <f ca="1">[1]!ldf(C$4:C$27, $A$4:$A$27, $L58, $A$27, 1)</f>
        <v>0.82516517869587214</v>
      </c>
      <c r="O58" s="141">
        <f ca="1">[1]!ldf(D$4:D$27, $A$4:$A$27, $L58, $A$27, 1)</f>
        <v>0.82835506376526846</v>
      </c>
      <c r="P58" s="141">
        <f ca="1">[1]!ldf(E$4:E$27, $A$4:$A$27, $L58, $A$27, 1)</f>
        <v>0.84195336379550623</v>
      </c>
      <c r="Q58" s="141">
        <f ca="1">[1]!ldf(F$4:F$27, $A$4:$A$27, $L58, $A$27, 1)</f>
        <v>0.85822214679723363</v>
      </c>
      <c r="R58" s="141">
        <f ca="1">[1]!ldf(G$4:G$27, $A$4:$A$27, $L58, $A$27, 1)</f>
        <v>0.77925986809276293</v>
      </c>
      <c r="S58" s="141">
        <f ca="1">[1]!ldf(H$4:H$27, $A$4:$A$27, $L58, $A$27, 1)</f>
        <v>0.78311875003938414</v>
      </c>
      <c r="T58" s="141">
        <f ca="1">[1]!ldf(I$4:I$27, $A$4:$A$27, $L58, $A$27, 1)</f>
        <v>0.78304695331188379</v>
      </c>
      <c r="U58" s="141">
        <f ca="1">[1]!ldf(J$4:J$27, $A$4:$A$27, $L58, $A$27, 1)</f>
        <v>0.78435858995160312</v>
      </c>
    </row>
    <row r="59" spans="12:21" x14ac:dyDescent="0.2">
      <c r="L59" s="254">
        <f>IF(LDF!W60 &lt; 12, LDF!W60/2 + 6, LDF!W60)</f>
        <v>111</v>
      </c>
      <c r="M59" s="141">
        <f ca="1">[1]!ldf(B$4:B$27, $A$4:$A$27, $L59, $A$27, 1)</f>
        <v>0.81721073115879295</v>
      </c>
      <c r="N59" s="141">
        <f ca="1">[1]!ldf(C$4:C$27, $A$4:$A$27, $L59, $A$27, 1)</f>
        <v>0.82574481285989543</v>
      </c>
      <c r="O59" s="141">
        <f ca="1">[1]!ldf(D$4:D$27, $A$4:$A$27, $L59, $A$27, 1)</f>
        <v>0.82890902914926534</v>
      </c>
      <c r="P59" s="141">
        <f ca="1">[1]!ldf(E$4:E$27, $A$4:$A$27, $L59, $A$27, 1)</f>
        <v>0.84245567446287239</v>
      </c>
      <c r="Q59" s="141">
        <f ca="1">[1]!ldf(F$4:F$27, $A$4:$A$27, $L59, $A$27, 1)</f>
        <v>0.85873756114341226</v>
      </c>
      <c r="R59" s="141">
        <f ca="1">[1]!ldf(G$4:G$27, $A$4:$A$27, $L59, $A$27, 1)</f>
        <v>0.78037806322753145</v>
      </c>
      <c r="S59" s="141">
        <f ca="1">[1]!ldf(H$4:H$27, $A$4:$A$27, $L59, $A$27, 1)</f>
        <v>0.78421090334727117</v>
      </c>
      <c r="T59" s="141">
        <f ca="1">[1]!ldf(I$4:I$27, $A$4:$A$27, $L59, $A$27, 1)</f>
        <v>0.78417841615957917</v>
      </c>
      <c r="U59" s="141">
        <f ca="1">[1]!ldf(J$4:J$27, $A$4:$A$27, $L59, $A$27, 1)</f>
        <v>0.78549288348438817</v>
      </c>
    </row>
    <row r="60" spans="12:21" x14ac:dyDescent="0.2">
      <c r="L60" s="254">
        <f>IF(LDF!W61 &lt; 12, LDF!W61/2 + 6, LDF!W61)</f>
        <v>112</v>
      </c>
      <c r="M60" s="141">
        <f ca="1">[1]!ldf(B$4:B$27, $A$4:$A$27, $L60, $A$27, 1)</f>
        <v>0.81752618819304668</v>
      </c>
      <c r="N60" s="141">
        <f ca="1">[1]!ldf(C$4:C$27, $A$4:$A$27, $L60, $A$27, 1)</f>
        <v>0.82603493542057094</v>
      </c>
      <c r="O60" s="141">
        <f ca="1">[1]!ldf(D$4:D$27, $A$4:$A$27, $L60, $A$27, 1)</f>
        <v>0.82918628978393627</v>
      </c>
      <c r="P60" s="141">
        <f ca="1">[1]!ldf(E$4:E$27, $A$4:$A$27, $L60, $A$27, 1)</f>
        <v>0.84270705462310702</v>
      </c>
      <c r="Q60" s="141">
        <f ca="1">[1]!ldf(F$4:F$27, $A$4:$A$27, $L60, $A$27, 1)</f>
        <v>0.85899550053936791</v>
      </c>
      <c r="R60" s="141">
        <f ca="1">[1]!ldf(G$4:G$27, $A$4:$A$27, $L60, $A$27, 1)</f>
        <v>0.78093836507042835</v>
      </c>
      <c r="S60" s="141">
        <f ca="1">[1]!ldf(H$4:H$27, $A$4:$A$27, $L60, $A$27, 1)</f>
        <v>0.7847581231527283</v>
      </c>
      <c r="T60" s="141">
        <f ca="1">[1]!ldf(I$4:I$27, $A$4:$A$27, $L60, $A$27, 1)</f>
        <v>0.78474537464946381</v>
      </c>
      <c r="U60" s="141">
        <f ca="1">[1]!ldf(J$4:J$27, $A$4:$A$27, $L60, $A$27, 1)</f>
        <v>0.7860612614027308</v>
      </c>
    </row>
    <row r="61" spans="12:21" x14ac:dyDescent="0.2">
      <c r="L61" s="254">
        <f>IF(LDF!W62 &lt; 12, LDF!W62/2 + 6, LDF!W62)</f>
        <v>115</v>
      </c>
      <c r="M61" s="141">
        <f ca="1">[1]!ldf(B$4:B$27, $A$4:$A$27, $L61, $A$27, 1)</f>
        <v>0.8184740222503899</v>
      </c>
      <c r="N61" s="141">
        <f ca="1">[1]!ldf(C$4:C$27, $A$4:$A$27, $L61, $A$27, 1)</f>
        <v>0.82690652759586181</v>
      </c>
      <c r="O61" s="141">
        <f ca="1">[1]!ldf(D$4:D$27, $A$4:$A$27, $L61, $A$27, 1)</f>
        <v>0.83001918569212907</v>
      </c>
      <c r="P61" s="141">
        <f ca="1">[1]!ldf(E$4:E$27, $A$4:$A$27, $L61, $A$27, 1)</f>
        <v>0.843462096021522</v>
      </c>
      <c r="Q61" s="141">
        <f ca="1">[1]!ldf(F$4:F$27, $A$4:$A$27, $L61, $A$27, 1)</f>
        <v>0.85977024929427781</v>
      </c>
      <c r="R61" s="141">
        <f ca="1">[1]!ldf(G$4:G$27, $A$4:$A$27, $L61, $A$27, 1)</f>
        <v>0.78262410849768393</v>
      </c>
      <c r="S61" s="141">
        <f ca="1">[1]!ldf(H$4:H$27, $A$4:$A$27, $L61, $A$27, 1)</f>
        <v>0.78640437435981125</v>
      </c>
      <c r="T61" s="141">
        <f ca="1">[1]!ldf(I$4:I$27, $A$4:$A$27, $L61, $A$27, 1)</f>
        <v>0.78645117972150258</v>
      </c>
      <c r="U61" s="141">
        <f ca="1">[1]!ldf(J$4:J$27, $A$4:$A$27, $L61, $A$27, 1)</f>
        <v>0.78777134119257286</v>
      </c>
    </row>
    <row r="62" spans="12:21" x14ac:dyDescent="0.2">
      <c r="L62" s="254">
        <f>IF(LDF!W63 &lt; 12, LDF!W63/2 + 6, LDF!W63)</f>
        <v>117</v>
      </c>
      <c r="M62" s="141">
        <f ca="1">[1]!ldf(B$4:B$27, $A$4:$A$27, $L62, $A$27, 1)</f>
        <v>0.81910713357985554</v>
      </c>
      <c r="N62" s="141">
        <f ca="1">[1]!ldf(C$4:C$27, $A$4:$A$27, $L62, $A$27, 1)</f>
        <v>0.8274886116120026</v>
      </c>
      <c r="O62" s="141">
        <f ca="1">[1]!ldf(D$4:D$27, $A$4:$A$27, $L62, $A$27, 1)</f>
        <v>0.83057537983397023</v>
      </c>
      <c r="P62" s="141">
        <f ca="1">[1]!ldf(E$4:E$27, $A$4:$A$27, $L62, $A$27, 1)</f>
        <v>0.84396620906468978</v>
      </c>
      <c r="Q62" s="141">
        <f ca="1">[1]!ldf(F$4:F$27, $A$4:$A$27, $L62, $A$27, 1)</f>
        <v>0.86028752533643071</v>
      </c>
      <c r="R62" s="141">
        <f ca="1">[1]!ldf(G$4:G$27, $A$4:$A$27, $L62, $A$27, 1)</f>
        <v>0.783751986461657</v>
      </c>
      <c r="S62" s="141">
        <f ca="1">[1]!ldf(H$4:H$27, $A$4:$A$27, $L62, $A$27, 1)</f>
        <v>0.78750571773356792</v>
      </c>
      <c r="T62" s="141">
        <f ca="1">[1]!ldf(I$4:I$27, $A$4:$A$27, $L62, $A$27, 1)</f>
        <v>0.7875925089899376</v>
      </c>
      <c r="U62" s="141">
        <f ca="1">[1]!ldf(J$4:J$27, $A$4:$A$27, $L62, $A$27, 1)</f>
        <v>0.78891553404106107</v>
      </c>
    </row>
    <row r="63" spans="12:21" x14ac:dyDescent="0.2">
      <c r="L63" s="254">
        <f>IF(LDF!W64 &lt; 12, LDF!W64/2 + 6, LDF!W64)</f>
        <v>120</v>
      </c>
      <c r="M63" s="141">
        <f ca="1">[1]!ldf(B$4:B$27, $A$4:$A$27, $L63, $A$27, 1)</f>
        <v>0.82005863918879784</v>
      </c>
      <c r="N63" s="141">
        <f ca="1">[1]!ldf(C$4:C$27, $A$4:$A$27, $L63, $A$27, 1)</f>
        <v>0.82836327580858626</v>
      </c>
      <c r="O63" s="141">
        <f ca="1">[1]!ldf(D$4:D$27, $A$4:$A$27, $L63, $A$27, 1)</f>
        <v>0.83141107009502713</v>
      </c>
      <c r="P63" s="141">
        <f ca="1">[1]!ldf(E$4:E$27, $A$4:$A$27, $L63, $A$27, 1)</f>
        <v>0.84472350949528774</v>
      </c>
      <c r="Q63" s="141">
        <f ca="1">[1]!ldf(F$4:F$27, $A$4:$A$27, $L63, $A$27, 1)</f>
        <v>0.86106460751491731</v>
      </c>
      <c r="R63" s="141">
        <f ca="1">[1]!ldf(G$4:G$27, $A$4:$A$27, $L63, $A$27, 1)</f>
        <v>0.78544991201355174</v>
      </c>
      <c r="S63" s="141">
        <f ca="1">[1]!ldf(H$4:H$27, $A$4:$A$27, $L63, $A$27, 1)</f>
        <v>0.78916352900436615</v>
      </c>
      <c r="T63" s="141">
        <f ca="1">[1]!ldf(I$4:I$27, $A$4:$A$27, $L63, $A$27, 1)</f>
        <v>0.78931072772749022</v>
      </c>
      <c r="U63" s="141">
        <f ca="1">[1]!ldf(J$4:J$27, $A$4:$A$27, $L63, $A$27, 1)</f>
        <v>0.79063806895112843</v>
      </c>
    </row>
    <row r="64" spans="12:21" x14ac:dyDescent="0.2">
      <c r="L64" s="254">
        <f>IF(LDF!W65 &lt; 12, LDF!W65/2 + 6, LDF!W65)</f>
        <v>121</v>
      </c>
      <c r="M64" s="141">
        <f ca="1">[1]!ldf(B$4:B$27, $A$4:$A$27, $L64, $A$27, 1)</f>
        <v>0.82043908994297265</v>
      </c>
      <c r="N64" s="141">
        <f ca="1">[1]!ldf(C$4:C$27, $A$4:$A$27, $L64, $A$27, 1)</f>
        <v>0.82870946650692234</v>
      </c>
      <c r="O64" s="141">
        <f ca="1">[1]!ldf(D$4:D$27, $A$4:$A$27, $L64, $A$27, 1)</f>
        <v>0.83174234792231705</v>
      </c>
      <c r="P64" s="141">
        <f ca="1">[1]!ldf(E$4:E$27, $A$4:$A$27, $L64, $A$27, 1)</f>
        <v>0.84501451570436159</v>
      </c>
      <c r="Q64" s="141">
        <f ca="1">[1]!ldf(F$4:F$27, $A$4:$A$27, $L64, $A$27, 1)</f>
        <v>0.86134134932671946</v>
      </c>
      <c r="R64" s="141">
        <f ca="1">[1]!ldf(G$4:G$27, $A$4:$A$27, $L64, $A$27, 1)</f>
        <v>0.78609556727376273</v>
      </c>
      <c r="S64" s="141">
        <f ca="1">[1]!ldf(H$4:H$27, $A$4:$A$27, $L64, $A$27, 1)</f>
        <v>0.78978854534321818</v>
      </c>
      <c r="T64" s="141">
        <f ca="1">[1]!ldf(I$4:I$27, $A$4:$A$27, $L64, $A$27, 1)</f>
        <v>0.78995321305124588</v>
      </c>
      <c r="U64" s="141">
        <f ca="1">[1]!ldf(J$4:J$27, $A$4:$A$27, $L64, $A$27, 1)</f>
        <v>0.79128488128911234</v>
      </c>
    </row>
    <row r="65" spans="12:21" x14ac:dyDescent="0.2">
      <c r="L65" s="254">
        <f>IF(LDF!W66 &lt; 12, LDF!W66/2 + 6, LDF!W66)</f>
        <v>123</v>
      </c>
      <c r="M65" s="141">
        <f ca="1">[1]!ldf(B$4:B$27, $A$4:$A$27, $L65, $A$27, 1)</f>
        <v>0.82120105145261124</v>
      </c>
      <c r="N65" s="141">
        <f ca="1">[1]!ldf(C$4:C$27, $A$4:$A$27, $L65, $A$27, 1)</f>
        <v>0.82940271671268562</v>
      </c>
      <c r="O65" s="141">
        <f ca="1">[1]!ldf(D$4:D$27, $A$4:$A$27, $L65, $A$27, 1)</f>
        <v>0.83240569619943194</v>
      </c>
      <c r="P65" s="141">
        <f ca="1">[1]!ldf(E$4:E$27, $A$4:$A$27, $L65, $A$27, 1)</f>
        <v>0.84559713004491655</v>
      </c>
      <c r="Q65" s="141">
        <f ca="1">[1]!ldf(F$4:F$27, $A$4:$A$27, $L65, $A$27, 1)</f>
        <v>0.86189536695409152</v>
      </c>
      <c r="R65" s="141">
        <f ca="1">[1]!ldf(G$4:G$27, $A$4:$A$27, $L65, $A$27, 1)</f>
        <v>0.78739006748602158</v>
      </c>
      <c r="S65" s="141">
        <f ca="1">[1]!ldf(H$4:H$27, $A$4:$A$27, $L65, $A$27, 1)</f>
        <v>0.79104155280502442</v>
      </c>
      <c r="T65" s="141">
        <f ca="1">[1]!ldf(I$4:I$27, $A$4:$A$27, $L65, $A$27, 1)</f>
        <v>0.79124132664722713</v>
      </c>
      <c r="U65" s="141">
        <f ca="1">[1]!ldf(J$4:J$27, $A$4:$A$27, $L65, $A$27, 1)</f>
        <v>0.7925816860688002</v>
      </c>
    </row>
    <row r="66" spans="12:21" x14ac:dyDescent="0.2">
      <c r="L66" s="254">
        <f>IF(LDF!W67 &lt; 12, LDF!W67/2 + 6, LDF!W67)</f>
        <v>124</v>
      </c>
      <c r="M66" s="141">
        <f ca="1">[1]!ldf(B$4:B$27, $A$4:$A$27, $L66, $A$27, 1)</f>
        <v>0.82158256319298106</v>
      </c>
      <c r="N66" s="141">
        <f ca="1">[1]!ldf(C$4:C$27, $A$4:$A$27, $L66, $A$27, 1)</f>
        <v>0.82974977694721241</v>
      </c>
      <c r="O66" s="141">
        <f ca="1">[1]!ldf(D$4:D$27, $A$4:$A$27, $L66, $A$27, 1)</f>
        <v>0.83273776728165727</v>
      </c>
      <c r="P66" s="141">
        <f ca="1">[1]!ldf(E$4:E$27, $A$4:$A$27, $L66, $A$27, 1)</f>
        <v>0.84588873859155012</v>
      </c>
      <c r="Q66" s="141">
        <f ca="1">[1]!ldf(F$4:F$27, $A$4:$A$27, $L66, $A$27, 1)</f>
        <v>0.86217264311324493</v>
      </c>
      <c r="R66" s="141">
        <f ca="1">[1]!ldf(G$4:G$27, $A$4:$A$27, $L66, $A$27, 1)</f>
        <v>0.78803891769501244</v>
      </c>
      <c r="S66" s="141">
        <f ca="1">[1]!ldf(H$4:H$27, $A$4:$A$27, $L66, $A$27, 1)</f>
        <v>0.7916695486512505</v>
      </c>
      <c r="T66" s="141">
        <f ca="1">[1]!ldf(I$4:I$27, $A$4:$A$27, $L66, $A$27, 1)</f>
        <v>0.79188696004858938</v>
      </c>
      <c r="U66" s="141">
        <f ca="1">[1]!ldf(J$4:J$27, $A$4:$A$27, $L66, $A$27, 1)</f>
        <v>0.79323168372652153</v>
      </c>
    </row>
    <row r="67" spans="12:21" x14ac:dyDescent="0.2">
      <c r="L67" s="254">
        <f>IF(LDF!W68 &lt; 12, LDF!W68/2 + 6, LDF!W68)</f>
        <v>127</v>
      </c>
      <c r="M67" s="141">
        <f ca="1">[1]!ldf(B$4:B$27, $A$4:$A$27, $L67, $A$27, 1)</f>
        <v>0.82272922828497408</v>
      </c>
      <c r="N67" s="141">
        <f ca="1">[1]!ldf(C$4:C$27, $A$4:$A$27, $L67, $A$27, 1)</f>
        <v>0.83079270255276338</v>
      </c>
      <c r="O67" s="141">
        <f ca="1">[1]!ldf(D$4:D$27, $A$4:$A$27, $L67, $A$27, 1)</f>
        <v>0.83373557210801952</v>
      </c>
      <c r="P67" s="141">
        <f ca="1">[1]!ldf(E$4:E$27, $A$4:$A$27, $L67, $A$27, 1)</f>
        <v>0.8467647722338062</v>
      </c>
      <c r="Q67" s="141">
        <f ca="1">[1]!ldf(F$4:F$27, $A$4:$A$27, $L67, $A$27, 1)</f>
        <v>0.86300554303872268</v>
      </c>
      <c r="R67" s="141">
        <f ca="1">[1]!ldf(G$4:G$27, $A$4:$A$27, $L67, $A$27, 1)</f>
        <v>0.78999190045748002</v>
      </c>
      <c r="S67" s="141">
        <f ca="1">[1]!ldf(H$4:H$27, $A$4:$A$27, $L67, $A$27, 1)</f>
        <v>0.79355953314871452</v>
      </c>
      <c r="T67" s="141">
        <f ca="1">[1]!ldf(I$4:I$27, $A$4:$A$27, $L67, $A$27, 1)</f>
        <v>0.79383019761719642</v>
      </c>
      <c r="U67" s="141">
        <f ca="1">[1]!ldf(J$4:J$27, $A$4:$A$27, $L67, $A$27, 1)</f>
        <v>0.79518808924740481</v>
      </c>
    </row>
    <row r="68" spans="12:21" x14ac:dyDescent="0.2">
      <c r="L68" s="254">
        <f>IF(LDF!W69 &lt; 12, LDF!W69/2 + 6, LDF!W69)</f>
        <v>129</v>
      </c>
      <c r="M68" s="141">
        <f ca="1">[1]!ldf(B$4:B$27, $A$4:$A$27, $L68, $A$27, 1)</f>
        <v>0.823495451531011</v>
      </c>
      <c r="N68" s="141">
        <f ca="1">[1]!ldf(C$4:C$27, $A$4:$A$27, $L68, $A$27, 1)</f>
        <v>0.83148944403316316</v>
      </c>
      <c r="O68" s="141">
        <f ca="1">[1]!ldf(D$4:D$27, $A$4:$A$27, $L68, $A$27, 1)</f>
        <v>0.8344021048229836</v>
      </c>
      <c r="P68" s="141">
        <f ca="1">[1]!ldf(E$4:E$27, $A$4:$A$27, $L68, $A$27, 1)</f>
        <v>0.84734980341713373</v>
      </c>
      <c r="Q68" s="141">
        <f ca="1">[1]!ldf(F$4:F$27, $A$4:$A$27, $L68, $A$27, 1)</f>
        <v>0.86356170425528411</v>
      </c>
      <c r="R68" s="141">
        <f ca="1">[1]!ldf(G$4:G$27, $A$4:$A$27, $L68, $A$27, 1)</f>
        <v>0.79129927569041636</v>
      </c>
      <c r="S68" s="141">
        <f ca="1">[1]!ldf(H$4:H$27, $A$4:$A$27, $L68, $A$27, 1)</f>
        <v>0.79482454417868342</v>
      </c>
      <c r="T68" s="141">
        <f ca="1">[1]!ldf(I$4:I$27, $A$4:$A$27, $L68, $A$27, 1)</f>
        <v>0.79513099642828633</v>
      </c>
      <c r="U68" s="141">
        <f ca="1">[1]!ldf(J$4:J$27, $A$4:$A$27, $L68, $A$27, 1)</f>
        <v>0.79649772978740152</v>
      </c>
    </row>
    <row r="69" spans="12:21" x14ac:dyDescent="0.2">
      <c r="L69" s="254">
        <f>IF(LDF!W70 &lt; 12, LDF!W70/2 + 6, LDF!W70)</f>
        <v>132</v>
      </c>
      <c r="M69" s="141">
        <f ca="1">[1]!ldf(B$4:B$27, $A$4:$A$27, $L69, $A$27, 1)</f>
        <v>0.82464746613669682</v>
      </c>
      <c r="N69" s="141">
        <f ca="1">[1]!ldf(C$4:C$27, $A$4:$A$27, $L69, $A$27, 1)</f>
        <v>0.83253675021324003</v>
      </c>
      <c r="O69" s="141">
        <f ca="1">[1]!ldf(D$4:D$27, $A$4:$A$27, $L69, $A$27, 1)</f>
        <v>0.83540390452639768</v>
      </c>
      <c r="P69" s="141">
        <f ca="1">[1]!ldf(E$4:E$27, $A$4:$A$27, $L69, $A$27, 1)</f>
        <v>0.8482288675109021</v>
      </c>
      <c r="Q69" s="141">
        <f ca="1">[1]!ldf(F$4:F$27, $A$4:$A$27, $L69, $A$27, 1)</f>
        <v>0.86439729144196886</v>
      </c>
      <c r="R69" s="141">
        <f ca="1">[1]!ldf(G$4:G$27, $A$4:$A$27, $L69, $A$27, 1)</f>
        <v>0.79326847224752972</v>
      </c>
      <c r="S69" s="141">
        <f ca="1">[1]!ldf(H$4:H$27, $A$4:$A$27, $L69, $A$27, 1)</f>
        <v>0.79672964091350518</v>
      </c>
      <c r="T69" s="141">
        <f ca="1">[1]!ldf(I$4:I$27, $A$4:$A$27, $L69, $A$27, 1)</f>
        <v>0.79709020759993809</v>
      </c>
      <c r="U69" s="141">
        <f ca="1">[1]!ldf(J$4:J$27, $A$4:$A$27, $L69, $A$27, 1)</f>
        <v>0.79847029908478817</v>
      </c>
    </row>
    <row r="70" spans="12:21" x14ac:dyDescent="0.2">
      <c r="L70" s="254">
        <f>IF(LDF!W71 &lt; 12, LDF!W71/2 + 6, LDF!W71)</f>
        <v>133</v>
      </c>
      <c r="M70" s="141">
        <f ca="1">[1]!ldf(B$4:B$27, $A$4:$A$27, $L70, $A$27, 1)</f>
        <v>0.82518992226486187</v>
      </c>
      <c r="N70" s="141">
        <f ca="1">[1]!ldf(C$4:C$27, $A$4:$A$27, $L70, $A$27, 1)</f>
        <v>0.83302904071425299</v>
      </c>
      <c r="O70" s="141">
        <f ca="1">[1]!ldf(D$4:D$27, $A$4:$A$27, $L70, $A$27, 1)</f>
        <v>0.83587788341703939</v>
      </c>
      <c r="P70" s="141">
        <f ca="1">[1]!ldf(E$4:E$27, $A$4:$A$27, $L70, $A$27, 1)</f>
        <v>0.84863490649418272</v>
      </c>
      <c r="Q70" s="141">
        <f ca="1">[1]!ldf(F$4:F$27, $A$4:$A$27, $L70, $A$27, 1)</f>
        <v>0.86475162103599712</v>
      </c>
      <c r="R70" s="141">
        <f ca="1">[1]!ldf(G$4:G$27, $A$4:$A$27, $L70, $A$27, 1)</f>
        <v>0.79412109788709895</v>
      </c>
      <c r="S70" s="141">
        <f ca="1">[1]!ldf(H$4:H$27, $A$4:$A$27, $L70, $A$27, 1)</f>
        <v>0.79754873639445956</v>
      </c>
      <c r="T70" s="141">
        <f ca="1">[1]!ldf(I$4:I$27, $A$4:$A$27, $L70, $A$27, 1)</f>
        <v>0.79792739406961333</v>
      </c>
      <c r="U70" s="141">
        <f ca="1">[1]!ldf(J$4:J$27, $A$4:$A$27, $L70, $A$27, 1)</f>
        <v>0.79931183604553668</v>
      </c>
    </row>
    <row r="71" spans="12:21" x14ac:dyDescent="0.2">
      <c r="L71" s="254">
        <f>IF(LDF!W72 &lt; 12, LDF!W72/2 + 6, LDF!W72)</f>
        <v>135</v>
      </c>
      <c r="M71" s="141">
        <f ca="1">[1]!ldf(B$4:B$27, $A$4:$A$27, $L71, $A$27, 1)</f>
        <v>0.82627697831937408</v>
      </c>
      <c r="N71" s="141">
        <f ca="1">[1]!ldf(C$4:C$27, $A$4:$A$27, $L71, $A$27, 1)</f>
        <v>0.83401537037340234</v>
      </c>
      <c r="O71" s="141">
        <f ca="1">[1]!ldf(D$4:D$27, $A$4:$A$27, $L71, $A$27, 1)</f>
        <v>0.83682745654534929</v>
      </c>
      <c r="P71" s="141">
        <f ca="1">[1]!ldf(E$4:E$27, $A$4:$A$27, $L71, $A$27, 1)</f>
        <v>0.84944815177999888</v>
      </c>
      <c r="Q71" s="141">
        <f ca="1">[1]!ldf(F$4:F$27, $A$4:$A$27, $L71, $A$27, 1)</f>
        <v>0.8654611524096294</v>
      </c>
      <c r="R71" s="141">
        <f ca="1">[1]!ldf(G$4:G$27, $A$4:$A$27, $L71, $A$27, 1)</f>
        <v>0.79583185955728619</v>
      </c>
      <c r="S71" s="141">
        <f ca="1">[1]!ldf(H$4:H$27, $A$4:$A$27, $L71, $A$27, 1)</f>
        <v>0.79919199030157007</v>
      </c>
      <c r="T71" s="141">
        <f ca="1">[1]!ldf(I$4:I$27, $A$4:$A$27, $L71, $A$27, 1)</f>
        <v>0.79960705391290332</v>
      </c>
      <c r="U71" s="141">
        <f ca="1">[1]!ldf(J$4:J$27, $A$4:$A$27, $L71, $A$27, 1)</f>
        <v>0.80100024276681181</v>
      </c>
    </row>
    <row r="72" spans="12:21" x14ac:dyDescent="0.2">
      <c r="L72" s="254">
        <f>IF(LDF!W73 &lt; 12, LDF!W73/2 + 6, LDF!W73)</f>
        <v>136</v>
      </c>
      <c r="M72" s="141">
        <f ca="1">[1]!ldf(B$4:B$27, $A$4:$A$27, $L72, $A$27, 1)</f>
        <v>0.82682158107169457</v>
      </c>
      <c r="N72" s="141">
        <f ca="1">[1]!ldf(C$4:C$27, $A$4:$A$27, $L72, $A$27, 1)</f>
        <v>0.83450941160322423</v>
      </c>
      <c r="O72" s="141">
        <f ca="1">[1]!ldf(D$4:D$27, $A$4:$A$27, $L72, $A$27, 1)</f>
        <v>0.83730305261912574</v>
      </c>
      <c r="P72" s="141">
        <f ca="1">[1]!ldf(E$4:E$27, $A$4:$A$27, $L72, $A$27, 1)</f>
        <v>0.84985535920171085</v>
      </c>
      <c r="Q72" s="141">
        <f ca="1">[1]!ldf(F$4:F$27, $A$4:$A$27, $L72, $A$27, 1)</f>
        <v>0.8658163549051584</v>
      </c>
      <c r="R72" s="141">
        <f ca="1">[1]!ldf(G$4:G$27, $A$4:$A$27, $L72, $A$27, 1)</f>
        <v>0.79669000747164709</v>
      </c>
      <c r="S72" s="141">
        <f ca="1">[1]!ldf(H$4:H$27, $A$4:$A$27, $L72, $A$27, 1)</f>
        <v>0.80001615917007773</v>
      </c>
      <c r="T72" s="141">
        <f ca="1">[1]!ldf(I$4:I$27, $A$4:$A$27, $L72, $A$27, 1)</f>
        <v>0.80044953842732725</v>
      </c>
      <c r="U72" s="141">
        <f ca="1">[1]!ldf(J$4:J$27, $A$4:$A$27, $L72, $A$27, 1)</f>
        <v>0.80184712380385714</v>
      </c>
    </row>
    <row r="73" spans="12:21" x14ac:dyDescent="0.2">
      <c r="L73" s="254">
        <f>IF(LDF!W74 &lt; 12, LDF!W74/2 + 6, LDF!W74)</f>
        <v>139</v>
      </c>
      <c r="M73" s="141">
        <f ca="1">[1]!ldf(B$4:B$27, $A$4:$A$27, $L73, $A$27, 1)</f>
        <v>0.82845970526313961</v>
      </c>
      <c r="N73" s="141">
        <f ca="1">[1]!ldf(C$4:C$27, $A$4:$A$27, $L73, $A$27, 1)</f>
        <v>0.83599505337542435</v>
      </c>
      <c r="O73" s="141">
        <f ca="1">[1]!ldf(D$4:D$27, $A$4:$A$27, $L73, $A$27, 1)</f>
        <v>0.8387330899394887</v>
      </c>
      <c r="P73" s="141">
        <f ca="1">[1]!ldf(E$4:E$27, $A$4:$A$27, $L73, $A$27, 1)</f>
        <v>0.85107932731968461</v>
      </c>
      <c r="Q73" s="141">
        <f ca="1">[1]!ldf(F$4:F$27, $A$4:$A$27, $L73, $A$27, 1)</f>
        <v>0.8668837139344997</v>
      </c>
      <c r="R73" s="141">
        <f ca="1">[1]!ldf(G$4:G$27, $A$4:$A$27, $L73, $A$27, 1)</f>
        <v>0.79927559137420257</v>
      </c>
      <c r="S73" s="141">
        <f ca="1">[1]!ldf(H$4:H$27, $A$4:$A$27, $L73, $A$27, 1)</f>
        <v>0.80249889654320794</v>
      </c>
      <c r="T73" s="141">
        <f ca="1">[1]!ldf(I$4:I$27, $A$4:$A$27, $L73, $A$27, 1)</f>
        <v>0.8029876776811361</v>
      </c>
      <c r="U73" s="141">
        <f ca="1">[1]!ldf(J$4:J$27, $A$4:$A$27, $L73, $A$27, 1)</f>
        <v>0.80439854578206971</v>
      </c>
    </row>
    <row r="74" spans="12:21" x14ac:dyDescent="0.2">
      <c r="L74" s="254">
        <f>IF(LDF!W75 &lt; 12, LDF!W75/2 + 6, LDF!W75)</f>
        <v>141</v>
      </c>
      <c r="M74" s="141">
        <f ca="1">[1]!ldf(B$4:B$27, $A$4:$A$27, $L74, $A$27, 1)</f>
        <v>0.82955539893978947</v>
      </c>
      <c r="N74" s="141">
        <f ca="1">[1]!ldf(C$4:C$27, $A$4:$A$27, $L74, $A$27, 1)</f>
        <v>0.83698842341006308</v>
      </c>
      <c r="O74" s="141">
        <f ca="1">[1]!ldf(D$4:D$27, $A$4:$A$27, $L74, $A$27, 1)</f>
        <v>0.83968916499474378</v>
      </c>
      <c r="P74" s="141">
        <f ca="1">[1]!ldf(E$4:E$27, $A$4:$A$27, $L74, $A$27, 1)</f>
        <v>0.85189726657863563</v>
      </c>
      <c r="Q74" s="141">
        <f ca="1">[1]!ldf(F$4:F$27, $A$4:$A$27, $L74, $A$27, 1)</f>
        <v>0.86759674984142088</v>
      </c>
      <c r="R74" s="141">
        <f ca="1">[1]!ldf(G$4:G$27, $A$4:$A$27, $L74, $A$27, 1)</f>
        <v>0.80100865783005515</v>
      </c>
      <c r="S74" s="141">
        <f ca="1">[1]!ldf(H$4:H$27, $A$4:$A$27, $L74, $A$27, 1)</f>
        <v>0.80416263345758154</v>
      </c>
      <c r="T74" s="141">
        <f ca="1">[1]!ldf(I$4:I$27, $A$4:$A$27, $L74, $A$27, 1)</f>
        <v>0.8046887318674818</v>
      </c>
      <c r="U74" s="141">
        <f ca="1">[1]!ldf(J$4:J$27, $A$4:$A$27, $L74, $A$27, 1)</f>
        <v>0.80610853344097166</v>
      </c>
    </row>
    <row r="75" spans="12:21" x14ac:dyDescent="0.2">
      <c r="L75" s="254">
        <f>IF(LDF!W76 &lt; 12, LDF!W76/2 + 6, LDF!W76)</f>
        <v>144</v>
      </c>
      <c r="M75" s="141">
        <f ca="1">[1]!ldf(B$4:B$27, $A$4:$A$27, $L75, $A$27, 1)</f>
        <v>0.83120438448906098</v>
      </c>
      <c r="N75" s="141">
        <f ca="1">[1]!ldf(C$4:C$27, $A$4:$A$27, $L75, $A$27, 1)</f>
        <v>0.83848291275552911</v>
      </c>
      <c r="O75" s="141">
        <f ca="1">[1]!ldf(D$4:D$27, $A$4:$A$27, $L75, $A$27, 1)</f>
        <v>0.84112737145360106</v>
      </c>
      <c r="P75" s="141">
        <f ca="1">[1]!ldf(E$4:E$27, $A$4:$A$27, $L75, $A$27, 1)</f>
        <v>0.85312712755887576</v>
      </c>
      <c r="Q75" s="141">
        <f ca="1">[1]!ldf(F$4:F$27, $A$4:$A$27, $L75, $A$27, 1)</f>
        <v>0.86866850576300125</v>
      </c>
      <c r="R75" s="141">
        <f ca="1">[1]!ldf(G$4:G$27, $A$4:$A$27, $L75, $A$27, 1)</f>
        <v>0.8036223952531959</v>
      </c>
      <c r="S75" s="141">
        <f ca="1">[1]!ldf(H$4:H$27, $A$4:$A$27, $L75, $A$27, 1)</f>
        <v>0.80667121387195151</v>
      </c>
      <c r="T75" s="141">
        <f ca="1">[1]!ldf(I$4:I$27, $A$4:$A$27, $L75, $A$27, 1)</f>
        <v>0.80725386943849198</v>
      </c>
      <c r="U75" s="141">
        <f ca="1">[1]!ldf(J$4:J$27, $A$4:$A$27, $L75, $A$27, 1)</f>
        <v>0.80868719010733459</v>
      </c>
    </row>
    <row r="76" spans="12:21" x14ac:dyDescent="0.2">
      <c r="L76" s="254">
        <f>IF(LDF!W77 &lt; 12, LDF!W77/2 + 6, LDF!W77)</f>
        <v>145</v>
      </c>
      <c r="M76" s="141">
        <f ca="1">[1]!ldf(B$4:B$27, $A$4:$A$27, $L76, $A$27, 1)</f>
        <v>0.8317990482665385</v>
      </c>
      <c r="N76" s="141">
        <f ca="1">[1]!ldf(C$4:C$27, $A$4:$A$27, $L76, $A$27, 1)</f>
        <v>0.83901777979714365</v>
      </c>
      <c r="O76" s="141">
        <f ca="1">[1]!ldf(D$4:D$27, $A$4:$A$27, $L76, $A$27, 1)</f>
        <v>0.84164256953017069</v>
      </c>
      <c r="P76" s="141">
        <f ca="1">[1]!ldf(E$4:E$27, $A$4:$A$27, $L76, $A$27, 1)</f>
        <v>0.85355670818146179</v>
      </c>
      <c r="Q76" s="141">
        <f ca="1">[1]!ldf(F$4:F$27, $A$4:$A$27, $L76, $A$27, 1)</f>
        <v>0.86901133539597941</v>
      </c>
      <c r="R76" s="141">
        <f ca="1">[1]!ldf(G$4:G$27, $A$4:$A$27, $L76, $A$27, 1)</f>
        <v>0.80454032184784741</v>
      </c>
      <c r="S76" s="141">
        <f ca="1">[1]!ldf(H$4:H$27, $A$4:$A$27, $L76, $A$27, 1)</f>
        <v>0.80754839344155804</v>
      </c>
      <c r="T76" s="141">
        <f ca="1">[1]!ldf(I$4:I$27, $A$4:$A$27, $L76, $A$27, 1)</f>
        <v>0.80814651181124453</v>
      </c>
      <c r="U76" s="141">
        <f ca="1">[1]!ldf(J$4:J$27, $A$4:$A$27, $L76, $A$27, 1)</f>
        <v>0.80958796010221823</v>
      </c>
    </row>
    <row r="77" spans="12:21" x14ac:dyDescent="0.2">
      <c r="L77" s="254">
        <f>IF(LDF!W78 &lt; 12, LDF!W78/2 + 6, LDF!W78)</f>
        <v>147</v>
      </c>
      <c r="M77" s="141">
        <f ca="1">[1]!ldf(B$4:B$27, $A$4:$A$27, $L77, $A$27, 1)</f>
        <v>0.83299093210048103</v>
      </c>
      <c r="N77" s="141">
        <f ca="1">[1]!ldf(C$4:C$27, $A$4:$A$27, $L77, $A$27, 1)</f>
        <v>0.84008956364094112</v>
      </c>
      <c r="O77" s="141">
        <f ca="1">[1]!ldf(D$4:D$27, $A$4:$A$27, $L77, $A$27, 1)</f>
        <v>0.84267486138630077</v>
      </c>
      <c r="P77" s="141">
        <f ca="1">[1]!ldf(E$4:E$27, $A$4:$A$27, $L77, $A$27, 1)</f>
        <v>0.85441716859205097</v>
      </c>
      <c r="Q77" s="141">
        <f ca="1">[1]!ldf(F$4:F$27, $A$4:$A$27, $L77, $A$27, 1)</f>
        <v>0.86969780711225808</v>
      </c>
      <c r="R77" s="141">
        <f ca="1">[1]!ldf(G$4:G$27, $A$4:$A$27, $L77, $A$27, 1)</f>
        <v>0.80638248037545868</v>
      </c>
      <c r="S77" s="141">
        <f ca="1">[1]!ldf(H$4:H$27, $A$4:$A$27, $L77, $A$27, 1)</f>
        <v>0.80930848815949197</v>
      </c>
      <c r="T77" s="141">
        <f ca="1">[1]!ldf(I$4:I$27, $A$4:$A$27, $L77, $A$27, 1)</f>
        <v>0.80993773206127995</v>
      </c>
      <c r="U77" s="141">
        <f ca="1">[1]!ldf(J$4:J$27, $A$4:$A$27, $L77, $A$27, 1)</f>
        <v>0.81139553356091831</v>
      </c>
    </row>
    <row r="78" spans="12:21" x14ac:dyDescent="0.2">
      <c r="L78" s="254">
        <f>IF(LDF!W79 &lt; 12, LDF!W79/2 + 6, LDF!W79)</f>
        <v>148</v>
      </c>
      <c r="M78" s="141">
        <f ca="1">[1]!ldf(B$4:B$27, $A$4:$A$27, $L78, $A$27, 1)</f>
        <v>0.83358815582246149</v>
      </c>
      <c r="N78" s="141">
        <f ca="1">[1]!ldf(C$4:C$27, $A$4:$A$27, $L78, $A$27, 1)</f>
        <v>0.84062648306321675</v>
      </c>
      <c r="O78" s="141">
        <f ca="1">[1]!ldf(D$4:D$27, $A$4:$A$27, $L78, $A$27, 1)</f>
        <v>0.8431919574924065</v>
      </c>
      <c r="P78" s="141">
        <f ca="1">[1]!ldf(E$4:E$27, $A$4:$A$27, $L78, $A$27, 1)</f>
        <v>0.85484804969038786</v>
      </c>
      <c r="Q78" s="141">
        <f ca="1">[1]!ldf(F$4:F$27, $A$4:$A$27, $L78, $A$27, 1)</f>
        <v>0.87004144983760368</v>
      </c>
      <c r="R78" s="141">
        <f ca="1">[1]!ldf(G$4:G$27, $A$4:$A$27, $L78, $A$27, 1)</f>
        <v>0.80730672676231963</v>
      </c>
      <c r="S78" s="141">
        <f ca="1">[1]!ldf(H$4:H$27, $A$4:$A$27, $L78, $A$27, 1)</f>
        <v>0.81019141582245657</v>
      </c>
      <c r="T78" s="141">
        <f ca="1">[1]!ldf(I$4:I$27, $A$4:$A$27, $L78, $A$27, 1)</f>
        <v>0.8108363231089365</v>
      </c>
      <c r="U78" s="141">
        <f ca="1">[1]!ldf(J$4:J$27, $A$4:$A$27, $L78, $A$27, 1)</f>
        <v>0.81230235051076349</v>
      </c>
    </row>
    <row r="79" spans="12:21" x14ac:dyDescent="0.2">
      <c r="L79" s="254">
        <f>IF(LDF!W80 &lt; 12, LDF!W80/2 + 6, LDF!W80)</f>
        <v>151</v>
      </c>
      <c r="M79" s="141">
        <f ca="1">[1]!ldf(B$4:B$27, $A$4:$A$27, $L79, $A$27, 1)</f>
        <v>0.83538497631214514</v>
      </c>
      <c r="N79" s="141">
        <f ca="1">[1]!ldf(C$4:C$27, $A$4:$A$27, $L79, $A$27, 1)</f>
        <v>0.84224136712257436</v>
      </c>
      <c r="O79" s="141">
        <f ca="1">[1]!ldf(D$4:D$27, $A$4:$A$27, $L79, $A$27, 1)</f>
        <v>0.84474706054223059</v>
      </c>
      <c r="P79" s="141">
        <f ca="1">[1]!ldf(E$4:E$27, $A$4:$A$27, $L79, $A$27, 1)</f>
        <v>0.85614330444736519</v>
      </c>
      <c r="Q79" s="141">
        <f ca="1">[1]!ldf(F$4:F$27, $A$4:$A$27, $L79, $A$27, 1)</f>
        <v>0.87107400934540513</v>
      </c>
      <c r="R79" s="141">
        <f ca="1">[1]!ldf(G$4:G$27, $A$4:$A$27, $L79, $A$27, 1)</f>
        <v>0.81009222183672125</v>
      </c>
      <c r="S79" s="141">
        <f ca="1">[1]!ldf(H$4:H$27, $A$4:$A$27, $L79, $A$27, 1)</f>
        <v>0.81285179569047616</v>
      </c>
      <c r="T79" s="141">
        <f ca="1">[1]!ldf(I$4:I$27, $A$4:$A$27, $L79, $A$27, 1)</f>
        <v>0.81354409958045504</v>
      </c>
      <c r="U79" s="141">
        <f ca="1">[1]!ldf(J$4:J$27, $A$4:$A$27, $L79, $A$27, 1)</f>
        <v>0.81503500379360971</v>
      </c>
    </row>
    <row r="80" spans="12:21" x14ac:dyDescent="0.2">
      <c r="L80" s="254">
        <f>IF(LDF!W81 &lt; 12, LDF!W81/2 + 6, LDF!W81)</f>
        <v>153</v>
      </c>
      <c r="M80" s="141">
        <f ca="1">[1]!ldf(B$4:B$27, $A$4:$A$27, $L80, $A$27, 1)</f>
        <v>0.83658716626750562</v>
      </c>
      <c r="N80" s="141">
        <f ca="1">[1]!ldf(C$4:C$27, $A$4:$A$27, $L80, $A$27, 1)</f>
        <v>0.84332140788260535</v>
      </c>
      <c r="O80" s="141">
        <f ca="1">[1]!ldf(D$4:D$27, $A$4:$A$27, $L80, $A$27, 1)</f>
        <v>0.84578698659201756</v>
      </c>
      <c r="P80" s="141">
        <f ca="1">[1]!ldf(E$4:E$27, $A$4:$A$27, $L80, $A$27, 1)</f>
        <v>0.85700899043841328</v>
      </c>
      <c r="Q80" s="141">
        <f ca="1">[1]!ldf(F$4:F$27, $A$4:$A$27, $L80, $A$27, 1)</f>
        <v>0.87176374502305454</v>
      </c>
      <c r="R80" s="141">
        <f ca="1">[1]!ldf(G$4:G$27, $A$4:$A$27, $L80, $A$27, 1)</f>
        <v>0.81195992200435174</v>
      </c>
      <c r="S80" s="141">
        <f ca="1">[1]!ldf(H$4:H$27, $A$4:$A$27, $L80, $A$27, 1)</f>
        <v>0.81463510994103028</v>
      </c>
      <c r="T80" s="141">
        <f ca="1">[1]!ldf(I$4:I$27, $A$4:$A$27, $L80, $A$27, 1)</f>
        <v>0.81535935362590417</v>
      </c>
      <c r="U80" s="141">
        <f ca="1">[1]!ldf(J$4:J$27, $A$4:$A$27, $L80, $A$27, 1)</f>
        <v>0.81686700991373307</v>
      </c>
    </row>
    <row r="81" spans="12:21" x14ac:dyDescent="0.2">
      <c r="L81" s="254">
        <f>IF(LDF!W82 &lt; 12, LDF!W82/2 + 6, LDF!W82)</f>
        <v>156</v>
      </c>
      <c r="M81" s="141">
        <f ca="1">[1]!ldf(B$4:B$27, $A$4:$A$27, $L81, $A$27, 1)</f>
        <v>0.83839695293593586</v>
      </c>
      <c r="N81" s="141">
        <f ca="1">[1]!ldf(C$4:C$27, $A$4:$A$27, $L81, $A$27, 1)</f>
        <v>0.84494667270965251</v>
      </c>
      <c r="O81" s="141">
        <f ca="1">[1]!ldf(D$4:D$27, $A$4:$A$27, $L81, $A$27, 1)</f>
        <v>0.84735168530250116</v>
      </c>
      <c r="P81" s="141">
        <f ca="1">[1]!ldf(E$4:E$27, $A$4:$A$27, $L81, $A$27, 1)</f>
        <v>0.85831080691759498</v>
      </c>
      <c r="Q81" s="141">
        <f ca="1">[1]!ldf(F$4:F$27, $A$4:$A$27, $L81, $A$27, 1)</f>
        <v>0.87280039902986473</v>
      </c>
      <c r="R81" s="141">
        <f ca="1">[1]!ldf(G$4:G$27, $A$4:$A$27, $L81, $A$27, 1)</f>
        <v>0.81477767601009066</v>
      </c>
      <c r="S81" s="141">
        <f ca="1">[1]!ldf(H$4:H$27, $A$4:$A$27, $L81, $A$27, 1)</f>
        <v>0.81732480129659646</v>
      </c>
      <c r="T81" s="141">
        <f ca="1">[1]!ldf(I$4:I$27, $A$4:$A$27, $L81, $A$27, 1)</f>
        <v>0.81809747455448545</v>
      </c>
      <c r="U81" s="141">
        <f ca="1">[1]!ldf(J$4:J$27, $A$4:$A$27, $L81, $A$27, 1)</f>
        <v>0.8196305135240568</v>
      </c>
    </row>
    <row r="82" spans="12:21" x14ac:dyDescent="0.2">
      <c r="L82" s="254">
        <f>IF(LDF!W83 &lt; 12, LDF!W83/2 + 6, LDF!W83)</f>
        <v>157</v>
      </c>
      <c r="M82" s="141">
        <f ca="1">[1]!ldf(B$4:B$27, $A$4:$A$27, $L82, $A$27, 1)</f>
        <v>0.83901980421916345</v>
      </c>
      <c r="N82" s="141">
        <f ca="1">[1]!ldf(C$4:C$27, $A$4:$A$27, $L82, $A$27, 1)</f>
        <v>0.84549953208021356</v>
      </c>
      <c r="O82" s="141">
        <f ca="1">[1]!ldf(D$4:D$27, $A$4:$A$27, $L82, $A$27, 1)</f>
        <v>0.84788378919881147</v>
      </c>
      <c r="P82" s="141">
        <f ca="1">[1]!ldf(E$4:E$27, $A$4:$A$27, $L82, $A$27, 1)</f>
        <v>0.85873806751396708</v>
      </c>
      <c r="Q82" s="141">
        <f ca="1">[1]!ldf(F$4:F$27, $A$4:$A$27, $L82, $A$27, 1)</f>
        <v>0.87309325992797748</v>
      </c>
      <c r="R82" s="141">
        <f ca="1">[1]!ldf(G$4:G$27, $A$4:$A$27, $L82, $A$27, 1)</f>
        <v>0.8157347630205245</v>
      </c>
      <c r="S82" s="141">
        <f ca="1">[1]!ldf(H$4:H$27, $A$4:$A$27, $L82, $A$27, 1)</f>
        <v>0.81823415278168965</v>
      </c>
      <c r="T82" s="141">
        <f ca="1">[1]!ldf(I$4:I$27, $A$4:$A$27, $L82, $A$27, 1)</f>
        <v>0.81901896426989429</v>
      </c>
      <c r="U82" s="141">
        <f ca="1">[1]!ldf(J$4:J$27, $A$4:$A$27, $L82, $A$27, 1)</f>
        <v>0.82056515954060794</v>
      </c>
    </row>
    <row r="83" spans="12:21" x14ac:dyDescent="0.2">
      <c r="L83" s="254">
        <f>IF(LDF!W84 &lt; 12, LDF!W84/2 + 6, LDF!W84)</f>
        <v>159</v>
      </c>
      <c r="M83" s="141">
        <f ca="1">[1]!ldf(B$4:B$27, $A$4:$A$27, $L83, $A$27, 1)</f>
        <v>0.84026828724174929</v>
      </c>
      <c r="N83" s="141">
        <f ca="1">[1]!ldf(C$4:C$27, $A$4:$A$27, $L83, $A$27, 1)</f>
        <v>0.84660742412294343</v>
      </c>
      <c r="O83" s="141">
        <f ca="1">[1]!ldf(D$4:D$27, $A$4:$A$27, $L83, $A$27, 1)</f>
        <v>0.84895000435581336</v>
      </c>
      <c r="P83" s="141">
        <f ca="1">[1]!ldf(E$4:E$27, $A$4:$A$27, $L83, $A$27, 1)</f>
        <v>0.85959386610093147</v>
      </c>
      <c r="Q83" s="141">
        <f ca="1">[1]!ldf(F$4:F$27, $A$4:$A$27, $L83, $A$27, 1)</f>
        <v>0.87367957172233945</v>
      </c>
      <c r="R83" s="141">
        <f ca="1">[1]!ldf(G$4:G$27, $A$4:$A$27, $L83, $A$27, 1)</f>
        <v>0.81765569843892028</v>
      </c>
      <c r="S83" s="141">
        <f ca="1">[1]!ldf(H$4:H$27, $A$4:$A$27, $L83, $A$27, 1)</f>
        <v>0.82005893972936006</v>
      </c>
      <c r="T83" s="141">
        <f ca="1">[1]!ldf(I$4:I$27, $A$4:$A$27, $L83, $A$27, 1)</f>
        <v>0.82086818545472917</v>
      </c>
      <c r="U83" s="141">
        <f ca="1">[1]!ldf(J$4:J$27, $A$4:$A$27, $L83, $A$27, 1)</f>
        <v>0.8224408609985151</v>
      </c>
    </row>
    <row r="84" spans="12:21" x14ac:dyDescent="0.2">
      <c r="L84" s="254">
        <f>IF(LDF!W85 &lt; 12, LDF!W85/2 + 6, LDF!W85)</f>
        <v>160</v>
      </c>
      <c r="M84" s="141">
        <f ca="1">[1]!ldf(B$4:B$27, $A$4:$A$27, $L84, $A$27, 1)</f>
        <v>0.84089392312157796</v>
      </c>
      <c r="N84" s="141">
        <f ca="1">[1]!ldf(C$4:C$27, $A$4:$A$27, $L84, $A$27, 1)</f>
        <v>0.84716245964474346</v>
      </c>
      <c r="O84" s="141">
        <f ca="1">[1]!ldf(D$4:D$27, $A$4:$A$27, $L84, $A$27, 1)</f>
        <v>0.84948411814235669</v>
      </c>
      <c r="P84" s="141">
        <f ca="1">[1]!ldf(E$4:E$27, $A$4:$A$27, $L84, $A$27, 1)</f>
        <v>0.86002240536517982</v>
      </c>
      <c r="Q84" s="141">
        <f ca="1">[1]!ldf(F$4:F$27, $A$4:$A$27, $L84, $A$27, 1)</f>
        <v>0.87397302301492519</v>
      </c>
      <c r="R84" s="141">
        <f ca="1">[1]!ldf(G$4:G$27, $A$4:$A$27, $L84, $A$27, 1)</f>
        <v>0.81861956278774839</v>
      </c>
      <c r="S84" s="141">
        <f ca="1">[1]!ldf(H$4:H$27, $A$4:$A$27, $L84, $A$27, 1)</f>
        <v>0.82097438877528162</v>
      </c>
      <c r="T84" s="141">
        <f ca="1">[1]!ldf(I$4:I$27, $A$4:$A$27, $L84, $A$27, 1)</f>
        <v>0.82179593103302084</v>
      </c>
      <c r="U84" s="141">
        <f ca="1">[1]!ldf(J$4:J$27, $A$4:$A$27, $L84, $A$27, 1)</f>
        <v>0.82338193110771751</v>
      </c>
    </row>
    <row r="85" spans="12:21" x14ac:dyDescent="0.2">
      <c r="L85" s="254">
        <f>IF(LDF!W86 &lt; 12, LDF!W86/2 + 6, LDF!W86)</f>
        <v>163</v>
      </c>
      <c r="M85" s="141">
        <f ca="1">[1]!ldf(B$4:B$27, $A$4:$A$27, $L85, $A$27, 1)</f>
        <v>0.84277643320780171</v>
      </c>
      <c r="N85" s="141">
        <f ca="1">[1]!ldf(C$4:C$27, $A$4:$A$27, $L85, $A$27, 1)</f>
        <v>0.84883194138829332</v>
      </c>
      <c r="O85" s="141">
        <f ca="1">[1]!ldf(D$4:D$27, $A$4:$A$27, $L85, $A$27, 1)</f>
        <v>0.85109049955613891</v>
      </c>
      <c r="P85" s="141">
        <f ca="1">[1]!ldf(E$4:E$27, $A$4:$A$27, $L85, $A$27, 1)</f>
        <v>0.86131059070963667</v>
      </c>
      <c r="Q85" s="141">
        <f ca="1">[1]!ldf(F$4:F$27, $A$4:$A$27, $L85, $A$27, 1)</f>
        <v>0.87485456085792024</v>
      </c>
      <c r="R85" s="141">
        <f ca="1">[1]!ldf(G$4:G$27, $A$4:$A$27, $L85, $A$27, 1)</f>
        <v>0.82152483882998817</v>
      </c>
      <c r="S85" s="141">
        <f ca="1">[1]!ldf(H$4:H$27, $A$4:$A$27, $L85, $A$27, 1)</f>
        <v>0.82373304034045813</v>
      </c>
      <c r="T85" s="141">
        <f ca="1">[1]!ldf(I$4:I$27, $A$4:$A$27, $L85, $A$27, 1)</f>
        <v>0.82459179303659602</v>
      </c>
      <c r="U85" s="141">
        <f ca="1">[1]!ldf(J$4:J$27, $A$4:$A$27, $L85, $A$27, 1)</f>
        <v>0.82621810767073545</v>
      </c>
    </row>
    <row r="86" spans="12:21" x14ac:dyDescent="0.2">
      <c r="L86" s="254">
        <f>IF(LDF!W87 &lt; 12, LDF!W87/2 + 6, LDF!W87)</f>
        <v>165</v>
      </c>
      <c r="M86" s="141">
        <f ca="1">[1]!ldf(B$4:B$27, $A$4:$A$27, $L86, $A$27, 1)</f>
        <v>0.84403612957248242</v>
      </c>
      <c r="N86" s="141">
        <f ca="1">[1]!ldf(C$4:C$27, $A$4:$A$27, $L86, $A$27, 1)</f>
        <v>0.84994858958811115</v>
      </c>
      <c r="O86" s="141">
        <f ca="1">[1]!ldf(D$4:D$27, $A$4:$A$27, $L86, $A$27, 1)</f>
        <v>0.85216479995948458</v>
      </c>
      <c r="P86" s="141">
        <f ca="1">[1]!ldf(E$4:E$27, $A$4:$A$27, $L86, $A$27, 1)</f>
        <v>0.86217152698179056</v>
      </c>
      <c r="Q86" s="141">
        <f ca="1">[1]!ldf(F$4:F$27, $A$4:$A$27, $L86, $A$27, 1)</f>
        <v>0.87544324138264296</v>
      </c>
      <c r="R86" s="141">
        <f ca="1">[1]!ldf(G$4:G$27, $A$4:$A$27, $L86, $A$27, 1)</f>
        <v>0.82347317314800883</v>
      </c>
      <c r="S86" s="141">
        <f ca="1">[1]!ldf(H$4:H$27, $A$4:$A$27, $L86, $A$27, 1)</f>
        <v>0.82558246413736236</v>
      </c>
      <c r="T86" s="141">
        <f ca="1">[1]!ldf(I$4:I$27, $A$4:$A$27, $L86, $A$27, 1)</f>
        <v>0.82646629384711379</v>
      </c>
      <c r="U86" s="141">
        <f ca="1">[1]!ldf(J$4:J$27, $A$4:$A$27, $L86, $A$27, 1)</f>
        <v>0.82811977185156693</v>
      </c>
    </row>
    <row r="87" spans="12:21" x14ac:dyDescent="0.2">
      <c r="L87" s="254">
        <f>IF(LDF!W88 &lt; 12, LDF!W88/2 + 6, LDF!W88)</f>
        <v>168</v>
      </c>
      <c r="M87" s="141">
        <f ca="1">[1]!ldf(B$4:B$27, $A$4:$A$27, $L87, $A$27, 1)</f>
        <v>0.84593275073238949</v>
      </c>
      <c r="N87" s="141">
        <f ca="1">[1]!ldf(C$4:C$27, $A$4:$A$27, $L87, $A$27, 1)</f>
        <v>0.851629081392698</v>
      </c>
      <c r="O87" s="141">
        <f ca="1">[1]!ldf(D$4:D$27, $A$4:$A$27, $L87, $A$27, 1)</f>
        <v>0.85378134539891115</v>
      </c>
      <c r="P87" s="141">
        <f ca="1">[1]!ldf(E$4:E$27, $A$4:$A$27, $L87, $A$27, 1)</f>
        <v>0.86346616334378135</v>
      </c>
      <c r="Q87" s="141">
        <f ca="1">[1]!ldf(F$4:F$27, $A$4:$A$27, $L87, $A$27, 1)</f>
        <v>0.87632774910927991</v>
      </c>
      <c r="R87" s="141">
        <f ca="1">[1]!ldf(G$4:G$27, $A$4:$A$27, $L87, $A$27, 1)</f>
        <v>0.82641306405108506</v>
      </c>
      <c r="S87" s="141">
        <f ca="1">[1]!ldf(H$4:H$27, $A$4:$A$27, $L87, $A$27, 1)</f>
        <v>0.828372223491046</v>
      </c>
      <c r="T87" s="141">
        <f ca="1">[1]!ldf(I$4:I$27, $A$4:$A$27, $L87, $A$27, 1)</f>
        <v>0.8292940792498531</v>
      </c>
      <c r="U87" s="141">
        <f ca="1">[1]!ldf(J$4:J$27, $A$4:$A$27, $L87, $A$27, 1)</f>
        <v>0.83098873860053946</v>
      </c>
    </row>
    <row r="88" spans="12:21" x14ac:dyDescent="0.2">
      <c r="L88" s="254">
        <f>IF(LDF!W89 &lt; 12, LDF!W89/2 + 6, LDF!W89)</f>
        <v>169</v>
      </c>
      <c r="M88" s="141">
        <f ca="1">[1]!ldf(B$4:B$27, $A$4:$A$27, $L88, $A$27, 1)</f>
        <v>0.84663310786683399</v>
      </c>
      <c r="N88" s="141">
        <f ca="1">[1]!ldf(C$4:C$27, $A$4:$A$27, $L88, $A$27, 1)</f>
        <v>0.85224395326179747</v>
      </c>
      <c r="O88" s="141">
        <f ca="1">[1]!ldf(D$4:D$27, $A$4:$A$27, $L88, $A$27, 1)</f>
        <v>0.85437372806346068</v>
      </c>
      <c r="P88" s="141">
        <f ca="1">[1]!ldf(E$4:E$27, $A$4:$A$27, $L88, $A$27, 1)</f>
        <v>0.86392295792921125</v>
      </c>
      <c r="Q88" s="141">
        <f ca="1">[1]!ldf(F$4:F$27, $A$4:$A$27, $L88, $A$27, 1)</f>
        <v>0.87657403732517625</v>
      </c>
      <c r="R88" s="141">
        <f ca="1">[1]!ldf(G$4:G$27, $A$4:$A$27, $L88, $A$27, 1)</f>
        <v>0.82747186425476804</v>
      </c>
      <c r="S88" s="141">
        <f ca="1">[1]!ldf(H$4:H$27, $A$4:$A$27, $L88, $A$27, 1)</f>
        <v>0.82937321422709365</v>
      </c>
      <c r="T88" s="141">
        <f ca="1">[1]!ldf(I$4:I$27, $A$4:$A$27, $L88, $A$27, 1)</f>
        <v>0.83030523795308198</v>
      </c>
      <c r="U88" s="141">
        <f ca="1">[1]!ldf(J$4:J$27, $A$4:$A$27, $L88, $A$27, 1)</f>
        <v>0.83201677221145343</v>
      </c>
    </row>
    <row r="89" spans="12:21" x14ac:dyDescent="0.2">
      <c r="L89" s="254">
        <f>IF(LDF!W90 &lt; 12, LDF!W90/2 + 6, LDF!W90)</f>
        <v>171</v>
      </c>
      <c r="M89" s="141">
        <f ca="1">[1]!ldf(B$4:B$27, $A$4:$A$27, $L89, $A$27, 1)</f>
        <v>0.84803730690665879</v>
      </c>
      <c r="N89" s="141">
        <f ca="1">[1]!ldf(C$4:C$27, $A$4:$A$27, $L89, $A$27, 1)</f>
        <v>0.85347636445796837</v>
      </c>
      <c r="O89" s="141">
        <f ca="1">[1]!ldf(D$4:D$27, $A$4:$A$27, $L89, $A$27, 1)</f>
        <v>0.85556096291141182</v>
      </c>
      <c r="P89" s="141">
        <f ca="1">[1]!ldf(E$4:E$27, $A$4:$A$27, $L89, $A$27, 1)</f>
        <v>0.8648379985684187</v>
      </c>
      <c r="Q89" s="141">
        <f ca="1">[1]!ldf(F$4:F$27, $A$4:$A$27, $L89, $A$27, 1)</f>
        <v>0.87706702930012459</v>
      </c>
      <c r="R89" s="141">
        <f ca="1">[1]!ldf(G$4:G$27, $A$4:$A$27, $L89, $A$27, 1)</f>
        <v>0.82959762477889376</v>
      </c>
      <c r="S89" s="141">
        <f ca="1">[1]!ldf(H$4:H$27, $A$4:$A$27, $L89, $A$27, 1)</f>
        <v>0.83138247076116023</v>
      </c>
      <c r="T89" s="141">
        <f ca="1">[1]!ldf(I$4:I$27, $A$4:$A$27, $L89, $A$27, 1)</f>
        <v>0.83233497088104291</v>
      </c>
      <c r="U89" s="141">
        <f ca="1">[1]!ldf(J$4:J$27, $A$4:$A$27, $L89, $A$27, 1)</f>
        <v>0.83408048917233713</v>
      </c>
    </row>
    <row r="90" spans="12:21" x14ac:dyDescent="0.2">
      <c r="L90" s="254">
        <f>IF(LDF!W91 &lt; 12, LDF!W91/2 + 6, LDF!W91)</f>
        <v>172</v>
      </c>
      <c r="M90" s="141">
        <f ca="1">[1]!ldf(B$4:B$27, $A$4:$A$27, $L90, $A$27, 1)</f>
        <v>0.84874115459656696</v>
      </c>
      <c r="N90" s="141">
        <f ca="1">[1]!ldf(C$4:C$27, $A$4:$A$27, $L90, $A$27, 1)</f>
        <v>0.85409390764518289</v>
      </c>
      <c r="O90" s="141">
        <f ca="1">[1]!ldf(D$4:D$27, $A$4:$A$27, $L90, $A$27, 1)</f>
        <v>0.85615581852883438</v>
      </c>
      <c r="P90" s="141">
        <f ca="1">[1]!ldf(E$4:E$27, $A$4:$A$27, $L90, $A$27, 1)</f>
        <v>0.8652962461603616</v>
      </c>
      <c r="Q90" s="141">
        <f ca="1">[1]!ldf(F$4:F$27, $A$4:$A$27, $L90, $A$27, 1)</f>
        <v>0.87731373329294737</v>
      </c>
      <c r="R90" s="141">
        <f ca="1">[1]!ldf(G$4:G$27, $A$4:$A$27, $L90, $A$27, 1)</f>
        <v>0.83066460608949322</v>
      </c>
      <c r="S90" s="141">
        <f ca="1">[1]!ldf(H$4:H$27, $A$4:$A$27, $L90, $A$27, 1)</f>
        <v>0.83239075420526809</v>
      </c>
      <c r="T90" s="141">
        <f ca="1">[1]!ldf(I$4:I$27, $A$4:$A$27, $L90, $A$27, 1)</f>
        <v>0.83335356325566368</v>
      </c>
      <c r="U90" s="141">
        <f ca="1">[1]!ldf(J$4:J$27, $A$4:$A$27, $L90, $A$27, 1)</f>
        <v>0.83511619152012018</v>
      </c>
    </row>
    <row r="91" spans="12:21" x14ac:dyDescent="0.2">
      <c r="L91" s="254">
        <f>IF(LDF!W92 &lt; 12, LDF!W92/2 + 6, LDF!W92)</f>
        <v>175</v>
      </c>
      <c r="M91" s="141">
        <f ca="1">[1]!ldf(B$4:B$27, $A$4:$A$27, $L91, $A$27, 1)</f>
        <v>0.85085972525559284</v>
      </c>
      <c r="N91" s="141">
        <f ca="1">[1]!ldf(C$4:C$27, $A$4:$A$27, $L91, $A$27, 1)</f>
        <v>0.85595191084176558</v>
      </c>
      <c r="O91" s="141">
        <f ca="1">[1]!ldf(D$4:D$27, $A$4:$A$27, $L91, $A$27, 1)</f>
        <v>0.85794535885950507</v>
      </c>
      <c r="P91" s="141">
        <f ca="1">[1]!ldf(E$4:E$27, $A$4:$A$27, $L91, $A$27, 1)</f>
        <v>0.86667390728882343</v>
      </c>
      <c r="Q91" s="141">
        <f ca="1">[1]!ldf(F$4:F$27, $A$4:$A$27, $L91, $A$27, 1)</f>
        <v>0.87805467869819498</v>
      </c>
      <c r="R91" s="141">
        <f ca="1">[1]!ldf(G$4:G$27, $A$4:$A$27, $L91, $A$27, 1)</f>
        <v>0.83388208129461705</v>
      </c>
      <c r="S91" s="141">
        <f ca="1">[1]!ldf(H$4:H$27, $A$4:$A$27, $L91, $A$27, 1)</f>
        <v>0.83543033202454087</v>
      </c>
      <c r="T91" s="141">
        <f ca="1">[1]!ldf(I$4:I$27, $A$4:$A$27, $L91, $A$27, 1)</f>
        <v>0.83642435385773883</v>
      </c>
      <c r="U91" s="141">
        <f ca="1">[1]!ldf(J$4:J$27, $A$4:$A$27, $L91, $A$27, 1)</f>
        <v>0.83823878901420523</v>
      </c>
    </row>
    <row r="92" spans="12:21" x14ac:dyDescent="0.2">
      <c r="L92" s="254">
        <f>IF(LDF!W93 &lt; 12, LDF!W93/2 + 6, LDF!W93)</f>
        <v>177</v>
      </c>
      <c r="M92" s="141">
        <f ca="1">[1]!ldf(B$4:B$27, $A$4:$A$27, $L92, $A$27, 1)</f>
        <v>0.85227799130442106</v>
      </c>
      <c r="N92" s="141">
        <f ca="1">[1]!ldf(C$4:C$27, $A$4:$A$27, $L92, $A$27, 1)</f>
        <v>0.857195077179986</v>
      </c>
      <c r="O92" s="141">
        <f ca="1">[1]!ldf(D$4:D$27, $A$4:$A$27, $L92, $A$27, 1)</f>
        <v>0.85914254766210574</v>
      </c>
      <c r="P92" s="141">
        <f ca="1">[1]!ldf(E$4:E$27, $A$4:$A$27, $L92, $A$27, 1)</f>
        <v>0.867594787753865</v>
      </c>
      <c r="Q92" s="141">
        <f ca="1">[1]!ldf(F$4:F$27, $A$4:$A$27, $L92, $A$27, 1)</f>
        <v>0.87854933799780488</v>
      </c>
      <c r="R92" s="141">
        <f ca="1">[1]!ldf(G$4:G$27, $A$4:$A$27, $L92, $A$27, 1)</f>
        <v>0.83604094782178473</v>
      </c>
      <c r="S92" s="141">
        <f ca="1">[1]!ldf(H$4:H$27, $A$4:$A$27, $L92, $A$27, 1)</f>
        <v>0.8374690799939819</v>
      </c>
      <c r="T92" s="141">
        <f ca="1">[1]!ldf(I$4:I$27, $A$4:$A$27, $L92, $A$27, 1)</f>
        <v>0.83848415125562092</v>
      </c>
      <c r="U92" s="141">
        <f ca="1">[1]!ldf(J$4:J$27, $A$4:$A$27, $L92, $A$27, 1)</f>
        <v>0.8403335261614685</v>
      </c>
    </row>
    <row r="93" spans="12:21" x14ac:dyDescent="0.2">
      <c r="L93" s="254">
        <f>IF(LDF!W94 &lt; 12, LDF!W94/2 + 6, LDF!W94)</f>
        <v>180</v>
      </c>
      <c r="M93" s="141">
        <f ca="1">[1]!ldf(B$4:B$27, $A$4:$A$27, $L93, $A$27, 1)</f>
        <v>0.85441427780242818</v>
      </c>
      <c r="N93" s="141">
        <f ca="1">[1]!ldf(C$4:C$27, $A$4:$A$27, $L93, $A$27, 1)</f>
        <v>0.85906661227642767</v>
      </c>
      <c r="O93" s="141">
        <f ca="1">[1]!ldf(D$4:D$27, $A$4:$A$27, $L93, $A$27, 1)</f>
        <v>0.8609446086578928</v>
      </c>
      <c r="P93" s="141">
        <f ca="1">[1]!ldf(E$4:E$27, $A$4:$A$27, $L93, $A$27, 1)</f>
        <v>0.86897978359919281</v>
      </c>
      <c r="Q93" s="141">
        <f ca="1">[1]!ldf(F$4:F$27, $A$4:$A$27, $L93, $A$27, 1)</f>
        <v>0.87929237284493145</v>
      </c>
      <c r="R93" s="141">
        <f ca="1">[1]!ldf(G$4:G$27, $A$4:$A$27, $L93, $A$27, 1)</f>
        <v>0.83930028869289786</v>
      </c>
      <c r="S93" s="141">
        <f ca="1">[1]!ldf(H$4:H$27, $A$4:$A$27, $L93, $A$27, 1)</f>
        <v>0.84054592776529913</v>
      </c>
      <c r="T93" s="141">
        <f ca="1">[1]!ldf(I$4:I$27, $A$4:$A$27, $L93, $A$27, 1)</f>
        <v>0.84159293976604188</v>
      </c>
      <c r="U93" s="141">
        <f ca="1">[1]!ldf(J$4:J$27, $A$4:$A$27, $L93, $A$27, 1)</f>
        <v>0.84349533584510783</v>
      </c>
    </row>
    <row r="94" spans="12:21" x14ac:dyDescent="0.2">
      <c r="L94" s="254">
        <f>IF(LDF!W95 &lt; 12, LDF!W95/2 + 6, LDF!W95)</f>
        <v>181</v>
      </c>
      <c r="M94" s="141">
        <f ca="1">[1]!ldf(B$4:B$27, $A$4:$A$27, $L94, $A$27, 1)</f>
        <v>0.85519840677637848</v>
      </c>
      <c r="N94" s="141">
        <f ca="1">[1]!ldf(C$4:C$27, $A$4:$A$27, $L94, $A$27, 1)</f>
        <v>0.85979431001650097</v>
      </c>
      <c r="O94" s="141">
        <f ca="1">[1]!ldf(D$4:D$27, $A$4:$A$27, $L94, $A$27, 1)</f>
        <v>0.86164773055119626</v>
      </c>
      <c r="P94" s="141">
        <f ca="1">[1]!ldf(E$4:E$27, $A$4:$A$27, $L94, $A$27, 1)</f>
        <v>0.86958776929313486</v>
      </c>
      <c r="Q94" s="141">
        <f ca="1">[1]!ldf(F$4:F$27, $A$4:$A$27, $L94, $A$27, 1)</f>
        <v>0.87978638759717265</v>
      </c>
      <c r="R94" s="141">
        <f ca="1">[1]!ldf(G$4:G$27, $A$4:$A$27, $L94, $A$27, 1)</f>
        <v>0.84030818979286359</v>
      </c>
      <c r="S94" s="141">
        <f ca="1">[1]!ldf(H$4:H$27, $A$4:$A$27, $L94, $A$27, 1)</f>
        <v>0.84154115218061076</v>
      </c>
      <c r="T94" s="141">
        <f ca="1">[1]!ldf(I$4:I$27, $A$4:$A$27, $L94, $A$27, 1)</f>
        <v>0.84258273530368066</v>
      </c>
      <c r="U94" s="141">
        <f ca="1">[1]!ldf(J$4:J$27, $A$4:$A$27, $L94, $A$27, 1)</f>
        <v>0.84446662836957409</v>
      </c>
    </row>
    <row r="95" spans="12:21" x14ac:dyDescent="0.2">
      <c r="L95" s="254">
        <f>IF(LDF!W96 &lt; 12, LDF!W96/2 + 6, LDF!W96)</f>
        <v>183</v>
      </c>
      <c r="M95" s="141">
        <f ca="1">[1]!ldf(B$4:B$27, $A$4:$A$27, $L95, $A$27, 1)</f>
        <v>0.85677099041660865</v>
      </c>
      <c r="N95" s="141">
        <f ca="1">[1]!ldf(C$4:C$27, $A$4:$A$27, $L95, $A$27, 1)</f>
        <v>0.86125341028028746</v>
      </c>
      <c r="O95" s="141">
        <f ca="1">[1]!ldf(D$4:D$27, $A$4:$A$27, $L95, $A$27, 1)</f>
        <v>0.86305742535581764</v>
      </c>
      <c r="P95" s="141">
        <f ca="1">[1]!ldf(E$4:E$27, $A$4:$A$27, $L95, $A$27, 1)</f>
        <v>0.87080629653733965</v>
      </c>
      <c r="Q95" s="141">
        <f ca="1">[1]!ldf(F$4:F$27, $A$4:$A$27, $L95, $A$27, 1)</f>
        <v>0.88077608429533771</v>
      </c>
      <c r="R95" s="141">
        <f ca="1">[1]!ldf(G$4:G$27, $A$4:$A$27, $L95, $A$27, 1)</f>
        <v>0.84233127170221533</v>
      </c>
      <c r="S95" s="141">
        <f ca="1">[1]!ldf(H$4:H$27, $A$4:$A$27, $L95, $A$27, 1)</f>
        <v>0.84353868799590026</v>
      </c>
      <c r="T95" s="141">
        <f ca="1">[1]!ldf(I$4:I$27, $A$4:$A$27, $L95, $A$27, 1)</f>
        <v>0.84456932742443569</v>
      </c>
      <c r="U95" s="141">
        <f ca="1">[1]!ldf(J$4:J$27, $A$4:$A$27, $L95, $A$27, 1)</f>
        <v>0.84641593962194817</v>
      </c>
    </row>
    <row r="96" spans="12:21" x14ac:dyDescent="0.2">
      <c r="L96" s="254">
        <f>IF(LDF!W97 &lt; 12, LDF!W97/2 + 6, LDF!W97)</f>
        <v>184</v>
      </c>
      <c r="M96" s="141">
        <f ca="1">[1]!ldf(B$4:B$27, $A$4:$A$27, $L96, $A$27, 1)</f>
        <v>0.85755945304451864</v>
      </c>
      <c r="N96" s="141">
        <f ca="1">[1]!ldf(C$4:C$27, $A$4:$A$27, $L96, $A$27, 1)</f>
        <v>0.86198481909648417</v>
      </c>
      <c r="O96" s="141">
        <f ca="1">[1]!ldf(D$4:D$27, $A$4:$A$27, $L96, $A$27, 1)</f>
        <v>0.86376400391777985</v>
      </c>
      <c r="P96" s="141">
        <f ca="1">[1]!ldf(E$4:E$27, $A$4:$A$27, $L96, $A$27, 1)</f>
        <v>0.8714168416715582</v>
      </c>
      <c r="Q96" s="141">
        <f ca="1">[1]!ldf(F$4:F$27, $A$4:$A$27, $L96, $A$27, 1)</f>
        <v>0.88127176811779051</v>
      </c>
      <c r="R96" s="141">
        <f ca="1">[1]!ldf(G$4:G$27, $A$4:$A$27, $L96, $A$27, 1)</f>
        <v>0.84334647005897112</v>
      </c>
      <c r="S96" s="141">
        <f ca="1">[1]!ldf(H$4:H$27, $A$4:$A$27, $L96, $A$27, 1)</f>
        <v>0.84454101623798616</v>
      </c>
      <c r="T96" s="141">
        <f ca="1">[1]!ldf(I$4:I$27, $A$4:$A$27, $L96, $A$27, 1)</f>
        <v>0.84556614053368861</v>
      </c>
      <c r="U96" s="141">
        <f ca="1">[1]!ldf(J$4:J$27, $A$4:$A$27, $L96, $A$27, 1)</f>
        <v>0.84739397389412252</v>
      </c>
    </row>
    <row r="97" spans="12:21" x14ac:dyDescent="0.2">
      <c r="L97" s="254">
        <f>IF(LDF!W98 &lt; 12, LDF!W98/2 + 6, LDF!W98)</f>
        <v>187</v>
      </c>
      <c r="M97" s="141">
        <f ca="1">[1]!ldf(B$4:B$27, $A$4:$A$27, $L97, $A$27, 1)</f>
        <v>0.8599335722377871</v>
      </c>
      <c r="N97" s="141">
        <f ca="1">[1]!ldf(C$4:C$27, $A$4:$A$27, $L97, $A$27, 1)</f>
        <v>0.86418651826220227</v>
      </c>
      <c r="O97" s="141">
        <f ca="1">[1]!ldf(D$4:D$27, $A$4:$A$27, $L97, $A$27, 1)</f>
        <v>0.86589069834091614</v>
      </c>
      <c r="P97" s="141">
        <f ca="1">[1]!ldf(E$4:E$27, $A$4:$A$27, $L97, $A$27, 1)</f>
        <v>0.87325362473217316</v>
      </c>
      <c r="Q97" s="141">
        <f ca="1">[1]!ldf(F$4:F$27, $A$4:$A$27, $L97, $A$27, 1)</f>
        <v>0.88276217278223446</v>
      </c>
      <c r="R97" s="141">
        <f ca="1">[1]!ldf(G$4:G$27, $A$4:$A$27, $L97, $A$27, 1)</f>
        <v>0.84640680091323517</v>
      </c>
      <c r="S97" s="141">
        <f ca="1">[1]!ldf(H$4:H$27, $A$4:$A$27, $L97, $A$27, 1)</f>
        <v>0.84756234419818965</v>
      </c>
      <c r="T97" s="141">
        <f ca="1">[1]!ldf(I$4:I$27, $A$4:$A$27, $L97, $A$27, 1)</f>
        <v>0.84857074803589405</v>
      </c>
      <c r="U97" s="141">
        <f ca="1">[1]!ldf(J$4:J$27, $A$4:$A$27, $L97, $A$27, 1)</f>
        <v>0.85034168531719689</v>
      </c>
    </row>
    <row r="98" spans="12:21" x14ac:dyDescent="0.2">
      <c r="L98" s="254">
        <f>IF(LDF!W99 &lt; 12, LDF!W99/2 + 6, LDF!W99)</f>
        <v>189</v>
      </c>
      <c r="M98" s="141">
        <f ca="1">[1]!ldf(B$4:B$27, $A$4:$A$27, $L98, $A$27, 1)</f>
        <v>0.8615236348195463</v>
      </c>
      <c r="N98" s="141">
        <f ca="1">[1]!ldf(C$4:C$27, $A$4:$A$27, $L98, $A$27, 1)</f>
        <v>0.86566057683615949</v>
      </c>
      <c r="O98" s="141">
        <f ca="1">[1]!ldf(D$4:D$27, $A$4:$A$27, $L98, $A$27, 1)</f>
        <v>0.86731432217312465</v>
      </c>
      <c r="P98" s="141">
        <f ca="1">[1]!ldf(E$4:E$27, $A$4:$A$27, $L98, $A$27, 1)</f>
        <v>0.87448245459682394</v>
      </c>
      <c r="Q98" s="141">
        <f ca="1">[1]!ldf(F$4:F$27, $A$4:$A$27, $L98, $A$27, 1)</f>
        <v>0.88375857968496774</v>
      </c>
      <c r="R98" s="141">
        <f ca="1">[1]!ldf(G$4:G$27, $A$4:$A$27, $L98, $A$27, 1)</f>
        <v>0.84845939064074982</v>
      </c>
      <c r="S98" s="141">
        <f ca="1">[1]!ldf(H$4:H$27, $A$4:$A$27, $L98, $A$27, 1)</f>
        <v>0.84958860125877012</v>
      </c>
      <c r="T98" s="141">
        <f ca="1">[1]!ldf(I$4:I$27, $A$4:$A$27, $L98, $A$27, 1)</f>
        <v>0.85058571062320387</v>
      </c>
      <c r="U98" s="141">
        <f ca="1">[1]!ldf(J$4:J$27, $A$4:$A$27, $L98, $A$27, 1)</f>
        <v>0.85231824585203886</v>
      </c>
    </row>
    <row r="99" spans="12:21" x14ac:dyDescent="0.2">
      <c r="L99" s="254">
        <f>IF(LDF!W100 &lt; 12, LDF!W100/2 + 6, LDF!W100)</f>
        <v>192</v>
      </c>
      <c r="M99" s="141">
        <f ca="1">[1]!ldf(B$4:B$27, $A$4:$A$27, $L99, $A$27, 1)</f>
        <v>0.86391978476836151</v>
      </c>
      <c r="N99" s="141">
        <f ca="1">[1]!ldf(C$4:C$27, $A$4:$A$27, $L99, $A$27, 1)</f>
        <v>0.86788111761449938</v>
      </c>
      <c r="O99" s="141">
        <f ca="1">[1]!ldf(D$4:D$27, $A$4:$A$27, $L99, $A$27, 1)</f>
        <v>0.86945855687571061</v>
      </c>
      <c r="P99" s="141">
        <f ca="1">[1]!ldf(E$4:E$27, $A$4:$A$27, $L99, $A$27, 1)</f>
        <v>0.8763321975785433</v>
      </c>
      <c r="Q99" s="141">
        <f ca="1">[1]!ldf(F$4:F$27, $A$4:$A$27, $L99, $A$27, 1)</f>
        <v>0.88525741474940889</v>
      </c>
      <c r="R99" s="141">
        <f ca="1">[1]!ldf(G$4:G$27, $A$4:$A$27, $L99, $A$27, 1)</f>
        <v>0.85155700960201541</v>
      </c>
      <c r="S99" s="141">
        <f ca="1">[1]!ldf(H$4:H$27, $A$4:$A$27, $L99, $A$27, 1)</f>
        <v>0.85264621778241356</v>
      </c>
      <c r="T99" s="141">
        <f ca="1">[1]!ldf(I$4:I$27, $A$4:$A$27, $L99, $A$27, 1)</f>
        <v>0.85362616090106058</v>
      </c>
      <c r="U99" s="141">
        <f ca="1">[1]!ldf(J$4:J$27, $A$4:$A$27, $L99, $A$27, 1)</f>
        <v>0.85530037585496754</v>
      </c>
    </row>
    <row r="100" spans="12:21" x14ac:dyDescent="0.2">
      <c r="L100" s="254">
        <f>IF(LDF!W101 &lt; 12, LDF!W101/2 + 6, LDF!W101)</f>
        <v>193</v>
      </c>
      <c r="M100" s="141">
        <f ca="1">[1]!ldf(B$4:B$27, $A$4:$A$27, $L100, $A$27, 1)</f>
        <v>0.86481813350111303</v>
      </c>
      <c r="N100" s="141">
        <f ca="1">[1]!ldf(C$4:C$27, $A$4:$A$27, $L100, $A$27, 1)</f>
        <v>0.86872412314624237</v>
      </c>
      <c r="O100" s="141">
        <f ca="1">[1]!ldf(D$4:D$27, $A$4:$A$27, $L100, $A$27, 1)</f>
        <v>0.87027536122206373</v>
      </c>
      <c r="P100" s="141">
        <f ca="1">[1]!ldf(E$4:E$27, $A$4:$A$27, $L100, $A$27, 1)</f>
        <v>0.87705163855439161</v>
      </c>
      <c r="Q100" s="141">
        <f ca="1">[1]!ldf(F$4:F$27, $A$4:$A$27, $L100, $A$27, 1)</f>
        <v>0.88585740040639116</v>
      </c>
      <c r="R100" s="141">
        <f ca="1">[1]!ldf(G$4:G$27, $A$4:$A$27, $L100, $A$27, 1)</f>
        <v>0.85265877013147306</v>
      </c>
      <c r="S100" s="141">
        <f ca="1">[1]!ldf(H$4:H$27, $A$4:$A$27, $L100, $A$27, 1)</f>
        <v>0.85374013589369591</v>
      </c>
      <c r="T100" s="141">
        <f ca="1">[1]!ldf(I$4:I$27, $A$4:$A$27, $L100, $A$27, 1)</f>
        <v>0.85471083499084965</v>
      </c>
      <c r="U100" s="141">
        <f ca="1">[1]!ldf(J$4:J$27, $A$4:$A$27, $L100, $A$27, 1)</f>
        <v>0.85636355676028619</v>
      </c>
    </row>
    <row r="101" spans="12:21" x14ac:dyDescent="0.2">
      <c r="L101" s="254">
        <f>IF(LDF!W102 &lt; 12, LDF!W102/2 + 6, LDF!W102)</f>
        <v>195</v>
      </c>
      <c r="M101" s="141">
        <f ca="1">[1]!ldf(B$4:B$27, $A$4:$A$27, $L101, $A$27, 1)</f>
        <v>0.86662044754590195</v>
      </c>
      <c r="N101" s="141">
        <f ca="1">[1]!ldf(C$4:C$27, $A$4:$A$27, $L101, $A$27, 1)</f>
        <v>0.87041505683042575</v>
      </c>
      <c r="O101" s="141">
        <f ca="1">[1]!ldf(D$4:D$27, $A$4:$A$27, $L101, $A$27, 1)</f>
        <v>0.8719135826146579</v>
      </c>
      <c r="P101" s="141">
        <f ca="1">[1]!ldf(E$4:E$27, $A$4:$A$27, $L101, $A$27, 1)</f>
        <v>0.87849407016391623</v>
      </c>
      <c r="Q101" s="141">
        <f ca="1">[1]!ldf(F$4:F$27, $A$4:$A$27, $L101, $A$27, 1)</f>
        <v>0.88705981488369012</v>
      </c>
      <c r="R101" s="141">
        <f ca="1">[1]!ldf(G$4:G$27, $A$4:$A$27, $L101, $A$27, 1)</f>
        <v>0.85487086625093023</v>
      </c>
      <c r="S101" s="141">
        <f ca="1">[1]!ldf(H$4:H$27, $A$4:$A$27, $L101, $A$27, 1)</f>
        <v>0.8559364145529047</v>
      </c>
      <c r="T101" s="141">
        <f ca="1">[1]!ldf(I$4:I$27, $A$4:$A$27, $L101, $A$27, 1)</f>
        <v>0.85688847379325295</v>
      </c>
      <c r="U101" s="141">
        <f ca="1">[1]!ldf(J$4:J$27, $A$4:$A$27, $L101, $A$27, 1)</f>
        <v>0.85849786785408611</v>
      </c>
    </row>
    <row r="102" spans="12:21" x14ac:dyDescent="0.2">
      <c r="L102" s="254">
        <f>IF(LDF!W103 &lt; 12, LDF!W103/2 + 6, LDF!W103)</f>
        <v>196</v>
      </c>
      <c r="M102" s="141">
        <f ca="1">[1]!ldf(B$4:B$27, $A$4:$A$27, $L102, $A$27, 1)</f>
        <v>0.86752442457531476</v>
      </c>
      <c r="N102" s="141">
        <f ca="1">[1]!ldf(C$4:C$27, $A$4:$A$27, $L102, $A$27, 1)</f>
        <v>0.87126299457386691</v>
      </c>
      <c r="O102" s="141">
        <f ca="1">[1]!ldf(D$4:D$27, $A$4:$A$27, $L102, $A$27, 1)</f>
        <v>0.87273500835210538</v>
      </c>
      <c r="P102" s="141">
        <f ca="1">[1]!ldf(E$4:E$27, $A$4:$A$27, $L102, $A$27, 1)</f>
        <v>0.87921706664029564</v>
      </c>
      <c r="Q102" s="141">
        <f ca="1">[1]!ldf(F$4:F$27, $A$4:$A$27, $L102, $A$27, 1)</f>
        <v>0.88766224702247576</v>
      </c>
      <c r="R102" s="141">
        <f ca="1">[1]!ldf(G$4:G$27, $A$4:$A$27, $L102, $A$27, 1)</f>
        <v>0.85598122411654176</v>
      </c>
      <c r="S102" s="141">
        <f ca="1">[1]!ldf(H$4:H$27, $A$4:$A$27, $L102, $A$27, 1)</f>
        <v>0.85703879684728979</v>
      </c>
      <c r="T102" s="141">
        <f ca="1">[1]!ldf(I$4:I$27, $A$4:$A$27, $L102, $A$27, 1)</f>
        <v>0.85798145965572248</v>
      </c>
      <c r="U102" s="141">
        <f ca="1">[1]!ldf(J$4:J$27, $A$4:$A$27, $L102, $A$27, 1)</f>
        <v>0.85956901787924989</v>
      </c>
    </row>
    <row r="103" spans="12:21" x14ac:dyDescent="0.2">
      <c r="L103" s="254">
        <f>IF(LDF!W104 &lt; 12, LDF!W104/2 + 6, LDF!W104)</f>
        <v>199</v>
      </c>
      <c r="M103" s="141">
        <f ca="1">[1]!ldf(B$4:B$27, $A$4:$A$27, $L103, $A$27, 1)</f>
        <v>0.87024770651083605</v>
      </c>
      <c r="N103" s="141">
        <f ca="1">[1]!ldf(C$4:C$27, $A$4:$A$27, $L103, $A$27, 1)</f>
        <v>0.87381674934916631</v>
      </c>
      <c r="O103" s="141">
        <f ca="1">[1]!ldf(D$4:D$27, $A$4:$A$27, $L103, $A$27, 1)</f>
        <v>0.87520859822115504</v>
      </c>
      <c r="P103" s="141">
        <f ca="1">[1]!ldf(E$4:E$27, $A$4:$A$27, $L103, $A$27, 1)</f>
        <v>0.88139321401458059</v>
      </c>
      <c r="Q103" s="141">
        <f ca="1">[1]!ldf(F$4:F$27, $A$4:$A$27, $L103, $A$27, 1)</f>
        <v>0.88947446304503652</v>
      </c>
      <c r="R103" s="141">
        <f ca="1">[1]!ldf(G$4:G$27, $A$4:$A$27, $L103, $A$27, 1)</f>
        <v>0.85932967181051712</v>
      </c>
      <c r="S103" s="141">
        <f ca="1">[1]!ldf(H$4:H$27, $A$4:$A$27, $L103, $A$27, 1)</f>
        <v>0.86036304724920509</v>
      </c>
      <c r="T103" s="141">
        <f ca="1">[1]!ldf(I$4:I$27, $A$4:$A$27, $L103, $A$27, 1)</f>
        <v>0.86127721112472966</v>
      </c>
      <c r="U103" s="141">
        <f ca="1">[1]!ldf(J$4:J$27, $A$4:$A$27, $L103, $A$27, 1)</f>
        <v>0.86279856593130999</v>
      </c>
    </row>
    <row r="104" spans="12:21" x14ac:dyDescent="0.2">
      <c r="L104" s="254">
        <f>IF(LDF!W105 &lt; 12, LDF!W105/2 + 6, LDF!W105)</f>
        <v>201</v>
      </c>
      <c r="M104" s="141">
        <f ca="1">[1]!ldf(B$4:B$27, $A$4:$A$27, $L104, $A$27, 1)</f>
        <v>0.87207274635165477</v>
      </c>
      <c r="N104" s="141">
        <f ca="1">[1]!ldf(C$4:C$27, $A$4:$A$27, $L104, $A$27, 1)</f>
        <v>0.8755275858146232</v>
      </c>
      <c r="O104" s="141">
        <f ca="1">[1]!ldf(D$4:D$27, $A$4:$A$27, $L104, $A$27, 1)</f>
        <v>0.87686546275577704</v>
      </c>
      <c r="P104" s="141">
        <f ca="1">[1]!ldf(E$4:E$27, $A$4:$A$27, $L104, $A$27, 1)</f>
        <v>0.88284997346154115</v>
      </c>
      <c r="Q104" s="141">
        <f ca="1">[1]!ldf(F$4:F$27, $A$4:$A$27, $L104, $A$27, 1)</f>
        <v>0.89068672349418265</v>
      </c>
      <c r="R104" s="141">
        <f ca="1">[1]!ldf(G$4:G$27, $A$4:$A$27, $L104, $A$27, 1)</f>
        <v>0.86157656225763901</v>
      </c>
      <c r="S104" s="141">
        <f ca="1">[1]!ldf(H$4:H$27, $A$4:$A$27, $L104, $A$27, 1)</f>
        <v>0.86259357797026115</v>
      </c>
      <c r="T104" s="141">
        <f ca="1">[1]!ldf(I$4:I$27, $A$4:$A$27, $L104, $A$27, 1)</f>
        <v>0.86348848146492319</v>
      </c>
      <c r="U104" s="141">
        <f ca="1">[1]!ldf(J$4:J$27, $A$4:$A$27, $L104, $A$27, 1)</f>
        <v>0.86496511400437781</v>
      </c>
    </row>
    <row r="105" spans="12:21" x14ac:dyDescent="0.2">
      <c r="L105" s="254">
        <f>IF(LDF!W106 &lt; 12, LDF!W106/2 + 6, LDF!W106)</f>
        <v>204</v>
      </c>
      <c r="M105" s="141">
        <f ca="1">[1]!ldf(B$4:B$27, $A$4:$A$27, $L105, $A$27, 1)</f>
        <v>0.87482470408750479</v>
      </c>
      <c r="N105" s="141">
        <f ca="1">[1]!ldf(C$4:C$27, $A$4:$A$27, $L105, $A$27, 1)</f>
        <v>0.87810643861790094</v>
      </c>
      <c r="O105" s="141">
        <f ca="1">[1]!ldf(D$4:D$27, $A$4:$A$27, $L105, $A$27, 1)</f>
        <v>0.87936255539300623</v>
      </c>
      <c r="P105" s="141">
        <f ca="1">[1]!ldf(E$4:E$27, $A$4:$A$27, $L105, $A$27, 1)</f>
        <v>0.88504416402214936</v>
      </c>
      <c r="Q105" s="141">
        <f ca="1">[1]!ldf(F$4:F$27, $A$4:$A$27, $L105, $A$27, 1)</f>
        <v>0.89251132254962617</v>
      </c>
      <c r="R105" s="141">
        <f ca="1">[1]!ldf(G$4:G$27, $A$4:$A$27, $L105, $A$27, 1)</f>
        <v>0.86496901572849738</v>
      </c>
      <c r="S105" s="141">
        <f ca="1">[1]!ldf(H$4:H$27, $A$4:$A$27, $L105, $A$27, 1)</f>
        <v>0.86596114403645252</v>
      </c>
      <c r="T105" s="141">
        <f ca="1">[1]!ldf(I$4:I$27, $A$4:$A$27, $L105, $A$27, 1)</f>
        <v>0.86682675910259532</v>
      </c>
      <c r="U105" s="141">
        <f ca="1">[1]!ldf(J$4:J$27, $A$4:$A$27, $L105, $A$27, 1)</f>
        <v>0.86823541457980258</v>
      </c>
    </row>
    <row r="106" spans="12:21" x14ac:dyDescent="0.2">
      <c r="L106" s="254">
        <f>IF(LDF!W107 &lt; 12, LDF!W107/2 + 6, LDF!W107)</f>
        <v>205</v>
      </c>
      <c r="M106" s="141">
        <f ca="1">[1]!ldf(B$4:B$27, $A$4:$A$27, $L106, $A$27, 1)</f>
        <v>0.87585570045598049</v>
      </c>
      <c r="N106" s="141">
        <f ca="1">[1]!ldf(C$4:C$27, $A$4:$A$27, $L106, $A$27, 1)</f>
        <v>0.8790790598920063</v>
      </c>
      <c r="O106" s="141">
        <f ca="1">[1]!ldf(D$4:D$27, $A$4:$A$27, $L106, $A$27, 1)</f>
        <v>0.88031306913529228</v>
      </c>
      <c r="P106" s="141">
        <f ca="1">[1]!ldf(E$4:E$27, $A$4:$A$27, $L106, $A$27, 1)</f>
        <v>0.88589698460420119</v>
      </c>
      <c r="Q106" s="141">
        <f ca="1">[1]!ldf(F$4:F$27, $A$4:$A$27, $L106, $A$27, 1)</f>
        <v>0.89324142423163921</v>
      </c>
      <c r="R106" s="141">
        <f ca="1">[1]!ldf(G$4:G$27, $A$4:$A$27, $L106, $A$27, 1)</f>
        <v>0.8661984182705188</v>
      </c>
      <c r="S106" s="141">
        <f ca="1">[1]!ldf(H$4:H$27, $A$4:$A$27, $L106, $A$27, 1)</f>
        <v>0.86717075646838171</v>
      </c>
      <c r="T106" s="141">
        <f ca="1">[1]!ldf(I$4:I$27, $A$4:$A$27, $L106, $A$27, 1)</f>
        <v>0.86802440773858891</v>
      </c>
      <c r="U106" s="141">
        <f ca="1">[1]!ldf(J$4:J$27, $A$4:$A$27, $L106, $A$27, 1)</f>
        <v>0.86940990196503487</v>
      </c>
    </row>
    <row r="107" spans="12:21" x14ac:dyDescent="0.2">
      <c r="L107" s="254">
        <f>IF(LDF!W108 &lt; 12, LDF!W108/2 + 6, LDF!W108)</f>
        <v>207</v>
      </c>
      <c r="M107" s="141">
        <f ca="1">[1]!ldf(B$4:B$27, $A$4:$A$27, $L107, $A$27, 1)</f>
        <v>0.87792500070159163</v>
      </c>
      <c r="N107" s="141">
        <f ca="1">[1]!ldf(C$4:C$27, $A$4:$A$27, $L107, $A$27, 1)</f>
        <v>0.88103078064637663</v>
      </c>
      <c r="O107" s="141">
        <f ca="1">[1]!ldf(D$4:D$27, $A$4:$A$27, $L107, $A$27, 1)</f>
        <v>0.88222027450695473</v>
      </c>
      <c r="P107" s="141">
        <f ca="1">[1]!ldf(E$4:E$27, $A$4:$A$27, $L107, $A$27, 1)</f>
        <v>0.88760756591023016</v>
      </c>
      <c r="Q107" s="141">
        <f ca="1">[1]!ldf(F$4:F$27, $A$4:$A$27, $L107, $A$27, 1)</f>
        <v>0.89470521694169469</v>
      </c>
      <c r="R107" s="141">
        <f ca="1">[1]!ldf(G$4:G$27, $A$4:$A$27, $L107, $A$27, 1)</f>
        <v>0.86866773752998827</v>
      </c>
      <c r="S107" s="141">
        <f ca="1">[1]!ldf(H$4:H$27, $A$4:$A$27, $L107, $A$27, 1)</f>
        <v>0.8696001475710966</v>
      </c>
      <c r="T107" s="141">
        <f ca="1">[1]!ldf(I$4:I$27, $A$4:$A$27, $L107, $A$27, 1)</f>
        <v>0.8704296608878338</v>
      </c>
      <c r="U107" s="141">
        <f ca="1">[1]!ldf(J$4:J$27, $A$4:$A$27, $L107, $A$27, 1)</f>
        <v>0.87176843517564584</v>
      </c>
    </row>
    <row r="108" spans="12:21" x14ac:dyDescent="0.2">
      <c r="L108" s="254">
        <f>IF(LDF!W109 &lt; 12, LDF!W109/2 + 6, LDF!W109)</f>
        <v>208</v>
      </c>
      <c r="M108" s="141">
        <f ca="1">[1]!ldf(B$4:B$27, $A$4:$A$27, $L108, $A$27, 1)</f>
        <v>0.87896332186389547</v>
      </c>
      <c r="N108" s="141">
        <f ca="1">[1]!ldf(C$4:C$27, $A$4:$A$27, $L108, $A$27, 1)</f>
        <v>0.88200989452546108</v>
      </c>
      <c r="O108" s="141">
        <f ca="1">[1]!ldf(D$4:D$27, $A$4:$A$27, $L108, $A$27, 1)</f>
        <v>0.88317697953528806</v>
      </c>
      <c r="P108" s="141">
        <f ca="1">[1]!ldf(E$4:E$27, $A$4:$A$27, $L108, $A$27, 1)</f>
        <v>0.88846533618236145</v>
      </c>
      <c r="Q108" s="141">
        <f ca="1">[1]!ldf(F$4:F$27, $A$4:$A$27, $L108, $A$27, 1)</f>
        <v>0.89543891385657437</v>
      </c>
      <c r="R108" s="141">
        <f ca="1">[1]!ldf(G$4:G$27, $A$4:$A$27, $L108, $A$27, 1)</f>
        <v>0.86990768426355614</v>
      </c>
      <c r="S108" s="141">
        <f ca="1">[1]!ldf(H$4:H$27, $A$4:$A$27, $L108, $A$27, 1)</f>
        <v>0.87081995476269447</v>
      </c>
      <c r="T108" s="141">
        <f ca="1">[1]!ldf(I$4:I$27, $A$4:$A$27, $L108, $A$27, 1)</f>
        <v>0.87163729302660831</v>
      </c>
      <c r="U108" s="141">
        <f ca="1">[1]!ldf(J$4:J$27, $A$4:$A$27, $L108, $A$27, 1)</f>
        <v>0.87295250696635851</v>
      </c>
    </row>
    <row r="109" spans="12:21" x14ac:dyDescent="0.2">
      <c r="L109" s="254">
        <f>IF(LDF!W110 &lt; 12, LDF!W110/2 + 6, LDF!W110)</f>
        <v>211</v>
      </c>
      <c r="M109" s="141">
        <f ca="1">[1]!ldf(B$4:B$27, $A$4:$A$27, $L109, $A$27, 1)</f>
        <v>0.88209307408148341</v>
      </c>
      <c r="N109" s="141">
        <f ca="1">[1]!ldf(C$4:C$27, $A$4:$A$27, $L109, $A$27, 1)</f>
        <v>0.88496033723755119</v>
      </c>
      <c r="O109" s="141">
        <f ca="1">[1]!ldf(D$4:D$27, $A$4:$A$27, $L109, $A$27, 1)</f>
        <v>0.88605958499629678</v>
      </c>
      <c r="P109" s="141">
        <f ca="1">[1]!ldf(E$4:E$27, $A$4:$A$27, $L109, $A$27, 1)</f>
        <v>0.89104862315281486</v>
      </c>
      <c r="Q109" s="141">
        <f ca="1">[1]!ldf(F$4:F$27, $A$4:$A$27, $L109, $A$27, 1)</f>
        <v>0.89764724236490068</v>
      </c>
      <c r="R109" s="141">
        <f ca="1">[1]!ldf(G$4:G$27, $A$4:$A$27, $L109, $A$27, 1)</f>
        <v>0.87364885478355669</v>
      </c>
      <c r="S109" s="141">
        <f ca="1">[1]!ldf(H$4:H$27, $A$4:$A$27, $L109, $A$27, 1)</f>
        <v>0.87449999571070858</v>
      </c>
      <c r="T109" s="141">
        <f ca="1">[1]!ldf(I$4:I$27, $A$4:$A$27, $L109, $A$27, 1)</f>
        <v>0.87528037906916523</v>
      </c>
      <c r="U109" s="141">
        <f ca="1">[1]!ldf(J$4:J$27, $A$4:$A$27, $L109, $A$27, 1)</f>
        <v>0.87652410035941242</v>
      </c>
    </row>
    <row r="110" spans="12:21" x14ac:dyDescent="0.2">
      <c r="L110" s="254">
        <f>IF(LDF!W111 &lt; 12, LDF!W111/2 + 6, LDF!W111)</f>
        <v>213</v>
      </c>
      <c r="M110" s="141">
        <f ca="1">[1]!ldf(B$4:B$27, $A$4:$A$27, $L110, $A$27, 1)</f>
        <v>0.88419198747543204</v>
      </c>
      <c r="N110" s="141">
        <f ca="1">[1]!ldf(C$4:C$27, $A$4:$A$27, $L110, $A$27, 1)</f>
        <v>0.8869382898126823</v>
      </c>
      <c r="O110" s="141">
        <f ca="1">[1]!ldf(D$4:D$27, $A$4:$A$27, $L110, $A$27, 1)</f>
        <v>0.88799179871080569</v>
      </c>
      <c r="P110" s="141">
        <f ca="1">[1]!ldf(E$4:E$27, $A$4:$A$27, $L110, $A$27, 1)</f>
        <v>0.89277917636622384</v>
      </c>
      <c r="Q110" s="141">
        <f ca="1">[1]!ldf(F$4:F$27, $A$4:$A$27, $L110, $A$27, 1)</f>
        <v>0.89912552263876477</v>
      </c>
      <c r="R110" s="141">
        <f ca="1">[1]!ldf(G$4:G$27, $A$4:$A$27, $L110, $A$27, 1)</f>
        <v>0.87616089705972977</v>
      </c>
      <c r="S110" s="141">
        <f ca="1">[1]!ldf(H$4:H$27, $A$4:$A$27, $L110, $A$27, 1)</f>
        <v>0.87697068479141493</v>
      </c>
      <c r="T110" s="141">
        <f ca="1">[1]!ldf(I$4:I$27, $A$4:$A$27, $L110, $A$27, 1)</f>
        <v>0.8777260688196209</v>
      </c>
      <c r="U110" s="141">
        <f ca="1">[1]!ldf(J$4:J$27, $A$4:$A$27, $L110, $A$27, 1)</f>
        <v>0.87892144347217616</v>
      </c>
    </row>
    <row r="111" spans="12:21" x14ac:dyDescent="0.2">
      <c r="L111" s="254">
        <f>IF(LDF!W112 &lt; 12, LDF!W112/2 + 6, LDF!W112)</f>
        <v>216</v>
      </c>
      <c r="M111" s="141">
        <f ca="1">[1]!ldf(B$4:B$27, $A$4:$A$27, $L111, $A$27, 1)</f>
        <v>0.88735915327706083</v>
      </c>
      <c r="N111" s="141">
        <f ca="1">[1]!ldf(C$4:C$27, $A$4:$A$27, $L111, $A$27, 1)</f>
        <v>0.8899218527129138</v>
      </c>
      <c r="O111" s="141">
        <f ca="1">[1]!ldf(D$4:D$27, $A$4:$A$27, $L111, $A$27, 1)</f>
        <v>0.890905971921785</v>
      </c>
      <c r="P111" s="141">
        <f ca="1">[1]!ldf(E$4:E$27, $A$4:$A$27, $L111, $A$27, 1)</f>
        <v>0.89538764676125093</v>
      </c>
      <c r="Q111" s="141">
        <f ca="1">[1]!ldf(F$4:F$27, $A$4:$A$27, $L111, $A$27, 1)</f>
        <v>0.90135209499193492</v>
      </c>
      <c r="R111" s="141">
        <f ca="1">[1]!ldf(G$4:G$27, $A$4:$A$27, $L111, $A$27, 1)</f>
        <v>0.8799561640135144</v>
      </c>
      <c r="S111" s="141">
        <f ca="1">[1]!ldf(H$4:H$27, $A$4:$A$27, $L111, $A$27, 1)</f>
        <v>0.88070300607981911</v>
      </c>
      <c r="T111" s="141">
        <f ca="1">[1]!ldf(I$4:I$27, $A$4:$A$27, $L111, $A$27, 1)</f>
        <v>0.88142033765712802</v>
      </c>
      <c r="U111" s="141">
        <f ca="1">[1]!ldf(J$4:J$27, $A$4:$A$27, $L111, $A$27, 1)</f>
        <v>0.88254214769233363</v>
      </c>
    </row>
    <row r="112" spans="12:21" x14ac:dyDescent="0.2">
      <c r="L112" s="254">
        <f>IF(LDF!W113 &lt; 12, LDF!W113/2 + 6, LDF!W113)</f>
        <v>217</v>
      </c>
      <c r="M112" s="141">
        <f ca="1">[1]!ldf(B$4:B$27, $A$4:$A$27, $L112, $A$27, 1)</f>
        <v>0.88854392807114435</v>
      </c>
      <c r="N112" s="141">
        <f ca="1">[1]!ldf(C$4:C$27, $A$4:$A$27, $L112, $A$27, 1)</f>
        <v>0.89105065835937702</v>
      </c>
      <c r="O112" s="141">
        <f ca="1">[1]!ldf(D$4:D$27, $A$4:$A$27, $L112, $A$27, 1)</f>
        <v>0.89201346358894329</v>
      </c>
      <c r="P112" s="141">
        <f ca="1">[1]!ldf(E$4:E$27, $A$4:$A$27, $L112, $A$27, 1)</f>
        <v>0.89639977727982634</v>
      </c>
      <c r="Q112" s="141">
        <f ca="1">[1]!ldf(F$4:F$27, $A$4:$A$27, $L112, $A$27, 1)</f>
        <v>0.90224161319437979</v>
      </c>
      <c r="R112" s="141">
        <f ca="1">[1]!ldf(G$4:G$27, $A$4:$A$27, $L112, $A$27, 1)</f>
        <v>0.88131821569972912</v>
      </c>
      <c r="S112" s="141">
        <f ca="1">[1]!ldf(H$4:H$27, $A$4:$A$27, $L112, $A$27, 1)</f>
        <v>0.88204730692713562</v>
      </c>
      <c r="T112" s="141">
        <f ca="1">[1]!ldf(I$4:I$27, $A$4:$A$27, $L112, $A$27, 1)</f>
        <v>0.88275107830038035</v>
      </c>
      <c r="U112" s="141">
        <f ca="1">[1]!ldf(J$4:J$27, $A$4:$A$27, $L112, $A$27, 1)</f>
        <v>0.88384939734292023</v>
      </c>
    </row>
    <row r="113" spans="12:21" x14ac:dyDescent="0.2">
      <c r="L113" s="254">
        <f>IF(LDF!W114 &lt; 12, LDF!W114/2 + 6, LDF!W114)</f>
        <v>219</v>
      </c>
      <c r="M113" s="141">
        <f ca="1">[1]!ldf(B$4:B$27, $A$4:$A$27, $L113, $A$27, 1)</f>
        <v>0.89092299432237865</v>
      </c>
      <c r="N113" s="141">
        <f ca="1">[1]!ldf(C$4:C$27, $A$4:$A$27, $L113, $A$27, 1)</f>
        <v>0.89331688238307239</v>
      </c>
      <c r="O113" s="141">
        <f ca="1">[1]!ldf(D$4:D$27, $A$4:$A$27, $L113, $A$27, 1)</f>
        <v>0.89423672789701969</v>
      </c>
      <c r="P113" s="141">
        <f ca="1">[1]!ldf(E$4:E$27, $A$4:$A$27, $L113, $A$27, 1)</f>
        <v>0.89843091843901723</v>
      </c>
      <c r="Q113" s="141">
        <f ca="1">[1]!ldf(F$4:F$27, $A$4:$A$27, $L113, $A$27, 1)</f>
        <v>0.90402592705366802</v>
      </c>
      <c r="R113" s="141">
        <f ca="1">[1]!ldf(G$4:G$27, $A$4:$A$27, $L113, $A$27, 1)</f>
        <v>0.88405500797088332</v>
      </c>
      <c r="S113" s="141">
        <f ca="1">[1]!ldf(H$4:H$27, $A$4:$A$27, $L113, $A$27, 1)</f>
        <v>0.88474825792783307</v>
      </c>
      <c r="T113" s="141">
        <f ca="1">[1]!ldf(I$4:I$27, $A$4:$A$27, $L113, $A$27, 1)</f>
        <v>0.88542465075829191</v>
      </c>
      <c r="U113" s="141">
        <f ca="1">[1]!ldf(J$4:J$27, $A$4:$A$27, $L113, $A$27, 1)</f>
        <v>0.88647554920429239</v>
      </c>
    </row>
    <row r="114" spans="12:21" x14ac:dyDescent="0.2">
      <c r="L114" s="254">
        <f>IF(LDF!W115 &lt; 12, LDF!W115/2 + 6, LDF!W115)</f>
        <v>220</v>
      </c>
      <c r="M114" s="141">
        <f ca="1">[1]!ldf(B$4:B$27, $A$4:$A$27, $L114, $A$27, 1)</f>
        <v>0.89211731129444449</v>
      </c>
      <c r="N114" s="141">
        <f ca="1">[1]!ldf(C$4:C$27, $A$4:$A$27, $L114, $A$27, 1)</f>
        <v>0.89445432269309777</v>
      </c>
      <c r="O114" s="141">
        <f ca="1">[1]!ldf(D$4:D$27, $A$4:$A$27, $L114, $A$27, 1)</f>
        <v>0.89535252120328246</v>
      </c>
      <c r="P114" s="141">
        <f ca="1">[1]!ldf(E$4:E$27, $A$4:$A$27, $L114, $A$27, 1)</f>
        <v>0.89944994468689798</v>
      </c>
      <c r="Q114" s="141">
        <f ca="1">[1]!ldf(F$4:F$27, $A$4:$A$27, $L114, $A$27, 1)</f>
        <v>0.90492073315777455</v>
      </c>
      <c r="R114" s="141">
        <f ca="1">[1]!ldf(G$4:G$27, $A$4:$A$27, $L114, $A$27, 1)</f>
        <v>0.88542978802043681</v>
      </c>
      <c r="S114" s="141">
        <f ca="1">[1]!ldf(H$4:H$27, $A$4:$A$27, $L114, $A$27, 1)</f>
        <v>0.88610494595448586</v>
      </c>
      <c r="T114" s="141">
        <f ca="1">[1]!ldf(I$4:I$27, $A$4:$A$27, $L114, $A$27, 1)</f>
        <v>0.88676751924880615</v>
      </c>
      <c r="U114" s="141">
        <f ca="1">[1]!ldf(J$4:J$27, $A$4:$A$27, $L114, $A$27, 1)</f>
        <v>0.88779448608945011</v>
      </c>
    </row>
    <row r="115" spans="12:21" x14ac:dyDescent="0.2">
      <c r="L115" s="254">
        <f>IF(LDF!W116 &lt; 12, LDF!W116/2 + 6, LDF!W116)</f>
        <v>223</v>
      </c>
      <c r="M115" s="141">
        <f ca="1">[1]!ldf(B$4:B$27, $A$4:$A$27, $L115, $A$27, 1)</f>
        <v>0.8957195521282828</v>
      </c>
      <c r="N115" s="141">
        <f ca="1">[1]!ldf(C$4:C$27, $A$4:$A$27, $L115, $A$27, 1)</f>
        <v>0.8978840895900555</v>
      </c>
      <c r="O115" s="141">
        <f ca="1">[1]!ldf(D$4:D$27, $A$4:$A$27, $L115, $A$27, 1)</f>
        <v>0.89871667081009232</v>
      </c>
      <c r="P115" s="141">
        <f ca="1">[1]!ldf(E$4:E$27, $A$4:$A$27, $L115, $A$27, 1)</f>
        <v>0.90252094049330722</v>
      </c>
      <c r="Q115" s="141">
        <f ca="1">[1]!ldf(F$4:F$27, $A$4:$A$27, $L115, $A$27, 1)</f>
        <v>0.90761581128712743</v>
      </c>
      <c r="R115" s="141">
        <f ca="1">[1]!ldf(G$4:G$27, $A$4:$A$27, $L115, $A$27, 1)</f>
        <v>0.88957990320234148</v>
      </c>
      <c r="S115" s="141">
        <f ca="1">[1]!ldf(H$4:H$27, $A$4:$A$27, $L115, $A$27, 1)</f>
        <v>0.89020008982973631</v>
      </c>
      <c r="T115" s="141">
        <f ca="1">[1]!ldf(I$4:I$27, $A$4:$A$27, $L115, $A$27, 1)</f>
        <v>0.89082067616859917</v>
      </c>
      <c r="U115" s="141">
        <f ca="1">[1]!ldf(J$4:J$27, $A$4:$A$27, $L115, $A$27, 1)</f>
        <v>0.89177495078553726</v>
      </c>
    </row>
    <row r="116" spans="12:21" x14ac:dyDescent="0.2">
      <c r="L116" s="254">
        <f>IF(LDF!W117 &lt; 12, LDF!W117/2 + 6, LDF!W117)</f>
        <v>225</v>
      </c>
      <c r="M116" s="141">
        <f ca="1">[1]!ldf(B$4:B$27, $A$4:$A$27, $L116, $A$27, 1)</f>
        <v>0.89813725111577447</v>
      </c>
      <c r="N116" s="141">
        <f ca="1">[1]!ldf(C$4:C$27, $A$4:$A$27, $L116, $A$27, 1)</f>
        <v>0.90018525093984691</v>
      </c>
      <c r="O116" s="141">
        <f ca="1">[1]!ldf(D$4:D$27, $A$4:$A$27, $L116, $A$27, 1)</f>
        <v>0.90097351723424446</v>
      </c>
      <c r="P116" s="141">
        <f ca="1">[1]!ldf(E$4:E$27, $A$4:$A$27, $L116, $A$27, 1)</f>
        <v>0.90457994795903918</v>
      </c>
      <c r="Q116" s="141">
        <f ca="1">[1]!ldf(F$4:F$27, $A$4:$A$27, $L116, $A$27, 1)</f>
        <v>0.90942146623878384</v>
      </c>
      <c r="R116" s="141">
        <f ca="1">[1]!ldf(G$4:G$27, $A$4:$A$27, $L116, $A$27, 1)</f>
        <v>0.89236832783355746</v>
      </c>
      <c r="S116" s="141">
        <f ca="1">[1]!ldf(H$4:H$27, $A$4:$A$27, $L116, $A$27, 1)</f>
        <v>0.89295127935058993</v>
      </c>
      <c r="T116" s="141">
        <f ca="1">[1]!ldf(I$4:I$27, $A$4:$A$27, $L116, $A$27, 1)</f>
        <v>0.89354342792288777</v>
      </c>
      <c r="U116" s="141">
        <f ca="1">[1]!ldf(J$4:J$27, $A$4:$A$27, $L116, $A$27, 1)</f>
        <v>0.89444848290319889</v>
      </c>
    </row>
    <row r="117" spans="12:21" x14ac:dyDescent="0.2">
      <c r="L117" s="254">
        <f>IF(LDF!W118 &lt; 12, LDF!W118/2 + 6, LDF!W118)</f>
        <v>228</v>
      </c>
      <c r="M117" s="141">
        <f ca="1">[1]!ldf(B$4:B$27, $A$4:$A$27, $L117, $A$27, 1)</f>
        <v>0.90178837075314522</v>
      </c>
      <c r="N117" s="141">
        <f ca="1">[1]!ldf(C$4:C$27, $A$4:$A$27, $L117, $A$27, 1)</f>
        <v>0.90365919423933794</v>
      </c>
      <c r="O117" s="141">
        <f ca="1">[1]!ldf(D$4:D$27, $A$4:$A$27, $L117, $A$27, 1)</f>
        <v>0.90438011984746658</v>
      </c>
      <c r="P117" s="141">
        <f ca="1">[1]!ldf(E$4:E$27, $A$4:$A$27, $L117, $A$27, 1)</f>
        <v>0.90768613493685324</v>
      </c>
      <c r="Q117" s="141">
        <f ca="1">[1]!ldf(F$4:F$27, $A$4:$A$27, $L117, $A$27, 1)</f>
        <v>0.91214345995231561</v>
      </c>
      <c r="R117" s="141">
        <f ca="1">[1]!ldf(G$4:G$27, $A$4:$A$27, $L117, $A$27, 1)</f>
        <v>0.89658389623479884</v>
      </c>
      <c r="S117" s="141">
        <f ca="1">[1]!ldf(H$4:H$27, $A$4:$A$27, $L117, $A$27, 1)</f>
        <v>0.89711009700201683</v>
      </c>
      <c r="T117" s="141">
        <f ca="1">[1]!ldf(I$4:I$27, $A$4:$A$27, $L117, $A$27, 1)</f>
        <v>0.89765890665203829</v>
      </c>
      <c r="U117" s="141">
        <f ca="1">[1]!ldf(J$4:J$27, $A$4:$A$27, $L117, $A$27, 1)</f>
        <v>0.89848897393808258</v>
      </c>
    </row>
    <row r="118" spans="12:21" x14ac:dyDescent="0.2">
      <c r="L118" s="254">
        <f>IF(LDF!W119 &lt; 12, LDF!W119/2 + 6, LDF!W119)</f>
        <v>229</v>
      </c>
      <c r="M118" s="141">
        <f ca="1">[1]!ldf(B$4:B$27, $A$4:$A$27, $L118, $A$27, 1)</f>
        <v>0.90315116687519714</v>
      </c>
      <c r="N118" s="141">
        <f ca="1">[1]!ldf(C$4:C$27, $A$4:$A$27, $L118, $A$27, 1)</f>
        <v>0.90497045013136024</v>
      </c>
      <c r="O118" s="141">
        <f ca="1">[1]!ldf(D$4:D$27, $A$4:$A$27, $L118, $A$27, 1)</f>
        <v>0.90567163532800998</v>
      </c>
      <c r="P118" s="141">
        <f ca="1">[1]!ldf(E$4:E$27, $A$4:$A$27, $L118, $A$27, 1)</f>
        <v>0.90888825164557152</v>
      </c>
      <c r="Q118" s="141">
        <f ca="1">[1]!ldf(F$4:F$27, $A$4:$A$27, $L118, $A$27, 1)</f>
        <v>0.91322795577417537</v>
      </c>
      <c r="R118" s="141">
        <f ca="1">[1]!ldf(G$4:G$27, $A$4:$A$27, $L118, $A$27, 1)</f>
        <v>0.89809956345913489</v>
      </c>
      <c r="S118" s="141">
        <f ca="1">[1]!ldf(H$4:H$27, $A$4:$A$27, $L118, $A$27, 1)</f>
        <v>0.89861039685555344</v>
      </c>
      <c r="T118" s="141">
        <f ca="1">[1]!ldf(I$4:I$27, $A$4:$A$27, $L118, $A$27, 1)</f>
        <v>0.89914525322250982</v>
      </c>
      <c r="U118" s="141">
        <f ca="1">[1]!ldf(J$4:J$27, $A$4:$A$27, $L118, $A$27, 1)</f>
        <v>0.89995291969138824</v>
      </c>
    </row>
    <row r="119" spans="12:21" x14ac:dyDescent="0.2">
      <c r="L119" s="254">
        <f>IF(LDF!W120 &lt; 12, LDF!W120/2 + 6, LDF!W120)</f>
        <v>231</v>
      </c>
      <c r="M119" s="141">
        <f ca="1">[1]!ldf(B$4:B$27, $A$4:$A$27, $L119, $A$27, 1)</f>
        <v>0.90588915344802645</v>
      </c>
      <c r="N119" s="141">
        <f ca="1">[1]!ldf(C$4:C$27, $A$4:$A$27, $L119, $A$27, 1)</f>
        <v>0.90760441134059122</v>
      </c>
      <c r="O119" s="141">
        <f ca="1">[1]!ldf(D$4:D$27, $A$4:$A$27, $L119, $A$27, 1)</f>
        <v>0.90826576421072724</v>
      </c>
      <c r="P119" s="141">
        <f ca="1">[1]!ldf(E$4:E$27, $A$4:$A$27, $L119, $A$27, 1)</f>
        <v>0.91130206275087922</v>
      </c>
      <c r="Q119" s="141">
        <f ca="1">[1]!ldf(F$4:F$27, $A$4:$A$27, $L119, $A$27, 1)</f>
        <v>0.91540470234660065</v>
      </c>
      <c r="R119" s="141">
        <f ca="1">[1]!ldf(G$4:G$27, $A$4:$A$27, $L119, $A$27, 1)</f>
        <v>0.90114632339411749</v>
      </c>
      <c r="S119" s="141">
        <f ca="1">[1]!ldf(H$4:H$27, $A$4:$A$27, $L119, $A$27, 1)</f>
        <v>0.90162610142164445</v>
      </c>
      <c r="T119" s="141">
        <f ca="1">[1]!ldf(I$4:I$27, $A$4:$A$27, $L119, $A$27, 1)</f>
        <v>0.90213276201229731</v>
      </c>
      <c r="U119" s="141">
        <f ca="1">[1]!ldf(J$4:J$27, $A$4:$A$27, $L119, $A$27, 1)</f>
        <v>0.90289516959662086</v>
      </c>
    </row>
    <row r="120" spans="12:21" x14ac:dyDescent="0.2">
      <c r="L120" s="254">
        <f>IF(LDF!W121 &lt; 12, LDF!W121/2 + 6, LDF!W121)</f>
        <v>232</v>
      </c>
      <c r="M120" s="141">
        <f ca="1">[1]!ldf(B$4:B$27, $A$4:$A$27, $L120, $A$27, 1)</f>
        <v>0.90726438153040334</v>
      </c>
      <c r="N120" s="141">
        <f ca="1">[1]!ldf(C$4:C$27, $A$4:$A$27, $L120, $A$27, 1)</f>
        <v>0.90892715003048419</v>
      </c>
      <c r="O120" s="141">
        <f ca="1">[1]!ldf(D$4:D$27, $A$4:$A$27, $L120, $A$27, 1)</f>
        <v>0.90956840944643536</v>
      </c>
      <c r="P120" s="141">
        <f ca="1">[1]!ldf(E$4:E$27, $A$4:$A$27, $L120, $A$27, 1)</f>
        <v>0.91251378261756277</v>
      </c>
      <c r="Q120" s="141">
        <f ca="1">[1]!ldf(F$4:F$27, $A$4:$A$27, $L120, $A$27, 1)</f>
        <v>0.91649697160367005</v>
      </c>
      <c r="R120" s="141">
        <f ca="1">[1]!ldf(G$4:G$27, $A$4:$A$27, $L120, $A$27, 1)</f>
        <v>0.9026774685239054</v>
      </c>
      <c r="S120" s="141">
        <f ca="1">[1]!ldf(H$4:H$27, $A$4:$A$27, $L120, $A$27, 1)</f>
        <v>0.90314155691077136</v>
      </c>
      <c r="T120" s="141">
        <f ca="1">[1]!ldf(I$4:I$27, $A$4:$A$27, $L120, $A$27, 1)</f>
        <v>0.90363397354014907</v>
      </c>
      <c r="U120" s="141">
        <f ca="1">[1]!ldf(J$4:J$27, $A$4:$A$27, $L120, $A$27, 1)</f>
        <v>0.90437352076786137</v>
      </c>
    </row>
    <row r="121" spans="12:21" x14ac:dyDescent="0.2">
      <c r="L121" s="254">
        <f>IF(LDF!W122 &lt; 12, LDF!W122/2 + 6, LDF!W122)</f>
        <v>235</v>
      </c>
      <c r="M121" s="141">
        <f ca="1">[1]!ldf(B$4:B$27, $A$4:$A$27, $L121, $A$27, 1)</f>
        <v>0.91141523316135276</v>
      </c>
      <c r="N121" s="141">
        <f ca="1">[1]!ldf(C$4:C$27, $A$4:$A$27, $L121, $A$27, 1)</f>
        <v>0.91291860072911091</v>
      </c>
      <c r="O121" s="141">
        <f ca="1">[1]!ldf(D$4:D$27, $A$4:$A$27, $L121, $A$27, 1)</f>
        <v>0.91349886125800406</v>
      </c>
      <c r="P121" s="141">
        <f ca="1">[1]!ldf(E$4:E$27, $A$4:$A$27, $L121, $A$27, 1)</f>
        <v>0.91616835372238781</v>
      </c>
      <c r="Q121" s="141">
        <f ca="1">[1]!ldf(F$4:F$27, $A$4:$A$27, $L121, $A$27, 1)</f>
        <v>0.9197894752281065</v>
      </c>
      <c r="R121" s="141">
        <f ca="1">[1]!ldf(G$4:G$27, $A$4:$A$27, $L121, $A$27, 1)</f>
        <v>0.90730228283723224</v>
      </c>
      <c r="S121" s="141">
        <f ca="1">[1]!ldf(H$4:H$27, $A$4:$A$27, $L121, $A$27, 1)</f>
        <v>0.90771864446458428</v>
      </c>
      <c r="T121" s="141">
        <f ca="1">[1]!ldf(I$4:I$27, $A$4:$A$27, $L121, $A$27, 1)</f>
        <v>0.90816773597026157</v>
      </c>
      <c r="U121" s="141">
        <f ca="1">[1]!ldf(J$4:J$27, $A$4:$A$27, $L121, $A$27, 1)</f>
        <v>0.90883776452136877</v>
      </c>
    </row>
    <row r="122" spans="12:21" x14ac:dyDescent="0.2">
      <c r="L122" s="254">
        <f>IF(LDF!W123 &lt; 12, LDF!W123/2 + 6, LDF!W123)</f>
        <v>237</v>
      </c>
      <c r="M122" s="141">
        <f ca="1">[1]!ldf(B$4:B$27, $A$4:$A$27, $L122, $A$27, 1)</f>
        <v>0.91420363289567164</v>
      </c>
      <c r="N122" s="141">
        <f ca="1">[1]!ldf(C$4:C$27, $A$4:$A$27, $L122, $A$27, 1)</f>
        <v>0.91559910060536664</v>
      </c>
      <c r="O122" s="141">
        <f ca="1">[1]!ldf(D$4:D$27, $A$4:$A$27, $L122, $A$27, 1)</f>
        <v>0.91613808851660272</v>
      </c>
      <c r="P122" s="141">
        <f ca="1">[1]!ldf(E$4:E$27, $A$4:$A$27, $L122, $A$27, 1)</f>
        <v>0.91862104062993255</v>
      </c>
      <c r="Q122" s="141">
        <f ca="1">[1]!ldf(F$4:F$27, $A$4:$A$27, $L122, $A$27, 1)</f>
        <v>0.92199765172629267</v>
      </c>
      <c r="R122" s="141">
        <f ca="1">[1]!ldf(G$4:G$27, $A$4:$A$27, $L122, $A$27, 1)</f>
        <v>0.91041191034784619</v>
      </c>
      <c r="S122" s="141">
        <f ca="1">[1]!ldf(H$4:H$27, $A$4:$A$27, $L122, $A$27, 1)</f>
        <v>0.91079589744103595</v>
      </c>
      <c r="T122" s="141">
        <f ca="1">[1]!ldf(I$4:I$27, $A$4:$A$27, $L122, $A$27, 1)</f>
        <v>0.91121560357313414</v>
      </c>
      <c r="U122" s="141">
        <f ca="1">[1]!ldf(J$4:J$27, $A$4:$A$27, $L122, $A$27, 1)</f>
        <v>0.91183849316859045</v>
      </c>
    </row>
    <row r="123" spans="12:21" x14ac:dyDescent="0.2">
      <c r="L123" s="254">
        <f>IF(LDF!W124 &lt; 12, LDF!W124/2 + 6, LDF!W124)</f>
        <v>240</v>
      </c>
      <c r="M123" s="141">
        <f ca="1">[1]!ldf(B$4:B$27, $A$4:$A$27, $L123, $A$27, 1)</f>
        <v>0.9184183707800615</v>
      </c>
      <c r="N123" s="141">
        <f ca="1">[1]!ldf(C$4:C$27, $A$4:$A$27, $L123, $A$27, 1)</f>
        <v>0.91964949516852212</v>
      </c>
      <c r="O123" s="141">
        <f ca="1">[1]!ldf(D$4:D$27, $A$4:$A$27, $L123, $A$27, 1)</f>
        <v>0.92012564798903207</v>
      </c>
      <c r="P123" s="141">
        <f ca="1">[1]!ldf(E$4:E$27, $A$4:$A$27, $L123, $A$27, 1)</f>
        <v>0.92232479322461924</v>
      </c>
      <c r="Q123" s="141">
        <f ca="1">[1]!ldf(F$4:F$27, $A$4:$A$27, $L123, $A$27, 1)</f>
        <v>0.92532986804761796</v>
      </c>
      <c r="R123" s="141">
        <f ca="1">[1]!ldf(G$4:G$27, $A$4:$A$27, $L123, $A$27, 1)</f>
        <v>0.9151165246328179</v>
      </c>
      <c r="S123" s="141">
        <f ca="1">[1]!ldf(H$4:H$27, $A$4:$A$27, $L123, $A$27, 1)</f>
        <v>0.91545109753834819</v>
      </c>
      <c r="T123" s="141">
        <f ca="1">[1]!ldf(I$4:I$27, $A$4:$A$27, $L123, $A$27, 1)</f>
        <v>0.91582595717996507</v>
      </c>
      <c r="U123" s="141">
        <f ca="1">[1]!ldf(J$4:J$27, $A$4:$A$27, $L123, $A$27, 1)</f>
        <v>0.91637692444230923</v>
      </c>
    </row>
    <row r="124" spans="12:21" x14ac:dyDescent="0.2">
      <c r="L124" s="254">
        <f>IF(LDF!W125 &lt; 12, LDF!W125/2 + 6, LDF!W125)</f>
        <v>241</v>
      </c>
      <c r="M124" s="141">
        <f ca="1">[1]!ldf(B$4:B$27, $A$4:$A$27, $L124, $A$27, 1)</f>
        <v>0.91998701056317234</v>
      </c>
      <c r="N124" s="141">
        <f ca="1">[1]!ldf(C$4:C$27, $A$4:$A$27, $L124, $A$27, 1)</f>
        <v>0.92117362465757935</v>
      </c>
      <c r="O124" s="141">
        <f ca="1">[1]!ldf(D$4:D$27, $A$4:$A$27, $L124, $A$27, 1)</f>
        <v>0.92163262892540554</v>
      </c>
      <c r="P124" s="141">
        <f ca="1">[1]!ldf(E$4:E$27, $A$4:$A$27, $L124, $A$27, 1)</f>
        <v>0.92375318499816361</v>
      </c>
      <c r="Q124" s="141">
        <f ca="1">[1]!ldf(F$4:F$27, $A$4:$A$27, $L124, $A$27, 1)</f>
        <v>0.92665248697884239</v>
      </c>
      <c r="R124" s="141">
        <f ca="1">[1]!ldf(G$4:G$27, $A$4:$A$27, $L124, $A$27, 1)</f>
        <v>0.91680934510497691</v>
      </c>
      <c r="S124" s="141">
        <f ca="1">[1]!ldf(H$4:H$27, $A$4:$A$27, $L124, $A$27, 1)</f>
        <v>0.9171313851933296</v>
      </c>
      <c r="T124" s="141">
        <f ca="1">[1]!ldf(I$4:I$27, $A$4:$A$27, $L124, $A$27, 1)</f>
        <v>0.917493234067985</v>
      </c>
      <c r="U124" s="141">
        <f ca="1">[1]!ldf(J$4:J$27, $A$4:$A$27, $L124, $A$27, 1)</f>
        <v>0.91802445470981209</v>
      </c>
    </row>
    <row r="125" spans="12:21" x14ac:dyDescent="0.2">
      <c r="L125" s="254">
        <f>IF(LDF!W126 &lt; 12, LDF!W126/2 + 6, LDF!W126)</f>
        <v>243</v>
      </c>
      <c r="M125" s="141">
        <f ca="1">[1]!ldf(B$4:B$27, $A$4:$A$27, $L125, $A$27, 1)</f>
        <v>0.92314042045783262</v>
      </c>
      <c r="N125" s="141">
        <f ca="1">[1]!ldf(C$4:C$27, $A$4:$A$27, $L125, $A$27, 1)</f>
        <v>0.92423708962020079</v>
      </c>
      <c r="O125" s="141">
        <f ca="1">[1]!ldf(D$4:D$27, $A$4:$A$27, $L125, $A$27, 1)</f>
        <v>0.92466144825713159</v>
      </c>
      <c r="P125" s="141">
        <f ca="1">[1]!ldf(E$4:E$27, $A$4:$A$27, $L125, $A$27, 1)</f>
        <v>0.92662328256838689</v>
      </c>
      <c r="Q125" s="141">
        <f ca="1">[1]!ldf(F$4:F$27, $A$4:$A$27, $L125, $A$27, 1)</f>
        <v>0.92930910026110436</v>
      </c>
      <c r="R125" s="141">
        <f ca="1">[1]!ldf(G$4:G$27, $A$4:$A$27, $L125, $A$27, 1)</f>
        <v>0.9202138445164294</v>
      </c>
      <c r="S125" s="141">
        <f ca="1">[1]!ldf(H$4:H$27, $A$4:$A$27, $L125, $A$27, 1)</f>
        <v>0.92051053344008738</v>
      </c>
      <c r="T125" s="141">
        <f ca="1">[1]!ldf(I$4:I$27, $A$4:$A$27, $L125, $A$27, 1)</f>
        <v>0.92084606623357002</v>
      </c>
      <c r="U125" s="141">
        <f ca="1">[1]!ldf(J$4:J$27, $A$4:$A$27, $L125, $A$27, 1)</f>
        <v>0.92133735169140363</v>
      </c>
    </row>
    <row r="126" spans="12:21" x14ac:dyDescent="0.2">
      <c r="L126" s="254">
        <f>IF(LDF!W127 &lt; 12, LDF!W127/2 + 6, LDF!W127)</f>
        <v>244</v>
      </c>
      <c r="M126" s="141">
        <f ca="1">[1]!ldf(B$4:B$27, $A$4:$A$27, $L126, $A$27, 1)</f>
        <v>0.92472524595371008</v>
      </c>
      <c r="N126" s="141">
        <f ca="1">[1]!ldf(C$4:C$27, $A$4:$A$27, $L126, $A$27, 1)</f>
        <v>0.92577647574717792</v>
      </c>
      <c r="O126" s="141">
        <f ca="1">[1]!ldf(D$4:D$27, $A$4:$A$27, $L126, $A$27, 1)</f>
        <v>0.92618333555985033</v>
      </c>
      <c r="P126" s="141">
        <f ca="1">[1]!ldf(E$4:E$27, $A$4:$A$27, $L126, $A$27, 1)</f>
        <v>0.9280650297960471</v>
      </c>
      <c r="Q126" s="141">
        <f ca="1">[1]!ldf(F$4:F$27, $A$4:$A$27, $L126, $A$27, 1)</f>
        <v>0.93064312727106513</v>
      </c>
      <c r="R126" s="141">
        <f ca="1">[1]!ldf(G$4:G$27, $A$4:$A$27, $L126, $A$27, 1)</f>
        <v>0.92192559361542403</v>
      </c>
      <c r="S126" s="141">
        <f ca="1">[1]!ldf(H$4:H$27, $A$4:$A$27, $L126, $A$27, 1)</f>
        <v>0.92220946258969683</v>
      </c>
      <c r="T126" s="141">
        <f ca="1">[1]!ldf(I$4:I$27, $A$4:$A$27, $L126, $A$27, 1)</f>
        <v>0.92253168842885369</v>
      </c>
      <c r="U126" s="141">
        <f ca="1">[1]!ldf(J$4:J$27, $A$4:$A$27, $L126, $A$27, 1)</f>
        <v>0.923002782888658</v>
      </c>
    </row>
    <row r="127" spans="12:21" x14ac:dyDescent="0.2">
      <c r="L127" s="254">
        <f>IF(LDF!W128 &lt; 12, LDF!W128/2 + 6, LDF!W128)</f>
        <v>247</v>
      </c>
      <c r="M127" s="141">
        <f ca="1">[1]!ldf(B$4:B$27, $A$4:$A$27, $L127, $A$27, 1)</f>
        <v>0.9295125409556344</v>
      </c>
      <c r="N127" s="141">
        <f ca="1">[1]!ldf(C$4:C$27, $A$4:$A$27, $L127, $A$27, 1)</f>
        <v>0.93042555619246659</v>
      </c>
      <c r="O127" s="141">
        <f ca="1">[1]!ldf(D$4:D$27, $A$4:$A$27, $L127, $A$27, 1)</f>
        <v>0.93077920485723609</v>
      </c>
      <c r="P127" s="141">
        <f ca="1">[1]!ldf(E$4:E$27, $A$4:$A$27, $L127, $A$27, 1)</f>
        <v>0.93241731655525706</v>
      </c>
      <c r="Q127" s="141">
        <f ca="1">[1]!ldf(F$4:F$27, $A$4:$A$27, $L127, $A$27, 1)</f>
        <v>0.93466828770736687</v>
      </c>
      <c r="R127" s="141">
        <f ca="1">[1]!ldf(G$4:G$27, $A$4:$A$27, $L127, $A$27, 1)</f>
        <v>0.92709926495580908</v>
      </c>
      <c r="S127" s="141">
        <f ca="1">[1]!ldf(H$4:H$27, $A$4:$A$27, $L127, $A$27, 1)</f>
        <v>0.92734408683441849</v>
      </c>
      <c r="T127" s="141">
        <f ca="1">[1]!ldf(I$4:I$27, $A$4:$A$27, $L127, $A$27, 1)</f>
        <v>0.92762578614413571</v>
      </c>
      <c r="U127" s="141">
        <f ca="1">[1]!ldf(J$4:J$27, $A$4:$A$27, $L127, $A$27, 1)</f>
        <v>0.92803539912751809</v>
      </c>
    </row>
    <row r="128" spans="12:21" x14ac:dyDescent="0.2">
      <c r="L128" s="254">
        <f>IF(LDF!W129 &lt; 12, LDF!W129/2 + 6, LDF!W129)</f>
        <v>249</v>
      </c>
      <c r="M128" s="141">
        <f ca="1">[1]!ldf(B$4:B$27, $A$4:$A$27, $L128, $A$27, 1)</f>
        <v>0.93273170386815218</v>
      </c>
      <c r="N128" s="141">
        <f ca="1">[1]!ldf(C$4:C$27, $A$4:$A$27, $L128, $A$27, 1)</f>
        <v>0.93355097122059461</v>
      </c>
      <c r="O128" s="141">
        <f ca="1">[1]!ldf(D$4:D$27, $A$4:$A$27, $L128, $A$27, 1)</f>
        <v>0.933868541198833</v>
      </c>
      <c r="P128" s="141">
        <f ca="1">[1]!ldf(E$4:E$27, $A$4:$A$27, $L128, $A$27, 1)</f>
        <v>0.93534159067379408</v>
      </c>
      <c r="Q128" s="141">
        <f ca="1">[1]!ldf(F$4:F$27, $A$4:$A$27, $L128, $A$27, 1)</f>
        <v>0.93737112768740161</v>
      </c>
      <c r="R128" s="141">
        <f ca="1">[1]!ldf(G$4:G$27, $A$4:$A$27, $L128, $A$27, 1)</f>
        <v>0.93058075994919032</v>
      </c>
      <c r="S128" s="141">
        <f ca="1">[1]!ldf(H$4:H$27, $A$4:$A$27, $L128, $A$27, 1)</f>
        <v>0.93079905274477792</v>
      </c>
      <c r="T128" s="141">
        <f ca="1">[1]!ldf(I$4:I$27, $A$4:$A$27, $L128, $A$27, 1)</f>
        <v>0.93105322113712985</v>
      </c>
      <c r="U128" s="141">
        <f ca="1">[1]!ldf(J$4:J$27, $A$4:$A$27, $L128, $A$27, 1)</f>
        <v>0.93142107677522434</v>
      </c>
    </row>
    <row r="129" spans="12:21" x14ac:dyDescent="0.2">
      <c r="L129" s="254">
        <f>IF(LDF!W130 &lt; 12, LDF!W130/2 + 6, LDF!W130)</f>
        <v>252</v>
      </c>
      <c r="M129" s="141">
        <f ca="1">[1]!ldf(B$4:B$27, $A$4:$A$27, $L129, $A$27, 1)</f>
        <v>0.93760247480547942</v>
      </c>
      <c r="N129" s="141">
        <f ca="1">[1]!ldf(C$4:C$27, $A$4:$A$27, $L129, $A$27, 1)</f>
        <v>0.93827866310533059</v>
      </c>
      <c r="O129" s="141">
        <f ca="1">[1]!ldf(D$4:D$27, $A$4:$A$27, $L129, $A$27, 1)</f>
        <v>0.93854118975576395</v>
      </c>
      <c r="P129" s="141">
        <f ca="1">[1]!ldf(E$4:E$27, $A$4:$A$27, $L129, $A$27, 1)</f>
        <v>0.93976255638153539</v>
      </c>
      <c r="Q129" s="141">
        <f ca="1">[1]!ldf(F$4:F$27, $A$4:$A$27, $L129, $A$27, 1)</f>
        <v>0.94145482525351876</v>
      </c>
      <c r="R129" s="141">
        <f ca="1">[1]!ldf(G$4:G$27, $A$4:$A$27, $L129, $A$27, 1)</f>
        <v>0.93585230731030311</v>
      </c>
      <c r="S129" s="141">
        <f ca="1">[1]!ldf(H$4:H$27, $A$4:$A$27, $L129, $A$27, 1)</f>
        <v>0.93603004294901859</v>
      </c>
      <c r="T129" s="141">
        <f ca="1">[1]!ldf(I$4:I$27, $A$4:$A$27, $L129, $A$27, 1)</f>
        <v>0.9362421277173234</v>
      </c>
      <c r="U129" s="141">
        <f ca="1">[1]!ldf(J$4:J$27, $A$4:$A$27, $L129, $A$27, 1)</f>
        <v>0.93654616698176663</v>
      </c>
    </row>
    <row r="130" spans="12:21" x14ac:dyDescent="0.2">
      <c r="L130" s="254">
        <f>IF(LDF!W131 &lt; 12, LDF!W131/2 + 6, LDF!W131)</f>
        <v>253</v>
      </c>
      <c r="M130" s="141">
        <f ca="1">[1]!ldf(B$4:B$27, $A$4:$A$27, $L130, $A$27, 1)</f>
        <v>0.93940889443373277</v>
      </c>
      <c r="N130" s="141">
        <f ca="1">[1]!ldf(C$4:C$27, $A$4:$A$27, $L130, $A$27, 1)</f>
        <v>0.9400509072181088</v>
      </c>
      <c r="O130" s="141">
        <f ca="1">[1]!ldf(D$4:D$27, $A$4:$A$27, $L130, $A$27, 1)</f>
        <v>0.94030018802259119</v>
      </c>
      <c r="P130" s="141">
        <f ca="1">[1]!ldf(E$4:E$27, $A$4:$A$27, $L130, $A$27, 1)</f>
        <v>0.94146014024585611</v>
      </c>
      <c r="Q130" s="141">
        <f ca="1">[1]!ldf(F$4:F$27, $A$4:$A$27, $L130, $A$27, 1)</f>
        <v>0.94306788129570673</v>
      </c>
      <c r="R130" s="141">
        <f ca="1">[1]!ldf(G$4:G$27, $A$4:$A$27, $L130, $A$27, 1)</f>
        <v>0.93774878135681572</v>
      </c>
      <c r="S130" s="141">
        <f ca="1">[1]!ldf(H$4:H$27, $A$4:$A$27, $L130, $A$27, 1)</f>
        <v>0.93791739232091087</v>
      </c>
      <c r="T130" s="141">
        <f ca="1">[1]!ldf(I$4:I$27, $A$4:$A$27, $L130, $A$27, 1)</f>
        <v>0.93811893133827207</v>
      </c>
      <c r="U130" s="141">
        <f ca="1">[1]!ldf(J$4:J$27, $A$4:$A$27, $L130, $A$27, 1)</f>
        <v>0.93840764896526252</v>
      </c>
    </row>
    <row r="131" spans="12:21" x14ac:dyDescent="0.2">
      <c r="L131" s="254">
        <f>IF(LDF!W132 &lt; 12, LDF!W132/2 + 6, LDF!W132)</f>
        <v>255</v>
      </c>
      <c r="M131" s="141">
        <f ca="1">[1]!ldf(B$4:B$27, $A$4:$A$27, $L131, $A$27, 1)</f>
        <v>0.94304269635459292</v>
      </c>
      <c r="N131" s="141">
        <f ca="1">[1]!ldf(C$4:C$27, $A$4:$A$27, $L131, $A$27, 1)</f>
        <v>0.94361555635751437</v>
      </c>
      <c r="O131" s="141">
        <f ca="1">[1]!ldf(D$4:D$27, $A$4:$A$27, $L131, $A$27, 1)</f>
        <v>0.94383803908985608</v>
      </c>
      <c r="P131" s="141">
        <f ca="1">[1]!ldf(E$4:E$27, $A$4:$A$27, $L131, $A$27, 1)</f>
        <v>0.94487377374559134</v>
      </c>
      <c r="Q131" s="141">
        <f ca="1">[1]!ldf(F$4:F$27, $A$4:$A$27, $L131, $A$27, 1)</f>
        <v>0.94631063292495332</v>
      </c>
      <c r="R131" s="141">
        <f ca="1">[1]!ldf(G$4:G$27, $A$4:$A$27, $L131, $A$27, 1)</f>
        <v>0.94156488214139578</v>
      </c>
      <c r="S131" s="141">
        <f ca="1">[1]!ldf(H$4:H$27, $A$4:$A$27, $L131, $A$27, 1)</f>
        <v>0.94171501667841473</v>
      </c>
      <c r="T131" s="141">
        <f ca="1">[1]!ldf(I$4:I$27, $A$4:$A$27, $L131, $A$27, 1)</f>
        <v>0.94189520304254681</v>
      </c>
      <c r="U131" s="141">
        <f ca="1">[1]!ldf(J$4:J$27, $A$4:$A$27, $L131, $A$27, 1)</f>
        <v>0.94215290085453374</v>
      </c>
    </row>
    <row r="132" spans="12:21" x14ac:dyDescent="0.2">
      <c r="L132" s="254">
        <f>IF(LDF!W133 &lt; 12, LDF!W133/2 + 6, LDF!W133)</f>
        <v>256</v>
      </c>
      <c r="M132" s="141">
        <f ca="1">[1]!ldf(B$4:B$27, $A$4:$A$27, $L132, $A$27, 1)</f>
        <v>0.94487015989167566</v>
      </c>
      <c r="N132" s="141">
        <f ca="1">[1]!ldf(C$4:C$27, $A$4:$A$27, $L132, $A$27, 1)</f>
        <v>0.94540803797903739</v>
      </c>
      <c r="O132" s="141">
        <f ca="1">[1]!ldf(D$4:D$27, $A$4:$A$27, $L132, $A$27, 1)</f>
        <v>0.94561696673317397</v>
      </c>
      <c r="P132" s="141">
        <f ca="1">[1]!ldf(E$4:E$27, $A$4:$A$27, $L132, $A$27, 1)</f>
        <v>0.94658989045751762</v>
      </c>
      <c r="Q132" s="141">
        <f ca="1">[1]!ldf(F$4:F$27, $A$4:$A$27, $L132, $A$27, 1)</f>
        <v>0.94794038582584839</v>
      </c>
      <c r="R132" s="141">
        <f ca="1">[1]!ldf(G$4:G$27, $A$4:$A$27, $L132, $A$27, 1)</f>
        <v>0.94348460328976302</v>
      </c>
      <c r="S132" s="141">
        <f ca="1">[1]!ldf(H$4:H$27, $A$4:$A$27, $L132, $A$27, 1)</f>
        <v>0.94362538467806611</v>
      </c>
      <c r="T132" s="141">
        <f ca="1">[1]!ldf(I$4:I$27, $A$4:$A$27, $L132, $A$27, 1)</f>
        <v>0.94379476254261385</v>
      </c>
      <c r="U132" s="141">
        <f ca="1">[1]!ldf(J$4:J$27, $A$4:$A$27, $L132, $A$27, 1)</f>
        <v>0.94403675989086044</v>
      </c>
    </row>
    <row r="133" spans="12:21" x14ac:dyDescent="0.2">
      <c r="L133" s="254">
        <f>IF(LDF!W134 &lt; 12, LDF!W134/2 + 6, LDF!W134)</f>
        <v>259</v>
      </c>
      <c r="M133" s="141">
        <f ca="1">[1]!ldf(B$4:B$27, $A$4:$A$27, $L133, $A$27, 1)</f>
        <v>0.95039529492747676</v>
      </c>
      <c r="N133" s="141">
        <f ca="1">[1]!ldf(C$4:C$27, $A$4:$A$27, $L133, $A$27, 1)</f>
        <v>0.9508265767662365</v>
      </c>
      <c r="O133" s="141">
        <f ca="1">[1]!ldf(D$4:D$27, $A$4:$A$27, $L133, $A$27, 1)</f>
        <v>0.95099421311746224</v>
      </c>
      <c r="P133" s="141">
        <f ca="1">[1]!ldf(E$4:E$27, $A$4:$A$27, $L133, $A$27, 1)</f>
        <v>0.95177584804536597</v>
      </c>
      <c r="Q133" s="141">
        <f ca="1">[1]!ldf(F$4:F$27, $A$4:$A$27, $L133, $A$27, 1)</f>
        <v>0.95286350092386163</v>
      </c>
      <c r="R133" s="141">
        <f ca="1">[1]!ldf(G$4:G$27, $A$4:$A$27, $L133, $A$27, 1)</f>
        <v>0.94929102435529522</v>
      </c>
      <c r="S133" s="141">
        <f ca="1">[1]!ldf(H$4:H$27, $A$4:$A$27, $L133, $A$27, 1)</f>
        <v>0.9494032780183066</v>
      </c>
      <c r="T133" s="141">
        <f ca="1">[1]!ldf(I$4:I$27, $A$4:$A$27, $L133, $A$27, 1)</f>
        <v>0.94953969192539756</v>
      </c>
      <c r="U133" s="141">
        <f ca="1">[1]!ldf(J$4:J$27, $A$4:$A$27, $L133, $A$27, 1)</f>
        <v>0.94973381168027626</v>
      </c>
    </row>
    <row r="134" spans="12:21" x14ac:dyDescent="0.2">
      <c r="L134" s="254">
        <f>IF(LDF!W135 &lt; 12, LDF!W135/2 + 6, LDF!W135)</f>
        <v>261</v>
      </c>
      <c r="M134" s="141">
        <f ca="1">[1]!ldf(B$4:B$27, $A$4:$A$27, $L134, $A$27, 1)</f>
        <v>0.95411475684934755</v>
      </c>
      <c r="N134" s="141">
        <f ca="1">[1]!ldf(C$4:C$27, $A$4:$A$27, $L134, $A$27, 1)</f>
        <v>0.95447357494368978</v>
      </c>
      <c r="O134" s="141">
        <f ca="1">[1]!ldf(D$4:D$27, $A$4:$A$27, $L134, $A$27, 1)</f>
        <v>0.95461314853701762</v>
      </c>
      <c r="P134" s="141">
        <f ca="1">[1]!ldf(E$4:E$27, $A$4:$A$27, $L134, $A$27, 1)</f>
        <v>0.9552648372977901</v>
      </c>
      <c r="Q134" s="141">
        <f ca="1">[1]!ldf(F$4:F$27, $A$4:$A$27, $L134, $A$27, 1)</f>
        <v>0.95617408539134219</v>
      </c>
      <c r="R134" s="141">
        <f ca="1">[1]!ldf(G$4:G$27, $A$4:$A$27, $L134, $A$27, 1)</f>
        <v>0.95320183980336193</v>
      </c>
      <c r="S134" s="141">
        <f ca="1">[1]!ldf(H$4:H$27, $A$4:$A$27, $L134, $A$27, 1)</f>
        <v>0.9532946774781087</v>
      </c>
      <c r="T134" s="141">
        <f ca="1">[1]!ldf(I$4:I$27, $A$4:$A$27, $L134, $A$27, 1)</f>
        <v>0.9534086583806155</v>
      </c>
      <c r="U134" s="141">
        <f ca="1">[1]!ldf(J$4:J$27, $A$4:$A$27, $L134, $A$27, 1)</f>
        <v>0.9535702010037812</v>
      </c>
    </row>
    <row r="135" spans="12:21" x14ac:dyDescent="0.2">
      <c r="L135" s="254">
        <f>IF(LDF!W136 &lt; 12, LDF!W136/2 + 6, LDF!W136)</f>
        <v>264</v>
      </c>
      <c r="M135" s="141">
        <f ca="1">[1]!ldf(B$4:B$27, $A$4:$A$27, $L135, $A$27, 1)</f>
        <v>0.95974885881826388</v>
      </c>
      <c r="N135" s="141">
        <f ca="1">[1]!ldf(C$4:C$27, $A$4:$A$27, $L135, $A$27, 1)</f>
        <v>0.95999683247129963</v>
      </c>
      <c r="O135" s="141">
        <f ca="1">[1]!ldf(D$4:D$27, $A$4:$A$27, $L135, $A$27, 1)</f>
        <v>0.96009349157404644</v>
      </c>
      <c r="P135" s="141">
        <f ca="1">[1]!ldf(E$4:E$27, $A$4:$A$27, $L135, $A$27, 1)</f>
        <v>0.96054654820169361</v>
      </c>
      <c r="Q135" s="141">
        <f ca="1">[1]!ldf(F$4:F$27, $A$4:$A$27, $L135, $A$27, 1)</f>
        <v>0.96118332108475402</v>
      </c>
      <c r="R135" s="141">
        <f ca="1">[1]!ldf(G$4:G$27, $A$4:$A$27, $L135, $A$27, 1)</f>
        <v>0.95912885668200465</v>
      </c>
      <c r="S135" s="141">
        <f ca="1">[1]!ldf(H$4:H$27, $A$4:$A$27, $L135, $A$27, 1)</f>
        <v>0.95919195921023226</v>
      </c>
      <c r="T135" s="141">
        <f ca="1">[1]!ldf(I$4:I$27, $A$4:$A$27, $L135, $A$27, 1)</f>
        <v>0.95927158800906243</v>
      </c>
      <c r="U135" s="141">
        <f ca="1">[1]!ldf(J$4:J$27, $A$4:$A$27, $L135, $A$27, 1)</f>
        <v>0.95938325244233258</v>
      </c>
    </row>
    <row r="136" spans="12:21" x14ac:dyDescent="0.2">
      <c r="L136" s="254">
        <f>IF(LDF!W137 &lt; 12, LDF!W137/2 + 6, LDF!W137)</f>
        <v>265</v>
      </c>
      <c r="M136" s="141">
        <f ca="1">[1]!ldf(B$4:B$27, $A$4:$A$27, $L136, $A$27, 1)</f>
        <v>0.96182972052745841</v>
      </c>
      <c r="N136" s="141">
        <f ca="1">[1]!ldf(C$4:C$27, $A$4:$A$27, $L136, $A$27, 1)</f>
        <v>0.96205801165219007</v>
      </c>
      <c r="O136" s="141">
        <f ca="1">[1]!ldf(D$4:D$27, $A$4:$A$27, $L136, $A$27, 1)</f>
        <v>0.96214699598768649</v>
      </c>
      <c r="P136" s="141">
        <f ca="1">[1]!ldf(E$4:E$27, $A$4:$A$27, $L136, $A$27, 1)</f>
        <v>0.96256406032576214</v>
      </c>
      <c r="Q136" s="141">
        <f ca="1">[1]!ldf(F$4:F$27, $A$4:$A$27, $L136, $A$27, 1)</f>
        <v>0.96315019176332151</v>
      </c>
      <c r="R136" s="141">
        <f ca="1">[1]!ldf(G$4:G$27, $A$4:$A$27, $L136, $A$27, 1)</f>
        <v>0.9612588881158578</v>
      </c>
      <c r="S136" s="141">
        <f ca="1">[1]!ldf(H$4:H$27, $A$4:$A$27, $L136, $A$27, 1)</f>
        <v>0.96131698899419338</v>
      </c>
      <c r="T136" s="141">
        <f ca="1">[1]!ldf(I$4:I$27, $A$4:$A$27, $L136, $A$27, 1)</f>
        <v>0.96139030534634595</v>
      </c>
      <c r="U136" s="141">
        <f ca="1">[1]!ldf(J$4:J$27, $A$4:$A$27, $L136, $A$27, 1)</f>
        <v>0.9614931160918464</v>
      </c>
    </row>
    <row r="137" spans="12:21" x14ac:dyDescent="0.2">
      <c r="L137" s="254">
        <f>IF(LDF!W138 &lt; 12, LDF!W138/2 + 6, LDF!W138)</f>
        <v>267</v>
      </c>
      <c r="M137" s="141">
        <f ca="1">[1]!ldf(B$4:B$27, $A$4:$A$27, $L137, $A$27, 1)</f>
        <v>0.96601863132809085</v>
      </c>
      <c r="N137" s="141">
        <f ca="1">[1]!ldf(C$4:C$27, $A$4:$A$27, $L137, $A$27, 1)</f>
        <v>0.96620703748797987</v>
      </c>
      <c r="O137" s="141">
        <f ca="1">[1]!ldf(D$4:D$27, $A$4:$A$27, $L137, $A$27, 1)</f>
        <v>0.96628047096560576</v>
      </c>
      <c r="P137" s="141">
        <f ca="1">[1]!ldf(E$4:E$27, $A$4:$A$27, $L137, $A$27, 1)</f>
        <v>0.96662461707446345</v>
      </c>
      <c r="Q137" s="141">
        <f ca="1">[1]!ldf(F$4:F$27, $A$4:$A$27, $L137, $A$27, 1)</f>
        <v>0.96710818121843334</v>
      </c>
      <c r="R137" s="141">
        <f ca="1">[1]!ldf(G$4:G$27, $A$4:$A$27, $L137, $A$27, 1)</f>
        <v>0.96554745982544055</v>
      </c>
      <c r="S137" s="141">
        <f ca="1">[1]!ldf(H$4:H$27, $A$4:$A$27, $L137, $A$27, 1)</f>
        <v>0.96559542150240318</v>
      </c>
      <c r="T137" s="141">
        <f ca="1">[1]!ldf(I$4:I$27, $A$4:$A$27, $L137, $A$27, 1)</f>
        <v>0.9656559419222146</v>
      </c>
      <c r="U137" s="141">
        <f ca="1">[1]!ldf(J$4:J$27, $A$4:$A$27, $L137, $A$27, 1)</f>
        <v>0.96574080629671588</v>
      </c>
    </row>
    <row r="138" spans="12:21" x14ac:dyDescent="0.2">
      <c r="L138" s="254">
        <f>IF(LDF!W139 &lt; 12, LDF!W139/2 + 6, LDF!W139)</f>
        <v>271</v>
      </c>
      <c r="M138" s="141">
        <f ca="1">[1]!ldf(B$4:B$27, $A$4:$A$27, $L138, $A$27, 1)</f>
        <v>0.9745068746950396</v>
      </c>
      <c r="N138" s="141">
        <f ca="1">[1]!ldf(C$4:C$27, $A$4:$A$27, $L138, $A$27, 1)</f>
        <v>0.97461338317131352</v>
      </c>
      <c r="O138" s="141">
        <f ca="1">[1]!ldf(D$4:D$27, $A$4:$A$27, $L138, $A$27, 1)</f>
        <v>0.97465489113510995</v>
      </c>
      <c r="P138" s="141">
        <f ca="1">[1]!ldf(E$4:E$27, $A$4:$A$27, $L138, $A$27, 1)</f>
        <v>0.9748493813212219</v>
      </c>
      <c r="Q138" s="141">
        <f ca="1">[1]!ldf(F$4:F$27, $A$4:$A$27, $L138, $A$27, 1)</f>
        <v>0.97512255912012513</v>
      </c>
      <c r="R138" s="141">
        <f ca="1">[1]!ldf(G$4:G$27, $A$4:$A$27, $L138, $A$27, 1)</f>
        <v>0.97424043529918591</v>
      </c>
      <c r="S138" s="141">
        <f ca="1">[1]!ldf(H$4:H$27, $A$4:$A$27, $L138, $A$27, 1)</f>
        <v>0.97426756202794584</v>
      </c>
      <c r="T138" s="141">
        <f ca="1">[1]!ldf(I$4:I$27, $A$4:$A$27, $L138, $A$27, 1)</f>
        <v>0.97430179018810315</v>
      </c>
      <c r="U138" s="141">
        <f ca="1">[1]!ldf(J$4:J$27, $A$4:$A$27, $L138, $A$27, 1)</f>
        <v>0.97434978323287447</v>
      </c>
    </row>
    <row r="139" spans="12:21" x14ac:dyDescent="0.2">
      <c r="L139" s="254">
        <f>IF(LDF!W140 &lt; 12, LDF!W140/2 + 6, LDF!W140)</f>
        <v>273</v>
      </c>
      <c r="M139" s="141">
        <f ca="1">[1]!ldf(B$4:B$27, $A$4:$A$27, $L139, $A$27, 1)</f>
        <v>0.97880718180040882</v>
      </c>
      <c r="N139" s="141">
        <f ca="1">[1]!ldf(C$4:C$27, $A$4:$A$27, $L139, $A$27, 1)</f>
        <v>0.97887164933199766</v>
      </c>
      <c r="O139" s="141">
        <f ca="1">[1]!ldf(D$4:D$27, $A$4:$A$27, $L139, $A$27, 1)</f>
        <v>0.97889677178769585</v>
      </c>
      <c r="P139" s="141">
        <f ca="1">[1]!ldf(E$4:E$27, $A$4:$A$27, $L139, $A$27, 1)</f>
        <v>0.9790144745253998</v>
      </c>
      <c r="Q139" s="141">
        <f ca="1">[1]!ldf(F$4:F$27, $A$4:$A$27, $L139, $A$27, 1)</f>
        <v>0.97917976638706661</v>
      </c>
      <c r="R139" s="141">
        <f ca="1">[1]!ldf(G$4:G$27, $A$4:$A$27, $L139, $A$27, 1)</f>
        <v>0.97864588663325225</v>
      </c>
      <c r="S139" s="141">
        <f ca="1">[1]!ldf(H$4:H$27, $A$4:$A$27, $L139, $A$27, 1)</f>
        <v>0.97866231001998782</v>
      </c>
      <c r="T139" s="141">
        <f ca="1">[1]!ldf(I$4:I$27, $A$4:$A$27, $L139, $A$27, 1)</f>
        <v>0.9786830323213036</v>
      </c>
      <c r="U139" s="141">
        <f ca="1">[1]!ldf(J$4:J$27, $A$4:$A$27, $L139, $A$27, 1)</f>
        <v>0.97871208714008862</v>
      </c>
    </row>
    <row r="140" spans="12:21" x14ac:dyDescent="0.2">
      <c r="L140" s="254">
        <f>IF(LDF!W141 &lt; 12, LDF!W141/2 + 6, LDF!W141)</f>
        <v>276</v>
      </c>
      <c r="M140" s="141">
        <f ca="1">[1]!ldf(B$4:B$27, $A$4:$A$27, $L140, $A$27, 1)</f>
        <v>0.98532927816429206</v>
      </c>
      <c r="N140" s="141">
        <f ca="1">[1]!ldf(C$4:C$27, $A$4:$A$27, $L140, $A$27, 1)</f>
        <v>0.98532927816429228</v>
      </c>
      <c r="O140" s="141">
        <f ca="1">[1]!ldf(D$4:D$27, $A$4:$A$27, $L140, $A$27, 1)</f>
        <v>0.98532927816429206</v>
      </c>
      <c r="P140" s="141">
        <f ca="1">[1]!ldf(E$4:E$27, $A$4:$A$27, $L140, $A$27, 1)</f>
        <v>0.98532927816429228</v>
      </c>
      <c r="Q140" s="141">
        <f ca="1">[1]!ldf(F$4:F$27, $A$4:$A$27, $L140, $A$27, 1)</f>
        <v>0.98532927816429228</v>
      </c>
      <c r="R140" s="141">
        <f ca="1">[1]!ldf(G$4:G$27, $A$4:$A$27, $L140, $A$27, 1)</f>
        <v>0.98532927816429228</v>
      </c>
      <c r="S140" s="141">
        <f ca="1">[1]!ldf(H$4:H$27, $A$4:$A$27, $L140, $A$27, 1)</f>
        <v>0.98532927816429206</v>
      </c>
      <c r="T140" s="141">
        <f ca="1">[1]!ldf(I$4:I$27, $A$4:$A$27, $L140, $A$27, 1)</f>
        <v>0.98532927816429206</v>
      </c>
      <c r="U140" s="141">
        <f ca="1">[1]!ldf(J$4:J$27, $A$4:$A$27, $L140, $A$27, 1)</f>
        <v>0.98532927816429206</v>
      </c>
    </row>
    <row r="141" spans="12:21" x14ac:dyDescent="0.2">
      <c r="L141" s="254">
        <f>IF(LDF!W142 &lt; 12, LDF!W142/2 + 6, LDF!W142)</f>
        <v>277</v>
      </c>
      <c r="M141" s="141">
        <f ca="1">[1]!ldf(B$4:B$27, $A$4:$A$27, $L141, $A$27, 1)</f>
        <v>0.98532927816429206</v>
      </c>
      <c r="N141" s="141">
        <f ca="1">[1]!ldf(C$4:C$27, $A$4:$A$27, $L141, $A$27, 1)</f>
        <v>0.98532927816429228</v>
      </c>
      <c r="O141" s="141">
        <f ca="1">[1]!ldf(D$4:D$27, $A$4:$A$27, $L141, $A$27, 1)</f>
        <v>0.98532927816429206</v>
      </c>
      <c r="P141" s="141">
        <f ca="1">[1]!ldf(E$4:E$27, $A$4:$A$27, $L141, $A$27, 1)</f>
        <v>0.98532927816429228</v>
      </c>
      <c r="Q141" s="141">
        <f ca="1">[1]!ldf(F$4:F$27, $A$4:$A$27, $L141, $A$27, 1)</f>
        <v>0.98532927816429228</v>
      </c>
      <c r="R141" s="141">
        <f ca="1">[1]!ldf(G$4:G$27, $A$4:$A$27, $L141, $A$27, 1)</f>
        <v>0.98532927816429228</v>
      </c>
      <c r="S141" s="141">
        <f ca="1">[1]!ldf(H$4:H$27, $A$4:$A$27, $L141, $A$27, 1)</f>
        <v>0.98532927816429206</v>
      </c>
      <c r="T141" s="141">
        <f ca="1">[1]!ldf(I$4:I$27, $A$4:$A$27, $L141, $A$27, 1)</f>
        <v>0.98532927816429206</v>
      </c>
      <c r="U141" s="141">
        <f ca="1">[1]!ldf(J$4:J$27, $A$4:$A$27, $L141, $A$27, 1)</f>
        <v>0.98532927816429206</v>
      </c>
    </row>
    <row r="142" spans="12:21" x14ac:dyDescent="0.2">
      <c r="L142" s="254">
        <f>IF(LDF!W143 &lt; 12, LDF!W143/2 + 6, LDF!W143)</f>
        <v>279</v>
      </c>
      <c r="M142" s="141">
        <f ca="1">[1]!ldf(B$4:B$27, $A$4:$A$27, $L142, $A$27, 1)</f>
        <v>0.98532927816429206</v>
      </c>
      <c r="N142" s="141">
        <f ca="1">[1]!ldf(C$4:C$27, $A$4:$A$27, $L142, $A$27, 1)</f>
        <v>0.98532927816429228</v>
      </c>
      <c r="O142" s="141">
        <f ca="1">[1]!ldf(D$4:D$27, $A$4:$A$27, $L142, $A$27, 1)</f>
        <v>0.98532927816429206</v>
      </c>
      <c r="P142" s="141">
        <f ca="1">[1]!ldf(E$4:E$27, $A$4:$A$27, $L142, $A$27, 1)</f>
        <v>0.98532927816429228</v>
      </c>
      <c r="Q142" s="141">
        <f ca="1">[1]!ldf(F$4:F$27, $A$4:$A$27, $L142, $A$27, 1)</f>
        <v>0.98532927816429228</v>
      </c>
      <c r="R142" s="141">
        <f ca="1">[1]!ldf(G$4:G$27, $A$4:$A$27, $L142, $A$27, 1)</f>
        <v>0.98532927816429228</v>
      </c>
      <c r="S142" s="141">
        <f ca="1">[1]!ldf(H$4:H$27, $A$4:$A$27, $L142, $A$27, 1)</f>
        <v>0.98532927816429206</v>
      </c>
      <c r="T142" s="141">
        <f ca="1">[1]!ldf(I$4:I$27, $A$4:$A$27, $L142, $A$27, 1)</f>
        <v>0.98532927816429206</v>
      </c>
      <c r="U142" s="141">
        <f ca="1">[1]!ldf(J$4:J$27, $A$4:$A$27, $L142, $A$27, 1)</f>
        <v>0.98532927816429206</v>
      </c>
    </row>
    <row r="143" spans="12:21" x14ac:dyDescent="0.2">
      <c r="L143" s="254">
        <f>IF(LDF!W144 &lt; 12, LDF!W144/2 + 6, LDF!W144)</f>
        <v>283</v>
      </c>
      <c r="M143" s="141">
        <f ca="1">[1]!ldf(B$4:B$27, $A$4:$A$27, $L143, $A$27, 1)</f>
        <v>0.98532927816429206</v>
      </c>
      <c r="N143" s="141">
        <f ca="1">[1]!ldf(C$4:C$27, $A$4:$A$27, $L143, $A$27, 1)</f>
        <v>0.98532927816429228</v>
      </c>
      <c r="O143" s="141">
        <f ca="1">[1]!ldf(D$4:D$27, $A$4:$A$27, $L143, $A$27, 1)</f>
        <v>0.98532927816429206</v>
      </c>
      <c r="P143" s="141">
        <f ca="1">[1]!ldf(E$4:E$27, $A$4:$A$27, $L143, $A$27, 1)</f>
        <v>0.98532927816429228</v>
      </c>
      <c r="Q143" s="141">
        <f ca="1">[1]!ldf(F$4:F$27, $A$4:$A$27, $L143, $A$27, 1)</f>
        <v>0.98532927816429228</v>
      </c>
      <c r="R143" s="141">
        <f ca="1">[1]!ldf(G$4:G$27, $A$4:$A$27, $L143, $A$27, 1)</f>
        <v>0.98532927816429228</v>
      </c>
      <c r="S143" s="141">
        <f ca="1">[1]!ldf(H$4:H$27, $A$4:$A$27, $L143, $A$27, 1)</f>
        <v>0.98532927816429206</v>
      </c>
      <c r="T143" s="141">
        <f ca="1">[1]!ldf(I$4:I$27, $A$4:$A$27, $L143, $A$27, 1)</f>
        <v>0.98532927816429206</v>
      </c>
      <c r="U143" s="141">
        <f ca="1">[1]!ldf(J$4:J$27, $A$4:$A$27, $L143, $A$27, 1)</f>
        <v>0.98532927816429206</v>
      </c>
    </row>
    <row r="144" spans="12:21" x14ac:dyDescent="0.2">
      <c r="L144" s="254">
        <f>IF(LDF!W145 &lt; 12, LDF!W145/2 + 6, LDF!W145)</f>
        <v>285</v>
      </c>
      <c r="M144" s="141">
        <f ca="1">[1]!ldf(B$4:B$27, $A$4:$A$27, $L144, $A$27, 1)</f>
        <v>0.98532927816429206</v>
      </c>
      <c r="N144" s="141">
        <f ca="1">[1]!ldf(C$4:C$27, $A$4:$A$27, $L144, $A$27, 1)</f>
        <v>0.98532927816429228</v>
      </c>
      <c r="O144" s="141">
        <f ca="1">[1]!ldf(D$4:D$27, $A$4:$A$27, $L144, $A$27, 1)</f>
        <v>0.98532927816429206</v>
      </c>
      <c r="P144" s="141">
        <f ca="1">[1]!ldf(E$4:E$27, $A$4:$A$27, $L144, $A$27, 1)</f>
        <v>0.98532927816429228</v>
      </c>
      <c r="Q144" s="141">
        <f ca="1">[1]!ldf(F$4:F$27, $A$4:$A$27, $L144, $A$27, 1)</f>
        <v>0.98532927816429228</v>
      </c>
      <c r="R144" s="141">
        <f ca="1">[1]!ldf(G$4:G$27, $A$4:$A$27, $L144, $A$27, 1)</f>
        <v>0.98532927816429228</v>
      </c>
      <c r="S144" s="141">
        <f ca="1">[1]!ldf(H$4:H$27, $A$4:$A$27, $L144, $A$27, 1)</f>
        <v>0.98532927816429206</v>
      </c>
      <c r="T144" s="141">
        <f ca="1">[1]!ldf(I$4:I$27, $A$4:$A$27, $L144, $A$27, 1)</f>
        <v>0.98532927816429206</v>
      </c>
      <c r="U144" s="141">
        <f ca="1">[1]!ldf(J$4:J$27, $A$4:$A$27, $L144, $A$27, 1)</f>
        <v>0.98532927816429206</v>
      </c>
    </row>
    <row r="145" spans="12:12" x14ac:dyDescent="0.2">
      <c r="L145" s="254"/>
    </row>
  </sheetData>
  <autoFilter ref="L3:U144" xr:uid="{5C5924F2-04C5-4B0B-9DE6-D9353DA28D56}"/>
  <printOptions horizontalCentered="1"/>
  <pageMargins left="0.7" right="0.7" top="0.75" bottom="0.75" header="0.3" footer="0.3"/>
  <pageSetup scale="36" orientation="portrait" blackAndWhite="1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>
    <tabColor rgb="FFFFFF00"/>
    <pageSetUpPr fitToPage="1"/>
  </sheetPr>
  <dimension ref="A1:AB60"/>
  <sheetViews>
    <sheetView zoomScale="85" zoomScaleNormal="85" workbookViewId="0"/>
  </sheetViews>
  <sheetFormatPr defaultColWidth="9" defaultRowHeight="12.75" x14ac:dyDescent="0.2"/>
  <cols>
    <col min="1" max="1" width="19.625" style="1" customWidth="1"/>
    <col min="2" max="2" width="2.625" style="1" customWidth="1"/>
    <col min="3" max="3" width="9.375" style="1" bestFit="1" customWidth="1"/>
    <col min="4" max="4" width="2.625" style="1" customWidth="1"/>
    <col min="5" max="5" width="9.375" style="1" bestFit="1" customWidth="1"/>
    <col min="6" max="6" width="2.625" style="1" customWidth="1"/>
    <col min="7" max="7" width="9.375" style="1" bestFit="1" customWidth="1"/>
    <col min="8" max="8" width="2.625" style="1" customWidth="1"/>
    <col min="9" max="9" width="9.375" style="1" bestFit="1" customWidth="1"/>
    <col min="10" max="10" width="2.625" style="1" customWidth="1"/>
    <col min="11" max="11" width="9.375" style="1" bestFit="1" customWidth="1"/>
    <col min="12" max="12" width="2.625" style="1" customWidth="1"/>
    <col min="13" max="13" width="9.375" style="1" bestFit="1" customWidth="1"/>
    <col min="14" max="14" width="2.625" style="1" customWidth="1"/>
    <col min="15" max="15" width="9.375" style="1" bestFit="1" customWidth="1"/>
    <col min="16" max="20" width="9" style="1"/>
    <col min="21" max="21" width="9.375" style="1" bestFit="1" customWidth="1"/>
    <col min="22" max="23" width="9.875" style="1" customWidth="1"/>
    <col min="24" max="16384" width="9" style="1"/>
  </cols>
  <sheetData>
    <row r="1" spans="1:28" x14ac:dyDescent="0.2">
      <c r="A1" s="133" t="s">
        <v>613</v>
      </c>
      <c r="B1" s="133"/>
      <c r="Q1" s="133" t="s">
        <v>624</v>
      </c>
    </row>
    <row r="2" spans="1:28" x14ac:dyDescent="0.2">
      <c r="T2" s="426">
        <f>O26</f>
        <v>275445.82227470214</v>
      </c>
      <c r="U2" s="424">
        <f>O15</f>
        <v>2761132.9899999998</v>
      </c>
      <c r="V2" s="424"/>
      <c r="Y2" s="433">
        <f>disc_rate</f>
        <v>0.03</v>
      </c>
      <c r="AB2" s="120">
        <f ca="1">LDF!$K$41</f>
        <v>0.8408579505308561</v>
      </c>
    </row>
    <row r="3" spans="1:28" x14ac:dyDescent="0.2">
      <c r="C3" s="425" t="str">
        <f>Intro!$D$18</f>
        <v>95/96</v>
      </c>
      <c r="E3" s="425" t="str">
        <f>Intro!$D$19</f>
        <v>96/97</v>
      </c>
      <c r="G3" s="425" t="str">
        <f>Intro!$D$20</f>
        <v>97/98</v>
      </c>
      <c r="I3" s="425" t="str">
        <f>Intro!$D$21</f>
        <v>98/99</v>
      </c>
      <c r="K3" s="425" t="str">
        <f>Intro!$D$22</f>
        <v>99/00</v>
      </c>
      <c r="M3" s="425" t="str">
        <f>Intro!$D$23</f>
        <v>00/01</v>
      </c>
      <c r="O3" s="425" t="str">
        <f>Intro!$D$24</f>
        <v>01/02</v>
      </c>
      <c r="Q3" s="425" t="str">
        <f>Intro!$D$24</f>
        <v>01/02</v>
      </c>
      <c r="T3" s="3" t="b">
        <f ca="1">SUM(T8:T44)=T2</f>
        <v>1</v>
      </c>
      <c r="U3" s="1" t="b">
        <f ca="1">U44=O14</f>
        <v>1</v>
      </c>
      <c r="V3" s="434">
        <f ca="1">SUMPRODUCT(V8:V44, $Y$8:$Y$44)</f>
        <v>128762.23066055033</v>
      </c>
      <c r="W3" s="434">
        <f ca="1">SUMPRODUCT(W8:W44, $Y$8:$Y$44)</f>
        <v>106323.28203678883</v>
      </c>
      <c r="AB3" s="33" t="s">
        <v>263</v>
      </c>
    </row>
    <row r="4" spans="1:28" x14ac:dyDescent="0.2">
      <c r="C4" s="33"/>
      <c r="E4" s="33"/>
      <c r="G4" s="33"/>
      <c r="I4" s="33"/>
      <c r="K4" s="33"/>
      <c r="M4" s="33"/>
      <c r="T4" s="81"/>
      <c r="U4" s="81"/>
      <c r="V4" s="81"/>
      <c r="AA4" s="82" t="s">
        <v>25</v>
      </c>
      <c r="AB4" s="82" t="s">
        <v>626</v>
      </c>
    </row>
    <row r="5" spans="1:28" x14ac:dyDescent="0.2">
      <c r="A5" s="3" t="s">
        <v>609</v>
      </c>
      <c r="B5" s="3"/>
      <c r="C5" s="429">
        <f>Intro!$A$18</f>
        <v>34973</v>
      </c>
      <c r="D5" s="21"/>
      <c r="E5" s="429">
        <f>Intro!$A$19</f>
        <v>35339</v>
      </c>
      <c r="F5" s="21"/>
      <c r="G5" s="429">
        <f>Intro!$A$20</f>
        <v>35704</v>
      </c>
      <c r="H5" s="21"/>
      <c r="I5" s="429">
        <f>Intro!$A$21</f>
        <v>36069</v>
      </c>
      <c r="J5" s="21"/>
      <c r="K5" s="429">
        <f>Intro!$A$22</f>
        <v>36434</v>
      </c>
      <c r="L5" s="21"/>
      <c r="M5" s="429">
        <f>Intro!$A$23</f>
        <v>36800</v>
      </c>
      <c r="N5" s="21"/>
      <c r="O5" s="429">
        <f>Intro!$A$24</f>
        <v>37165</v>
      </c>
      <c r="Q5" s="33" t="str">
        <f>ctxt</f>
        <v>4/30/19</v>
      </c>
      <c r="R5" s="33" t="str">
        <f>ctxt</f>
        <v>4/30/19</v>
      </c>
      <c r="S5" s="3" t="s">
        <v>627</v>
      </c>
      <c r="T5" s="33" t="s">
        <v>629</v>
      </c>
      <c r="U5" s="33" t="s">
        <v>630</v>
      </c>
      <c r="V5" s="33" t="s">
        <v>631</v>
      </c>
      <c r="W5" s="33" t="s">
        <v>632</v>
      </c>
      <c r="X5" s="33" t="s">
        <v>566</v>
      </c>
      <c r="Y5" s="33" t="s">
        <v>566</v>
      </c>
      <c r="AA5" s="3">
        <f>LDF!A5</f>
        <v>12</v>
      </c>
      <c r="AB5" s="118">
        <f ca="1">LDF!K5</f>
        <v>4.9496516653317242</v>
      </c>
    </row>
    <row r="6" spans="1:28" x14ac:dyDescent="0.2">
      <c r="A6" s="3" t="s">
        <v>610</v>
      </c>
      <c r="B6" s="3"/>
      <c r="C6" s="429">
        <f>Intro!$B$18</f>
        <v>35338</v>
      </c>
      <c r="D6" s="21"/>
      <c r="E6" s="429">
        <f>Intro!$B$19</f>
        <v>35703</v>
      </c>
      <c r="F6" s="21"/>
      <c r="G6" s="429">
        <f>Intro!$B$20</f>
        <v>36068</v>
      </c>
      <c r="H6" s="21"/>
      <c r="I6" s="429">
        <f>Intro!$B$21</f>
        <v>36433</v>
      </c>
      <c r="J6" s="21"/>
      <c r="K6" s="429">
        <f>Intro!$B$22</f>
        <v>36799</v>
      </c>
      <c r="L6" s="21"/>
      <c r="M6" s="429">
        <f>Intro!$B$23</f>
        <v>37164</v>
      </c>
      <c r="N6" s="21"/>
      <c r="O6" s="429">
        <f>Intro!$B$24</f>
        <v>37529</v>
      </c>
      <c r="Q6" s="82" t="s">
        <v>25</v>
      </c>
      <c r="R6" s="82" t="s">
        <v>625</v>
      </c>
      <c r="S6" s="82" t="s">
        <v>625</v>
      </c>
      <c r="T6" s="82" t="s">
        <v>628</v>
      </c>
      <c r="U6" s="82" t="s">
        <v>628</v>
      </c>
      <c r="V6" s="82" t="s">
        <v>628</v>
      </c>
      <c r="W6" s="82" t="s">
        <v>628</v>
      </c>
      <c r="X6" s="82" t="s">
        <v>25</v>
      </c>
      <c r="Y6" s="82" t="s">
        <v>229</v>
      </c>
      <c r="AA6" s="3">
        <f>LDF!A6</f>
        <v>24</v>
      </c>
      <c r="AB6" s="118">
        <f ca="1">LDF!K6</f>
        <v>1.8332043204932298</v>
      </c>
    </row>
    <row r="7" spans="1:28" x14ac:dyDescent="0.2">
      <c r="A7" s="3" t="s">
        <v>23</v>
      </c>
      <c r="B7" s="3"/>
      <c r="C7" s="429">
        <f>AVERAGE(C5:C6)</f>
        <v>35155.5</v>
      </c>
      <c r="D7" s="21"/>
      <c r="E7" s="429">
        <f>AVERAGE(E5:E6)</f>
        <v>35521</v>
      </c>
      <c r="F7" s="21"/>
      <c r="G7" s="429">
        <f>AVERAGE(G5:G6)</f>
        <v>35886</v>
      </c>
      <c r="H7" s="21"/>
      <c r="I7" s="429">
        <f>AVERAGE(I5:I6)</f>
        <v>36251</v>
      </c>
      <c r="J7" s="21"/>
      <c r="K7" s="429">
        <f>AVERAGE(K5:K6)</f>
        <v>36616.5</v>
      </c>
      <c r="L7" s="21"/>
      <c r="M7" s="429">
        <f>AVERAGE(M5:M6)</f>
        <v>36982</v>
      </c>
      <c r="N7" s="21"/>
      <c r="O7" s="429">
        <f>AVERAGE(O5:O6)</f>
        <v>37347</v>
      </c>
      <c r="Q7" s="110">
        <f>$O$8</f>
        <v>211</v>
      </c>
      <c r="R7" s="365">
        <f ca="1">1 / [1]!ldf($AB$5:$AB$58, $AA$5:$AA$58, $Q7, $AA$58, 3)</f>
        <v>0.98415698442054389</v>
      </c>
      <c r="AA7" s="3">
        <f>LDF!A7</f>
        <v>36</v>
      </c>
      <c r="AB7" s="118">
        <f ca="1">LDF!K7</f>
        <v>1.3788055372258305</v>
      </c>
    </row>
    <row r="8" spans="1:28" x14ac:dyDescent="0.2">
      <c r="A8" s="3" t="str">
        <f>ctxt&amp;" Age"</f>
        <v>4/30/19 Age</v>
      </c>
      <c r="B8" s="3"/>
      <c r="C8" s="254">
        <f>ROUND((curr - C7) / 365.15 * 12 + 6,0)</f>
        <v>283</v>
      </c>
      <c r="D8" s="21"/>
      <c r="E8" s="254">
        <f>ROUND((curr - E7) / 365.15 * 12 + 6,0)</f>
        <v>271</v>
      </c>
      <c r="F8" s="21"/>
      <c r="G8" s="254">
        <f>ROUND((curr - G7) / 365.15 * 12 + 6,0)</f>
        <v>259</v>
      </c>
      <c r="H8" s="21"/>
      <c r="I8" s="254">
        <f>ROUND((curr - I7) / 365.15 * 12 + 6,0)</f>
        <v>247</v>
      </c>
      <c r="J8" s="21"/>
      <c r="K8" s="254">
        <f>ROUND((curr - K7) / 365.15 * 12 + 6,0)</f>
        <v>235</v>
      </c>
      <c r="L8" s="21"/>
      <c r="M8" s="254">
        <f>ROUND((curr - M7) / 365.15 * 12 + 6,0)</f>
        <v>223</v>
      </c>
      <c r="N8" s="21"/>
      <c r="O8" s="254">
        <f>ROUND((curr - O7) / 365.15 * 12 + 6,0)</f>
        <v>211</v>
      </c>
      <c r="Q8" s="3">
        <f t="shared" ref="Q8:Q14" si="0">Q7+12</f>
        <v>223</v>
      </c>
      <c r="R8" s="365">
        <f ca="1">1 / [1]!ldf($AB$5:$AB$58, $AA$5:$AA$58, $Q8, $AA$58, 3)</f>
        <v>0.98666137673182253</v>
      </c>
      <c r="S8" s="365">
        <f ca="1">(R8-R7) / (1-$R$7)</f>
        <v>0.15807548119349962</v>
      </c>
      <c r="T8" s="85">
        <f t="shared" ref="T8:T44" ca="1" si="1">$T$2*S8</f>
        <v>43541.230898812719</v>
      </c>
      <c r="U8" s="85">
        <f ca="1">U2+T8</f>
        <v>2804674.2208988126</v>
      </c>
      <c r="V8" s="85">
        <f ca="1">IF(U8&lt;=$O$11, T8, 0)</f>
        <v>43541.230898812719</v>
      </c>
      <c r="W8" s="85">
        <f ca="1">IF(V8&gt;0, 0, T8)</f>
        <v>0</v>
      </c>
      <c r="X8" s="110">
        <v>0.5</v>
      </c>
      <c r="Y8" s="118">
        <f t="shared" ref="Y8:Y43" si="2">(1+$Y$2)^-X8</f>
        <v>0.98532927816429317</v>
      </c>
      <c r="AA8" s="3">
        <f>LDF!A8</f>
        <v>48</v>
      </c>
      <c r="AB8" s="118">
        <f ca="1">LDF!K8</f>
        <v>1.2507114140977906</v>
      </c>
    </row>
    <row r="9" spans="1:28" x14ac:dyDescent="0.2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Q9" s="3">
        <f t="shared" si="0"/>
        <v>235</v>
      </c>
      <c r="R9" s="365">
        <f ca="1">1 / [1]!ldf($AB$5:$AB$58, $AA$5:$AA$58, $Q9, $AA$58, 3)</f>
        <v>0.98877214659558266</v>
      </c>
      <c r="S9" s="365">
        <f t="shared" ref="S9:S44" ca="1" si="3">(R9-R8) / (1-$R$7)</f>
        <v>0.13323030916520717</v>
      </c>
      <c r="T9" s="85">
        <f t="shared" ca="1" si="1"/>
        <v>36697.732059923277</v>
      </c>
      <c r="U9" s="85">
        <f t="shared" ref="U9:U44" ca="1" si="4">U8+T9</f>
        <v>2841371.9529587361</v>
      </c>
      <c r="V9" s="85">
        <f t="shared" ref="V9:V44" ca="1" si="5">IF(U9&lt;=$O$11, T9, 0)</f>
        <v>36697.732059923277</v>
      </c>
      <c r="W9" s="85">
        <f t="shared" ref="W9:W44" ca="1" si="6">IF(V9&gt;0, 0, T9)</f>
        <v>0</v>
      </c>
      <c r="X9" s="3">
        <f>X8+1</f>
        <v>1.5</v>
      </c>
      <c r="Y9" s="118">
        <f t="shared" si="2"/>
        <v>0.9566303671497991</v>
      </c>
      <c r="AA9" s="3">
        <f>LDF!A9</f>
        <v>60</v>
      </c>
      <c r="AB9" s="118">
        <f ca="1">LDF!K9</f>
        <v>1.176551962892372</v>
      </c>
    </row>
    <row r="10" spans="1:28" x14ac:dyDescent="0.2">
      <c r="A10" s="3" t="s">
        <v>15</v>
      </c>
      <c r="C10" s="427">
        <f>VLOOKUP(C$3, Intro!$D$18:$I$42, 5, FALSE)</f>
        <v>250000</v>
      </c>
      <c r="D10" s="21"/>
      <c r="E10" s="427">
        <f>VLOOKUP(E$3, Intro!$D$18:$I$42, 5, FALSE)</f>
        <v>250000</v>
      </c>
      <c r="F10" s="21"/>
      <c r="G10" s="427">
        <f>VLOOKUP(G$3, Intro!$D$18:$I$42, 5, FALSE)</f>
        <v>250000</v>
      </c>
      <c r="H10" s="21"/>
      <c r="I10" s="427">
        <f>VLOOKUP(I$3, Intro!$D$18:$I$42, 5, FALSE)</f>
        <v>250000</v>
      </c>
      <c r="J10" s="21"/>
      <c r="K10" s="427">
        <f>VLOOKUP(K$3, Intro!$D$18:$I$42, 5, FALSE)</f>
        <v>250000</v>
      </c>
      <c r="L10" s="21"/>
      <c r="M10" s="427">
        <f>VLOOKUP(M$3, Intro!$D$18:$I$42, 5, FALSE)</f>
        <v>250000</v>
      </c>
      <c r="N10" s="21"/>
      <c r="O10" s="427">
        <f>VLOOKUP(O$3, Intro!$D$18:$I$42, 5, FALSE)</f>
        <v>250000</v>
      </c>
      <c r="Q10" s="3">
        <f t="shared" si="0"/>
        <v>247</v>
      </c>
      <c r="R10" s="365">
        <f ca="1">1 / [1]!ldf($AB$5:$AB$58, $AA$5:$AA$58, $Q10, $AA$58, 3)</f>
        <v>0.99055049865495615</v>
      </c>
      <c r="S10" s="365">
        <f t="shared" ca="1" si="3"/>
        <v>0.1122483311623771</v>
      </c>
      <c r="T10" s="85">
        <f t="shared" ca="1" si="1"/>
        <v>30918.333875984034</v>
      </c>
      <c r="U10" s="85">
        <f t="shared" ca="1" si="4"/>
        <v>2872290.2868347201</v>
      </c>
      <c r="V10" s="85">
        <f t="shared" ca="1" si="5"/>
        <v>30918.333875984034</v>
      </c>
      <c r="W10" s="85">
        <f t="shared" ca="1" si="6"/>
        <v>0</v>
      </c>
      <c r="X10" s="3">
        <f t="shared" ref="X10:X43" si="7">X9+1</f>
        <v>2.5</v>
      </c>
      <c r="Y10" s="118">
        <f t="shared" si="2"/>
        <v>0.92876734674737782</v>
      </c>
      <c r="AA10" s="3">
        <f>LDF!A10</f>
        <v>72</v>
      </c>
      <c r="AB10" s="118">
        <f ca="1">LDF!K10</f>
        <v>1.136765181538524</v>
      </c>
    </row>
    <row r="11" spans="1:28" x14ac:dyDescent="0.2">
      <c r="A11" s="3" t="s">
        <v>20</v>
      </c>
      <c r="B11" s="3"/>
      <c r="C11" s="427">
        <f>VLOOKUP(C$3, Intro!$D$18:$I$42, 6, FALSE)</f>
        <v>1066389</v>
      </c>
      <c r="D11" s="21"/>
      <c r="E11" s="427">
        <f>VLOOKUP(E$3, Intro!$D$18:$I$42, 6, FALSE)</f>
        <v>1660996</v>
      </c>
      <c r="F11" s="21"/>
      <c r="G11" s="427">
        <f>VLOOKUP(G$3, Intro!$D$18:$I$42, 6, FALSE)</f>
        <v>2412000</v>
      </c>
      <c r="H11" s="21"/>
      <c r="I11" s="427">
        <f>VLOOKUP(I$3, Intro!$D$18:$I$42, 6, FALSE)</f>
        <v>2371069</v>
      </c>
      <c r="J11" s="21"/>
      <c r="K11" s="427">
        <f>VLOOKUP(K$3, Intro!$D$18:$I$42, 6, FALSE)</f>
        <v>1985102</v>
      </c>
      <c r="L11" s="21"/>
      <c r="M11" s="427">
        <f>VLOOKUP(M$3, Intro!$D$18:$I$42, 6, FALSE)</f>
        <v>2121632</v>
      </c>
      <c r="N11" s="21"/>
      <c r="O11" s="427">
        <f>VLOOKUP(O$3, Intro!$D$18:$I$42, 6, FALSE)</f>
        <v>2896730</v>
      </c>
      <c r="Q11" s="3">
        <f t="shared" si="0"/>
        <v>259</v>
      </c>
      <c r="R11" s="365">
        <f ca="1">1 / [1]!ldf($AB$5:$AB$58, $AA$5:$AA$58, $Q11, $AA$58, 3)</f>
        <v>0.99204831532557469</v>
      </c>
      <c r="S11" s="365">
        <f t="shared" ca="1" si="3"/>
        <v>9.4541134742099756E-2</v>
      </c>
      <c r="T11" s="85">
        <f t="shared" ca="1" si="1"/>
        <v>26040.960597821078</v>
      </c>
      <c r="U11" s="85">
        <f t="shared" ca="1" si="4"/>
        <v>2898331.2474325411</v>
      </c>
      <c r="V11" s="87">
        <f ca="1">MIN(O11,U11)-U10</f>
        <v>24439.713165279943</v>
      </c>
      <c r="W11" s="85">
        <f ca="1">T11-V11</f>
        <v>1601.2474325411349</v>
      </c>
      <c r="X11" s="3">
        <f t="shared" si="7"/>
        <v>3.5</v>
      </c>
      <c r="Y11" s="118">
        <f t="shared" si="2"/>
        <v>0.9017158706285221</v>
      </c>
      <c r="AA11" s="3">
        <f>LDF!A11</f>
        <v>84</v>
      </c>
      <c r="AB11" s="118">
        <f ca="1">LDF!K11</f>
        <v>1.1065572971283932</v>
      </c>
    </row>
    <row r="12" spans="1:28" x14ac:dyDescent="0.2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3">
        <f t="shared" si="0"/>
        <v>271</v>
      </c>
      <c r="R12" s="365">
        <f ca="1">1 / [1]!ldf($AB$5:$AB$58, $AA$5:$AA$58, $Q12, $AA$58, 3)</f>
        <v>0.99330951912673027</v>
      </c>
      <c r="S12" s="365">
        <f t="shared" ca="1" si="3"/>
        <v>7.9606296846100294E-2</v>
      </c>
      <c r="T12" s="85">
        <f t="shared" ca="1" si="1"/>
        <v>21927.221893018123</v>
      </c>
      <c r="U12" s="85">
        <f t="shared" ca="1" si="4"/>
        <v>2920258.4693255592</v>
      </c>
      <c r="V12" s="85">
        <f t="shared" ca="1" si="5"/>
        <v>0</v>
      </c>
      <c r="W12" s="85">
        <f t="shared" ca="1" si="6"/>
        <v>21927.221893018123</v>
      </c>
      <c r="X12" s="3">
        <f t="shared" si="7"/>
        <v>4.5</v>
      </c>
      <c r="Y12" s="118">
        <f t="shared" si="2"/>
        <v>0.87545230158108933</v>
      </c>
      <c r="AA12" s="3">
        <f>LDF!A12</f>
        <v>96</v>
      </c>
      <c r="AB12" s="118">
        <f ca="1">LDF!K12</f>
        <v>1.0877471895850084</v>
      </c>
    </row>
    <row r="13" spans="1:28" x14ac:dyDescent="0.2">
      <c r="A13" s="428" t="s">
        <v>611</v>
      </c>
      <c r="B13" s="3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Q13" s="3">
        <f t="shared" si="0"/>
        <v>283</v>
      </c>
      <c r="R13" s="365">
        <f ca="1">1 / [1]!ldf($AB$5:$AB$58, $AA$5:$AA$58, $Q13, $AA$58, 3)</f>
        <v>0.99437125322608866</v>
      </c>
      <c r="S13" s="365">
        <f t="shared" ca="1" si="3"/>
        <v>6.7015909568072296E-2</v>
      </c>
      <c r="T13" s="85">
        <f t="shared" ca="1" si="1"/>
        <v>18459.252316464754</v>
      </c>
      <c r="U13" s="85">
        <f t="shared" ca="1" si="4"/>
        <v>2938717.7216420239</v>
      </c>
      <c r="V13" s="85">
        <f t="shared" ca="1" si="5"/>
        <v>0</v>
      </c>
      <c r="W13" s="85">
        <f t="shared" ca="1" si="6"/>
        <v>18459.252316464754</v>
      </c>
      <c r="X13" s="3">
        <f t="shared" si="7"/>
        <v>5.5</v>
      </c>
      <c r="Y13" s="118">
        <f t="shared" si="2"/>
        <v>0.84995369085542649</v>
      </c>
      <c r="AA13" s="3">
        <f>LDF!A13</f>
        <v>108</v>
      </c>
      <c r="AB13" s="118">
        <f ca="1">LDF!K13</f>
        <v>1.07318884174554</v>
      </c>
    </row>
    <row r="14" spans="1:28" x14ac:dyDescent="0.2">
      <c r="A14" s="3" t="s">
        <v>245</v>
      </c>
      <c r="B14" s="3"/>
      <c r="C14" s="427">
        <f>'e2.1'!$U$18</f>
        <v>683326</v>
      </c>
      <c r="D14" s="21"/>
      <c r="E14" s="427">
        <f>'e2.1'!$U$19</f>
        <v>1337604</v>
      </c>
      <c r="F14" s="21"/>
      <c r="G14" s="427">
        <f>'e2.1'!$U$20</f>
        <v>2603276.8798025614</v>
      </c>
      <c r="H14" s="21"/>
      <c r="I14" s="427">
        <f>'e2.1'!$U$21</f>
        <v>2650176.9452059255</v>
      </c>
      <c r="J14" s="21"/>
      <c r="K14" s="427">
        <f>'e2.1'!$U$22</f>
        <v>2398255.8306415239</v>
      </c>
      <c r="L14" s="21"/>
      <c r="M14" s="427">
        <f>'e2.1'!$U$23</f>
        <v>1349446.97</v>
      </c>
      <c r="N14" s="21"/>
      <c r="O14" s="427">
        <f>'e2.1'!$U$24</f>
        <v>3036578.8122747019</v>
      </c>
      <c r="Q14" s="3">
        <f t="shared" si="0"/>
        <v>295</v>
      </c>
      <c r="R14" s="365">
        <f ca="1">1 / [1]!ldf($AB$5:$AB$58, $AA$5:$AA$58, $Q14, $AA$58, 3)</f>
        <v>0.99526489906941218</v>
      </c>
      <c r="S14" s="365">
        <f t="shared" ca="1" si="3"/>
        <v>5.6406297074044751E-2</v>
      </c>
      <c r="T14" s="85">
        <f t="shared" ca="1" si="1"/>
        <v>15536.878879031381</v>
      </c>
      <c r="U14" s="85">
        <f t="shared" ca="1" si="4"/>
        <v>2954254.6005210551</v>
      </c>
      <c r="V14" s="85">
        <f t="shared" ca="1" si="5"/>
        <v>0</v>
      </c>
      <c r="W14" s="85">
        <f t="shared" ca="1" si="6"/>
        <v>15536.878879031381</v>
      </c>
      <c r="X14" s="3">
        <f t="shared" si="7"/>
        <v>6.5</v>
      </c>
      <c r="Y14" s="118">
        <f t="shared" si="2"/>
        <v>0.82519775811206453</v>
      </c>
      <c r="AA14" s="3">
        <f>LDF!A14</f>
        <v>120</v>
      </c>
      <c r="AB14" s="118">
        <f ca="1">LDF!K14</f>
        <v>1.0617521688289118</v>
      </c>
    </row>
    <row r="15" spans="1:28" x14ac:dyDescent="0.2">
      <c r="A15" s="3" t="s">
        <v>75</v>
      </c>
      <c r="B15" s="3"/>
      <c r="C15" s="427">
        <f>'e2.1'!$O$18</f>
        <v>683326</v>
      </c>
      <c r="D15" s="21"/>
      <c r="E15" s="427">
        <f>'e2.1'!$O$19</f>
        <v>1337604</v>
      </c>
      <c r="F15" s="21"/>
      <c r="G15" s="427">
        <f>'e2.1'!$O$20</f>
        <v>2584955.17</v>
      </c>
      <c r="H15" s="21"/>
      <c r="I15" s="427">
        <f>'e2.1'!$O$21</f>
        <v>2548851.29</v>
      </c>
      <c r="J15" s="21"/>
      <c r="K15" s="427">
        <f>'e2.1'!$O$22</f>
        <v>2314287.94</v>
      </c>
      <c r="L15" s="21"/>
      <c r="M15" s="427">
        <f>'e2.1'!$O$23</f>
        <v>1349346.97</v>
      </c>
      <c r="N15" s="21"/>
      <c r="O15" s="427">
        <f>'e2.1'!$O$24</f>
        <v>2761132.9899999998</v>
      </c>
      <c r="Q15" s="3">
        <f t="shared" ref="Q15:Q29" si="8">Q14+12</f>
        <v>307</v>
      </c>
      <c r="R15" s="365">
        <f ca="1">1 / [1]!ldf($AB$5:$AB$58, $AA$5:$AA$58, $Q15, $AA$58, 3)</f>
        <v>0.99601694982953282</v>
      </c>
      <c r="S15" s="365">
        <f t="shared" ca="1" si="3"/>
        <v>4.7468915014880965E-2</v>
      </c>
      <c r="T15" s="85">
        <f t="shared" ca="1" si="1"/>
        <v>13075.114328761842</v>
      </c>
      <c r="U15" s="85">
        <f t="shared" ca="1" si="4"/>
        <v>2967329.7148498171</v>
      </c>
      <c r="V15" s="85">
        <f t="shared" ca="1" si="5"/>
        <v>0</v>
      </c>
      <c r="W15" s="85">
        <f t="shared" ca="1" si="6"/>
        <v>13075.114328761842</v>
      </c>
      <c r="X15" s="3">
        <f t="shared" si="7"/>
        <v>7.5</v>
      </c>
      <c r="Y15" s="118">
        <f t="shared" si="2"/>
        <v>0.80116287195346081</v>
      </c>
      <c r="AA15" s="3">
        <f>LDF!A15</f>
        <v>132</v>
      </c>
      <c r="AB15" s="118">
        <f ca="1">LDF!K15</f>
        <v>1.0520394827066555</v>
      </c>
    </row>
    <row r="16" spans="1:28" x14ac:dyDescent="0.2">
      <c r="C16" s="254"/>
      <c r="D16" s="21"/>
      <c r="E16" s="254"/>
      <c r="F16" s="21"/>
      <c r="G16" s="254"/>
      <c r="H16" s="21"/>
      <c r="I16" s="254"/>
      <c r="J16" s="21"/>
      <c r="K16" s="254"/>
      <c r="L16" s="21"/>
      <c r="M16" s="254"/>
      <c r="N16" s="21"/>
      <c r="O16" s="254"/>
      <c r="Q16" s="3">
        <f t="shared" si="8"/>
        <v>319</v>
      </c>
      <c r="R16" s="365">
        <f ca="1">1 / [1]!ldf($AB$5:$AB$58, $AA$5:$AA$58, $Q16, $AA$58, 3)</f>
        <v>0.99664975748623974</v>
      </c>
      <c r="S16" s="365">
        <f t="shared" ca="1" si="3"/>
        <v>3.994237419847619E-2</v>
      </c>
      <c r="T16" s="85">
        <f t="shared" ca="1" si="1"/>
        <v>11001.960104703121</v>
      </c>
      <c r="U16" s="85">
        <f t="shared" ca="1" si="4"/>
        <v>2978331.6749545201</v>
      </c>
      <c r="V16" s="85">
        <f t="shared" ca="1" si="5"/>
        <v>0</v>
      </c>
      <c r="W16" s="85">
        <f t="shared" ca="1" si="6"/>
        <v>11001.960104703121</v>
      </c>
      <c r="X16" s="3">
        <f t="shared" si="7"/>
        <v>8.5</v>
      </c>
      <c r="Y16" s="118">
        <f t="shared" si="2"/>
        <v>0.77782803102277731</v>
      </c>
      <c r="AA16" s="3">
        <f>LDF!A16</f>
        <v>144</v>
      </c>
      <c r="AB16" s="118">
        <f ca="1">LDF!K16</f>
        <v>1.0439913756352999</v>
      </c>
    </row>
    <row r="17" spans="1:28" x14ac:dyDescent="0.2">
      <c r="A17" s="428" t="s">
        <v>612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Q17" s="3">
        <f t="shared" si="8"/>
        <v>331</v>
      </c>
      <c r="R17" s="365">
        <f ca="1">1 / [1]!ldf($AB$5:$AB$58, $AA$5:$AA$58, $Q17, $AA$58, 3)</f>
        <v>0.99718216998926279</v>
      </c>
      <c r="S17" s="365">
        <f t="shared" ca="1" si="3"/>
        <v>3.3605502712087051E-2</v>
      </c>
      <c r="T17" s="85">
        <f t="shared" ca="1" si="1"/>
        <v>9256.4953274855507</v>
      </c>
      <c r="U17" s="85">
        <f t="shared" ca="1" si="4"/>
        <v>2987588.1702820058</v>
      </c>
      <c r="V17" s="85">
        <f t="shared" ca="1" si="5"/>
        <v>0</v>
      </c>
      <c r="W17" s="85">
        <f t="shared" ca="1" si="6"/>
        <v>9256.4953274855507</v>
      </c>
      <c r="X17" s="3">
        <f t="shared" si="7"/>
        <v>9.5</v>
      </c>
      <c r="Y17" s="118">
        <f t="shared" si="2"/>
        <v>0.75517284565318188</v>
      </c>
      <c r="AA17" s="3">
        <f>LDF!A17</f>
        <v>156</v>
      </c>
      <c r="AB17" s="118">
        <f ca="1">LDF!K17</f>
        <v>1.0369514434454634</v>
      </c>
    </row>
    <row r="18" spans="1:28" x14ac:dyDescent="0.2">
      <c r="A18" s="3" t="s">
        <v>245</v>
      </c>
      <c r="C18" s="427">
        <f>MIN(C$11,C14)</f>
        <v>683326</v>
      </c>
      <c r="D18" s="21"/>
      <c r="E18" s="427">
        <f>MIN(E$11,E14)</f>
        <v>1337604</v>
      </c>
      <c r="F18" s="21"/>
      <c r="G18" s="427">
        <f>MIN(G$11,G14)</f>
        <v>2412000</v>
      </c>
      <c r="H18" s="21"/>
      <c r="I18" s="427">
        <f>MIN(I$11,I14)</f>
        <v>2371069</v>
      </c>
      <c r="J18" s="21"/>
      <c r="K18" s="427">
        <f>MIN(K$11,K14)</f>
        <v>1985102</v>
      </c>
      <c r="L18" s="21"/>
      <c r="M18" s="427">
        <f>MIN(M$11,M14)</f>
        <v>1349446.97</v>
      </c>
      <c r="N18" s="21"/>
      <c r="O18" s="427">
        <f>MIN(O$11,O14)</f>
        <v>2896730</v>
      </c>
      <c r="Q18" s="3">
        <f t="shared" si="8"/>
        <v>343</v>
      </c>
      <c r="R18" s="365">
        <f ca="1">1 / [1]!ldf($AB$5:$AB$58, $AA$5:$AA$58, $Q18, $AA$58, 3)</f>
        <v>0.99763007339287446</v>
      </c>
      <c r="S18" s="365">
        <f t="shared" ca="1" si="3"/>
        <v>2.8271347797730807E-2</v>
      </c>
      <c r="T18" s="85">
        <f t="shared" ca="1" si="1"/>
        <v>7787.2246409600511</v>
      </c>
      <c r="U18" s="85">
        <f t="shared" ca="1" si="4"/>
        <v>2995375.3949229657</v>
      </c>
      <c r="V18" s="85">
        <f t="shared" ca="1" si="5"/>
        <v>0</v>
      </c>
      <c r="W18" s="85">
        <f t="shared" ca="1" si="6"/>
        <v>7787.2246409600511</v>
      </c>
      <c r="X18" s="3">
        <f t="shared" si="7"/>
        <v>10.5</v>
      </c>
      <c r="Y18" s="118">
        <f t="shared" si="2"/>
        <v>0.73317752005163295</v>
      </c>
      <c r="AA18" s="3">
        <f>LDF!A18</f>
        <v>168</v>
      </c>
      <c r="AB18" s="118">
        <f ca="1">LDF!K18</f>
        <v>1.0307237485396585</v>
      </c>
    </row>
    <row r="19" spans="1:28" x14ac:dyDescent="0.2">
      <c r="A19" s="3" t="s">
        <v>75</v>
      </c>
      <c r="C19" s="427">
        <f>MIN(C$11,C15)</f>
        <v>683326</v>
      </c>
      <c r="D19" s="21"/>
      <c r="E19" s="427">
        <f>MIN(E$11,E15)</f>
        <v>1337604</v>
      </c>
      <c r="F19" s="21"/>
      <c r="G19" s="427">
        <f>MIN(G$11,G15)</f>
        <v>2412000</v>
      </c>
      <c r="H19" s="21"/>
      <c r="I19" s="427">
        <f>MIN(I$11,I15)</f>
        <v>2371069</v>
      </c>
      <c r="J19" s="21"/>
      <c r="K19" s="427">
        <f>MIN(K$11,K15)</f>
        <v>1985102</v>
      </c>
      <c r="L19" s="21"/>
      <c r="M19" s="427">
        <f>MIN(M$11,M15)</f>
        <v>1349346.97</v>
      </c>
      <c r="N19" s="21"/>
      <c r="O19" s="427">
        <f>MIN(O$11,O15)</f>
        <v>2761132.9899999998</v>
      </c>
      <c r="Q19" s="3">
        <f t="shared" si="8"/>
        <v>355</v>
      </c>
      <c r="R19" s="365">
        <f ca="1">1 / [1]!ldf($AB$5:$AB$58, $AA$5:$AA$58, $Q19, $AA$58, 3)</f>
        <v>0.99800685223380325</v>
      </c>
      <c r="S19" s="365">
        <f t="shared" ca="1" si="3"/>
        <v>2.3782015427502842E-2</v>
      </c>
      <c r="T19" s="85">
        <f t="shared" ca="1" si="1"/>
        <v>6550.6567947781723</v>
      </c>
      <c r="U19" s="85">
        <f t="shared" ca="1" si="4"/>
        <v>3001926.0517177437</v>
      </c>
      <c r="V19" s="85">
        <f t="shared" ca="1" si="5"/>
        <v>0</v>
      </c>
      <c r="W19" s="85">
        <f t="shared" ca="1" si="6"/>
        <v>6550.6567947781723</v>
      </c>
      <c r="X19" s="3">
        <f t="shared" si="7"/>
        <v>11.5</v>
      </c>
      <c r="Y19" s="118">
        <f t="shared" si="2"/>
        <v>0.71182283500158527</v>
      </c>
      <c r="AA19" s="3">
        <f>LDF!A19</f>
        <v>180</v>
      </c>
      <c r="AB19" s="118">
        <f ca="1">LDF!K19</f>
        <v>1.0253049450151908</v>
      </c>
    </row>
    <row r="20" spans="1:28" x14ac:dyDescent="0.2">
      <c r="Q20" s="3">
        <f t="shared" si="8"/>
        <v>367</v>
      </c>
      <c r="R20" s="365">
        <f ca="1">1 / [1]!ldf($AB$5:$AB$58, $AA$5:$AA$58, $Q20, $AA$58, 3)</f>
        <v>0.99832377984831167</v>
      </c>
      <c r="S20" s="365">
        <f t="shared" ca="1" si="3"/>
        <v>2.0004248112927194E-2</v>
      </c>
      <c r="T20" s="85">
        <f t="shared" ca="1" si="1"/>
        <v>5510.0865704523894</v>
      </c>
      <c r="U20" s="85">
        <f t="shared" ca="1" si="4"/>
        <v>3007436.1382881962</v>
      </c>
      <c r="V20" s="85">
        <f t="shared" ca="1" si="5"/>
        <v>0</v>
      </c>
      <c r="W20" s="85">
        <f t="shared" ca="1" si="6"/>
        <v>5510.0865704523894</v>
      </c>
      <c r="X20" s="3">
        <f t="shared" si="7"/>
        <v>12.5</v>
      </c>
      <c r="Y20" s="118">
        <f t="shared" si="2"/>
        <v>0.69109013106950024</v>
      </c>
      <c r="AA20" s="3">
        <f>LDF!A20</f>
        <v>192</v>
      </c>
      <c r="AB20" s="118">
        <f ca="1">LDF!K20</f>
        <v>1.0212354336313814</v>
      </c>
    </row>
    <row r="21" spans="1:28" x14ac:dyDescent="0.2">
      <c r="A21" s="428" t="s">
        <v>614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Q21" s="3">
        <f t="shared" si="8"/>
        <v>379</v>
      </c>
      <c r="R21" s="365">
        <f ca="1">1 / [1]!ldf($AB$5:$AB$58, $AA$5:$AA$58, $Q21, $AA$58, 3)</f>
        <v>0.99859034884460385</v>
      </c>
      <c r="S21" s="365">
        <f t="shared" ca="1" si="3"/>
        <v>1.6825647551457736E-2</v>
      </c>
      <c r="T21" s="85">
        <f t="shared" ca="1" si="1"/>
        <v>4634.554325115605</v>
      </c>
      <c r="U21" s="85">
        <f t="shared" ca="1" si="4"/>
        <v>3012070.6926133116</v>
      </c>
      <c r="V21" s="85">
        <f t="shared" ca="1" si="5"/>
        <v>0</v>
      </c>
      <c r="W21" s="85">
        <f t="shared" ca="1" si="6"/>
        <v>4634.554325115605</v>
      </c>
      <c r="X21" s="3">
        <f t="shared" si="7"/>
        <v>13.5</v>
      </c>
      <c r="Y21" s="118">
        <f t="shared" si="2"/>
        <v>0.67096129230048573</v>
      </c>
      <c r="AA21" s="3">
        <f>LDF!A21</f>
        <v>204</v>
      </c>
      <c r="AB21" s="118">
        <f ca="1">LDF!K21</f>
        <v>1.017826056254413</v>
      </c>
    </row>
    <row r="22" spans="1:28" x14ac:dyDescent="0.2">
      <c r="A22" s="3" t="s">
        <v>245</v>
      </c>
      <c r="C22" s="427">
        <f>'e2.2'!$U$18</f>
        <v>141454.19999999995</v>
      </c>
      <c r="D22" s="21"/>
      <c r="E22" s="427">
        <f>'e2.2'!$U$19</f>
        <v>169167</v>
      </c>
      <c r="F22" s="21"/>
      <c r="G22" s="427">
        <f>'e2.2'!$U$20</f>
        <v>161876.62629242678</v>
      </c>
      <c r="H22" s="21"/>
      <c r="I22" s="427">
        <f>'e2.2'!$U$21</f>
        <v>1541697.1766595847</v>
      </c>
      <c r="J22" s="21"/>
      <c r="K22" s="427">
        <f>'e2.2'!$U$22</f>
        <v>1314362.4618561231</v>
      </c>
      <c r="L22" s="21"/>
      <c r="M22" s="427">
        <f>'e2.2'!$U$23</f>
        <v>289652</v>
      </c>
      <c r="N22" s="21"/>
      <c r="O22" s="427">
        <f>'e2.2'!$U$24</f>
        <v>1587524.3727029616</v>
      </c>
      <c r="Q22" s="3">
        <f t="shared" si="8"/>
        <v>391</v>
      </c>
      <c r="R22" s="365">
        <f ca="1">1 / [1]!ldf($AB$5:$AB$58, $AA$5:$AA$58, $Q22, $AA$58, 3)</f>
        <v>0.99881455059219859</v>
      </c>
      <c r="S22" s="365">
        <f t="shared" ca="1" si="3"/>
        <v>1.4151456613188545E-2</v>
      </c>
      <c r="T22" s="85">
        <f t="shared" ca="1" si="1"/>
        <v>3897.9596032044901</v>
      </c>
      <c r="U22" s="85">
        <f t="shared" ca="1" si="4"/>
        <v>3015968.652216516</v>
      </c>
      <c r="V22" s="85">
        <f t="shared" ca="1" si="5"/>
        <v>0</v>
      </c>
      <c r="W22" s="85">
        <f t="shared" ca="1" si="6"/>
        <v>3897.9596032044901</v>
      </c>
      <c r="X22" s="3">
        <f t="shared" si="7"/>
        <v>14.5</v>
      </c>
      <c r="Y22" s="118">
        <f t="shared" si="2"/>
        <v>0.65141873038882114</v>
      </c>
      <c r="AA22" s="3">
        <f>LDF!A22</f>
        <v>216</v>
      </c>
      <c r="AB22" s="118">
        <f ca="1">LDF!K22</f>
        <v>1.0149680649568718</v>
      </c>
    </row>
    <row r="23" spans="1:28" x14ac:dyDescent="0.2">
      <c r="A23" s="3" t="s">
        <v>75</v>
      </c>
      <c r="C23" s="427">
        <f>'e2.2'!$O$18</f>
        <v>141454.19999999995</v>
      </c>
      <c r="D23" s="21"/>
      <c r="E23" s="427">
        <f>'e2.2'!$O$19</f>
        <v>169167</v>
      </c>
      <c r="F23" s="21"/>
      <c r="G23" s="427">
        <f>'e2.2'!$O$20</f>
        <v>149905</v>
      </c>
      <c r="H23" s="21"/>
      <c r="I23" s="427">
        <f>'e2.2'!$O$21</f>
        <v>1235926.8500000001</v>
      </c>
      <c r="J23" s="21"/>
      <c r="K23" s="427">
        <f>'e2.2'!$O$22</f>
        <v>513125.2200000002</v>
      </c>
      <c r="L23" s="21"/>
      <c r="M23" s="427">
        <f>'e2.2'!$O$23</f>
        <v>289652</v>
      </c>
      <c r="N23" s="21"/>
      <c r="O23" s="427">
        <f>'e2.2'!$O$24</f>
        <v>866577.4700000002</v>
      </c>
      <c r="Q23" s="3">
        <f t="shared" si="8"/>
        <v>403</v>
      </c>
      <c r="R23" s="365">
        <f ca="1">1 / [1]!ldf($AB$5:$AB$58, $AA$5:$AA$58, $Q23, $AA$58, 3)</f>
        <v>0.99900311137234055</v>
      </c>
      <c r="S23" s="365">
        <f t="shared" ca="1" si="3"/>
        <v>1.1901823816071045E-2</v>
      </c>
      <c r="T23" s="85">
        <f t="shared" ca="1" si="1"/>
        <v>3278.3076475863222</v>
      </c>
      <c r="U23" s="85">
        <f t="shared" ca="1" si="4"/>
        <v>3019246.9598641023</v>
      </c>
      <c r="V23" s="85">
        <f t="shared" ca="1" si="5"/>
        <v>0</v>
      </c>
      <c r="W23" s="85">
        <f t="shared" ca="1" si="6"/>
        <v>3278.3076475863222</v>
      </c>
      <c r="X23" s="3">
        <f t="shared" si="7"/>
        <v>15.5</v>
      </c>
      <c r="Y23" s="118">
        <f t="shared" si="2"/>
        <v>0.63244536930953499</v>
      </c>
      <c r="AA23" s="3">
        <f>LDF!A23</f>
        <v>228</v>
      </c>
      <c r="AB23" s="118">
        <f ca="1">LDF!K23</f>
        <v>1.0125711121723564</v>
      </c>
    </row>
    <row r="24" spans="1:28" x14ac:dyDescent="0.2">
      <c r="Q24" s="3">
        <f t="shared" si="8"/>
        <v>415</v>
      </c>
      <c r="R24" s="365">
        <f ca="1">1 / [1]!ldf($AB$5:$AB$58, $AA$5:$AA$58, $Q24, $AA$58, 3)</f>
        <v>0.99916169175378811</v>
      </c>
      <c r="S24" s="365">
        <f t="shared" ca="1" si="3"/>
        <v>1.0009482137554241E-2</v>
      </c>
      <c r="T24" s="85">
        <f t="shared" ca="1" si="1"/>
        <v>2757.0700379225709</v>
      </c>
      <c r="U24" s="85">
        <f t="shared" ca="1" si="4"/>
        <v>3022004.0299020247</v>
      </c>
      <c r="V24" s="85">
        <f t="shared" ca="1" si="5"/>
        <v>0</v>
      </c>
      <c r="W24" s="85">
        <f t="shared" ca="1" si="6"/>
        <v>2757.0700379225709</v>
      </c>
      <c r="X24" s="3">
        <f t="shared" si="7"/>
        <v>16.5</v>
      </c>
      <c r="Y24" s="118">
        <f t="shared" si="2"/>
        <v>0.6140246303976068</v>
      </c>
      <c r="AA24" s="3">
        <f>LDF!A24</f>
        <v>240</v>
      </c>
      <c r="AB24" s="118">
        <f ca="1">LDF!K24</f>
        <v>1.0105599969786636</v>
      </c>
    </row>
    <row r="25" spans="1:28" x14ac:dyDescent="0.2">
      <c r="A25" s="428" t="s">
        <v>621</v>
      </c>
      <c r="Q25" s="3">
        <f t="shared" si="8"/>
        <v>427</v>
      </c>
      <c r="R25" s="365">
        <f ca="1">1 / [1]!ldf($AB$5:$AB$58, $AA$5:$AA$58, $Q25, $AA$58, 3)</f>
        <v>0.99929505481067615</v>
      </c>
      <c r="S25" s="365">
        <f t="shared" ca="1" si="3"/>
        <v>8.4177823482658991E-3</v>
      </c>
      <c r="T25" s="85">
        <f t="shared" ca="1" si="1"/>
        <v>2318.6429806475735</v>
      </c>
      <c r="U25" s="85">
        <f t="shared" ca="1" si="4"/>
        <v>3024322.6728826724</v>
      </c>
      <c r="V25" s="85">
        <f t="shared" ca="1" si="5"/>
        <v>0</v>
      </c>
      <c r="W25" s="85">
        <f t="shared" ca="1" si="6"/>
        <v>2318.6429806475735</v>
      </c>
      <c r="X25" s="3">
        <f t="shared" si="7"/>
        <v>17.5</v>
      </c>
      <c r="Y25" s="118">
        <f t="shared" si="2"/>
        <v>0.59614041786175409</v>
      </c>
      <c r="AA25" s="3">
        <f>LDF!A25</f>
        <v>252</v>
      </c>
      <c r="AB25" s="118">
        <f ca="1">LDF!K25</f>
        <v>1.0088720265477598</v>
      </c>
    </row>
    <row r="26" spans="1:28" x14ac:dyDescent="0.2">
      <c r="A26" s="3" t="s">
        <v>617</v>
      </c>
      <c r="B26" s="3"/>
      <c r="C26" s="427">
        <f>C14-C15</f>
        <v>0</v>
      </c>
      <c r="D26" s="21"/>
      <c r="E26" s="427">
        <f>E14-E15</f>
        <v>0</v>
      </c>
      <c r="F26" s="21"/>
      <c r="G26" s="427">
        <f>G14-G15</f>
        <v>18321.70980256144</v>
      </c>
      <c r="H26" s="21"/>
      <c r="I26" s="427">
        <f>I14-I15</f>
        <v>101325.65520592546</v>
      </c>
      <c r="J26" s="21"/>
      <c r="K26" s="427">
        <f>K14-K15</f>
        <v>83967.890641523991</v>
      </c>
      <c r="L26" s="21"/>
      <c r="M26" s="427">
        <f>M14-M15</f>
        <v>100</v>
      </c>
      <c r="N26" s="21"/>
      <c r="O26" s="430">
        <f>O14-O15</f>
        <v>275445.82227470214</v>
      </c>
      <c r="Q26" s="3">
        <f t="shared" si="8"/>
        <v>439</v>
      </c>
      <c r="R26" s="365">
        <f ca="1">1 / [1]!ldf($AB$5:$AB$58, $AA$5:$AA$58, $Q26, $AA$58, 3)</f>
        <v>0.99940720797406601</v>
      </c>
      <c r="S26" s="365">
        <f t="shared" ca="1" si="3"/>
        <v>7.0790287888936824E-3</v>
      </c>
      <c r="T26" s="85">
        <f t="shared" ca="1" si="1"/>
        <v>1949.8889056631092</v>
      </c>
      <c r="U26" s="85">
        <f t="shared" ca="1" si="4"/>
        <v>3026272.5617883354</v>
      </c>
      <c r="V26" s="85">
        <f t="shared" ca="1" si="5"/>
        <v>0</v>
      </c>
      <c r="W26" s="85">
        <f t="shared" ca="1" si="6"/>
        <v>1949.8889056631092</v>
      </c>
      <c r="X26" s="3">
        <f t="shared" si="7"/>
        <v>18.5</v>
      </c>
      <c r="Y26" s="118">
        <f t="shared" si="2"/>
        <v>0.57877710472014965</v>
      </c>
      <c r="AA26" s="3">
        <f>LDF!A26</f>
        <v>264</v>
      </c>
      <c r="AB26" s="118">
        <f ca="1">LDF!K26</f>
        <v>1.0074548655134308</v>
      </c>
    </row>
    <row r="27" spans="1:28" x14ac:dyDescent="0.2">
      <c r="A27" s="3" t="s">
        <v>615</v>
      </c>
      <c r="C27" s="427">
        <f>C18-C19</f>
        <v>0</v>
      </c>
      <c r="D27" s="21"/>
      <c r="E27" s="427">
        <f>E18-E19</f>
        <v>0</v>
      </c>
      <c r="F27" s="21"/>
      <c r="G27" s="427">
        <f>G18-G19</f>
        <v>0</v>
      </c>
      <c r="H27" s="21"/>
      <c r="I27" s="427">
        <f>I18-I19</f>
        <v>0</v>
      </c>
      <c r="J27" s="21"/>
      <c r="K27" s="427">
        <f>K18-K19</f>
        <v>0</v>
      </c>
      <c r="L27" s="21"/>
      <c r="M27" s="430">
        <f>M18-M19</f>
        <v>100</v>
      </c>
      <c r="N27" s="431"/>
      <c r="O27" s="430">
        <f>O18-O19</f>
        <v>135597.01000000024</v>
      </c>
      <c r="Q27" s="3">
        <f t="shared" si="8"/>
        <v>451</v>
      </c>
      <c r="R27" s="365">
        <f ca="1">1 / [1]!ldf($AB$5:$AB$58, $AA$5:$AA$58, $Q27, $AA$58, 3)</f>
        <v>0.99950152259498948</v>
      </c>
      <c r="S27" s="365">
        <f t="shared" ca="1" si="3"/>
        <v>5.9530725353677495E-3</v>
      </c>
      <c r="T27" s="85">
        <f t="shared" ca="1" si="1"/>
        <v>1639.7489595653155</v>
      </c>
      <c r="U27" s="85">
        <f t="shared" ca="1" si="4"/>
        <v>3027912.310747901</v>
      </c>
      <c r="V27" s="85">
        <f t="shared" ca="1" si="5"/>
        <v>0</v>
      </c>
      <c r="W27" s="85">
        <f t="shared" ca="1" si="6"/>
        <v>1639.7489595653155</v>
      </c>
      <c r="X27" s="3">
        <f t="shared" si="7"/>
        <v>19.5</v>
      </c>
      <c r="Y27" s="118">
        <f t="shared" si="2"/>
        <v>0.56191951914577642</v>
      </c>
      <c r="AA27" s="3">
        <f>LDF!A27</f>
        <v>276</v>
      </c>
      <c r="AB27" s="118">
        <f ca="1">LDF!K27</f>
        <v>1.0062647751953069</v>
      </c>
    </row>
    <row r="28" spans="1:28" x14ac:dyDescent="0.2">
      <c r="A28" s="3" t="s">
        <v>616</v>
      </c>
      <c r="C28" s="23">
        <f>C26-C27</f>
        <v>0</v>
      </c>
      <c r="E28" s="23">
        <f>E26-E27</f>
        <v>0</v>
      </c>
      <c r="G28" s="23">
        <f>G26-G27</f>
        <v>18321.70980256144</v>
      </c>
      <c r="I28" s="23">
        <f>I26-I27</f>
        <v>101325.65520592546</v>
      </c>
      <c r="K28" s="23">
        <f>K26-K27</f>
        <v>83967.890641523991</v>
      </c>
      <c r="M28" s="23">
        <f>M26-M27</f>
        <v>0</v>
      </c>
      <c r="O28" s="430">
        <f>O26-O27</f>
        <v>139848.81227470189</v>
      </c>
      <c r="Q28" s="3">
        <f t="shared" si="8"/>
        <v>463</v>
      </c>
      <c r="R28" s="365">
        <f ca="1">1 / [1]!ldf($AB$5:$AB$58, $AA$5:$AA$58, $Q28, $AA$58, 3)</f>
        <v>0.99958083468237025</v>
      </c>
      <c r="S28" s="365">
        <f t="shared" ca="1" si="3"/>
        <v>5.0061231703649005E-3</v>
      </c>
      <c r="T28" s="85">
        <f t="shared" ca="1" si="1"/>
        <v>1378.9157130695987</v>
      </c>
      <c r="U28" s="85">
        <f t="shared" ca="1" si="4"/>
        <v>3029291.2264609705</v>
      </c>
      <c r="V28" s="85">
        <f t="shared" ca="1" si="5"/>
        <v>0</v>
      </c>
      <c r="W28" s="85">
        <f t="shared" ca="1" si="6"/>
        <v>1378.9157130695987</v>
      </c>
      <c r="X28" s="3">
        <f t="shared" si="7"/>
        <v>20.5</v>
      </c>
      <c r="Y28" s="118">
        <f t="shared" si="2"/>
        <v>0.54555293120949155</v>
      </c>
      <c r="AA28" s="114">
        <f>AA27+12</f>
        <v>288</v>
      </c>
      <c r="AB28" s="120">
        <f t="shared" ref="AB28:AB57" ca="1" si="9">AB27^$AB$2</f>
        <v>1.0052651664034307</v>
      </c>
    </row>
    <row r="29" spans="1:28" x14ac:dyDescent="0.2">
      <c r="A29" s="3" t="s">
        <v>618</v>
      </c>
      <c r="C29" s="427">
        <f>C22-C23</f>
        <v>0</v>
      </c>
      <c r="D29" s="21"/>
      <c r="E29" s="427">
        <f>E22-E23</f>
        <v>0</v>
      </c>
      <c r="F29" s="21"/>
      <c r="G29" s="427">
        <f>G22-G23</f>
        <v>11971.626292426779</v>
      </c>
      <c r="H29" s="21"/>
      <c r="I29" s="427">
        <f>I22-I23</f>
        <v>305770.32665958465</v>
      </c>
      <c r="J29" s="21"/>
      <c r="K29" s="427">
        <f>K22-K23</f>
        <v>801237.24185612286</v>
      </c>
      <c r="L29" s="21"/>
      <c r="M29" s="427">
        <f>M22-M23</f>
        <v>0</v>
      </c>
      <c r="N29" s="21"/>
      <c r="O29" s="430">
        <f>O22-O23</f>
        <v>720946.90270296135</v>
      </c>
      <c r="Q29" s="3">
        <f t="shared" si="8"/>
        <v>475</v>
      </c>
      <c r="R29" s="365">
        <f ca="1">1 / [1]!ldf($AB$5:$AB$58, $AA$5:$AA$58, $Q29, $AA$58, 3)</f>
        <v>0.99964752975248594</v>
      </c>
      <c r="S29" s="365">
        <f t="shared" ca="1" si="3"/>
        <v>4.2097459149242449E-3</v>
      </c>
      <c r="T29" s="85">
        <f t="shared" ca="1" si="1"/>
        <v>1159.5569251038769</v>
      </c>
      <c r="U29" s="85">
        <f t="shared" ca="1" si="4"/>
        <v>3030450.7833860745</v>
      </c>
      <c r="V29" s="85">
        <f t="shared" ca="1" si="5"/>
        <v>0</v>
      </c>
      <c r="W29" s="85">
        <f t="shared" ca="1" si="6"/>
        <v>1159.5569251038769</v>
      </c>
      <c r="X29" s="3">
        <f t="shared" si="7"/>
        <v>21.5</v>
      </c>
      <c r="Y29" s="118">
        <f t="shared" si="2"/>
        <v>0.52966304000921516</v>
      </c>
      <c r="AA29" s="114">
        <f t="shared" ref="AA29:AA58" si="10">AA28+12</f>
        <v>300</v>
      </c>
      <c r="AB29" s="120">
        <f t="shared" ca="1" si="9"/>
        <v>1.0044254059737934</v>
      </c>
    </row>
    <row r="30" spans="1:28" x14ac:dyDescent="0.2">
      <c r="Q30" s="3">
        <f t="shared" ref="Q30:Q39" si="11">Q29+12</f>
        <v>487</v>
      </c>
      <c r="R30" s="365">
        <f ca="1">1 / [1]!ldf($AB$5:$AB$58, $AA$5:$AA$58, $Q30, $AA$58, 3)</f>
        <v>0.99970361427659493</v>
      </c>
      <c r="S30" s="365">
        <f t="shared" ca="1" si="3"/>
        <v>3.5400157140359012E-3</v>
      </c>
      <c r="T30" s="85">
        <f t="shared" ca="1" si="1"/>
        <v>975.08253921798564</v>
      </c>
      <c r="U30" s="85">
        <f t="shared" ca="1" si="4"/>
        <v>3031425.8659252925</v>
      </c>
      <c r="V30" s="85">
        <f t="shared" ca="1" si="5"/>
        <v>0</v>
      </c>
      <c r="W30" s="85">
        <f t="shared" ca="1" si="6"/>
        <v>975.08253921798564</v>
      </c>
      <c r="X30" s="3">
        <f t="shared" si="7"/>
        <v>22.5</v>
      </c>
      <c r="Y30" s="118">
        <f t="shared" si="2"/>
        <v>0.51423596117399528</v>
      </c>
      <c r="AA30" s="114">
        <f t="shared" si="10"/>
        <v>312</v>
      </c>
      <c r="AB30" s="120">
        <f t="shared" ca="1" si="9"/>
        <v>1.0037198296931265</v>
      </c>
    </row>
    <row r="31" spans="1:28" x14ac:dyDescent="0.2">
      <c r="A31" s="3" t="s">
        <v>619</v>
      </c>
      <c r="C31" s="118">
        <f ca="1">VLOOKUP(C$8, discs, 6, FALSE)</f>
        <v>0.98532927816429228</v>
      </c>
      <c r="E31" s="118">
        <f ca="1">VLOOKUP(E$8, discs, 6, FALSE)</f>
        <v>0.97512255912012513</v>
      </c>
      <c r="G31" s="118">
        <f ca="1">VLOOKUP(G$8, discs, 6, FALSE)</f>
        <v>0.95286350092386163</v>
      </c>
      <c r="I31" s="118">
        <f ca="1">VLOOKUP(I$8, discs, 6, FALSE)</f>
        <v>0.93466828770736687</v>
      </c>
      <c r="K31" s="118">
        <f ca="1">VLOOKUP(K$8, discs, 6, FALSE)</f>
        <v>0.9197894752281065</v>
      </c>
      <c r="M31" s="118">
        <f ca="1">VLOOKUP(M$8, discs, 6, FALSE)</f>
        <v>0.90761581128712743</v>
      </c>
      <c r="O31" s="118">
        <f ca="1">VLOOKUP(O$8, discs, 6, FALSE)</f>
        <v>0.89764724236490068</v>
      </c>
      <c r="Q31" s="3">
        <f t="shared" si="11"/>
        <v>499</v>
      </c>
      <c r="R31" s="365">
        <f ca="1">1 / [1]!ldf($AB$5:$AB$58, $AA$5:$AA$58, $Q31, $AA$58, 3)</f>
        <v>0.99975077582988447</v>
      </c>
      <c r="S31" s="365">
        <f t="shared" ca="1" si="3"/>
        <v>2.9768040719910806E-3</v>
      </c>
      <c r="T31" s="85">
        <f t="shared" ca="1" si="1"/>
        <v>819.94824536026476</v>
      </c>
      <c r="U31" s="85">
        <f t="shared" ca="1" si="4"/>
        <v>3032245.8141706525</v>
      </c>
      <c r="V31" s="85">
        <f t="shared" ca="1" si="5"/>
        <v>0</v>
      </c>
      <c r="W31" s="85">
        <f t="shared" ca="1" si="6"/>
        <v>819.94824536026476</v>
      </c>
      <c r="X31" s="3">
        <f t="shared" si="7"/>
        <v>23.5</v>
      </c>
      <c r="Y31" s="118">
        <f t="shared" si="2"/>
        <v>0.49925821473203419</v>
      </c>
      <c r="AA31" s="114">
        <f t="shared" si="10"/>
        <v>324</v>
      </c>
      <c r="AB31" s="120">
        <f t="shared" ca="1" si="9"/>
        <v>1.0031269238861598</v>
      </c>
    </row>
    <row r="32" spans="1:28" x14ac:dyDescent="0.2">
      <c r="A32" s="3" t="s">
        <v>620</v>
      </c>
      <c r="C32" s="118">
        <f ca="1">VLOOKUP(C$8, discs, 10, FALSE)</f>
        <v>0.98532927816429206</v>
      </c>
      <c r="E32" s="118">
        <f ca="1">VLOOKUP(E$8, discs, 10, FALSE)</f>
        <v>0.97434978323287447</v>
      </c>
      <c r="G32" s="118">
        <f ca="1">VLOOKUP(G$8, discs, 10, FALSE)</f>
        <v>0.94973381168027626</v>
      </c>
      <c r="I32" s="118">
        <f ca="1">VLOOKUP(I$8, discs, 10, FALSE)</f>
        <v>0.92803539912751809</v>
      </c>
      <c r="K32" s="118">
        <f ca="1">VLOOKUP(K$8, discs, 10, FALSE)</f>
        <v>0.90883776452136877</v>
      </c>
      <c r="M32" s="118">
        <f ca="1">VLOOKUP(M$8, discs, 10, FALSE)</f>
        <v>0.89177495078553726</v>
      </c>
      <c r="O32" s="118">
        <f ca="1">VLOOKUP(O$8, discs, 10, FALSE)</f>
        <v>0.87652410035941242</v>
      </c>
      <c r="Q32" s="3">
        <f t="shared" si="11"/>
        <v>511</v>
      </c>
      <c r="R32" s="365">
        <f ca="1">1 / [1]!ldf($AB$5:$AB$58, $AA$5:$AA$58, $Q32, $AA$58, 3)</f>
        <v>0.99979043371886234</v>
      </c>
      <c r="S32" s="365">
        <f t="shared" ca="1" si="3"/>
        <v>2.5031780584301804E-3</v>
      </c>
      <c r="T32" s="85">
        <f t="shared" ca="1" si="1"/>
        <v>689.48993860429346</v>
      </c>
      <c r="U32" s="85">
        <f t="shared" ca="1" si="4"/>
        <v>3032935.3041092567</v>
      </c>
      <c r="V32" s="85">
        <f t="shared" ca="1" si="5"/>
        <v>0</v>
      </c>
      <c r="W32" s="85">
        <f t="shared" ca="1" si="6"/>
        <v>689.48993860429346</v>
      </c>
      <c r="X32" s="3">
        <f t="shared" si="7"/>
        <v>24.5</v>
      </c>
      <c r="Y32" s="118">
        <f t="shared" si="2"/>
        <v>0.484716713332072</v>
      </c>
      <c r="AA32" s="114">
        <f t="shared" si="10"/>
        <v>336</v>
      </c>
      <c r="AB32" s="120">
        <f t="shared" ca="1" si="9"/>
        <v>1.0026286453969373</v>
      </c>
    </row>
    <row r="33" spans="1:28" x14ac:dyDescent="0.2">
      <c r="Q33" s="3">
        <f t="shared" si="11"/>
        <v>523</v>
      </c>
      <c r="R33" s="365">
        <f ca="1">1 / [1]!ldf($AB$5:$AB$58, $AA$5:$AA$58, $Q33, $AA$58, 3)</f>
        <v>0.99982378158764018</v>
      </c>
      <c r="S33" s="365">
        <f t="shared" ca="1" si="3"/>
        <v>2.1048940216335491E-3</v>
      </c>
      <c r="T33" s="85">
        <f t="shared" ca="1" si="1"/>
        <v>579.78426458995762</v>
      </c>
      <c r="U33" s="85">
        <f t="shared" ca="1" si="4"/>
        <v>3033515.0883738468</v>
      </c>
      <c r="V33" s="85">
        <f t="shared" ca="1" si="5"/>
        <v>0</v>
      </c>
      <c r="W33" s="85">
        <f t="shared" ca="1" si="6"/>
        <v>579.78426458995762</v>
      </c>
      <c r="X33" s="3">
        <f t="shared" si="7"/>
        <v>25.5</v>
      </c>
      <c r="Y33" s="118">
        <f t="shared" si="2"/>
        <v>0.47059875080783686</v>
      </c>
      <c r="AA33" s="114">
        <f t="shared" si="10"/>
        <v>348</v>
      </c>
      <c r="AB33" s="120">
        <f t="shared" ca="1" si="9"/>
        <v>1.0022098555311916</v>
      </c>
    </row>
    <row r="34" spans="1:28" x14ac:dyDescent="0.2">
      <c r="A34" s="428" t="s">
        <v>622</v>
      </c>
      <c r="C34" s="82">
        <v>1996</v>
      </c>
      <c r="E34" s="82">
        <f>C34+1</f>
        <v>1997</v>
      </c>
      <c r="G34" s="82">
        <f>E34+1</f>
        <v>1998</v>
      </c>
      <c r="I34" s="82">
        <f>G34+1</f>
        <v>1999</v>
      </c>
      <c r="K34" s="82">
        <f>I34+1</f>
        <v>2000</v>
      </c>
      <c r="M34" s="82">
        <f>K34+1</f>
        <v>2001</v>
      </c>
      <c r="O34" s="82">
        <f>M34+1</f>
        <v>2002</v>
      </c>
      <c r="Q34" s="3">
        <f t="shared" si="11"/>
        <v>535</v>
      </c>
      <c r="R34" s="365">
        <f ca="1">1 / [1]!ldf($AB$5:$AB$58, $AA$5:$AA$58, $Q34, $AA$58, 3)</f>
        <v>0.99985182326910849</v>
      </c>
      <c r="S34" s="365">
        <f t="shared" ca="1" si="3"/>
        <v>1.7699712108259853E-3</v>
      </c>
      <c r="T34" s="85">
        <f t="shared" ca="1" si="1"/>
        <v>487.53117556851367</v>
      </c>
      <c r="U34" s="85">
        <f t="shared" ca="1" si="4"/>
        <v>3034002.6195494155</v>
      </c>
      <c r="V34" s="85">
        <f t="shared" ca="1" si="5"/>
        <v>0</v>
      </c>
      <c r="W34" s="85">
        <f t="shared" ca="1" si="6"/>
        <v>487.53117556851367</v>
      </c>
      <c r="X34" s="3">
        <f t="shared" si="7"/>
        <v>26.5</v>
      </c>
      <c r="Y34" s="118">
        <f t="shared" si="2"/>
        <v>0.45689199107556977</v>
      </c>
      <c r="AA34" s="114">
        <f t="shared" si="10"/>
        <v>360</v>
      </c>
      <c r="AB34" s="120">
        <f t="shared" ca="1" si="9"/>
        <v>1.0018578481292899</v>
      </c>
    </row>
    <row r="35" spans="1:28" x14ac:dyDescent="0.2">
      <c r="A35" s="3" t="s">
        <v>423</v>
      </c>
      <c r="C35" s="23">
        <f ca="1">(C27*C31)</f>
        <v>0</v>
      </c>
      <c r="E35" s="23">
        <f ca="1">(E27*E31)</f>
        <v>0</v>
      </c>
      <c r="G35" s="23">
        <f ca="1">(G27*G31)</f>
        <v>0</v>
      </c>
      <c r="I35" s="23">
        <f ca="1">(I27*I31)</f>
        <v>0</v>
      </c>
      <c r="K35" s="23">
        <f ca="1">(K27*K31)</f>
        <v>0</v>
      </c>
      <c r="M35" s="23">
        <f ca="1">(M27*M31)</f>
        <v>90.761581128712749</v>
      </c>
      <c r="O35" s="434">
        <f ca="1">V3</f>
        <v>128762.23066055033</v>
      </c>
      <c r="Q35" s="3">
        <f t="shared" si="11"/>
        <v>547</v>
      </c>
      <c r="R35" s="365">
        <f ca="1">1 / [1]!ldf($AB$5:$AB$58, $AA$5:$AA$58, $Q35, $AA$58, 3)</f>
        <v>0.99987540294860855</v>
      </c>
      <c r="S35" s="365">
        <f t="shared" ca="1" si="3"/>
        <v>1.4883327849932349E-3</v>
      </c>
      <c r="T35" s="85">
        <f t="shared" ca="1" si="1"/>
        <v>409.95504778085905</v>
      </c>
      <c r="U35" s="85">
        <f t="shared" ca="1" si="4"/>
        <v>3034412.5745971962</v>
      </c>
      <c r="V35" s="85">
        <f t="shared" ca="1" si="5"/>
        <v>0</v>
      </c>
      <c r="W35" s="85">
        <f t="shared" ca="1" si="6"/>
        <v>409.95504778085905</v>
      </c>
      <c r="X35" s="3">
        <f t="shared" si="7"/>
        <v>27.5</v>
      </c>
      <c r="Y35" s="118">
        <f t="shared" si="2"/>
        <v>0.44358445735492213</v>
      </c>
      <c r="AA35" s="114">
        <f t="shared" si="10"/>
        <v>372</v>
      </c>
      <c r="AB35" s="120">
        <f t="shared" ca="1" si="9"/>
        <v>1.001561955596618</v>
      </c>
    </row>
    <row r="36" spans="1:28" x14ac:dyDescent="0.2">
      <c r="A36" s="3" t="s">
        <v>623</v>
      </c>
      <c r="C36" s="23">
        <f ca="1">(C28*C31) + (C29*C32)</f>
        <v>0</v>
      </c>
      <c r="E36" s="23">
        <f ca="1">(E28*E31) + (E29*E32)</f>
        <v>0</v>
      </c>
      <c r="G36" s="23">
        <f ca="1">(G28*G31) + (G29*G32)</f>
        <v>28827.946816098025</v>
      </c>
      <c r="I36" s="23">
        <f ca="1">(I28*I31) + (I29*I32)</f>
        <v>378471.5637950286</v>
      </c>
      <c r="K36" s="23">
        <f ca="1">(K28*K31) + (K29*K32)</f>
        <v>805427.44580896443</v>
      </c>
      <c r="M36" s="23">
        <f ca="1">(M28*M31) + (M29*M32)</f>
        <v>0</v>
      </c>
      <c r="O36" s="434">
        <f ca="1">W3+ (O29*O32)</f>
        <v>738250.61733540695</v>
      </c>
      <c r="Q36" s="3">
        <f t="shared" si="11"/>
        <v>559</v>
      </c>
      <c r="R36" s="365">
        <f ca="1">1 / [1]!ldf($AB$5:$AB$58, $AA$5:$AA$58, $Q36, $AA$58, 3)</f>
        <v>0.99989523053996765</v>
      </c>
      <c r="S36" s="365">
        <f t="shared" ca="1" si="3"/>
        <v>1.2515036206119351E-3</v>
      </c>
      <c r="T36" s="85">
        <f t="shared" ca="1" si="1"/>
        <v>344.72144385922132</v>
      </c>
      <c r="U36" s="85">
        <f t="shared" ca="1" si="4"/>
        <v>3034757.2960410556</v>
      </c>
      <c r="V36" s="85">
        <f t="shared" ca="1" si="5"/>
        <v>0</v>
      </c>
      <c r="W36" s="85">
        <f t="shared" ca="1" si="6"/>
        <v>344.72144385922132</v>
      </c>
      <c r="X36" s="3">
        <f t="shared" si="7"/>
        <v>28.5</v>
      </c>
      <c r="Y36" s="118">
        <f t="shared" si="2"/>
        <v>0.43066452170380792</v>
      </c>
      <c r="AA36" s="114">
        <f t="shared" si="10"/>
        <v>384</v>
      </c>
      <c r="AB36" s="120">
        <f t="shared" ca="1" si="9"/>
        <v>1.0013132196445962</v>
      </c>
    </row>
    <row r="37" spans="1:28" x14ac:dyDescent="0.2">
      <c r="Q37" s="3">
        <f t="shared" si="11"/>
        <v>571</v>
      </c>
      <c r="R37" s="365">
        <f ca="1">1 / [1]!ldf($AB$5:$AB$58, $AA$5:$AA$58, $Q37, $AA$58, 3)</f>
        <v>0.99991190303210498</v>
      </c>
      <c r="S37" s="365">
        <f t="shared" ca="1" si="3"/>
        <v>1.0523559769104647E-3</v>
      </c>
      <c r="T37" s="85">
        <f t="shared" ca="1" si="1"/>
        <v>289.86705738580042</v>
      </c>
      <c r="U37" s="85">
        <f t="shared" ca="1" si="4"/>
        <v>3035047.1630984414</v>
      </c>
      <c r="V37" s="85">
        <f t="shared" ca="1" si="5"/>
        <v>0</v>
      </c>
      <c r="W37" s="85">
        <f t="shared" ca="1" si="6"/>
        <v>289.86705738580042</v>
      </c>
      <c r="X37" s="3">
        <f t="shared" si="7"/>
        <v>29.5</v>
      </c>
      <c r="Y37" s="118">
        <f t="shared" si="2"/>
        <v>0.41812089485806586</v>
      </c>
      <c r="AA37" s="114">
        <f t="shared" si="10"/>
        <v>396</v>
      </c>
      <c r="AB37" s="120">
        <f t="shared" ca="1" si="9"/>
        <v>1.0011041158516678</v>
      </c>
    </row>
    <row r="38" spans="1:28" x14ac:dyDescent="0.2">
      <c r="Q38" s="3">
        <f t="shared" si="11"/>
        <v>583</v>
      </c>
      <c r="R38" s="365">
        <f ca="1">1 / [1]!ldf($AB$5:$AB$58, $AA$5:$AA$58, $Q38, $AA$58, 3)</f>
        <v>0.99992592244483258</v>
      </c>
      <c r="S38" s="365">
        <f t="shared" ca="1" si="3"/>
        <v>8.8489547064419291E-4</v>
      </c>
      <c r="T38" s="85">
        <f t="shared" ca="1" si="1"/>
        <v>243.74076053874927</v>
      </c>
      <c r="U38" s="85">
        <f t="shared" ca="1" si="4"/>
        <v>3035290.9038589802</v>
      </c>
      <c r="V38" s="85">
        <f t="shared" ca="1" si="5"/>
        <v>0</v>
      </c>
      <c r="W38" s="85">
        <f t="shared" ca="1" si="6"/>
        <v>243.74076053874927</v>
      </c>
      <c r="X38" s="3">
        <f t="shared" si="7"/>
        <v>30.5</v>
      </c>
      <c r="Y38" s="118">
        <f t="shared" si="2"/>
        <v>0.40594261636705425</v>
      </c>
      <c r="AA38" s="114">
        <f t="shared" si="10"/>
        <v>408</v>
      </c>
      <c r="AB38" s="120">
        <f t="shared" ca="1" si="9"/>
        <v>1.0009283230613879</v>
      </c>
    </row>
    <row r="39" spans="1:28" x14ac:dyDescent="0.2">
      <c r="Q39" s="3">
        <f t="shared" si="11"/>
        <v>595</v>
      </c>
      <c r="R39" s="365">
        <f ca="1">1 / [1]!ldf($AB$5:$AB$58, $AA$5:$AA$58, $Q39, $AA$58, 3)</f>
        <v>0.99993771093161499</v>
      </c>
      <c r="S39" s="365">
        <f t="shared" ca="1" si="3"/>
        <v>7.4408099413163849E-4</v>
      </c>
      <c r="T39" s="85">
        <f t="shared" ca="1" si="1"/>
        <v>204.95400126756698</v>
      </c>
      <c r="U39" s="85">
        <f t="shared" ca="1" si="4"/>
        <v>3035495.8578602476</v>
      </c>
      <c r="V39" s="85">
        <f t="shared" ca="1" si="5"/>
        <v>0</v>
      </c>
      <c r="W39" s="85">
        <f t="shared" ca="1" si="6"/>
        <v>204.95400126756698</v>
      </c>
      <c r="X39" s="3">
        <f t="shared" si="7"/>
        <v>31.5</v>
      </c>
      <c r="Y39" s="118">
        <f t="shared" si="2"/>
        <v>0.39411904501655753</v>
      </c>
      <c r="AA39" s="114">
        <f t="shared" si="10"/>
        <v>420</v>
      </c>
      <c r="AB39" s="120">
        <f t="shared" ca="1" si="9"/>
        <v>1.0007805301873378</v>
      </c>
    </row>
    <row r="40" spans="1:28" x14ac:dyDescent="0.2">
      <c r="Q40" s="3">
        <f>Q39+12</f>
        <v>607</v>
      </c>
      <c r="R40" s="365">
        <f ca="1">1 / [1]!ldf($AB$5:$AB$58, $AA$5:$AA$58, $Q40, $AA$58, 3)</f>
        <v>0.99994762348201316</v>
      </c>
      <c r="S40" s="365">
        <f t="shared" ca="1" si="3"/>
        <v>6.2567320902127087E-4</v>
      </c>
      <c r="T40" s="85">
        <f t="shared" ca="1" si="1"/>
        <v>172.33907153411553</v>
      </c>
      <c r="U40" s="85">
        <f t="shared" ca="1" si="4"/>
        <v>3035668.1969317817</v>
      </c>
      <c r="V40" s="85">
        <f t="shared" ca="1" si="5"/>
        <v>0</v>
      </c>
      <c r="W40" s="85">
        <f t="shared" ca="1" si="6"/>
        <v>172.33907153411553</v>
      </c>
      <c r="X40" s="3">
        <f t="shared" si="7"/>
        <v>32.5</v>
      </c>
      <c r="Y40" s="118">
        <f t="shared" si="2"/>
        <v>0.38263984953063834</v>
      </c>
      <c r="AA40" s="114">
        <f t="shared" si="10"/>
        <v>432</v>
      </c>
      <c r="AB40" s="120">
        <f t="shared" ca="1" si="9"/>
        <v>1.0006562742637986</v>
      </c>
    </row>
    <row r="41" spans="1:28" x14ac:dyDescent="0.2">
      <c r="Q41" s="3">
        <f>Q40+12</f>
        <v>619</v>
      </c>
      <c r="R41" s="365">
        <f ca="1">1 / [1]!ldf($AB$5:$AB$58, $AA$5:$AA$58, $Q41, $AA$58, 3)</f>
        <v>0.9999559586048774</v>
      </c>
      <c r="S41" s="365">
        <f t="shared" ca="1" si="3"/>
        <v>5.2610709258236457E-4</v>
      </c>
      <c r="T41" s="85">
        <f t="shared" ca="1" si="1"/>
        <v>144.91400072090227</v>
      </c>
      <c r="U41" s="85">
        <f t="shared" ca="1" si="4"/>
        <v>3035813.1109325024</v>
      </c>
      <c r="V41" s="85">
        <f t="shared" ca="1" si="5"/>
        <v>0</v>
      </c>
      <c r="W41" s="85">
        <f t="shared" ca="1" si="6"/>
        <v>144.91400072090227</v>
      </c>
      <c r="X41" s="3">
        <f t="shared" si="7"/>
        <v>33.5</v>
      </c>
      <c r="Y41" s="118">
        <f t="shared" si="2"/>
        <v>0.37149499954430909</v>
      </c>
      <c r="AA41" s="114">
        <f t="shared" si="10"/>
        <v>444</v>
      </c>
      <c r="AB41" s="120">
        <f t="shared" ca="1" si="9"/>
        <v>1.000551804622777</v>
      </c>
    </row>
    <row r="42" spans="1:28" x14ac:dyDescent="0.2">
      <c r="Q42" s="3">
        <f>Q41+12</f>
        <v>631</v>
      </c>
      <c r="R42" s="365">
        <f ca="1">1 / [1]!ldf($AB$5:$AB$58, $AA$5:$AA$58, $Q42, $AA$58, 3)</f>
        <v>0.99996296731297885</v>
      </c>
      <c r="S42" s="365">
        <f t="shared" ca="1" si="3"/>
        <v>4.4238472570396815E-4</v>
      </c>
      <c r="T42" s="85">
        <f t="shared" ca="1" si="1"/>
        <v>121.85302453329807</v>
      </c>
      <c r="U42" s="85">
        <f t="shared" ca="1" si="4"/>
        <v>3035934.9639570359</v>
      </c>
      <c r="V42" s="85">
        <f t="shared" ca="1" si="5"/>
        <v>0</v>
      </c>
      <c r="W42" s="85">
        <f t="shared" ca="1" si="6"/>
        <v>121.85302453329807</v>
      </c>
      <c r="X42" s="3">
        <f t="shared" si="7"/>
        <v>34.5</v>
      </c>
      <c r="Y42" s="118">
        <f t="shared" si="2"/>
        <v>0.36067475683913502</v>
      </c>
      <c r="AA42" s="114">
        <f t="shared" si="10"/>
        <v>456</v>
      </c>
      <c r="AB42" s="120">
        <f t="shared" ca="1" si="9"/>
        <v>1.0004639689358599</v>
      </c>
    </row>
    <row r="43" spans="1:28" x14ac:dyDescent="0.2">
      <c r="Q43" s="3">
        <f>Q42+12</f>
        <v>643</v>
      </c>
      <c r="R43" s="365">
        <f ca="1">1 / [1]!ldf($AB$5:$AB$58, $AA$5:$AA$58, $Q43, $AA$58, 3)</f>
        <v>0.99996886067892865</v>
      </c>
      <c r="S43" s="365">
        <f t="shared" ca="1" si="3"/>
        <v>3.7198511358197951E-4</v>
      </c>
      <c r="T43" s="85">
        <f t="shared" ca="1" si="1"/>
        <v>102.46174548453682</v>
      </c>
      <c r="U43" s="85">
        <f t="shared" ca="1" si="4"/>
        <v>3036037.4257025206</v>
      </c>
      <c r="V43" s="85">
        <f t="shared" ca="1" si="5"/>
        <v>0</v>
      </c>
      <c r="W43" s="85">
        <f t="shared" ca="1" si="6"/>
        <v>102.46174548453682</v>
      </c>
      <c r="X43" s="3">
        <f t="shared" si="7"/>
        <v>35.5</v>
      </c>
      <c r="Y43" s="118">
        <f t="shared" si="2"/>
        <v>0.35016966683411171</v>
      </c>
      <c r="AA43" s="114">
        <f t="shared" si="10"/>
        <v>468</v>
      </c>
      <c r="AB43" s="120">
        <f t="shared" ca="1" si="9"/>
        <v>1.0003901175680179</v>
      </c>
    </row>
    <row r="44" spans="1:28" x14ac:dyDescent="0.2">
      <c r="Q44" s="3">
        <f>Q43+12</f>
        <v>655</v>
      </c>
      <c r="R44" s="432">
        <v>1</v>
      </c>
      <c r="S44" s="365">
        <f t="shared" ca="1" si="3"/>
        <v>1.9654920438081491E-3</v>
      </c>
      <c r="T44" s="85">
        <f t="shared" ca="1" si="1"/>
        <v>541.38657218112053</v>
      </c>
      <c r="U44" s="85">
        <f t="shared" ca="1" si="4"/>
        <v>3036578.8122747019</v>
      </c>
      <c r="V44" s="85">
        <f t="shared" ca="1" si="5"/>
        <v>0</v>
      </c>
      <c r="W44" s="85">
        <f t="shared" ca="1" si="6"/>
        <v>541.38657218112053</v>
      </c>
      <c r="X44" s="3">
        <f>X43+1</f>
        <v>36.5</v>
      </c>
      <c r="Y44" s="118">
        <f>(1+$Y$2)^-X44</f>
        <v>0.33997055032438023</v>
      </c>
      <c r="AA44" s="114">
        <f t="shared" si="10"/>
        <v>480</v>
      </c>
      <c r="AB44" s="120">
        <f t="shared" ca="1" si="9"/>
        <v>1.0003280232774117</v>
      </c>
    </row>
    <row r="45" spans="1:28" x14ac:dyDescent="0.2">
      <c r="Q45" s="3"/>
      <c r="R45" s="365"/>
      <c r="S45" s="432"/>
      <c r="T45" s="85"/>
      <c r="U45" s="85"/>
      <c r="V45" s="85"/>
      <c r="AA45" s="114">
        <f t="shared" si="10"/>
        <v>492</v>
      </c>
      <c r="AB45" s="120">
        <f t="shared" ca="1" si="9"/>
        <v>1.0002758137824388</v>
      </c>
    </row>
    <row r="46" spans="1:28" x14ac:dyDescent="0.2">
      <c r="Q46" s="3"/>
      <c r="R46" s="365"/>
      <c r="S46" s="365"/>
      <c r="T46" s="85"/>
      <c r="U46" s="85"/>
      <c r="V46" s="85"/>
      <c r="AA46" s="114">
        <f t="shared" si="10"/>
        <v>504</v>
      </c>
      <c r="AB46" s="120">
        <f t="shared" ca="1" si="9"/>
        <v>1.000231915122469</v>
      </c>
    </row>
    <row r="47" spans="1:28" x14ac:dyDescent="0.2">
      <c r="Q47" s="3"/>
      <c r="R47" s="365"/>
      <c r="S47" s="365"/>
      <c r="T47" s="85"/>
      <c r="U47" s="85"/>
      <c r="V47" s="85"/>
      <c r="AA47" s="114">
        <f t="shared" si="10"/>
        <v>516</v>
      </c>
      <c r="AB47" s="120">
        <f t="shared" ca="1" si="9"/>
        <v>1.000195004076281</v>
      </c>
    </row>
    <row r="48" spans="1:28" x14ac:dyDescent="0.2">
      <c r="Q48" s="3"/>
      <c r="R48" s="365"/>
      <c r="S48" s="365"/>
      <c r="T48" s="85"/>
      <c r="U48" s="85"/>
      <c r="V48" s="85"/>
      <c r="AA48" s="114">
        <f t="shared" si="10"/>
        <v>528</v>
      </c>
      <c r="AB48" s="120">
        <f t="shared" ca="1" si="9"/>
        <v>1.0001639681838381</v>
      </c>
    </row>
    <row r="49" spans="17:28" x14ac:dyDescent="0.2">
      <c r="Q49" s="3"/>
      <c r="R49" s="365"/>
      <c r="S49" s="365"/>
      <c r="T49" s="85"/>
      <c r="U49" s="85"/>
      <c r="V49" s="85"/>
      <c r="AA49" s="114">
        <f t="shared" si="10"/>
        <v>540</v>
      </c>
      <c r="AB49" s="120">
        <f t="shared" ca="1" si="9"/>
        <v>1.0001378721522709</v>
      </c>
    </row>
    <row r="50" spans="17:28" x14ac:dyDescent="0.2">
      <c r="Q50" s="3"/>
      <c r="R50" s="365"/>
      <c r="S50" s="365"/>
      <c r="T50" s="85"/>
      <c r="U50" s="85"/>
      <c r="V50" s="85"/>
      <c r="AA50" s="114">
        <f t="shared" si="10"/>
        <v>552</v>
      </c>
      <c r="AB50" s="120">
        <f t="shared" ca="1" si="9"/>
        <v>1.0001159296236268</v>
      </c>
    </row>
    <row r="51" spans="17:28" x14ac:dyDescent="0.2">
      <c r="Q51" s="3"/>
      <c r="R51" s="365"/>
      <c r="S51" s="365"/>
      <c r="T51" s="85"/>
      <c r="U51" s="85"/>
      <c r="V51" s="85"/>
      <c r="AA51" s="114">
        <f t="shared" si="10"/>
        <v>564</v>
      </c>
      <c r="AB51" s="120">
        <f t="shared" ca="1" si="9"/>
        <v>1.000097479446548</v>
      </c>
    </row>
    <row r="52" spans="17:28" x14ac:dyDescent="0.2">
      <c r="Q52" s="3"/>
      <c r="R52" s="365"/>
      <c r="S52" s="365"/>
      <c r="T52" s="85"/>
      <c r="U52" s="85"/>
      <c r="V52" s="85"/>
      <c r="AA52" s="114">
        <f t="shared" si="10"/>
        <v>576</v>
      </c>
      <c r="AB52" s="120">
        <f t="shared" ca="1" si="9"/>
        <v>1.0000819657318918</v>
      </c>
    </row>
    <row r="53" spans="17:28" x14ac:dyDescent="0.2">
      <c r="Q53" s="3"/>
      <c r="R53" s="365"/>
      <c r="S53" s="365"/>
      <c r="T53" s="85"/>
      <c r="U53" s="85"/>
      <c r="V53" s="85"/>
      <c r="AA53" s="114">
        <f t="shared" si="10"/>
        <v>588</v>
      </c>
      <c r="AB53" s="120">
        <f t="shared" ca="1" si="9"/>
        <v>1.0000689210878335</v>
      </c>
    </row>
    <row r="54" spans="17:28" x14ac:dyDescent="0.2">
      <c r="Q54" s="3"/>
      <c r="R54" s="365"/>
      <c r="S54" s="365"/>
      <c r="T54" s="85"/>
      <c r="U54" s="85"/>
      <c r="V54" s="85"/>
      <c r="AA54" s="114">
        <f t="shared" si="10"/>
        <v>600</v>
      </c>
      <c r="AB54" s="120">
        <f t="shared" ca="1" si="9"/>
        <v>1.000057952526852</v>
      </c>
    </row>
    <row r="55" spans="17:28" x14ac:dyDescent="0.2">
      <c r="R55" s="85"/>
      <c r="S55" s="85"/>
      <c r="T55" s="85"/>
      <c r="U55" s="85"/>
      <c r="V55" s="85"/>
      <c r="AA55" s="114">
        <f t="shared" si="10"/>
        <v>612</v>
      </c>
      <c r="AB55" s="120">
        <f t="shared" ca="1" si="9"/>
        <v>1.0000487296182519</v>
      </c>
    </row>
    <row r="56" spans="17:28" x14ac:dyDescent="0.2">
      <c r="R56" s="85"/>
      <c r="S56" s="85"/>
      <c r="T56" s="85"/>
      <c r="U56" s="85"/>
      <c r="V56" s="85"/>
      <c r="AA56" s="114">
        <f t="shared" si="10"/>
        <v>624</v>
      </c>
      <c r="AB56" s="120">
        <f t="shared" ca="1" si="9"/>
        <v>1.0000409745280585</v>
      </c>
    </row>
    <row r="57" spans="17:28" x14ac:dyDescent="0.2">
      <c r="R57" s="85"/>
      <c r="S57" s="85"/>
      <c r="T57" s="85"/>
      <c r="U57" s="85"/>
      <c r="V57" s="85"/>
      <c r="AA57" s="114">
        <f t="shared" si="10"/>
        <v>636</v>
      </c>
      <c r="AB57" s="120">
        <f t="shared" ca="1" si="9"/>
        <v>1.0000344536453565</v>
      </c>
    </row>
    <row r="58" spans="17:28" x14ac:dyDescent="0.2">
      <c r="R58" s="85"/>
      <c r="S58" s="85"/>
      <c r="T58" s="85"/>
      <c r="U58" s="85"/>
      <c r="V58" s="85"/>
      <c r="AA58" s="114">
        <f t="shared" si="10"/>
        <v>648</v>
      </c>
      <c r="AB58" s="120">
        <f ca="1">AB57^$AB$2</f>
        <v>1.0000289705422005</v>
      </c>
    </row>
    <row r="59" spans="17:28" x14ac:dyDescent="0.2">
      <c r="R59" s="85"/>
      <c r="S59" s="85"/>
      <c r="T59" s="85"/>
      <c r="U59" s="85"/>
      <c r="V59" s="85"/>
    </row>
    <row r="60" spans="17:28" x14ac:dyDescent="0.2">
      <c r="R60" s="85"/>
      <c r="S60" s="85"/>
      <c r="T60" s="85"/>
      <c r="U60" s="85"/>
      <c r="V60" s="85"/>
    </row>
  </sheetData>
  <printOptions horizontalCentered="1"/>
  <pageMargins left="0.7" right="0.7" top="0.75" bottom="0.75" header="0.3" footer="0.3"/>
  <pageSetup scale="37" orientation="portrait" blackAndWhite="1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CC74-9BBA-4A30-A3BA-513442411ECD}">
  <sheetPr>
    <tabColor rgb="FFFFFF00"/>
    <pageSetUpPr fitToPage="1"/>
  </sheetPr>
  <dimension ref="A1:AB58"/>
  <sheetViews>
    <sheetView zoomScale="85" zoomScaleNormal="85" workbookViewId="0"/>
  </sheetViews>
  <sheetFormatPr defaultColWidth="9" defaultRowHeight="12.75" x14ac:dyDescent="0.2"/>
  <cols>
    <col min="1" max="1" width="19.625" style="1" customWidth="1"/>
    <col min="2" max="2" width="2.625" style="1" customWidth="1"/>
    <col min="3" max="3" width="9.375" style="1" bestFit="1" customWidth="1"/>
    <col min="4" max="4" width="2.625" style="1" customWidth="1"/>
    <col min="5" max="5" width="9.375" style="1" bestFit="1" customWidth="1"/>
    <col min="6" max="6" width="2.625" style="1" customWidth="1"/>
    <col min="7" max="7" width="9.375" style="1" bestFit="1" customWidth="1"/>
    <col min="8" max="8" width="2.625" style="1" customWidth="1"/>
    <col min="9" max="9" width="9.375" style="1" bestFit="1" customWidth="1"/>
    <col min="10" max="10" width="2.625" style="1" customWidth="1"/>
    <col min="11" max="11" width="9.375" style="1" bestFit="1" customWidth="1"/>
    <col min="12" max="12" width="2.625" style="1" customWidth="1"/>
    <col min="13" max="13" width="9.375" style="1" bestFit="1" customWidth="1"/>
    <col min="14" max="14" width="2.625" style="1" customWidth="1"/>
    <col min="15" max="15" width="9.375" style="1" bestFit="1" customWidth="1"/>
    <col min="16" max="20" width="9" style="1"/>
    <col min="21" max="21" width="9.375" style="1" bestFit="1" customWidth="1"/>
    <col min="22" max="23" width="9.875" style="1" customWidth="1"/>
    <col min="24" max="16384" width="9" style="1"/>
  </cols>
  <sheetData>
    <row r="1" spans="1:28" x14ac:dyDescent="0.2">
      <c r="A1" s="133" t="s">
        <v>613</v>
      </c>
      <c r="B1" s="133"/>
      <c r="Q1" s="133" t="s">
        <v>624</v>
      </c>
    </row>
    <row r="2" spans="1:28" x14ac:dyDescent="0.2">
      <c r="T2" s="426">
        <f ca="1">O26</f>
        <v>229401.14847639296</v>
      </c>
      <c r="U2" s="424">
        <f ca="1">O15</f>
        <v>2807177.6637983089</v>
      </c>
      <c r="V2" s="424"/>
      <c r="Y2" s="433">
        <f>disc_rate</f>
        <v>0.03</v>
      </c>
      <c r="AB2" s="120">
        <f ca="1">LDF!$K$41</f>
        <v>0.8408579505308561</v>
      </c>
    </row>
    <row r="3" spans="1:28" x14ac:dyDescent="0.2">
      <c r="C3" s="425" t="str">
        <f>Intro!$D$18</f>
        <v>95/96</v>
      </c>
      <c r="E3" s="425" t="str">
        <f>Intro!$D$19</f>
        <v>96/97</v>
      </c>
      <c r="G3" s="425" t="str">
        <f>Intro!$D$20</f>
        <v>97/98</v>
      </c>
      <c r="I3" s="425" t="str">
        <f>Intro!$D$21</f>
        <v>98/99</v>
      </c>
      <c r="K3" s="425" t="str">
        <f>Intro!$D$22</f>
        <v>99/00</v>
      </c>
      <c r="M3" s="425" t="str">
        <f>Intro!$D$23</f>
        <v>00/01</v>
      </c>
      <c r="O3" s="425" t="str">
        <f>Intro!$D$24</f>
        <v>01/02</v>
      </c>
      <c r="Q3" s="425" t="str">
        <f>Intro!$D$24</f>
        <v>01/02</v>
      </c>
      <c r="T3" s="3" t="b">
        <f ca="1">SUM(T8:T44)=T2</f>
        <v>1</v>
      </c>
      <c r="U3" s="1" t="b">
        <f ca="1">U44=O14</f>
        <v>1</v>
      </c>
      <c r="V3" s="434">
        <f ca="1">SUMPRODUCT(V8:V44, $Y$8:$Y$44)</f>
        <v>88896.197951097391</v>
      </c>
      <c r="W3" s="434">
        <f ca="1">SUMPRODUCT(W8:W44, $Y$8:$Y$44)</f>
        <v>106894.91804814656</v>
      </c>
      <c r="AB3" s="33" t="s">
        <v>263</v>
      </c>
    </row>
    <row r="4" spans="1:28" x14ac:dyDescent="0.2">
      <c r="C4" s="33"/>
      <c r="E4" s="33"/>
      <c r="G4" s="33"/>
      <c r="I4" s="33"/>
      <c r="K4" s="33"/>
      <c r="M4" s="33"/>
      <c r="T4" s="81"/>
      <c r="U4" s="81"/>
      <c r="V4" s="81"/>
      <c r="AA4" s="82" t="s">
        <v>25</v>
      </c>
      <c r="AB4" s="82" t="s">
        <v>626</v>
      </c>
    </row>
    <row r="5" spans="1:28" x14ac:dyDescent="0.2">
      <c r="A5" s="3" t="s">
        <v>609</v>
      </c>
      <c r="B5" s="3"/>
      <c r="C5" s="429">
        <f>Intro!$A$18</f>
        <v>34973</v>
      </c>
      <c r="D5" s="21"/>
      <c r="E5" s="429">
        <f>Intro!$A$19</f>
        <v>35339</v>
      </c>
      <c r="F5" s="21"/>
      <c r="G5" s="429">
        <f>Intro!$A$20</f>
        <v>35704</v>
      </c>
      <c r="H5" s="21"/>
      <c r="I5" s="429">
        <f>Intro!$A$21</f>
        <v>36069</v>
      </c>
      <c r="J5" s="21"/>
      <c r="K5" s="429">
        <f>Intro!$A$22</f>
        <v>36434</v>
      </c>
      <c r="L5" s="21"/>
      <c r="M5" s="429">
        <f>Intro!$A$23</f>
        <v>36800</v>
      </c>
      <c r="N5" s="21"/>
      <c r="O5" s="429">
        <f>Intro!$A$24</f>
        <v>37165</v>
      </c>
      <c r="Q5" s="33" t="str">
        <f>rtxt</f>
        <v>6/30/19</v>
      </c>
      <c r="R5" s="33" t="str">
        <f>rtxt</f>
        <v>6/30/19</v>
      </c>
      <c r="S5" s="3" t="s">
        <v>627</v>
      </c>
      <c r="T5" s="33" t="s">
        <v>629</v>
      </c>
      <c r="U5" s="33" t="s">
        <v>630</v>
      </c>
      <c r="V5" s="33" t="s">
        <v>631</v>
      </c>
      <c r="W5" s="33" t="s">
        <v>632</v>
      </c>
      <c r="X5" s="33" t="s">
        <v>566</v>
      </c>
      <c r="Y5" s="33" t="s">
        <v>566</v>
      </c>
      <c r="AA5" s="3">
        <f>LDF!A5</f>
        <v>12</v>
      </c>
      <c r="AB5" s="118">
        <f ca="1">LDF!K5</f>
        <v>4.9496516653317242</v>
      </c>
    </row>
    <row r="6" spans="1:28" x14ac:dyDescent="0.2">
      <c r="A6" s="3" t="s">
        <v>610</v>
      </c>
      <c r="B6" s="3"/>
      <c r="C6" s="429">
        <f>Intro!$B$18</f>
        <v>35338</v>
      </c>
      <c r="D6" s="21"/>
      <c r="E6" s="429">
        <f>Intro!$B$19</f>
        <v>35703</v>
      </c>
      <c r="F6" s="21"/>
      <c r="G6" s="429">
        <f>Intro!$B$20</f>
        <v>36068</v>
      </c>
      <c r="H6" s="21"/>
      <c r="I6" s="429">
        <f>Intro!$B$21</f>
        <v>36433</v>
      </c>
      <c r="J6" s="21"/>
      <c r="K6" s="429">
        <f>Intro!$B$22</f>
        <v>36799</v>
      </c>
      <c r="L6" s="21"/>
      <c r="M6" s="429">
        <f>Intro!$B$23</f>
        <v>37164</v>
      </c>
      <c r="N6" s="21"/>
      <c r="O6" s="429">
        <f>Intro!$B$24</f>
        <v>37529</v>
      </c>
      <c r="Q6" s="82" t="s">
        <v>25</v>
      </c>
      <c r="R6" s="82" t="s">
        <v>625</v>
      </c>
      <c r="S6" s="82" t="s">
        <v>625</v>
      </c>
      <c r="T6" s="82" t="s">
        <v>628</v>
      </c>
      <c r="U6" s="82" t="s">
        <v>628</v>
      </c>
      <c r="V6" s="82" t="s">
        <v>628</v>
      </c>
      <c r="W6" s="82" t="s">
        <v>628</v>
      </c>
      <c r="X6" s="82" t="s">
        <v>25</v>
      </c>
      <c r="Y6" s="82" t="s">
        <v>229</v>
      </c>
      <c r="AA6" s="3">
        <f>LDF!A6</f>
        <v>24</v>
      </c>
      <c r="AB6" s="118">
        <f ca="1">LDF!K6</f>
        <v>1.8332043204932298</v>
      </c>
    </row>
    <row r="7" spans="1:28" x14ac:dyDescent="0.2">
      <c r="A7" s="3" t="s">
        <v>23</v>
      </c>
      <c r="B7" s="3"/>
      <c r="C7" s="429">
        <f>AVERAGE(C5:C6)</f>
        <v>35155.5</v>
      </c>
      <c r="D7" s="21"/>
      <c r="E7" s="429">
        <f>AVERAGE(E5:E6)</f>
        <v>35521</v>
      </c>
      <c r="F7" s="21"/>
      <c r="G7" s="429">
        <f>AVERAGE(G5:G6)</f>
        <v>35886</v>
      </c>
      <c r="H7" s="21"/>
      <c r="I7" s="429">
        <f>AVERAGE(I5:I6)</f>
        <v>36251</v>
      </c>
      <c r="J7" s="21"/>
      <c r="K7" s="429">
        <f>AVERAGE(K5:K6)</f>
        <v>36616.5</v>
      </c>
      <c r="L7" s="21"/>
      <c r="M7" s="429">
        <f>AVERAGE(M5:M6)</f>
        <v>36982</v>
      </c>
      <c r="N7" s="21"/>
      <c r="O7" s="429">
        <f>AVERAGE(O5:O6)</f>
        <v>37347</v>
      </c>
      <c r="Q7" s="110">
        <f>$O$8</f>
        <v>213</v>
      </c>
      <c r="R7" s="365">
        <f ca="1">1 / [1]!ldf($AB$5:$AB$58, $AA$5:$AA$58, $Q7, $AA$58, 3)</f>
        <v>0.98460463073224425</v>
      </c>
      <c r="AA7" s="3">
        <f>LDF!A7</f>
        <v>36</v>
      </c>
      <c r="AB7" s="118">
        <f ca="1">LDF!K7</f>
        <v>1.3788055372258305</v>
      </c>
    </row>
    <row r="8" spans="1:28" x14ac:dyDescent="0.2">
      <c r="A8" s="3" t="str">
        <f>rtxt&amp;" Age"</f>
        <v>6/30/19 Age</v>
      </c>
      <c r="B8" s="3"/>
      <c r="C8" s="254">
        <f>ROUND((roll - C7) / 365.15 * 12 + 6,0)</f>
        <v>285</v>
      </c>
      <c r="D8" s="21"/>
      <c r="E8" s="254">
        <f>ROUND((roll - E7) / 365.15 * 12 + 6,0)</f>
        <v>273</v>
      </c>
      <c r="F8" s="21"/>
      <c r="G8" s="254">
        <f>ROUND((roll - G7) / 365.15 * 12 + 6,0)</f>
        <v>261</v>
      </c>
      <c r="H8" s="21"/>
      <c r="I8" s="254">
        <f>ROUND((roll - I7) / 365.15 * 12 + 6,0)</f>
        <v>249</v>
      </c>
      <c r="J8" s="21"/>
      <c r="K8" s="254">
        <f>ROUND((roll - K7) / 365.15 * 12 + 6,0)</f>
        <v>237</v>
      </c>
      <c r="L8" s="21"/>
      <c r="M8" s="254">
        <f>ROUND((roll - M7) / 365.15 * 12 + 6,0)</f>
        <v>225</v>
      </c>
      <c r="N8" s="21"/>
      <c r="O8" s="254">
        <f>ROUND((roll - O7) / 365.15 * 12 + 6,0)</f>
        <v>213</v>
      </c>
      <c r="Q8" s="3">
        <f t="shared" ref="Q8:Q39" si="0">Q7+12</f>
        <v>225</v>
      </c>
      <c r="R8" s="365">
        <f ca="1">1 / [1]!ldf($AB$5:$AB$58, $AA$5:$AA$58, $Q8, $AA$58, 3)</f>
        <v>0.9870387278823094</v>
      </c>
      <c r="S8" s="365">
        <f ca="1">(R8-R7) / (1-$R$7)</f>
        <v>0.15810579842103256</v>
      </c>
      <c r="T8" s="85">
        <f t="shared" ref="T8:T44" ca="1" si="1">$T$2*S8</f>
        <v>36269.651738561945</v>
      </c>
      <c r="U8" s="85">
        <f ca="1">U2+T8</f>
        <v>2843447.3155368711</v>
      </c>
      <c r="V8" s="85">
        <f ca="1">IF(U8&lt;=$O$11, T8, 0)</f>
        <v>36269.651738561945</v>
      </c>
      <c r="W8" s="85">
        <f ca="1">IF(V8&gt;0, 0, T8)</f>
        <v>0</v>
      </c>
      <c r="X8" s="110">
        <v>0.5</v>
      </c>
      <c r="Y8" s="118">
        <f t="shared" ref="Y8:Y43" si="2">(1+$Y$2)^-X8</f>
        <v>0.98532927816429317</v>
      </c>
      <c r="AA8" s="3">
        <f>LDF!A8</f>
        <v>48</v>
      </c>
      <c r="AB8" s="118">
        <f ca="1">LDF!K8</f>
        <v>1.2507114140977906</v>
      </c>
    </row>
    <row r="9" spans="1:28" x14ac:dyDescent="0.2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Q9" s="3">
        <f t="shared" si="0"/>
        <v>237</v>
      </c>
      <c r="R9" s="365">
        <f ca="1">1 / [1]!ldf($AB$5:$AB$58, $AA$5:$AA$58, $Q9, $AA$58, 3)</f>
        <v>0.98909011443411199</v>
      </c>
      <c r="S9" s="365">
        <f t="shared" ref="S9:S44" ca="1" si="3">(R9-R8) / (1-$R$7)</f>
        <v>0.13324698590367953</v>
      </c>
      <c r="T9" s="85">
        <f t="shared" ca="1" si="1"/>
        <v>30567.011597321827</v>
      </c>
      <c r="U9" s="85">
        <f t="shared" ref="U9:U44" ca="1" si="4">U8+T9</f>
        <v>2874014.3271341929</v>
      </c>
      <c r="V9" s="85">
        <f t="shared" ref="V9:V44" ca="1" si="5">IF(U9&lt;=$O$11, T9, 0)</f>
        <v>30567.011597321827</v>
      </c>
      <c r="W9" s="85">
        <f t="shared" ref="W9:W44" ca="1" si="6">IF(V9&gt;0, 0, T9)</f>
        <v>0</v>
      </c>
      <c r="X9" s="3">
        <f>X8+1</f>
        <v>1.5</v>
      </c>
      <c r="Y9" s="118">
        <f t="shared" si="2"/>
        <v>0.9566303671497991</v>
      </c>
      <c r="AA9" s="3">
        <f>LDF!A9</f>
        <v>60</v>
      </c>
      <c r="AB9" s="118">
        <f ca="1">LDF!K9</f>
        <v>1.176551962892372</v>
      </c>
    </row>
    <row r="10" spans="1:28" x14ac:dyDescent="0.2">
      <c r="A10" s="3" t="s">
        <v>15</v>
      </c>
      <c r="C10" s="427">
        <f>VLOOKUP(C$3, Intro!$D$18:$I$42, 5, FALSE)</f>
        <v>250000</v>
      </c>
      <c r="D10" s="21"/>
      <c r="E10" s="427">
        <f>VLOOKUP(E$3, Intro!$D$18:$I$42, 5, FALSE)</f>
        <v>250000</v>
      </c>
      <c r="F10" s="21"/>
      <c r="G10" s="427">
        <f>VLOOKUP(G$3, Intro!$D$18:$I$42, 5, FALSE)</f>
        <v>250000</v>
      </c>
      <c r="H10" s="21"/>
      <c r="I10" s="427">
        <f>VLOOKUP(I$3, Intro!$D$18:$I$42, 5, FALSE)</f>
        <v>250000</v>
      </c>
      <c r="J10" s="21"/>
      <c r="K10" s="427">
        <f>VLOOKUP(K$3, Intro!$D$18:$I$42, 5, FALSE)</f>
        <v>250000</v>
      </c>
      <c r="L10" s="21"/>
      <c r="M10" s="427">
        <f>VLOOKUP(M$3, Intro!$D$18:$I$42, 5, FALSE)</f>
        <v>250000</v>
      </c>
      <c r="N10" s="21"/>
      <c r="O10" s="427">
        <f>VLOOKUP(O$3, Intro!$D$18:$I$42, 5, FALSE)</f>
        <v>250000</v>
      </c>
      <c r="Q10" s="3">
        <f t="shared" si="0"/>
        <v>249</v>
      </c>
      <c r="R10" s="365">
        <f ca="1">1 / [1]!ldf($AB$5:$AB$58, $AA$5:$AA$58, $Q10, $AA$58, 3)</f>
        <v>0.99081833845672784</v>
      </c>
      <c r="S10" s="365">
        <f t="shared" ca="1" si="3"/>
        <v>0.11225609419031392</v>
      </c>
      <c r="T10" s="85">
        <f t="shared" ca="1" si="1"/>
        <v>25751.676930732156</v>
      </c>
      <c r="U10" s="85">
        <f t="shared" ca="1" si="4"/>
        <v>2899766.004064925</v>
      </c>
      <c r="V10" s="87">
        <f ca="1">MIN($O$12,U10)-U9</f>
        <v>25751.676930732094</v>
      </c>
      <c r="W10" s="85">
        <f t="shared" ca="1" si="6"/>
        <v>0</v>
      </c>
      <c r="X10" s="3">
        <f t="shared" ref="X10:X43" si="7">X9+1</f>
        <v>2.5</v>
      </c>
      <c r="Y10" s="118">
        <f t="shared" si="2"/>
        <v>0.92876734674737782</v>
      </c>
      <c r="AA10" s="3">
        <f>LDF!A10</f>
        <v>72</v>
      </c>
      <c r="AB10" s="118">
        <f ca="1">LDF!K10</f>
        <v>1.136765181538524</v>
      </c>
    </row>
    <row r="11" spans="1:28" x14ac:dyDescent="0.2">
      <c r="A11" s="3" t="s">
        <v>20</v>
      </c>
      <c r="B11" s="3"/>
      <c r="C11" s="427">
        <f>VLOOKUP(C$3, Intro!$D$18:$I$42, 6, FALSE)</f>
        <v>1066389</v>
      </c>
      <c r="D11" s="21"/>
      <c r="E11" s="427">
        <f>VLOOKUP(E$3, Intro!$D$18:$I$42, 6, FALSE)</f>
        <v>1660996</v>
      </c>
      <c r="F11" s="21"/>
      <c r="G11" s="427">
        <f>VLOOKUP(G$3, Intro!$D$18:$I$42, 6, FALSE)</f>
        <v>2412000</v>
      </c>
      <c r="H11" s="21"/>
      <c r="I11" s="427">
        <f>VLOOKUP(I$3, Intro!$D$18:$I$42, 6, FALSE)</f>
        <v>2371069</v>
      </c>
      <c r="J11" s="21"/>
      <c r="K11" s="427">
        <f>VLOOKUP(K$3, Intro!$D$18:$I$42, 6, FALSE)</f>
        <v>1985102</v>
      </c>
      <c r="L11" s="21"/>
      <c r="M11" s="427">
        <f>VLOOKUP(M$3, Intro!$D$18:$I$42, 6, FALSE)</f>
        <v>2121632</v>
      </c>
      <c r="N11" s="21"/>
      <c r="O11" s="427">
        <f>VLOOKUP(O$3, Intro!$D$18:$I$42, 6, FALSE)</f>
        <v>2896730</v>
      </c>
      <c r="Q11" s="3">
        <f t="shared" si="0"/>
        <v>261</v>
      </c>
      <c r="R11" s="365">
        <f ca="1">1 / [1]!ldf($AB$5:$AB$58, $AA$5:$AA$58, $Q11, $AA$58, 3)</f>
        <v>0.99227386624904335</v>
      </c>
      <c r="S11" s="365">
        <f t="shared" ca="1" si="3"/>
        <v>9.4543220562041203E-2</v>
      </c>
      <c r="T11" s="85">
        <f t="shared" ca="1" si="1"/>
        <v>21688.323377589182</v>
      </c>
      <c r="U11" s="85">
        <f t="shared" ca="1" si="4"/>
        <v>2921454.3274425142</v>
      </c>
      <c r="V11" s="85">
        <f t="shared" ca="1" si="5"/>
        <v>0</v>
      </c>
      <c r="W11" s="85">
        <f ca="1">T11-V11</f>
        <v>21688.323377589182</v>
      </c>
      <c r="X11" s="3">
        <f t="shared" si="7"/>
        <v>3.5</v>
      </c>
      <c r="Y11" s="118">
        <f t="shared" si="2"/>
        <v>0.9017158706285221</v>
      </c>
      <c r="AA11" s="3">
        <f>LDF!A11</f>
        <v>84</v>
      </c>
      <c r="AB11" s="118">
        <f ca="1">LDF!K11</f>
        <v>1.1065572971283932</v>
      </c>
    </row>
    <row r="12" spans="1:28" x14ac:dyDescent="0.2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3">
        <f t="shared" si="0"/>
        <v>273</v>
      </c>
      <c r="R12" s="365">
        <f ca="1">1 / [1]!ldf($AB$5:$AB$58, $AA$5:$AA$58, $Q12, $AA$58, 3)</f>
        <v>0.99349941309129408</v>
      </c>
      <c r="S12" s="365">
        <f t="shared" ca="1" si="3"/>
        <v>7.9604900729307967E-2</v>
      </c>
      <c r="T12" s="85">
        <f t="shared" ca="1" si="1"/>
        <v>18261.455651652501</v>
      </c>
      <c r="U12" s="85">
        <f t="shared" ca="1" si="4"/>
        <v>2939715.7830941668</v>
      </c>
      <c r="V12" s="85">
        <f t="shared" ca="1" si="5"/>
        <v>0</v>
      </c>
      <c r="W12" s="85">
        <f t="shared" ca="1" si="6"/>
        <v>18261.455651652501</v>
      </c>
      <c r="X12" s="3">
        <f t="shared" si="7"/>
        <v>4.5</v>
      </c>
      <c r="Y12" s="118">
        <f t="shared" si="2"/>
        <v>0.87545230158108933</v>
      </c>
      <c r="AA12" s="3">
        <f>LDF!A12</f>
        <v>96</v>
      </c>
      <c r="AB12" s="118">
        <f ca="1">LDF!K12</f>
        <v>1.0877471895850084</v>
      </c>
    </row>
    <row r="13" spans="1:28" x14ac:dyDescent="0.2">
      <c r="A13" s="428" t="s">
        <v>611</v>
      </c>
      <c r="B13" s="3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Q13" s="3">
        <f t="shared" si="0"/>
        <v>285</v>
      </c>
      <c r="R13" s="365">
        <f ca="1">1 / [1]!ldf($AB$5:$AB$58, $AA$5:$AA$58, $Q13, $AA$58, 3)</f>
        <v>0.99453109531765749</v>
      </c>
      <c r="S13" s="365">
        <f t="shared" ca="1" si="3"/>
        <v>6.7012502813048713E-2</v>
      </c>
      <c r="T13" s="85">
        <f t="shared" ca="1" si="1"/>
        <v>15372.745107590888</v>
      </c>
      <c r="U13" s="85">
        <f t="shared" ca="1" si="4"/>
        <v>2955088.5282017575</v>
      </c>
      <c r="V13" s="85">
        <f t="shared" ca="1" si="5"/>
        <v>0</v>
      </c>
      <c r="W13" s="85">
        <f t="shared" ca="1" si="6"/>
        <v>15372.745107590888</v>
      </c>
      <c r="X13" s="3">
        <f t="shared" si="7"/>
        <v>5.5</v>
      </c>
      <c r="Y13" s="118">
        <f t="shared" si="2"/>
        <v>0.84995369085542649</v>
      </c>
      <c r="AA13" s="3">
        <f>LDF!A13</f>
        <v>108</v>
      </c>
      <c r="AB13" s="118">
        <f ca="1">LDF!K13</f>
        <v>1.07318884174554</v>
      </c>
    </row>
    <row r="14" spans="1:28" x14ac:dyDescent="0.2">
      <c r="A14" s="3" t="s">
        <v>245</v>
      </c>
      <c r="B14" s="3"/>
      <c r="C14" s="427">
        <f>'e2.1'!$U$18</f>
        <v>683326</v>
      </c>
      <c r="D14" s="21"/>
      <c r="E14" s="427">
        <f>'e2.1'!$U$19</f>
        <v>1337604</v>
      </c>
      <c r="F14" s="21"/>
      <c r="G14" s="427">
        <f>'e2.1'!$U$20</f>
        <v>2603276.8798025614</v>
      </c>
      <c r="H14" s="21"/>
      <c r="I14" s="427">
        <f>'e2.1'!$U$21</f>
        <v>2650176.9452059255</v>
      </c>
      <c r="J14" s="21"/>
      <c r="K14" s="427">
        <f>'e2.1'!$U$22</f>
        <v>2398255.8306415239</v>
      </c>
      <c r="L14" s="21"/>
      <c r="M14" s="427">
        <f>'e2.1'!$U$23</f>
        <v>1349446.97</v>
      </c>
      <c r="N14" s="21"/>
      <c r="O14" s="427">
        <f>'e2.1'!$U$24</f>
        <v>3036578.8122747019</v>
      </c>
      <c r="Q14" s="3">
        <f t="shared" si="0"/>
        <v>297</v>
      </c>
      <c r="R14" s="365">
        <f ca="1">1 / [1]!ldf($AB$5:$AB$58, $AA$5:$AA$58, $Q14, $AA$58, 3)</f>
        <v>0.99539942263227144</v>
      </c>
      <c r="S14" s="365">
        <f t="shared" ca="1" si="3"/>
        <v>5.6401850420865395E-2</v>
      </c>
      <c r="T14" s="85">
        <f t="shared" ca="1" si="1"/>
        <v>12938.649262740249</v>
      </c>
      <c r="U14" s="85">
        <f t="shared" ca="1" si="4"/>
        <v>2968027.1774644977</v>
      </c>
      <c r="V14" s="85">
        <f t="shared" ca="1" si="5"/>
        <v>0</v>
      </c>
      <c r="W14" s="85">
        <f t="shared" ca="1" si="6"/>
        <v>12938.649262740249</v>
      </c>
      <c r="X14" s="3">
        <f t="shared" si="7"/>
        <v>6.5</v>
      </c>
      <c r="Y14" s="118">
        <f t="shared" si="2"/>
        <v>0.82519775811206453</v>
      </c>
      <c r="AA14" s="3">
        <f>LDF!A14</f>
        <v>120</v>
      </c>
      <c r="AB14" s="118">
        <f ca="1">LDF!K14</f>
        <v>1.0617521688289118</v>
      </c>
    </row>
    <row r="15" spans="1:28" x14ac:dyDescent="0.2">
      <c r="A15" s="3" t="s">
        <v>75</v>
      </c>
      <c r="B15" s="3"/>
      <c r="C15" s="427">
        <f>'e2.1'!$O$18</f>
        <v>683326</v>
      </c>
      <c r="D15" s="21"/>
      <c r="E15" s="427">
        <f>'e2.1'!$O$19</f>
        <v>1337604</v>
      </c>
      <c r="F15" s="21"/>
      <c r="G15" s="427">
        <f>'e2.1'!$O$20</f>
        <v>2584955.17</v>
      </c>
      <c r="H15" s="21"/>
      <c r="I15" s="427">
        <f>'e2.1'!$O$21</f>
        <v>2548851.29</v>
      </c>
      <c r="J15" s="21"/>
      <c r="K15" s="427">
        <f>'e2.1'!$O$22</f>
        <v>2314287.94</v>
      </c>
      <c r="L15" s="574"/>
      <c r="M15" s="434">
        <f ca="1">'e2.1'!$O$23 + 'e1.2A'!$E$22</f>
        <v>1349380.969149325</v>
      </c>
      <c r="N15" s="574"/>
      <c r="O15" s="434">
        <f ca="1">'e2.1'!$O$24 + 'e1.2A'!$E$23</f>
        <v>2807177.6637983089</v>
      </c>
      <c r="Q15" s="3">
        <f t="shared" si="0"/>
        <v>309</v>
      </c>
      <c r="R15" s="365">
        <f ca="1">1 / [1]!ldf($AB$5:$AB$58, $AA$5:$AA$58, $Q15, $AA$58, 3)</f>
        <v>0.99613014929257693</v>
      </c>
      <c r="S15" s="365">
        <f t="shared" ca="1" si="3"/>
        <v>4.7464055431001226E-2</v>
      </c>
      <c r="T15" s="85">
        <f t="shared" ca="1" si="1"/>
        <v>10888.308827218858</v>
      </c>
      <c r="U15" s="85">
        <f t="shared" ca="1" si="4"/>
        <v>2978915.4862917168</v>
      </c>
      <c r="V15" s="85">
        <f t="shared" ca="1" si="5"/>
        <v>0</v>
      </c>
      <c r="W15" s="85">
        <f t="shared" ca="1" si="6"/>
        <v>10888.308827218858</v>
      </c>
      <c r="X15" s="3">
        <f t="shared" si="7"/>
        <v>7.5</v>
      </c>
      <c r="Y15" s="118">
        <f t="shared" si="2"/>
        <v>0.80116287195346081</v>
      </c>
      <c r="AA15" s="3">
        <f>LDF!A15</f>
        <v>132</v>
      </c>
      <c r="AB15" s="118">
        <f ca="1">LDF!K15</f>
        <v>1.0520394827066555</v>
      </c>
    </row>
    <row r="16" spans="1:28" x14ac:dyDescent="0.2">
      <c r="C16" s="254"/>
      <c r="D16" s="21"/>
      <c r="E16" s="254"/>
      <c r="F16" s="21"/>
      <c r="G16" s="254"/>
      <c r="H16" s="21"/>
      <c r="I16" s="254"/>
      <c r="J16" s="21"/>
      <c r="K16" s="254"/>
      <c r="L16" s="21"/>
      <c r="M16" s="254"/>
      <c r="N16" s="21"/>
      <c r="O16" s="254"/>
      <c r="Q16" s="3">
        <f t="shared" si="0"/>
        <v>321</v>
      </c>
      <c r="R16" s="365">
        <f ca="1">1 / [1]!ldf($AB$5:$AB$58, $AA$5:$AA$58, $Q16, $AA$58, 3)</f>
        <v>0.99674500176789227</v>
      </c>
      <c r="S16" s="365">
        <f t="shared" ca="1" si="3"/>
        <v>3.9937494490833426E-2</v>
      </c>
      <c r="T16" s="85">
        <f t="shared" ca="1" si="1"/>
        <v>9161.7071034668043</v>
      </c>
      <c r="U16" s="85">
        <f t="shared" ca="1" si="4"/>
        <v>2988077.1933951834</v>
      </c>
      <c r="V16" s="85">
        <f t="shared" ca="1" si="5"/>
        <v>0</v>
      </c>
      <c r="W16" s="85">
        <f t="shared" ca="1" si="6"/>
        <v>9161.7071034668043</v>
      </c>
      <c r="X16" s="3">
        <f t="shared" si="7"/>
        <v>8.5</v>
      </c>
      <c r="Y16" s="118">
        <f t="shared" si="2"/>
        <v>0.77782803102277731</v>
      </c>
      <c r="AA16" s="3">
        <f>LDF!A16</f>
        <v>144</v>
      </c>
      <c r="AB16" s="118">
        <f ca="1">LDF!K16</f>
        <v>1.0439913756352999</v>
      </c>
    </row>
    <row r="17" spans="1:28" x14ac:dyDescent="0.2">
      <c r="A17" s="428" t="s">
        <v>612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Q17" s="3">
        <f t="shared" si="0"/>
        <v>333</v>
      </c>
      <c r="R17" s="365">
        <f ca="1">1 / [1]!ldf($AB$5:$AB$58, $AA$5:$AA$58, $Q17, $AA$58, 3)</f>
        <v>0.9972622990740414</v>
      </c>
      <c r="S17" s="365">
        <f t="shared" ca="1" si="3"/>
        <v>3.3600837833267658E-2</v>
      </c>
      <c r="T17" s="85">
        <f t="shared" ca="1" si="1"/>
        <v>7708.0707887206363</v>
      </c>
      <c r="U17" s="85">
        <f t="shared" ca="1" si="4"/>
        <v>2995785.264183904</v>
      </c>
      <c r="V17" s="85">
        <f t="shared" ca="1" si="5"/>
        <v>0</v>
      </c>
      <c r="W17" s="85">
        <f t="shared" ca="1" si="6"/>
        <v>7708.0707887206363</v>
      </c>
      <c r="X17" s="3">
        <f t="shared" si="7"/>
        <v>9.5</v>
      </c>
      <c r="Y17" s="118">
        <f t="shared" si="2"/>
        <v>0.75517284565318188</v>
      </c>
      <c r="AA17" s="3">
        <f>LDF!A17</f>
        <v>156</v>
      </c>
      <c r="AB17" s="118">
        <f ca="1">LDF!K17</f>
        <v>1.0369514434454634</v>
      </c>
    </row>
    <row r="18" spans="1:28" x14ac:dyDescent="0.2">
      <c r="A18" s="3" t="s">
        <v>245</v>
      </c>
      <c r="C18" s="427">
        <f>MIN(C$11,C14)</f>
        <v>683326</v>
      </c>
      <c r="D18" s="21"/>
      <c r="E18" s="427">
        <f>MIN(E$11,E14)</f>
        <v>1337604</v>
      </c>
      <c r="F18" s="21"/>
      <c r="G18" s="427">
        <f>MIN(G$11,G14)</f>
        <v>2412000</v>
      </c>
      <c r="H18" s="21"/>
      <c r="I18" s="427">
        <f>MIN(I$11,I14)</f>
        <v>2371069</v>
      </c>
      <c r="J18" s="21"/>
      <c r="K18" s="427">
        <f>MIN(K$11,K14)</f>
        <v>1985102</v>
      </c>
      <c r="L18" s="21"/>
      <c r="M18" s="427">
        <f>MIN(M$11,M14)</f>
        <v>1349446.97</v>
      </c>
      <c r="N18" s="21"/>
      <c r="O18" s="427">
        <f>MIN(O$11,O14)</f>
        <v>2896730</v>
      </c>
      <c r="Q18" s="3">
        <f t="shared" si="0"/>
        <v>345</v>
      </c>
      <c r="R18" s="365">
        <f ca="1">1 / [1]!ldf($AB$5:$AB$58, $AA$5:$AA$58, $Q18, $AA$58, 3)</f>
        <v>0.99769748040363704</v>
      </c>
      <c r="S18" s="365">
        <f t="shared" ca="1" si="3"/>
        <v>2.826702770339418E-2</v>
      </c>
      <c r="T18" s="85">
        <f t="shared" ca="1" si="1"/>
        <v>6484.4886191726418</v>
      </c>
      <c r="U18" s="85">
        <f t="shared" ca="1" si="4"/>
        <v>3002269.7528030765</v>
      </c>
      <c r="V18" s="85">
        <f t="shared" ca="1" si="5"/>
        <v>0</v>
      </c>
      <c r="W18" s="85">
        <f t="shared" ca="1" si="6"/>
        <v>6484.4886191726418</v>
      </c>
      <c r="X18" s="3">
        <f t="shared" si="7"/>
        <v>10.5</v>
      </c>
      <c r="Y18" s="118">
        <f t="shared" si="2"/>
        <v>0.73317752005163295</v>
      </c>
      <c r="AA18" s="3">
        <f>LDF!A18</f>
        <v>168</v>
      </c>
      <c r="AB18" s="118">
        <f ca="1">LDF!K18</f>
        <v>1.0307237485396585</v>
      </c>
    </row>
    <row r="19" spans="1:28" x14ac:dyDescent="0.2">
      <c r="A19" s="3" t="s">
        <v>75</v>
      </c>
      <c r="C19" s="427">
        <f>MIN(C$11,C15)</f>
        <v>683326</v>
      </c>
      <c r="D19" s="21"/>
      <c r="E19" s="427">
        <f>MIN(E$11,E15)</f>
        <v>1337604</v>
      </c>
      <c r="F19" s="21"/>
      <c r="G19" s="427">
        <f>MIN(G$11,G15)</f>
        <v>2412000</v>
      </c>
      <c r="H19" s="21"/>
      <c r="I19" s="427">
        <f>MIN(I$11,I15)</f>
        <v>2371069</v>
      </c>
      <c r="J19" s="21"/>
      <c r="K19" s="427">
        <f>MIN(K$11,K15)</f>
        <v>1985102</v>
      </c>
      <c r="L19" s="21"/>
      <c r="M19" s="427">
        <f ca="1">MIN(M$11,M15)</f>
        <v>1349380.969149325</v>
      </c>
      <c r="N19" s="21"/>
      <c r="O19" s="427">
        <f ca="1">MIN(O$11,O15)</f>
        <v>2807177.6637983089</v>
      </c>
      <c r="Q19" s="3">
        <f t="shared" si="0"/>
        <v>357</v>
      </c>
      <c r="R19" s="365">
        <f ca="1">1 / [1]!ldf($AB$5:$AB$58, $AA$5:$AA$58, $Q19, $AA$58, 3)</f>
        <v>0.99806355305633643</v>
      </c>
      <c r="S19" s="365">
        <f t="shared" ca="1" si="3"/>
        <v>2.377810147536354E-2</v>
      </c>
      <c r="T19" s="85">
        <f t="shared" ca="1" si="1"/>
        <v>5454.7237870366098</v>
      </c>
      <c r="U19" s="85">
        <f t="shared" ca="1" si="4"/>
        <v>3007724.4765901132</v>
      </c>
      <c r="V19" s="85">
        <f t="shared" ca="1" si="5"/>
        <v>0</v>
      </c>
      <c r="W19" s="85">
        <f t="shared" ca="1" si="6"/>
        <v>5454.7237870366098</v>
      </c>
      <c r="X19" s="3">
        <f t="shared" si="7"/>
        <v>11.5</v>
      </c>
      <c r="Y19" s="118">
        <f t="shared" si="2"/>
        <v>0.71182283500158527</v>
      </c>
      <c r="AA19" s="3">
        <f>LDF!A19</f>
        <v>180</v>
      </c>
      <c r="AB19" s="118">
        <f ca="1">LDF!K19</f>
        <v>1.0253049450151908</v>
      </c>
    </row>
    <row r="20" spans="1:28" x14ac:dyDescent="0.2">
      <c r="Q20" s="3">
        <f t="shared" si="0"/>
        <v>369</v>
      </c>
      <c r="R20" s="365">
        <f ca="1">1 / [1]!ldf($AB$5:$AB$58, $AA$5:$AA$58, $Q20, $AA$58, 3)</f>
        <v>0.99837147211058097</v>
      </c>
      <c r="S20" s="365">
        <f t="shared" ca="1" si="3"/>
        <v>2.0000757948005345E-2</v>
      </c>
      <c r="T20" s="85">
        <f t="shared" ca="1" si="1"/>
        <v>4588.1968436707712</v>
      </c>
      <c r="U20" s="85">
        <f t="shared" ca="1" si="4"/>
        <v>3012312.6734337839</v>
      </c>
      <c r="V20" s="85">
        <f t="shared" ca="1" si="5"/>
        <v>0</v>
      </c>
      <c r="W20" s="85">
        <f t="shared" ca="1" si="6"/>
        <v>4588.1968436707712</v>
      </c>
      <c r="X20" s="3">
        <f t="shared" si="7"/>
        <v>12.5</v>
      </c>
      <c r="Y20" s="118">
        <f t="shared" si="2"/>
        <v>0.69109013106950024</v>
      </c>
      <c r="AA20" s="3">
        <f>LDF!A20</f>
        <v>192</v>
      </c>
      <c r="AB20" s="118">
        <f ca="1">LDF!K20</f>
        <v>1.0212354336313814</v>
      </c>
    </row>
    <row r="21" spans="1:28" x14ac:dyDescent="0.2">
      <c r="A21" s="428" t="s">
        <v>614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Q21" s="3">
        <f t="shared" si="0"/>
        <v>381</v>
      </c>
      <c r="R21" s="365">
        <f ca="1">1 / [1]!ldf($AB$5:$AB$58, $AA$5:$AA$58, $Q21, $AA$58, 3)</f>
        <v>0.99863046181804316</v>
      </c>
      <c r="S21" s="365">
        <f t="shared" ca="1" si="3"/>
        <v>1.682257196679383E-2</v>
      </c>
      <c r="T21" s="85">
        <f t="shared" ca="1" si="1"/>
        <v>3859.1173295092776</v>
      </c>
      <c r="U21" s="85">
        <f t="shared" ca="1" si="4"/>
        <v>3016171.7907632934</v>
      </c>
      <c r="V21" s="85">
        <f t="shared" ca="1" si="5"/>
        <v>0</v>
      </c>
      <c r="W21" s="85">
        <f t="shared" ca="1" si="6"/>
        <v>3859.1173295092776</v>
      </c>
      <c r="X21" s="3">
        <f t="shared" si="7"/>
        <v>13.5</v>
      </c>
      <c r="Y21" s="118">
        <f t="shared" si="2"/>
        <v>0.67096129230048573</v>
      </c>
      <c r="AA21" s="3">
        <f>LDF!A21</f>
        <v>204</v>
      </c>
      <c r="AB21" s="118">
        <f ca="1">LDF!K21</f>
        <v>1.017826056254413</v>
      </c>
    </row>
    <row r="22" spans="1:28" x14ac:dyDescent="0.2">
      <c r="A22" s="3" t="s">
        <v>245</v>
      </c>
      <c r="C22" s="427">
        <f>'e2.2'!$U$18</f>
        <v>141454.19999999995</v>
      </c>
      <c r="D22" s="21"/>
      <c r="E22" s="427">
        <f>'e2.2'!$U$19</f>
        <v>169167</v>
      </c>
      <c r="F22" s="21"/>
      <c r="G22" s="427">
        <f>'e2.2'!$U$20</f>
        <v>161876.62629242678</v>
      </c>
      <c r="H22" s="21"/>
      <c r="I22" s="427">
        <f>'e2.2'!$U$21</f>
        <v>1541697.1766595847</v>
      </c>
      <c r="J22" s="21"/>
      <c r="K22" s="427">
        <f>'e2.2'!$U$22</f>
        <v>1314362.4618561231</v>
      </c>
      <c r="L22" s="21"/>
      <c r="M22" s="427">
        <f>'e2.2'!$U$23</f>
        <v>289652</v>
      </c>
      <c r="N22" s="21"/>
      <c r="O22" s="427">
        <f>'e2.2'!$U$24</f>
        <v>1587524.3727029616</v>
      </c>
      <c r="Q22" s="3">
        <f t="shared" si="0"/>
        <v>393</v>
      </c>
      <c r="R22" s="365">
        <f ca="1">1 / [1]!ldf($AB$5:$AB$58, $AA$5:$AA$58, $Q22, $AA$58, 3)</f>
        <v>0.99884828736984765</v>
      </c>
      <c r="S22" s="365">
        <f t="shared" ca="1" si="3"/>
        <v>1.414877084245795E-2</v>
      </c>
      <c r="T22" s="85">
        <f t="shared" ca="1" si="1"/>
        <v>3245.7442807891557</v>
      </c>
      <c r="U22" s="85">
        <f t="shared" ca="1" si="4"/>
        <v>3019417.5350440824</v>
      </c>
      <c r="V22" s="85">
        <f t="shared" ca="1" si="5"/>
        <v>0</v>
      </c>
      <c r="W22" s="85">
        <f t="shared" ca="1" si="6"/>
        <v>3245.7442807891557</v>
      </c>
      <c r="X22" s="3">
        <f t="shared" si="7"/>
        <v>14.5</v>
      </c>
      <c r="Y22" s="118">
        <f t="shared" si="2"/>
        <v>0.65141873038882114</v>
      </c>
      <c r="AA22" s="3">
        <f>LDF!A22</f>
        <v>216</v>
      </c>
      <c r="AB22" s="118">
        <f ca="1">LDF!K22</f>
        <v>1.0149680649568718</v>
      </c>
    </row>
    <row r="23" spans="1:28" x14ac:dyDescent="0.2">
      <c r="A23" s="3" t="s">
        <v>75</v>
      </c>
      <c r="C23" s="434">
        <f ca="1">'e2.2'!$O$18 + 'e1.2B'!$E$17</f>
        <v>141454.19999999995</v>
      </c>
      <c r="D23" s="574"/>
      <c r="E23" s="434">
        <f ca="1">'e2.2'!$O$19 + 'e1.2B'!$E$18</f>
        <v>169167</v>
      </c>
      <c r="F23" s="574"/>
      <c r="G23" s="434">
        <f ca="1">'e2.2'!$O$20 + 'e1.2B'!$E$19</f>
        <v>156301.472454428</v>
      </c>
      <c r="H23" s="574"/>
      <c r="I23" s="434">
        <f ca="1">'e2.2'!$O$21 + 'e1.2B'!$E$20</f>
        <v>1320664.8069407518</v>
      </c>
      <c r="J23" s="574"/>
      <c r="K23" s="434">
        <f ca="1">'e2.2'!$O$22 + 'e1.2B'!$E$21</f>
        <v>694436.94581309776</v>
      </c>
      <c r="L23" s="574"/>
      <c r="M23" s="434">
        <f ca="1">'e2.2'!$O$23 + 'e1.2B'!$E$22</f>
        <v>289652</v>
      </c>
      <c r="N23" s="574"/>
      <c r="O23" s="434">
        <f ca="1">'e2.2'!$O$24 + 'e1.2B'!$E$23</f>
        <v>1036147.0110967408</v>
      </c>
      <c r="Q23" s="3">
        <f t="shared" si="0"/>
        <v>405</v>
      </c>
      <c r="R23" s="365">
        <f ca="1">1 / [1]!ldf($AB$5:$AB$58, $AA$5:$AA$58, $Q23, $AA$58, 3)</f>
        <v>0.99903148448920576</v>
      </c>
      <c r="S23" s="365">
        <f t="shared" ca="1" si="3"/>
        <v>1.1899494982675929E-2</v>
      </c>
      <c r="T23" s="85">
        <f t="shared" ca="1" si="1"/>
        <v>2729.7578153149339</v>
      </c>
      <c r="U23" s="85">
        <f t="shared" ca="1" si="4"/>
        <v>3022147.2928593974</v>
      </c>
      <c r="V23" s="85">
        <f t="shared" ca="1" si="5"/>
        <v>0</v>
      </c>
      <c r="W23" s="85">
        <f t="shared" ca="1" si="6"/>
        <v>2729.7578153149339</v>
      </c>
      <c r="X23" s="3">
        <f t="shared" si="7"/>
        <v>15.5</v>
      </c>
      <c r="Y23" s="118">
        <f t="shared" si="2"/>
        <v>0.63244536930953499</v>
      </c>
      <c r="AA23" s="3">
        <f>LDF!A23</f>
        <v>228</v>
      </c>
      <c r="AB23" s="118">
        <f ca="1">LDF!K23</f>
        <v>1.0125711121723564</v>
      </c>
    </row>
    <row r="24" spans="1:28" x14ac:dyDescent="0.2">
      <c r="Q24" s="3">
        <f t="shared" si="0"/>
        <v>417</v>
      </c>
      <c r="R24" s="365">
        <f ca="1">1 / [1]!ldf($AB$5:$AB$58, $AA$5:$AA$58, $Q24, $AA$58, 3)</f>
        <v>0.99918555324790903</v>
      </c>
      <c r="S24" s="365">
        <f t="shared" ca="1" si="3"/>
        <v>1.0007474067280578E-2</v>
      </c>
      <c r="T24" s="85">
        <f t="shared" ca="1" si="1"/>
        <v>2295.7260443818841</v>
      </c>
      <c r="U24" s="85">
        <f t="shared" ca="1" si="4"/>
        <v>3024443.0189037793</v>
      </c>
      <c r="V24" s="85">
        <f t="shared" ca="1" si="5"/>
        <v>0</v>
      </c>
      <c r="W24" s="85">
        <f t="shared" ca="1" si="6"/>
        <v>2295.7260443818841</v>
      </c>
      <c r="X24" s="3">
        <f t="shared" si="7"/>
        <v>16.5</v>
      </c>
      <c r="Y24" s="118">
        <f t="shared" si="2"/>
        <v>0.6140246303976068</v>
      </c>
      <c r="AA24" s="3">
        <f>LDF!A24</f>
        <v>240</v>
      </c>
      <c r="AB24" s="118">
        <f ca="1">LDF!K24</f>
        <v>1.0105599969786636</v>
      </c>
    </row>
    <row r="25" spans="1:28" x14ac:dyDescent="0.2">
      <c r="A25" s="428" t="s">
        <v>621</v>
      </c>
      <c r="Q25" s="3">
        <f t="shared" si="0"/>
        <v>429</v>
      </c>
      <c r="R25" s="365">
        <f ca="1">1 / [1]!ldf($AB$5:$AB$58, $AA$5:$AA$58, $Q25, $AA$58, 3)</f>
        <v>0.99931512157764546</v>
      </c>
      <c r="S25" s="365">
        <f t="shared" ca="1" si="3"/>
        <v>8.4160585876818586E-3</v>
      </c>
      <c r="T25" s="85">
        <f t="shared" ca="1" si="1"/>
        <v>1930.6535056588282</v>
      </c>
      <c r="U25" s="85">
        <f t="shared" ca="1" si="4"/>
        <v>3026373.6724094381</v>
      </c>
      <c r="V25" s="85">
        <f t="shared" ca="1" si="5"/>
        <v>0</v>
      </c>
      <c r="W25" s="85">
        <f t="shared" ca="1" si="6"/>
        <v>1930.6535056588282</v>
      </c>
      <c r="X25" s="3">
        <f t="shared" si="7"/>
        <v>17.5</v>
      </c>
      <c r="Y25" s="118">
        <f t="shared" si="2"/>
        <v>0.59614041786175409</v>
      </c>
      <c r="AA25" s="3">
        <f>LDF!A25</f>
        <v>252</v>
      </c>
      <c r="AB25" s="118">
        <f ca="1">LDF!K25</f>
        <v>1.0088720265477598</v>
      </c>
    </row>
    <row r="26" spans="1:28" x14ac:dyDescent="0.2">
      <c r="A26" s="3" t="s">
        <v>617</v>
      </c>
      <c r="B26" s="3"/>
      <c r="C26" s="427">
        <f>C14-C15</f>
        <v>0</v>
      </c>
      <c r="D26" s="21"/>
      <c r="E26" s="427">
        <f>E14-E15</f>
        <v>0</v>
      </c>
      <c r="F26" s="21"/>
      <c r="G26" s="427">
        <f>G14-G15</f>
        <v>18321.70980256144</v>
      </c>
      <c r="H26" s="21"/>
      <c r="I26" s="427">
        <f>I14-I15</f>
        <v>101325.65520592546</v>
      </c>
      <c r="J26" s="21"/>
      <c r="K26" s="427">
        <f>K14-K15</f>
        <v>83967.890641523991</v>
      </c>
      <c r="L26" s="21"/>
      <c r="M26" s="427">
        <f ca="1">M14-M15</f>
        <v>66.000850674929097</v>
      </c>
      <c r="N26" s="21"/>
      <c r="O26" s="430">
        <f ca="1">O14-O15</f>
        <v>229401.14847639296</v>
      </c>
      <c r="Q26" s="3">
        <f t="shared" si="0"/>
        <v>441</v>
      </c>
      <c r="R26" s="365">
        <f ca="1">1 / [1]!ldf($AB$5:$AB$58, $AA$5:$AA$58, $Q26, $AA$58, 3)</f>
        <v>0.99942408314137876</v>
      </c>
      <c r="S26" s="365">
        <f t="shared" ca="1" si="3"/>
        <v>7.0775544151130687E-3</v>
      </c>
      <c r="T26" s="85">
        <f t="shared" ca="1" si="1"/>
        <v>1623.5991112311037</v>
      </c>
      <c r="U26" s="85">
        <f t="shared" ca="1" si="4"/>
        <v>3027997.2715206691</v>
      </c>
      <c r="V26" s="85">
        <f t="shared" ca="1" si="5"/>
        <v>0</v>
      </c>
      <c r="W26" s="85">
        <f t="shared" ca="1" si="6"/>
        <v>1623.5991112311037</v>
      </c>
      <c r="X26" s="3">
        <f t="shared" si="7"/>
        <v>18.5</v>
      </c>
      <c r="Y26" s="118">
        <f t="shared" si="2"/>
        <v>0.57877710472014965</v>
      </c>
      <c r="AA26" s="3">
        <f>LDF!A26</f>
        <v>264</v>
      </c>
      <c r="AB26" s="118">
        <f ca="1">LDF!K26</f>
        <v>1.0074548655134308</v>
      </c>
    </row>
    <row r="27" spans="1:28" x14ac:dyDescent="0.2">
      <c r="A27" s="3" t="s">
        <v>615</v>
      </c>
      <c r="C27" s="427">
        <f>C18-C19</f>
        <v>0</v>
      </c>
      <c r="D27" s="21"/>
      <c r="E27" s="427">
        <f>E18-E19</f>
        <v>0</v>
      </c>
      <c r="F27" s="21"/>
      <c r="G27" s="427">
        <f>G18-G19</f>
        <v>0</v>
      </c>
      <c r="H27" s="21"/>
      <c r="I27" s="427">
        <f>I18-I19</f>
        <v>0</v>
      </c>
      <c r="J27" s="21"/>
      <c r="K27" s="427">
        <f>K18-K19</f>
        <v>0</v>
      </c>
      <c r="L27" s="21"/>
      <c r="M27" s="430">
        <f ca="1">M18-M19</f>
        <v>66.000850674929097</v>
      </c>
      <c r="N27" s="431"/>
      <c r="O27" s="430">
        <f ca="1">O18-O19</f>
        <v>89552.336201691069</v>
      </c>
      <c r="Q27" s="3">
        <f t="shared" si="0"/>
        <v>453</v>
      </c>
      <c r="R27" s="365">
        <f ca="1">1 / [1]!ldf($AB$5:$AB$58, $AA$5:$AA$58, $Q27, $AA$58, 3)</f>
        <v>0.99951571353360669</v>
      </c>
      <c r="S27" s="365">
        <f t="shared" ca="1" si="3"/>
        <v>5.9518151617082554E-3</v>
      </c>
      <c r="T27" s="85">
        <f t="shared" ca="1" si="1"/>
        <v>1365.3532336150822</v>
      </c>
      <c r="U27" s="85">
        <f t="shared" ca="1" si="4"/>
        <v>3029362.624754284</v>
      </c>
      <c r="V27" s="85">
        <f t="shared" ca="1" si="5"/>
        <v>0</v>
      </c>
      <c r="W27" s="85">
        <f t="shared" ca="1" si="6"/>
        <v>1365.3532336150822</v>
      </c>
      <c r="X27" s="3">
        <f t="shared" si="7"/>
        <v>19.5</v>
      </c>
      <c r="Y27" s="118">
        <f t="shared" si="2"/>
        <v>0.56191951914577642</v>
      </c>
      <c r="AA27" s="3">
        <f>LDF!A27</f>
        <v>276</v>
      </c>
      <c r="AB27" s="118">
        <f ca="1">LDF!K27</f>
        <v>1.0062647751953069</v>
      </c>
    </row>
    <row r="28" spans="1:28" x14ac:dyDescent="0.2">
      <c r="A28" s="3" t="s">
        <v>616</v>
      </c>
      <c r="C28" s="23">
        <f>C26-C27</f>
        <v>0</v>
      </c>
      <c r="E28" s="23">
        <f>E26-E27</f>
        <v>0</v>
      </c>
      <c r="G28" s="23">
        <f>G26-G27</f>
        <v>18321.70980256144</v>
      </c>
      <c r="I28" s="23">
        <f>I26-I27</f>
        <v>101325.65520592546</v>
      </c>
      <c r="K28" s="23">
        <f>K26-K27</f>
        <v>83967.890641523991</v>
      </c>
      <c r="M28" s="23">
        <f ca="1">M26-M27</f>
        <v>0</v>
      </c>
      <c r="O28" s="430">
        <f ca="1">O26-O27</f>
        <v>139848.81227470189</v>
      </c>
      <c r="Q28" s="3">
        <f t="shared" si="0"/>
        <v>465</v>
      </c>
      <c r="R28" s="365">
        <f ca="1">1 / [1]!ldf($AB$5:$AB$58, $AA$5:$AA$58, $Q28, $AA$58, 3)</f>
        <v>0.99959276817931864</v>
      </c>
      <c r="S28" s="365">
        <f t="shared" ca="1" si="3"/>
        <v>5.0050534268985267E-3</v>
      </c>
      <c r="T28" s="85">
        <f t="shared" ca="1" si="1"/>
        <v>1148.1650043162283</v>
      </c>
      <c r="U28" s="85">
        <f t="shared" ca="1" si="4"/>
        <v>3030510.7897586003</v>
      </c>
      <c r="V28" s="85">
        <f t="shared" ca="1" si="5"/>
        <v>0</v>
      </c>
      <c r="W28" s="85">
        <f t="shared" ca="1" si="6"/>
        <v>1148.1650043162283</v>
      </c>
      <c r="X28" s="3">
        <f t="shared" si="7"/>
        <v>20.5</v>
      </c>
      <c r="Y28" s="118">
        <f t="shared" si="2"/>
        <v>0.54555293120949155</v>
      </c>
      <c r="AA28" s="114">
        <f>AA27+12</f>
        <v>288</v>
      </c>
      <c r="AB28" s="120">
        <f t="shared" ref="AB28:AB57" ca="1" si="8">AB27^$AB$2</f>
        <v>1.0052651664034307</v>
      </c>
    </row>
    <row r="29" spans="1:28" x14ac:dyDescent="0.2">
      <c r="A29" s="3" t="s">
        <v>618</v>
      </c>
      <c r="C29" s="427">
        <f ca="1">C22-C23</f>
        <v>0</v>
      </c>
      <c r="D29" s="21"/>
      <c r="E29" s="427">
        <f ca="1">E22-E23</f>
        <v>0</v>
      </c>
      <c r="F29" s="21"/>
      <c r="G29" s="427">
        <f ca="1">G22-G23</f>
        <v>5575.153837998776</v>
      </c>
      <c r="H29" s="21"/>
      <c r="I29" s="427">
        <f ca="1">I22-I23</f>
        <v>221032.3697188329</v>
      </c>
      <c r="J29" s="21"/>
      <c r="K29" s="427">
        <f ca="1">K22-K23</f>
        <v>619925.5160430253</v>
      </c>
      <c r="L29" s="21"/>
      <c r="M29" s="427">
        <f ca="1">M22-M23</f>
        <v>0</v>
      </c>
      <c r="N29" s="21"/>
      <c r="O29" s="430">
        <f ca="1">O22-O23</f>
        <v>551377.36160622071</v>
      </c>
      <c r="Q29" s="3">
        <f t="shared" si="0"/>
        <v>477</v>
      </c>
      <c r="R29" s="365">
        <f ca="1">1 / [1]!ldf($AB$5:$AB$58, $AA$5:$AA$58, $Q29, $AA$58, 3)</f>
        <v>0.99965756478826384</v>
      </c>
      <c r="S29" s="365">
        <f t="shared" ca="1" si="3"/>
        <v>4.2088375938417058E-3</v>
      </c>
      <c r="T29" s="85">
        <f t="shared" ca="1" si="1"/>
        <v>965.51217777790566</v>
      </c>
      <c r="U29" s="85">
        <f t="shared" ca="1" si="4"/>
        <v>3031476.3019363782</v>
      </c>
      <c r="V29" s="85">
        <f t="shared" ca="1" si="5"/>
        <v>0</v>
      </c>
      <c r="W29" s="85">
        <f t="shared" ca="1" si="6"/>
        <v>965.51217777790566</v>
      </c>
      <c r="X29" s="3">
        <f t="shared" si="7"/>
        <v>21.5</v>
      </c>
      <c r="Y29" s="118">
        <f t="shared" si="2"/>
        <v>0.52966304000921516</v>
      </c>
      <c r="AA29" s="114">
        <f t="shared" ref="AA29:AA58" si="9">AA28+12</f>
        <v>300</v>
      </c>
      <c r="AB29" s="120">
        <f t="shared" ca="1" si="8"/>
        <v>1.0044254059737934</v>
      </c>
    </row>
    <row r="30" spans="1:28" x14ac:dyDescent="0.2">
      <c r="Q30" s="3">
        <f t="shared" si="0"/>
        <v>489</v>
      </c>
      <c r="R30" s="365">
        <f ca="1">1 / [1]!ldf($AB$5:$AB$58, $AA$5:$AA$58, $Q30, $AA$58, 3)</f>
        <v>0.99971205278288255</v>
      </c>
      <c r="S30" s="365">
        <f t="shared" ca="1" si="3"/>
        <v>3.5392457089569772E-3</v>
      </c>
      <c r="T30" s="85">
        <f t="shared" ca="1" si="1"/>
        <v>811.90703037487617</v>
      </c>
      <c r="U30" s="85">
        <f t="shared" ca="1" si="4"/>
        <v>3032288.208966753</v>
      </c>
      <c r="V30" s="85">
        <f t="shared" ca="1" si="5"/>
        <v>0</v>
      </c>
      <c r="W30" s="85">
        <f t="shared" ca="1" si="6"/>
        <v>811.90703037487617</v>
      </c>
      <c r="X30" s="3">
        <f t="shared" si="7"/>
        <v>22.5</v>
      </c>
      <c r="Y30" s="118">
        <f t="shared" si="2"/>
        <v>0.51423596117399528</v>
      </c>
      <c r="AA30" s="114">
        <f t="shared" si="9"/>
        <v>312</v>
      </c>
      <c r="AB30" s="120">
        <f t="shared" ca="1" si="8"/>
        <v>1.0037198296931265</v>
      </c>
    </row>
    <row r="31" spans="1:28" x14ac:dyDescent="0.2">
      <c r="A31" s="3" t="s">
        <v>619</v>
      </c>
      <c r="C31" s="118">
        <f ca="1">VLOOKUP(C$8, discs, 6, FALSE)</f>
        <v>0.98532927816429228</v>
      </c>
      <c r="E31" s="118">
        <f ca="1">VLOOKUP(E$8, discs, 6, FALSE)</f>
        <v>0.97917976638706661</v>
      </c>
      <c r="G31" s="118">
        <f ca="1">VLOOKUP(G$8, discs, 6, FALSE)</f>
        <v>0.95617408539134219</v>
      </c>
      <c r="I31" s="118">
        <f ca="1">VLOOKUP(I$8, discs, 6, FALSE)</f>
        <v>0.93737112768740161</v>
      </c>
      <c r="K31" s="118">
        <f ca="1">VLOOKUP(K$8, discs, 6, FALSE)</f>
        <v>0.92199765172629267</v>
      </c>
      <c r="M31" s="118">
        <f ca="1">VLOOKUP(M$8, discs, 6, FALSE)</f>
        <v>0.90942146623878384</v>
      </c>
      <c r="O31" s="118">
        <f ca="1">VLOOKUP(O$8, discs, 6, FALSE)</f>
        <v>0.89912552263876477</v>
      </c>
      <c r="Q31" s="3">
        <f t="shared" si="0"/>
        <v>501</v>
      </c>
      <c r="R31" s="365">
        <f ca="1">1 / [1]!ldf($AB$5:$AB$58, $AA$5:$AA$58, $Q31, $AA$58, 3)</f>
        <v>0.99975787174495889</v>
      </c>
      <c r="S31" s="365">
        <f t="shared" ca="1" si="3"/>
        <v>2.9761521974209526E-3</v>
      </c>
      <c r="T31" s="85">
        <f t="shared" ca="1" si="1"/>
        <v>682.73273212890706</v>
      </c>
      <c r="U31" s="85">
        <f t="shared" ca="1" si="4"/>
        <v>3032970.9416988818</v>
      </c>
      <c r="V31" s="85">
        <f t="shared" ca="1" si="5"/>
        <v>0</v>
      </c>
      <c r="W31" s="85">
        <f t="shared" ca="1" si="6"/>
        <v>682.73273212890706</v>
      </c>
      <c r="X31" s="3">
        <f t="shared" si="7"/>
        <v>23.5</v>
      </c>
      <c r="Y31" s="118">
        <f t="shared" si="2"/>
        <v>0.49925821473203419</v>
      </c>
      <c r="AA31" s="114">
        <f t="shared" si="9"/>
        <v>324</v>
      </c>
      <c r="AB31" s="120">
        <f t="shared" ca="1" si="8"/>
        <v>1.0031269238861598</v>
      </c>
    </row>
    <row r="32" spans="1:28" x14ac:dyDescent="0.2">
      <c r="A32" s="3" t="s">
        <v>620</v>
      </c>
      <c r="C32" s="118">
        <f ca="1">VLOOKUP(C$8, discs, 10, FALSE)</f>
        <v>0.98532927816429206</v>
      </c>
      <c r="E32" s="118">
        <f ca="1">VLOOKUP(E$8, discs, 10, FALSE)</f>
        <v>0.97871208714008862</v>
      </c>
      <c r="G32" s="118">
        <f ca="1">VLOOKUP(G$8, discs, 10, FALSE)</f>
        <v>0.9535702010037812</v>
      </c>
      <c r="I32" s="118">
        <f ca="1">VLOOKUP(I$8, discs, 10, FALSE)</f>
        <v>0.93142107677522434</v>
      </c>
      <c r="K32" s="118">
        <f ca="1">VLOOKUP(K$8, discs, 10, FALSE)</f>
        <v>0.91183849316859045</v>
      </c>
      <c r="M32" s="118">
        <f ca="1">VLOOKUP(M$8, discs, 10, FALSE)</f>
        <v>0.89444848290319889</v>
      </c>
      <c r="O32" s="118">
        <f ca="1">VLOOKUP(O$8, discs, 10, FALSE)</f>
        <v>0.87892144347217616</v>
      </c>
      <c r="Q32" s="3">
        <f t="shared" si="0"/>
        <v>513</v>
      </c>
      <c r="R32" s="365">
        <f ca="1">1 / [1]!ldf($AB$5:$AB$58, $AA$5:$AA$58, $Q32, $AA$58, 3)</f>
        <v>0.99979640060878316</v>
      </c>
      <c r="S32" s="365">
        <f t="shared" ca="1" si="3"/>
        <v>2.5026268064233656E-3</v>
      </c>
      <c r="T32" s="85">
        <f t="shared" ca="1" si="1"/>
        <v>574.10546360132764</v>
      </c>
      <c r="U32" s="85">
        <f t="shared" ca="1" si="4"/>
        <v>3033545.047162483</v>
      </c>
      <c r="V32" s="85">
        <f t="shared" ca="1" si="5"/>
        <v>0</v>
      </c>
      <c r="W32" s="85">
        <f t="shared" ca="1" si="6"/>
        <v>574.10546360132764</v>
      </c>
      <c r="X32" s="3">
        <f t="shared" si="7"/>
        <v>24.5</v>
      </c>
      <c r="Y32" s="118">
        <f t="shared" si="2"/>
        <v>0.484716713332072</v>
      </c>
      <c r="AA32" s="114">
        <f t="shared" si="9"/>
        <v>336</v>
      </c>
      <c r="AB32" s="120">
        <f t="shared" ca="1" si="8"/>
        <v>1.0026286453969373</v>
      </c>
    </row>
    <row r="33" spans="1:28" x14ac:dyDescent="0.2">
      <c r="Q33" s="3">
        <f t="shared" si="0"/>
        <v>525</v>
      </c>
      <c r="R33" s="365">
        <f ca="1">1 / [1]!ldf($AB$5:$AB$58, $AA$5:$AA$58, $Q33, $AA$58, 3)</f>
        <v>0.99982879905943867</v>
      </c>
      <c r="S33" s="365">
        <f t="shared" ca="1" si="3"/>
        <v>2.1044282921720923E-3</v>
      </c>
      <c r="T33" s="85">
        <f t="shared" ca="1" si="1"/>
        <v>482.75826711049223</v>
      </c>
      <c r="U33" s="85">
        <f t="shared" ca="1" si="4"/>
        <v>3034027.8054295937</v>
      </c>
      <c r="V33" s="85">
        <f t="shared" ca="1" si="5"/>
        <v>0</v>
      </c>
      <c r="W33" s="85">
        <f t="shared" ca="1" si="6"/>
        <v>482.75826711049223</v>
      </c>
      <c r="X33" s="3">
        <f t="shared" si="7"/>
        <v>25.5</v>
      </c>
      <c r="Y33" s="118">
        <f t="shared" si="2"/>
        <v>0.47059875080783686</v>
      </c>
      <c r="AA33" s="114">
        <f t="shared" si="9"/>
        <v>348</v>
      </c>
      <c r="AB33" s="120">
        <f t="shared" ca="1" si="8"/>
        <v>1.0022098555311916</v>
      </c>
    </row>
    <row r="34" spans="1:28" x14ac:dyDescent="0.2">
      <c r="A34" s="428" t="s">
        <v>622</v>
      </c>
      <c r="C34" s="82">
        <v>1996</v>
      </c>
      <c r="E34" s="82">
        <f>C34+1</f>
        <v>1997</v>
      </c>
      <c r="G34" s="82">
        <f>E34+1</f>
        <v>1998</v>
      </c>
      <c r="I34" s="82">
        <f>G34+1</f>
        <v>1999</v>
      </c>
      <c r="K34" s="82">
        <f>I34+1</f>
        <v>2000</v>
      </c>
      <c r="M34" s="82">
        <f>K34+1</f>
        <v>2001</v>
      </c>
      <c r="O34" s="82">
        <f>M34+1</f>
        <v>2002</v>
      </c>
      <c r="Q34" s="3">
        <f t="shared" si="0"/>
        <v>537</v>
      </c>
      <c r="R34" s="365">
        <f ca="1">1 / [1]!ldf($AB$5:$AB$58, $AA$5:$AA$58, $Q34, $AA$58, 3)</f>
        <v>0.99985604236680559</v>
      </c>
      <c r="S34" s="365">
        <f t="shared" ca="1" si="3"/>
        <v>1.7695780395458609E-3</v>
      </c>
      <c r="T34" s="85">
        <f t="shared" ca="1" si="1"/>
        <v>405.94323459042442</v>
      </c>
      <c r="U34" s="85">
        <f t="shared" ca="1" si="4"/>
        <v>3034433.748664184</v>
      </c>
      <c r="V34" s="85">
        <f t="shared" ca="1" si="5"/>
        <v>0</v>
      </c>
      <c r="W34" s="85">
        <f t="shared" ca="1" si="6"/>
        <v>405.94323459042442</v>
      </c>
      <c r="X34" s="3">
        <f t="shared" si="7"/>
        <v>26.5</v>
      </c>
      <c r="Y34" s="118">
        <f t="shared" si="2"/>
        <v>0.45689199107556977</v>
      </c>
      <c r="AA34" s="114">
        <f t="shared" si="9"/>
        <v>360</v>
      </c>
      <c r="AB34" s="120">
        <f t="shared" ca="1" si="8"/>
        <v>1.0018578481292899</v>
      </c>
    </row>
    <row r="35" spans="1:28" x14ac:dyDescent="0.2">
      <c r="A35" s="3" t="s">
        <v>423</v>
      </c>
      <c r="C35" s="23">
        <f ca="1">(C27*C31)</f>
        <v>0</v>
      </c>
      <c r="E35" s="23">
        <f ca="1">(E27*E31)</f>
        <v>0</v>
      </c>
      <c r="G35" s="23">
        <f ca="1">(G27*G31)</f>
        <v>0</v>
      </c>
      <c r="I35" s="23">
        <f ca="1">(I27*I31)</f>
        <v>0</v>
      </c>
      <c r="K35" s="23">
        <f ca="1">(K27*K31)</f>
        <v>0</v>
      </c>
      <c r="M35" s="23">
        <f ca="1">(M27*M31)</f>
        <v>60.022590393801046</v>
      </c>
      <c r="O35" s="434">
        <f ca="1">V3</f>
        <v>88896.197951097391</v>
      </c>
      <c r="Q35" s="3">
        <f t="shared" si="0"/>
        <v>549</v>
      </c>
      <c r="R35" s="365">
        <f ca="1">1 / [1]!ldf($AB$5:$AB$58, $AA$5:$AA$58, $Q35, $AA$58, 3)</f>
        <v>0.99987895069292498</v>
      </c>
      <c r="S35" s="365">
        <f t="shared" ca="1" si="3"/>
        <v>1.488001081427575E-3</v>
      </c>
      <c r="T35" s="85">
        <f t="shared" ca="1" si="1"/>
        <v>341.34915701360046</v>
      </c>
      <c r="U35" s="85">
        <f t="shared" ca="1" si="4"/>
        <v>3034775.0978211975</v>
      </c>
      <c r="V35" s="85">
        <f t="shared" ca="1" si="5"/>
        <v>0</v>
      </c>
      <c r="W35" s="85">
        <f t="shared" ca="1" si="6"/>
        <v>341.34915701360046</v>
      </c>
      <c r="X35" s="3">
        <f t="shared" si="7"/>
        <v>27.5</v>
      </c>
      <c r="Y35" s="118">
        <f t="shared" si="2"/>
        <v>0.44358445735492213</v>
      </c>
      <c r="AA35" s="114">
        <f t="shared" si="9"/>
        <v>372</v>
      </c>
      <c r="AB35" s="120">
        <f t="shared" ca="1" si="8"/>
        <v>1.001561955596618</v>
      </c>
    </row>
    <row r="36" spans="1:28" x14ac:dyDescent="0.2">
      <c r="A36" s="3" t="s">
        <v>623</v>
      </c>
      <c r="C36" s="23">
        <f ca="1">(C28*C31) + (C29*C32)</f>
        <v>0</v>
      </c>
      <c r="E36" s="23">
        <f ca="1">(E28*E31) + (E29*E32)</f>
        <v>0</v>
      </c>
      <c r="G36" s="23">
        <f ca="1">(G28*G31) + (G29*G32)</f>
        <v>22835.044679197264</v>
      </c>
      <c r="I36" s="23">
        <f ca="1">(I28*I31) + (I29*I32)</f>
        <v>300853.95148973801</v>
      </c>
      <c r="K36" s="23">
        <f ca="1">(K28*K31) + (K29*K32)</f>
        <v>642690.14641732827</v>
      </c>
      <c r="M36" s="23">
        <f ca="1">(M28*M31) + (M29*M32)</f>
        <v>0</v>
      </c>
      <c r="O36" s="434">
        <f ca="1">W3+ (O29*O32)</f>
        <v>591512.30460896611</v>
      </c>
      <c r="Q36" s="3">
        <f t="shared" si="0"/>
        <v>561</v>
      </c>
      <c r="R36" s="365">
        <f ca="1">1 / [1]!ldf($AB$5:$AB$58, $AA$5:$AA$58, $Q36, $AA$58, 3)</f>
        <v>0.99989821374729626</v>
      </c>
      <c r="S36" s="365">
        <f t="shared" ca="1" si="3"/>
        <v>1.2512239256009024E-3</v>
      </c>
      <c r="T36" s="85">
        <f t="shared" ca="1" si="1"/>
        <v>287.03220553398791</v>
      </c>
      <c r="U36" s="85">
        <f t="shared" ca="1" si="4"/>
        <v>3035062.1300267316</v>
      </c>
      <c r="V36" s="85">
        <f t="shared" ca="1" si="5"/>
        <v>0</v>
      </c>
      <c r="W36" s="85">
        <f t="shared" ca="1" si="6"/>
        <v>287.03220553398791</v>
      </c>
      <c r="X36" s="3">
        <f t="shared" si="7"/>
        <v>28.5</v>
      </c>
      <c r="Y36" s="118">
        <f t="shared" si="2"/>
        <v>0.43066452170380792</v>
      </c>
      <c r="AA36" s="114">
        <f t="shared" si="9"/>
        <v>384</v>
      </c>
      <c r="AB36" s="120">
        <f t="shared" ca="1" si="8"/>
        <v>1.0013132196445962</v>
      </c>
    </row>
    <row r="37" spans="1:28" x14ac:dyDescent="0.2">
      <c r="Q37" s="3">
        <f t="shared" si="0"/>
        <v>573</v>
      </c>
      <c r="R37" s="365">
        <f ca="1">1 / [1]!ldf($AB$5:$AB$58, $AA$5:$AA$58, $Q37, $AA$58, 3)</f>
        <v>0.9999144115269365</v>
      </c>
      <c r="S37" s="365">
        <f t="shared" ca="1" si="3"/>
        <v>1.0521202420367827E-3</v>
      </c>
      <c r="T37" s="85">
        <f t="shared" ca="1" si="1"/>
        <v>241.35759185849849</v>
      </c>
      <c r="U37" s="85">
        <f t="shared" ca="1" si="4"/>
        <v>3035303.4876185902</v>
      </c>
      <c r="V37" s="85">
        <f t="shared" ca="1" si="5"/>
        <v>0</v>
      </c>
      <c r="W37" s="85">
        <f t="shared" ca="1" si="6"/>
        <v>241.35759185849849</v>
      </c>
      <c r="X37" s="3">
        <f t="shared" si="7"/>
        <v>29.5</v>
      </c>
      <c r="Y37" s="118">
        <f t="shared" si="2"/>
        <v>0.41812089485806586</v>
      </c>
      <c r="AA37" s="114">
        <f t="shared" si="9"/>
        <v>396</v>
      </c>
      <c r="AB37" s="120">
        <f t="shared" ca="1" si="8"/>
        <v>1.0011041158516678</v>
      </c>
    </row>
    <row r="38" spans="1:28" x14ac:dyDescent="0.2">
      <c r="Q38" s="3">
        <f t="shared" si="0"/>
        <v>585</v>
      </c>
      <c r="R38" s="365">
        <f ca="1">1 / [1]!ldf($AB$5:$AB$58, $AA$5:$AA$58, $Q38, $AA$58, 3)</f>
        <v>0.99992803176180822</v>
      </c>
      <c r="S38" s="365">
        <f t="shared" ca="1" si="3"/>
        <v>8.8469686142907459E-4</v>
      </c>
      <c r="T38" s="85">
        <f t="shared" ca="1" si="1"/>
        <v>202.95047606528999</v>
      </c>
      <c r="U38" s="85">
        <f t="shared" ca="1" si="4"/>
        <v>3035506.4380946555</v>
      </c>
      <c r="V38" s="85">
        <f t="shared" ca="1" si="5"/>
        <v>0</v>
      </c>
      <c r="W38" s="85">
        <f t="shared" ca="1" si="6"/>
        <v>202.95047606528999</v>
      </c>
      <c r="X38" s="3">
        <f t="shared" si="7"/>
        <v>30.5</v>
      </c>
      <c r="Y38" s="118">
        <f t="shared" si="2"/>
        <v>0.40594261636705425</v>
      </c>
      <c r="AA38" s="114">
        <f t="shared" si="9"/>
        <v>408</v>
      </c>
      <c r="AB38" s="120">
        <f t="shared" ca="1" si="8"/>
        <v>1.0009283230613879</v>
      </c>
    </row>
    <row r="39" spans="1:28" x14ac:dyDescent="0.2">
      <c r="Q39" s="3">
        <f t="shared" si="0"/>
        <v>597</v>
      </c>
      <c r="R39" s="365">
        <f ca="1">1 / [1]!ldf($AB$5:$AB$58, $AA$5:$AA$58, $Q39, $AA$58, 3)</f>
        <v>0.99993948458817616</v>
      </c>
      <c r="S39" s="365">
        <f t="shared" ca="1" si="3"/>
        <v>7.4391371643994038E-4</v>
      </c>
      <c r="T39" s="85">
        <f t="shared" ca="1" si="1"/>
        <v>170.65466091866406</v>
      </c>
      <c r="U39" s="85">
        <f t="shared" ca="1" si="4"/>
        <v>3035677.0927555743</v>
      </c>
      <c r="V39" s="85">
        <f t="shared" ca="1" si="5"/>
        <v>0</v>
      </c>
      <c r="W39" s="85">
        <f t="shared" ca="1" si="6"/>
        <v>170.65466091866406</v>
      </c>
      <c r="X39" s="3">
        <f t="shared" si="7"/>
        <v>31.5</v>
      </c>
      <c r="Y39" s="118">
        <f t="shared" si="2"/>
        <v>0.39411904501655753</v>
      </c>
      <c r="AA39" s="114">
        <f t="shared" si="9"/>
        <v>420</v>
      </c>
      <c r="AB39" s="120">
        <f t="shared" ca="1" si="8"/>
        <v>1.0007805301873378</v>
      </c>
    </row>
    <row r="40" spans="1:28" x14ac:dyDescent="0.2">
      <c r="Q40" s="3">
        <f>Q39+12</f>
        <v>609</v>
      </c>
      <c r="R40" s="365">
        <f ca="1">1 / [1]!ldf($AB$5:$AB$58, $AA$5:$AA$58, $Q40, $AA$58, 3)</f>
        <v>0.99994911488980831</v>
      </c>
      <c r="S40" s="365">
        <f t="shared" ca="1" si="3"/>
        <v>6.2553235746778859E-4</v>
      </c>
      <c r="T40" s="85">
        <f t="shared" ca="1" si="1"/>
        <v>143.49784121225628</v>
      </c>
      <c r="U40" s="85">
        <f t="shared" ca="1" si="4"/>
        <v>3035820.5905967867</v>
      </c>
      <c r="V40" s="85">
        <f t="shared" ca="1" si="5"/>
        <v>0</v>
      </c>
      <c r="W40" s="85">
        <f t="shared" ca="1" si="6"/>
        <v>143.49784121225628</v>
      </c>
      <c r="X40" s="3">
        <f t="shared" si="7"/>
        <v>32.5</v>
      </c>
      <c r="Y40" s="118">
        <f t="shared" si="2"/>
        <v>0.38263984953063834</v>
      </c>
      <c r="AA40" s="114">
        <f t="shared" si="9"/>
        <v>432</v>
      </c>
      <c r="AB40" s="120">
        <f t="shared" ca="1" si="8"/>
        <v>1.0006562742637986</v>
      </c>
    </row>
    <row r="41" spans="1:28" x14ac:dyDescent="0.2">
      <c r="Q41" s="3">
        <f>Q40+12</f>
        <v>621</v>
      </c>
      <c r="R41" s="365">
        <f ca="1">1 / [1]!ldf($AB$5:$AB$58, $AA$5:$AA$58, $Q41, $AA$58, 3)</f>
        <v>0.99995721267728388</v>
      </c>
      <c r="S41" s="365">
        <f t="shared" ca="1" si="3"/>
        <v>5.2598851867291963E-4</v>
      </c>
      <c r="T41" s="85">
        <f t="shared" ca="1" si="1"/>
        <v>120.66237026896442</v>
      </c>
      <c r="U41" s="85">
        <f t="shared" ca="1" si="4"/>
        <v>3035941.2529670559</v>
      </c>
      <c r="V41" s="85">
        <f t="shared" ca="1" si="5"/>
        <v>0</v>
      </c>
      <c r="W41" s="85">
        <f t="shared" ca="1" si="6"/>
        <v>120.66237026896442</v>
      </c>
      <c r="X41" s="3">
        <f t="shared" si="7"/>
        <v>33.5</v>
      </c>
      <c r="Y41" s="118">
        <f t="shared" si="2"/>
        <v>0.37149499954430909</v>
      </c>
      <c r="AA41" s="114">
        <f t="shared" si="9"/>
        <v>444</v>
      </c>
      <c r="AB41" s="120">
        <f t="shared" ca="1" si="8"/>
        <v>1.000551804622777</v>
      </c>
    </row>
    <row r="42" spans="1:28" x14ac:dyDescent="0.2">
      <c r="Q42" s="3">
        <f>Q41+12</f>
        <v>633</v>
      </c>
      <c r="R42" s="365">
        <f ca="1">1 / [1]!ldf($AB$5:$AB$58, $AA$5:$AA$58, $Q42, $AA$58, 3)</f>
        <v>0.99996402181701816</v>
      </c>
      <c r="S42" s="365">
        <f t="shared" ca="1" si="3"/>
        <v>4.4228492450241899E-4</v>
      </c>
      <c r="T42" s="85">
        <f t="shared" ca="1" si="1"/>
        <v>101.46066963464968</v>
      </c>
      <c r="U42" s="85">
        <f t="shared" ca="1" si="4"/>
        <v>3036042.7136366908</v>
      </c>
      <c r="V42" s="85">
        <f t="shared" ca="1" si="5"/>
        <v>0</v>
      </c>
      <c r="W42" s="85">
        <f t="shared" ca="1" si="6"/>
        <v>101.46066963464968</v>
      </c>
      <c r="X42" s="3">
        <f t="shared" si="7"/>
        <v>34.5</v>
      </c>
      <c r="Y42" s="118">
        <f t="shared" si="2"/>
        <v>0.36067475683913502</v>
      </c>
      <c r="AA42" s="114">
        <f t="shared" si="9"/>
        <v>456</v>
      </c>
      <c r="AB42" s="120">
        <f t="shared" ca="1" si="8"/>
        <v>1.0004639689358599</v>
      </c>
    </row>
    <row r="43" spans="1:28" x14ac:dyDescent="0.2">
      <c r="Q43" s="3">
        <f>Q42+12</f>
        <v>645</v>
      </c>
      <c r="R43" s="365">
        <f ca="1">1 / [1]!ldf($AB$5:$AB$58, $AA$5:$AA$58, $Q43, $AA$58, 3)</f>
        <v>0.99996974737218536</v>
      </c>
      <c r="S43" s="365">
        <f t="shared" ca="1" si="3"/>
        <v>3.7190112608689673E-4</v>
      </c>
      <c r="T43" s="85">
        <f t="shared" ca="1" si="1"/>
        <v>85.314545443997943</v>
      </c>
      <c r="U43" s="85">
        <f t="shared" ca="1" si="4"/>
        <v>3036128.028182135</v>
      </c>
      <c r="V43" s="85">
        <f t="shared" ca="1" si="5"/>
        <v>0</v>
      </c>
      <c r="W43" s="85">
        <f t="shared" ca="1" si="6"/>
        <v>85.314545443997943</v>
      </c>
      <c r="X43" s="3">
        <f t="shared" si="7"/>
        <v>35.5</v>
      </c>
      <c r="Y43" s="118">
        <f t="shared" si="2"/>
        <v>0.35016966683411171</v>
      </c>
      <c r="AA43" s="114">
        <f t="shared" si="9"/>
        <v>468</v>
      </c>
      <c r="AB43" s="120">
        <f t="shared" ca="1" si="8"/>
        <v>1.0003901175680179</v>
      </c>
    </row>
    <row r="44" spans="1:28" x14ac:dyDescent="0.2">
      <c r="Q44" s="3">
        <f>Q43+12</f>
        <v>657</v>
      </c>
      <c r="R44" s="432">
        <v>1</v>
      </c>
      <c r="S44" s="365">
        <f t="shared" ca="1" si="3"/>
        <v>1.9650472352101007E-3</v>
      </c>
      <c r="T44" s="85">
        <f t="shared" ca="1" si="1"/>
        <v>450.78409256755776</v>
      </c>
      <c r="U44" s="85">
        <f t="shared" ca="1" si="4"/>
        <v>3036578.8122747024</v>
      </c>
      <c r="V44" s="85">
        <f t="shared" ca="1" si="5"/>
        <v>0</v>
      </c>
      <c r="W44" s="85">
        <f t="shared" ca="1" si="6"/>
        <v>450.78409256755776</v>
      </c>
      <c r="X44" s="3">
        <f>X43+1</f>
        <v>36.5</v>
      </c>
      <c r="Y44" s="118">
        <f>(1+$Y$2)^-X44</f>
        <v>0.33997055032438023</v>
      </c>
      <c r="AA44" s="114">
        <f t="shared" si="9"/>
        <v>480</v>
      </c>
      <c r="AB44" s="120">
        <f t="shared" ca="1" si="8"/>
        <v>1.0003280232774117</v>
      </c>
    </row>
    <row r="45" spans="1:28" x14ac:dyDescent="0.2">
      <c r="Q45" s="3"/>
      <c r="R45" s="365"/>
      <c r="S45" s="432"/>
      <c r="T45" s="85"/>
      <c r="U45" s="85"/>
      <c r="V45" s="85"/>
      <c r="AA45" s="114">
        <f t="shared" si="9"/>
        <v>492</v>
      </c>
      <c r="AB45" s="120">
        <f t="shared" ca="1" si="8"/>
        <v>1.0002758137824388</v>
      </c>
    </row>
    <row r="46" spans="1:28" x14ac:dyDescent="0.2">
      <c r="Q46" s="3"/>
      <c r="R46" s="365"/>
      <c r="S46" s="365"/>
      <c r="T46" s="85"/>
      <c r="U46" s="85"/>
      <c r="V46" s="85"/>
      <c r="AA46" s="114">
        <f t="shared" si="9"/>
        <v>504</v>
      </c>
      <c r="AB46" s="120">
        <f t="shared" ca="1" si="8"/>
        <v>1.000231915122469</v>
      </c>
    </row>
    <row r="47" spans="1:28" x14ac:dyDescent="0.2">
      <c r="Q47" s="3"/>
      <c r="R47" s="365"/>
      <c r="S47" s="365"/>
      <c r="T47" s="85"/>
      <c r="U47" s="85"/>
      <c r="V47" s="85"/>
      <c r="AA47" s="114">
        <f t="shared" si="9"/>
        <v>516</v>
      </c>
      <c r="AB47" s="120">
        <f t="shared" ca="1" si="8"/>
        <v>1.000195004076281</v>
      </c>
    </row>
    <row r="48" spans="1:28" x14ac:dyDescent="0.2">
      <c r="Q48" s="3"/>
      <c r="R48" s="365"/>
      <c r="S48" s="365"/>
      <c r="T48" s="85"/>
      <c r="U48" s="85"/>
      <c r="V48" s="85"/>
      <c r="AA48" s="114">
        <f t="shared" si="9"/>
        <v>528</v>
      </c>
      <c r="AB48" s="120">
        <f t="shared" ca="1" si="8"/>
        <v>1.0001639681838381</v>
      </c>
    </row>
    <row r="49" spans="17:28" x14ac:dyDescent="0.2">
      <c r="Q49" s="3"/>
      <c r="R49" s="365"/>
      <c r="S49" s="365"/>
      <c r="T49" s="85"/>
      <c r="U49" s="85"/>
      <c r="V49" s="85"/>
      <c r="AA49" s="114">
        <f t="shared" si="9"/>
        <v>540</v>
      </c>
      <c r="AB49" s="120">
        <f t="shared" ca="1" si="8"/>
        <v>1.0001378721522709</v>
      </c>
    </row>
    <row r="50" spans="17:28" x14ac:dyDescent="0.2">
      <c r="Q50" s="3"/>
      <c r="R50" s="365"/>
      <c r="S50" s="365"/>
      <c r="T50" s="85"/>
      <c r="U50" s="85"/>
      <c r="V50" s="85"/>
      <c r="AA50" s="114">
        <f t="shared" si="9"/>
        <v>552</v>
      </c>
      <c r="AB50" s="120">
        <f t="shared" ca="1" si="8"/>
        <v>1.0001159296236268</v>
      </c>
    </row>
    <row r="51" spans="17:28" x14ac:dyDescent="0.2">
      <c r="Q51" s="3"/>
      <c r="R51" s="365"/>
      <c r="S51" s="365"/>
      <c r="T51" s="85"/>
      <c r="U51" s="85"/>
      <c r="V51" s="85"/>
      <c r="AA51" s="114">
        <f t="shared" si="9"/>
        <v>564</v>
      </c>
      <c r="AB51" s="120">
        <f t="shared" ca="1" si="8"/>
        <v>1.000097479446548</v>
      </c>
    </row>
    <row r="52" spans="17:28" x14ac:dyDescent="0.2">
      <c r="Q52" s="3"/>
      <c r="R52" s="365"/>
      <c r="S52" s="365"/>
      <c r="T52" s="85"/>
      <c r="U52" s="85"/>
      <c r="V52" s="85"/>
      <c r="AA52" s="114">
        <f t="shared" si="9"/>
        <v>576</v>
      </c>
      <c r="AB52" s="120">
        <f t="shared" ca="1" si="8"/>
        <v>1.0000819657318918</v>
      </c>
    </row>
    <row r="53" spans="17:28" x14ac:dyDescent="0.2">
      <c r="Q53" s="3"/>
      <c r="R53" s="365"/>
      <c r="S53" s="365"/>
      <c r="T53" s="85"/>
      <c r="U53" s="85"/>
      <c r="V53" s="85"/>
      <c r="AA53" s="114">
        <f t="shared" si="9"/>
        <v>588</v>
      </c>
      <c r="AB53" s="120">
        <f t="shared" ca="1" si="8"/>
        <v>1.0000689210878335</v>
      </c>
    </row>
    <row r="54" spans="17:28" x14ac:dyDescent="0.2">
      <c r="Q54" s="3"/>
      <c r="R54" s="365"/>
      <c r="S54" s="365"/>
      <c r="T54" s="85"/>
      <c r="U54" s="85"/>
      <c r="V54" s="85"/>
      <c r="AA54" s="114">
        <f t="shared" si="9"/>
        <v>600</v>
      </c>
      <c r="AB54" s="120">
        <f t="shared" ca="1" si="8"/>
        <v>1.000057952526852</v>
      </c>
    </row>
    <row r="55" spans="17:28" x14ac:dyDescent="0.2">
      <c r="AA55" s="114">
        <f t="shared" si="9"/>
        <v>612</v>
      </c>
      <c r="AB55" s="120">
        <f t="shared" ca="1" si="8"/>
        <v>1.0000487296182519</v>
      </c>
    </row>
    <row r="56" spans="17:28" x14ac:dyDescent="0.2">
      <c r="AA56" s="114">
        <f t="shared" si="9"/>
        <v>624</v>
      </c>
      <c r="AB56" s="120">
        <f t="shared" ca="1" si="8"/>
        <v>1.0000409745280585</v>
      </c>
    </row>
    <row r="57" spans="17:28" x14ac:dyDescent="0.2">
      <c r="AA57" s="114">
        <f t="shared" si="9"/>
        <v>636</v>
      </c>
      <c r="AB57" s="120">
        <f t="shared" ca="1" si="8"/>
        <v>1.0000344536453565</v>
      </c>
    </row>
    <row r="58" spans="17:28" x14ac:dyDescent="0.2">
      <c r="AA58" s="114">
        <f t="shared" si="9"/>
        <v>648</v>
      </c>
      <c r="AB58" s="120">
        <f ca="1">AB57^$AB$2</f>
        <v>1.0000289705422005</v>
      </c>
    </row>
  </sheetData>
  <printOptions horizontalCentered="1"/>
  <pageMargins left="0.7" right="0.7" top="0.75" bottom="0.75" header="0.3" footer="0.3"/>
  <pageSetup scale="37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F156-782A-4769-9E0F-B644627B4CE4}">
  <sheetPr>
    <tabColor rgb="FFFFFF00"/>
    <pageSetUpPr fitToPage="1"/>
  </sheetPr>
  <dimension ref="A1:AJ54"/>
  <sheetViews>
    <sheetView zoomScale="85" zoomScaleNormal="85" workbookViewId="0"/>
  </sheetViews>
  <sheetFormatPr defaultColWidth="9" defaultRowHeight="12.75" x14ac:dyDescent="0.2"/>
  <cols>
    <col min="1" max="1" width="9.5" style="222" bestFit="1" customWidth="1"/>
    <col min="2" max="2" width="2.625" style="222" customWidth="1"/>
    <col min="3" max="3" width="10.625" style="222" customWidth="1"/>
    <col min="4" max="4" width="2.625" style="222" customWidth="1"/>
    <col min="5" max="5" width="10.625" style="222" customWidth="1"/>
    <col min="6" max="6" width="2.625" style="222" customWidth="1"/>
    <col min="7" max="7" width="10.625" style="222" customWidth="1"/>
    <col min="8" max="8" width="2.625" style="222" customWidth="1"/>
    <col min="9" max="9" width="10.625" style="222" customWidth="1"/>
    <col min="10" max="10" width="2.625" style="222" customWidth="1"/>
    <col min="11" max="11" width="10.625" style="222" customWidth="1"/>
    <col min="12" max="12" width="2.625" style="275" customWidth="1"/>
    <col min="13" max="13" width="10.625" style="275" customWidth="1"/>
    <col min="14" max="14" width="2.625" style="275" customWidth="1"/>
    <col min="15" max="15" width="11.125" style="275" bestFit="1" customWidth="1"/>
    <col min="16" max="16" width="2.625" style="275" customWidth="1"/>
    <col min="17" max="21" width="9.375" style="275" customWidth="1"/>
    <col min="22" max="22" width="2.625" style="275" customWidth="1"/>
    <col min="23" max="23" width="7.5" style="222" customWidth="1"/>
    <col min="24" max="24" width="7.75" style="222" customWidth="1"/>
    <col min="25" max="25" width="5.625" style="222" customWidth="1"/>
    <col min="26" max="26" width="6.625" style="222" customWidth="1"/>
    <col min="27" max="27" width="2.625" style="222" customWidth="1"/>
    <col min="28" max="28" width="9" style="222"/>
    <col min="29" max="29" width="2.625" style="222" customWidth="1"/>
    <col min="30" max="16384" width="9" style="222"/>
  </cols>
  <sheetData>
    <row r="1" spans="1:36" x14ac:dyDescent="0.2">
      <c r="A1" s="1" t="str">
        <f>[1]!getlabels()</f>
        <v>Exhibit 1, Sheet 2B</v>
      </c>
    </row>
    <row r="2" spans="1:36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1:36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1:36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</row>
    <row r="5" spans="1:36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6" spans="1:36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</row>
    <row r="7" spans="1:36" x14ac:dyDescent="0.2">
      <c r="A7" s="224" t="str">
        <f>"Summary of Excess Unpaid Loss &amp; ALAE as of "&amp;rtxt_l&amp;" and Estimated Short &amp; Long Term Liabiliy"</f>
        <v>Summary of Excess Unpaid Loss &amp; ALAE as of June 30, 2019 and Estimated Short &amp; Long Term Liabiliy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</row>
    <row r="8" spans="1:36" s="275" customFormat="1" x14ac:dyDescent="0.2">
      <c r="C8" s="363"/>
      <c r="D8" s="363"/>
      <c r="E8" s="363"/>
      <c r="F8" s="363"/>
      <c r="G8" s="363"/>
      <c r="H8" s="363"/>
      <c r="K8" s="363"/>
    </row>
    <row r="9" spans="1:36" s="275" customFormat="1" x14ac:dyDescent="0.2">
      <c r="C9" s="363"/>
      <c r="D9" s="363"/>
      <c r="E9" s="363"/>
      <c r="F9" s="363"/>
      <c r="G9" s="363"/>
      <c r="H9" s="363"/>
      <c r="K9" s="363"/>
    </row>
    <row r="10" spans="1:36" s="275" customFormat="1" x14ac:dyDescent="0.2">
      <c r="C10" s="363"/>
      <c r="D10" s="363"/>
      <c r="E10" s="363"/>
      <c r="F10" s="363"/>
      <c r="G10" s="363"/>
      <c r="H10" s="363"/>
      <c r="K10" s="285" t="s">
        <v>534</v>
      </c>
      <c r="O10" s="606" t="s">
        <v>699</v>
      </c>
    </row>
    <row r="11" spans="1:36" s="275" customFormat="1" x14ac:dyDescent="0.2">
      <c r="C11" s="496" t="s">
        <v>78</v>
      </c>
      <c r="D11" s="363"/>
      <c r="F11" s="363"/>
      <c r="G11" s="496" t="s">
        <v>699</v>
      </c>
      <c r="H11" s="363"/>
      <c r="I11" s="572"/>
      <c r="K11" s="342" t="s">
        <v>36</v>
      </c>
      <c r="M11" s="606" t="s">
        <v>330</v>
      </c>
      <c r="O11" s="606" t="s">
        <v>468</v>
      </c>
      <c r="AE11" s="399" t="s">
        <v>556</v>
      </c>
      <c r="AF11" s="268"/>
      <c r="AG11" s="268"/>
      <c r="AH11" s="268"/>
      <c r="AI11" s="268"/>
    </row>
    <row r="12" spans="1:36" s="275" customFormat="1" x14ac:dyDescent="0.2">
      <c r="A12" s="285" t="str">
        <f>Intro!M9</f>
        <v>Policy</v>
      </c>
      <c r="C12" s="496" t="s">
        <v>468</v>
      </c>
      <c r="D12" s="363"/>
      <c r="E12" s="496" t="s">
        <v>330</v>
      </c>
      <c r="F12" s="363"/>
      <c r="G12" s="496" t="s">
        <v>468</v>
      </c>
      <c r="H12" s="363"/>
      <c r="I12" s="370" t="s">
        <v>532</v>
      </c>
      <c r="K12" s="370" t="s">
        <v>468</v>
      </c>
      <c r="M12" s="606" t="s">
        <v>698</v>
      </c>
      <c r="O12" s="606" t="s">
        <v>334</v>
      </c>
      <c r="AE12" s="399" t="s">
        <v>558</v>
      </c>
      <c r="AF12" s="399" t="s">
        <v>263</v>
      </c>
      <c r="AG12" s="399" t="s">
        <v>36</v>
      </c>
      <c r="AH12" s="399" t="s">
        <v>36</v>
      </c>
      <c r="AI12" s="399" t="s">
        <v>534</v>
      </c>
    </row>
    <row r="13" spans="1:36" s="275" customFormat="1" x14ac:dyDescent="0.2">
      <c r="A13" s="285" t="str">
        <f>Intro!M10</f>
        <v>Period</v>
      </c>
      <c r="C13" s="496" t="s">
        <v>334</v>
      </c>
      <c r="D13" s="363"/>
      <c r="E13" s="496" t="s">
        <v>698</v>
      </c>
      <c r="F13" s="363"/>
      <c r="G13" s="496" t="s">
        <v>334</v>
      </c>
      <c r="H13" s="363"/>
      <c r="I13" s="370" t="s">
        <v>533</v>
      </c>
      <c r="K13" s="342" t="s">
        <v>334</v>
      </c>
      <c r="M13" s="285" t="str">
        <f>roll_to_roll</f>
        <v>6/19-6/20</v>
      </c>
      <c r="O13" s="613" t="str">
        <f>R14</f>
        <v>6/30/19</v>
      </c>
      <c r="Q13" s="494" t="s">
        <v>625</v>
      </c>
      <c r="R13" s="224"/>
      <c r="S13" s="224"/>
      <c r="T13" s="224"/>
      <c r="U13" s="224"/>
      <c r="W13" s="363" t="str">
        <f>rtxt</f>
        <v>6/30/19</v>
      </c>
      <c r="AE13" s="399" t="s">
        <v>20</v>
      </c>
      <c r="AF13" s="399" t="s">
        <v>423</v>
      </c>
      <c r="AG13" s="399" t="s">
        <v>557</v>
      </c>
      <c r="AH13" s="399" t="s">
        <v>263</v>
      </c>
      <c r="AI13" s="399" t="s">
        <v>78</v>
      </c>
    </row>
    <row r="14" spans="1:36" s="275" customFormat="1" x14ac:dyDescent="0.2">
      <c r="A14" s="251" t="str">
        <f>Intro!M11</f>
        <v>Ending 9/30</v>
      </c>
      <c r="C14" s="251" t="str">
        <f>ctxt</f>
        <v>4/30/19</v>
      </c>
      <c r="D14" s="363"/>
      <c r="E14" s="251" t="str">
        <f>curr_to_roll</f>
        <v>4/19-6/19</v>
      </c>
      <c r="F14" s="363"/>
      <c r="G14" s="251" t="str">
        <f>rtxt</f>
        <v>6/30/19</v>
      </c>
      <c r="H14" s="363"/>
      <c r="I14" s="395">
        <f>disc_rate</f>
        <v>0.03</v>
      </c>
      <c r="K14" s="343" t="str">
        <f>rtxt</f>
        <v>6/30/19</v>
      </c>
      <c r="M14" s="607" t="s">
        <v>734</v>
      </c>
      <c r="O14" s="607" t="s">
        <v>735</v>
      </c>
      <c r="Q14" s="251" t="str">
        <f>ctxt</f>
        <v>4/30/19</v>
      </c>
      <c r="R14" s="251" t="str">
        <f>rtxt</f>
        <v>6/30/19</v>
      </c>
      <c r="S14" s="608">
        <f>EOMONTH(R14,12)</f>
        <v>44012</v>
      </c>
      <c r="T14" s="251" t="str">
        <f>curr_to_roll</f>
        <v>4/19-6/19</v>
      </c>
      <c r="U14" s="251" t="str">
        <f>roll_to_roll</f>
        <v>6/19-6/20</v>
      </c>
      <c r="W14" s="573" t="s">
        <v>553</v>
      </c>
      <c r="X14" s="573" t="s">
        <v>15</v>
      </c>
      <c r="Y14" s="343" t="s">
        <v>408</v>
      </c>
      <c r="Z14" s="343" t="s">
        <v>552</v>
      </c>
      <c r="AE14" s="400" t="s">
        <v>468</v>
      </c>
      <c r="AF14" s="400" t="s">
        <v>552</v>
      </c>
      <c r="AG14" s="400" t="s">
        <v>468</v>
      </c>
      <c r="AH14" s="400" t="s">
        <v>552</v>
      </c>
      <c r="AI14" s="400" t="s">
        <v>468</v>
      </c>
      <c r="AJ14" s="498" t="s">
        <v>454</v>
      </c>
    </row>
    <row r="15" spans="1:36" x14ac:dyDescent="0.2">
      <c r="C15" s="288">
        <v>1</v>
      </c>
      <c r="E15" s="288">
        <f>C15+1</f>
        <v>2</v>
      </c>
      <c r="G15" s="288">
        <f>E15+1</f>
        <v>3</v>
      </c>
      <c r="I15" s="288">
        <f>G15+1</f>
        <v>4</v>
      </c>
      <c r="K15" s="288">
        <f>I15+1</f>
        <v>5</v>
      </c>
      <c r="M15" s="288">
        <f>K15+1</f>
        <v>6</v>
      </c>
      <c r="O15" s="288">
        <f>M15+1</f>
        <v>7</v>
      </c>
    </row>
    <row r="17" spans="1:36" x14ac:dyDescent="0.2">
      <c r="A17" s="268">
        <f>Intro!C18</f>
        <v>1996</v>
      </c>
      <c r="B17" s="387" t="s">
        <v>77</v>
      </c>
      <c r="C17" s="289">
        <f>'e1.3B'!M16</f>
        <v>0</v>
      </c>
      <c r="E17" s="289">
        <f t="shared" ref="E17:E39" ca="1" si="0">C17 * T17</f>
        <v>0</v>
      </c>
      <c r="G17" s="289">
        <f ca="1">C17 - E17</f>
        <v>0</v>
      </c>
      <c r="I17" s="324">
        <f t="shared" ref="I17:I23" ca="1" si="1">IFERROR(K17/G17, Z17)</f>
        <v>0.98532927816429206</v>
      </c>
      <c r="K17" s="401">
        <f ca="1">HLOOKUP($A17, 'Agg Disc Roll'!$C$34:$O$36, 3, FALSE)</f>
        <v>0</v>
      </c>
      <c r="M17" s="609">
        <f t="shared" ref="M17" ca="1" si="2">G17*U17</f>
        <v>0</v>
      </c>
      <c r="O17" s="609">
        <f ca="1">G17-M17</f>
        <v>0</v>
      </c>
      <c r="Q17" s="388">
        <f ca="1">1/'e3.2C'!G19</f>
        <v>0.86406492584847239</v>
      </c>
      <c r="R17" s="388">
        <f ca="1">1 / [1]!ldfsir(xsldfs, ldf_ages, xsldf_type, xsldf_ret, Intro!$AB18, "Paid XS", Intro!$H18, cutoff, 3)</f>
        <v>0.88500543700154743</v>
      </c>
      <c r="S17" s="388">
        <f ca="1">1 / [1]!ldfsir(xsldfs, ldf_ages, xsldf_type, xsldf_ret, Intro!$AB18 + 12, "Paid", Intro!$H18, cutoff, 3)</f>
        <v>0.88500543700154743</v>
      </c>
      <c r="T17" s="388">
        <f ca="1">(R17-Q17) / (1-Q17)</f>
        <v>0.15404788855106327</v>
      </c>
      <c r="U17" s="388">
        <f ca="1">(S17-R17) / (1-R17)</f>
        <v>0</v>
      </c>
      <c r="W17" s="252">
        <f>Intro!AB18</f>
        <v>285</v>
      </c>
      <c r="X17" s="268" t="str">
        <f>Intro!AL18</f>
        <v>250K</v>
      </c>
      <c r="Y17" s="151">
        <f>'e1.3B'!U16</f>
        <v>10</v>
      </c>
      <c r="Z17" s="266">
        <f t="shared" ref="Z17:Z40" ca="1" si="3">VLOOKUP(W17, discs, Y17, FALSE)</f>
        <v>0.98532927816429206</v>
      </c>
      <c r="AD17" s="268">
        <f t="shared" ref="AD17:AD23" si="4">A17</f>
        <v>1996</v>
      </c>
      <c r="AE17" s="290">
        <f ca="1">'e2.1'!AP18-'e2.1'!BD18</f>
        <v>0</v>
      </c>
      <c r="AF17" s="266">
        <f ca="1">'e1.2A'!Z17</f>
        <v>0.98532927816429228</v>
      </c>
      <c r="AG17" s="290">
        <f ca="1">'e2.1'!AT18-'e2.1'!BE18</f>
        <v>0</v>
      </c>
      <c r="AH17" s="266">
        <f t="shared" ref="AH17:AH23" ca="1" si="5">Z17</f>
        <v>0.98532927816429206</v>
      </c>
      <c r="AI17" s="290">
        <f ca="1">AE17*AF17 + AG17*AH17</f>
        <v>0</v>
      </c>
      <c r="AJ17" s="290">
        <f t="shared" ref="AJ17:AJ23" ca="1" si="6">AI17-K17</f>
        <v>0</v>
      </c>
    </row>
    <row r="18" spans="1:36" x14ac:dyDescent="0.2">
      <c r="A18" s="268">
        <f>Intro!C19</f>
        <v>1997</v>
      </c>
      <c r="B18" s="387" t="s">
        <v>77</v>
      </c>
      <c r="C18" s="290">
        <f>'e1.3B'!M17</f>
        <v>0</v>
      </c>
      <c r="E18" s="290">
        <f t="shared" ca="1" si="0"/>
        <v>0</v>
      </c>
      <c r="F18" s="290"/>
      <c r="G18" s="290">
        <f t="shared" ref="G18:G39" ca="1" si="7">C18 - E18</f>
        <v>0</v>
      </c>
      <c r="I18" s="324">
        <f t="shared" ca="1" si="1"/>
        <v>0.97871208714008862</v>
      </c>
      <c r="K18" s="309">
        <f ca="1">HLOOKUP($A18, 'Agg Disc Roll'!$C$34:$O$36, 3, FALSE)</f>
        <v>0</v>
      </c>
      <c r="M18" s="344">
        <f t="shared" ref="M18:M40" ca="1" si="8">G18*U18</f>
        <v>0</v>
      </c>
      <c r="N18" s="344"/>
      <c r="O18" s="344">
        <f t="shared" ref="O18:O40" ca="1" si="9">G18-M18</f>
        <v>0</v>
      </c>
      <c r="Q18" s="388">
        <f ca="1">1/'e3.2C'!G20</f>
        <v>0.84997795235730755</v>
      </c>
      <c r="R18" s="388">
        <f ca="1">1 / [1]!ldfsir(xsldfs, ldf_ages, xsldf_type, xsldf_ret, Intro!$AB19, "Paid XS", Intro!$H19, cutoff, 3)</f>
        <v>0.88206171553330859</v>
      </c>
      <c r="S18" s="388">
        <f ca="1">1 / [1]!ldfsir(xsldfs, ldf_ages, xsldf_type, xsldf_ret, Intro!$AB19 + 12, "Paid", Intro!$H19, cutoff, 3)</f>
        <v>0.88500543700154743</v>
      </c>
      <c r="T18" s="388">
        <f t="shared" ref="T18:T39" ca="1" si="10">(R18-Q18) / (1-Q18)</f>
        <v>0.21386032040047168</v>
      </c>
      <c r="U18" s="388">
        <f t="shared" ref="U18:U40" ca="1" si="11">(S18-R18) / (1-R18)</f>
        <v>2.49598464277325E-2</v>
      </c>
      <c r="W18" s="252">
        <f>Intro!AB19</f>
        <v>273</v>
      </c>
      <c r="X18" s="268" t="str">
        <f>Intro!AL19</f>
        <v>250K</v>
      </c>
      <c r="Y18" s="151">
        <f>'e1.3B'!U17</f>
        <v>10</v>
      </c>
      <c r="Z18" s="266">
        <f t="shared" ca="1" si="3"/>
        <v>0.97871208714008862</v>
      </c>
      <c r="AD18" s="268">
        <f t="shared" si="4"/>
        <v>1997</v>
      </c>
      <c r="AE18" s="290">
        <f ca="1">'e2.1'!AP19-'e2.1'!BD19</f>
        <v>0</v>
      </c>
      <c r="AF18" s="266">
        <f ca="1">'e1.2A'!Z18</f>
        <v>0.97917976638706661</v>
      </c>
      <c r="AG18" s="290">
        <f ca="1">'e2.1'!AT19-'e2.1'!BE19</f>
        <v>0</v>
      </c>
      <c r="AH18" s="266">
        <f t="shared" ca="1" si="5"/>
        <v>0.97871208714008862</v>
      </c>
      <c r="AI18" s="290">
        <f t="shared" ref="AI18:AI23" ca="1" si="12">AE18*AF18 + AG18*AH18</f>
        <v>0</v>
      </c>
      <c r="AJ18" s="290">
        <f t="shared" ca="1" si="6"/>
        <v>0</v>
      </c>
    </row>
    <row r="19" spans="1:36" x14ac:dyDescent="0.2">
      <c r="A19" s="268">
        <f>Intro!C20</f>
        <v>1998</v>
      </c>
      <c r="B19" s="387" t="s">
        <v>77</v>
      </c>
      <c r="C19" s="290">
        <f>'e1.3B'!M18</f>
        <v>30293.336094988219</v>
      </c>
      <c r="E19" s="290">
        <f t="shared" ca="1" si="0"/>
        <v>6396.4724544279934</v>
      </c>
      <c r="F19" s="290"/>
      <c r="G19" s="290">
        <f t="shared" ca="1" si="7"/>
        <v>23896.863640560226</v>
      </c>
      <c r="I19" s="324">
        <f t="shared" ca="1" si="1"/>
        <v>0.95556659746927064</v>
      </c>
      <c r="K19" s="309">
        <f ca="1">HLOOKUP($A19, 'Agg Disc Roll'!$C$34:$O$36, 3, FALSE)</f>
        <v>22835.044679197264</v>
      </c>
      <c r="M19" s="344">
        <f t="shared" ca="1" si="8"/>
        <v>2285.404164900076</v>
      </c>
      <c r="N19" s="344"/>
      <c r="O19" s="344">
        <f t="shared" ca="1" si="9"/>
        <v>21611.459475660151</v>
      </c>
      <c r="Q19" s="388">
        <f ca="1">1/'e3.2C'!G21</f>
        <v>0.83468288692674342</v>
      </c>
      <c r="R19" s="388">
        <f ca="1">1 / [1]!ldfsir(xsldfs, ldf_ages, xsldf_type, xsldf_ret, Intro!$AB20, "Paid XS", Intro!$H20, cutoff, 3)</f>
        <v>0.86958978383314223</v>
      </c>
      <c r="S19" s="388">
        <f ca="1">1 / [1]!ldfsir(xsldfs, ldf_ages, xsldf_type, xsldf_ret, Intro!$AB20 + 12, "Paid", Intro!$H20, cutoff, 3)</f>
        <v>0.88206171553330859</v>
      </c>
      <c r="T19" s="388">
        <f t="shared" ca="1" si="10"/>
        <v>0.21115114011778441</v>
      </c>
      <c r="U19" s="388">
        <f t="shared" ca="1" si="11"/>
        <v>9.5636155408321114E-2</v>
      </c>
      <c r="W19" s="252">
        <f>Intro!AB20</f>
        <v>261</v>
      </c>
      <c r="X19" s="268" t="str">
        <f>Intro!AL20</f>
        <v>250K</v>
      </c>
      <c r="Y19" s="151">
        <f>'e1.3B'!U18</f>
        <v>10</v>
      </c>
      <c r="Z19" s="266">
        <f t="shared" ca="1" si="3"/>
        <v>0.9535702010037812</v>
      </c>
      <c r="AD19" s="268">
        <f t="shared" si="4"/>
        <v>1998</v>
      </c>
      <c r="AE19" s="290">
        <f ca="1">'e2.1'!AP20-'e2.1'!BD20</f>
        <v>18321.70980256144</v>
      </c>
      <c r="AF19" s="266">
        <f ca="1">'e1.2A'!Z19</f>
        <v>0.95617408539134219</v>
      </c>
      <c r="AG19" s="290">
        <f ca="1">'e2.1'!AT20-'e2.1'!BE20</f>
        <v>5575.153837998776</v>
      </c>
      <c r="AH19" s="266">
        <f t="shared" ca="1" si="5"/>
        <v>0.9535702010037812</v>
      </c>
      <c r="AI19" s="290">
        <f t="shared" ca="1" si="12"/>
        <v>22835.044679197264</v>
      </c>
      <c r="AJ19" s="290">
        <f t="shared" ca="1" si="6"/>
        <v>0</v>
      </c>
    </row>
    <row r="20" spans="1:36" x14ac:dyDescent="0.2">
      <c r="A20" s="268">
        <f>Intro!C21</f>
        <v>1999</v>
      </c>
      <c r="B20" s="387" t="s">
        <v>77</v>
      </c>
      <c r="C20" s="290">
        <f>'e1.3B'!M19</f>
        <v>407095.98186551011</v>
      </c>
      <c r="E20" s="290">
        <f t="shared" ca="1" si="0"/>
        <v>84737.956940751814</v>
      </c>
      <c r="F20" s="290"/>
      <c r="G20" s="290">
        <f t="shared" ca="1" si="7"/>
        <v>322358.0249247583</v>
      </c>
      <c r="I20" s="324">
        <f t="shared" ca="1" si="1"/>
        <v>0.9332913351853438</v>
      </c>
      <c r="K20" s="309">
        <f ca="1">HLOOKUP($A20, 'Agg Disc Roll'!$C$34:$O$36, 3, FALSE)</f>
        <v>300853.95148973801</v>
      </c>
      <c r="M20" s="344">
        <f t="shared" ca="1" si="8"/>
        <v>30442.128697974273</v>
      </c>
      <c r="N20" s="344"/>
      <c r="O20" s="344">
        <f t="shared" ca="1" si="9"/>
        <v>291915.89622678404</v>
      </c>
      <c r="Q20" s="388">
        <f ca="1">1/'e3.2C'!G22</f>
        <v>0.81813434731729662</v>
      </c>
      <c r="R20" s="388">
        <f ca="1">1 / [1]!ldfsir(xsldfs, ldf_ages, xsldf_type, xsldf_ret, Intro!$AB21, "Paid XS", Intro!$H21, cutoff, 3)</f>
        <v>0.85599009763791722</v>
      </c>
      <c r="S20" s="388">
        <f ca="1">1 / [1]!ldfsir(xsldfs, ldf_ages, xsldf_type, xsldf_ret, Intro!$AB21 + 12, "Paid", Intro!$H21, cutoff, 3)</f>
        <v>0.86958978383314223</v>
      </c>
      <c r="T20" s="388">
        <f t="shared" ca="1" si="10"/>
        <v>0.20815228033556518</v>
      </c>
      <c r="U20" s="388">
        <f t="shared" ca="1" si="11"/>
        <v>9.4435771236282329E-2</v>
      </c>
      <c r="W20" s="252">
        <f>Intro!AB21</f>
        <v>249</v>
      </c>
      <c r="X20" s="268" t="str">
        <f>Intro!AL21</f>
        <v>250K</v>
      </c>
      <c r="Y20" s="151">
        <f>'e1.3B'!U19</f>
        <v>10</v>
      </c>
      <c r="Z20" s="266">
        <f t="shared" ca="1" si="3"/>
        <v>0.93142107677522434</v>
      </c>
      <c r="AD20" s="268">
        <f t="shared" si="4"/>
        <v>1999</v>
      </c>
      <c r="AE20" s="290">
        <f ca="1">'e2.1'!AP21-'e2.1'!BD21</f>
        <v>101325.65520592546</v>
      </c>
      <c r="AF20" s="266">
        <f ca="1">'e1.2A'!Z20</f>
        <v>0.93737112768740161</v>
      </c>
      <c r="AG20" s="290">
        <f ca="1">'e2.1'!AT21-'e2.1'!BE21</f>
        <v>221032.3697188329</v>
      </c>
      <c r="AH20" s="266">
        <f t="shared" ca="1" si="5"/>
        <v>0.93142107677522434</v>
      </c>
      <c r="AI20" s="290">
        <f t="shared" ca="1" si="12"/>
        <v>300853.95148973801</v>
      </c>
      <c r="AJ20" s="290">
        <f t="shared" ca="1" si="6"/>
        <v>0</v>
      </c>
    </row>
    <row r="21" spans="1:36" x14ac:dyDescent="0.2">
      <c r="A21" s="268">
        <f>Intro!C22</f>
        <v>2000</v>
      </c>
      <c r="B21" s="387" t="s">
        <v>77</v>
      </c>
      <c r="C21" s="290">
        <f>'e1.3B'!M20</f>
        <v>885205.13249764685</v>
      </c>
      <c r="E21" s="290">
        <f t="shared" ca="1" si="0"/>
        <v>181311.72581309758</v>
      </c>
      <c r="F21" s="290"/>
      <c r="G21" s="290">
        <f t="shared" ca="1" si="7"/>
        <v>703893.40668454929</v>
      </c>
      <c r="I21" s="324">
        <f t="shared" ca="1" si="1"/>
        <v>0.91305038563225338</v>
      </c>
      <c r="K21" s="309">
        <f ca="1">HLOOKUP($A21, 'Agg Disc Roll'!$C$34:$O$36, 3, FALSE)</f>
        <v>642690.14641732827</v>
      </c>
      <c r="M21" s="344">
        <f t="shared" ca="1" si="8"/>
        <v>65540.95351236983</v>
      </c>
      <c r="N21" s="344"/>
      <c r="O21" s="344">
        <f t="shared" ca="1" si="9"/>
        <v>638352.4531721794</v>
      </c>
      <c r="Q21" s="388">
        <f ca="1">1/'e3.2C'!G23</f>
        <v>0.80030106555098235</v>
      </c>
      <c r="R21" s="388">
        <f ca="1">1 / [1]!ldfsir(xsldfs, ldf_ages, xsldf_type, xsldf_ret, Intro!$AB22, "Paid XS", Intro!$H22, cutoff, 3)</f>
        <v>0.84120430607538621</v>
      </c>
      <c r="S21" s="388">
        <f ca="1">1 / [1]!ldfsir(xsldfs, ldf_ages, xsldf_type, xsldf_ret, Intro!$AB22 + 12, "Paid", Intro!$H22, cutoff, 3)</f>
        <v>0.85599009763791722</v>
      </c>
      <c r="T21" s="388">
        <f t="shared" ca="1" si="10"/>
        <v>0.20482453067292802</v>
      </c>
      <c r="U21" s="388">
        <f t="shared" ca="1" si="11"/>
        <v>9.3112043513915305E-2</v>
      </c>
      <c r="W21" s="252">
        <f>Intro!AB22</f>
        <v>237</v>
      </c>
      <c r="X21" s="268" t="str">
        <f>Intro!AL22</f>
        <v>250K</v>
      </c>
      <c r="Y21" s="151">
        <f>'e1.3B'!U20</f>
        <v>10</v>
      </c>
      <c r="Z21" s="266">
        <f t="shared" ca="1" si="3"/>
        <v>0.91183849316859045</v>
      </c>
      <c r="AD21" s="268">
        <f t="shared" si="4"/>
        <v>2000</v>
      </c>
      <c r="AE21" s="290">
        <f ca="1">'e2.1'!AP22-'e2.1'!BD22</f>
        <v>83967.890641523991</v>
      </c>
      <c r="AF21" s="266">
        <f ca="1">'e1.2A'!Z21</f>
        <v>0.92199765172629267</v>
      </c>
      <c r="AG21" s="290">
        <f ca="1">'e2.1'!AT22-'e2.1'!BE22</f>
        <v>619925.5160430253</v>
      </c>
      <c r="AH21" s="266">
        <f t="shared" ca="1" si="5"/>
        <v>0.91183849316859045</v>
      </c>
      <c r="AI21" s="290">
        <f t="shared" ca="1" si="12"/>
        <v>642690.14641732827</v>
      </c>
      <c r="AJ21" s="290">
        <f t="shared" ca="1" si="6"/>
        <v>0</v>
      </c>
    </row>
    <row r="22" spans="1:36" x14ac:dyDescent="0.2">
      <c r="A22" s="268">
        <f>Intro!C23</f>
        <v>2001</v>
      </c>
      <c r="B22" s="387" t="s">
        <v>77</v>
      </c>
      <c r="C22" s="290">
        <f>'e1.3B'!M21</f>
        <v>0</v>
      </c>
      <c r="E22" s="290">
        <f t="shared" ca="1" si="0"/>
        <v>0</v>
      </c>
      <c r="F22" s="290"/>
      <c r="G22" s="290">
        <f t="shared" ca="1" si="7"/>
        <v>0</v>
      </c>
      <c r="I22" s="324">
        <f t="shared" ca="1" si="1"/>
        <v>0.89444848290319889</v>
      </c>
      <c r="K22" s="309">
        <f ca="1">HLOOKUP($A22, 'Agg Disc Roll'!$C$34:$O$36, 3, FALSE)</f>
        <v>0</v>
      </c>
      <c r="M22" s="344">
        <f t="shared" ca="1" si="8"/>
        <v>0</v>
      </c>
      <c r="N22" s="344"/>
      <c r="O22" s="344">
        <f t="shared" ca="1" si="9"/>
        <v>0</v>
      </c>
      <c r="Q22" s="388">
        <f ca="1">1/'e3.2C'!G24</f>
        <v>0.78117108619080233</v>
      </c>
      <c r="R22" s="388">
        <f ca="1">1 / [1]!ldfsir(xsldfs, ldf_ages, xsldf_type, xsldf_ret, Intro!$AB23, "Paid XS", Intro!$H23, cutoff, 3)</f>
        <v>0.82518242994800195</v>
      </c>
      <c r="S22" s="388">
        <f ca="1">1 / [1]!ldfsir(xsldfs, ldf_ages, xsldf_type, xsldf_ret, Intro!$AB23 + 12, "Paid", Intro!$H23, cutoff, 3)</f>
        <v>0.84120430607538621</v>
      </c>
      <c r="T22" s="388">
        <f t="shared" ca="1" si="10"/>
        <v>0.20112215973239347</v>
      </c>
      <c r="U22" s="388">
        <f t="shared" ca="1" si="11"/>
        <v>9.1649118121357509E-2</v>
      </c>
      <c r="W22" s="252">
        <f>Intro!AB23</f>
        <v>225</v>
      </c>
      <c r="X22" s="268" t="str">
        <f>Intro!AL23</f>
        <v>250K</v>
      </c>
      <c r="Y22" s="151">
        <f>'e1.3B'!U21</f>
        <v>10</v>
      </c>
      <c r="Z22" s="266">
        <f t="shared" ca="1" si="3"/>
        <v>0.89444848290319889</v>
      </c>
      <c r="AD22" s="268">
        <f t="shared" si="4"/>
        <v>2001</v>
      </c>
      <c r="AE22" s="290">
        <f ca="1">'e2.1'!AP23-'e2.1'!BD23</f>
        <v>0</v>
      </c>
      <c r="AF22" s="266">
        <f ca="1">'e1.2A'!Z22</f>
        <v>0.90942146623878384</v>
      </c>
      <c r="AG22" s="290">
        <f ca="1">'e2.1'!AT23-'e2.1'!BE23</f>
        <v>0</v>
      </c>
      <c r="AH22" s="266">
        <f t="shared" ca="1" si="5"/>
        <v>0.89444848290319889</v>
      </c>
      <c r="AI22" s="290">
        <f t="shared" ca="1" si="12"/>
        <v>0</v>
      </c>
      <c r="AJ22" s="290">
        <f t="shared" ca="1" si="6"/>
        <v>0</v>
      </c>
    </row>
    <row r="23" spans="1:36" x14ac:dyDescent="0.2">
      <c r="A23" s="268">
        <f>Intro!C24</f>
        <v>2002</v>
      </c>
      <c r="B23" s="387" t="s">
        <v>77</v>
      </c>
      <c r="C23" s="290">
        <f>'e1.3B'!M22</f>
        <v>860795.71497766324</v>
      </c>
      <c r="E23" s="290">
        <f t="shared" ca="1" si="0"/>
        <v>169569.54109674069</v>
      </c>
      <c r="F23" s="290"/>
      <c r="G23" s="290">
        <f t="shared" ca="1" si="7"/>
        <v>691226.17388092261</v>
      </c>
      <c r="I23" s="324">
        <f t="shared" ca="1" si="1"/>
        <v>0.85574349895909152</v>
      </c>
      <c r="K23" s="309">
        <f ca="1">HLOOKUP($A23, 'Agg Disc Roll'!$C$34:$O$36, 3, FALSE)</f>
        <v>591512.30460896611</v>
      </c>
      <c r="M23" s="344">
        <f t="shared" ca="1" si="8"/>
        <v>62230.173250726177</v>
      </c>
      <c r="N23" s="344"/>
      <c r="O23" s="344">
        <f t="shared" ca="1" si="9"/>
        <v>628996.00063019642</v>
      </c>
      <c r="Q23" s="388">
        <f ca="1">1/'e3.2C'!G25</f>
        <v>0.76075807309935517</v>
      </c>
      <c r="R23" s="388">
        <f ca="1">1 / [1]!ldfsir(xsldfs, ldf_ages, xsldf_type, xsldf_ret, Intro!$AB24, "Paid XS", Intro!$H24, cutoff, 3)</f>
        <v>0.80788672749407997</v>
      </c>
      <c r="S23" s="388">
        <f ca="1">1 / [1]!ldfsir(xsldfs, ldf_ages, xsldf_type, xsldf_ret, Intro!$AB24 + 12, "Paid", Intro!$H24, cutoff, 3)</f>
        <v>0.82518242994800195</v>
      </c>
      <c r="T23" s="388">
        <f t="shared" ca="1" si="10"/>
        <v>0.19699161850630362</v>
      </c>
      <c r="U23" s="388">
        <f t="shared" ca="1" si="11"/>
        <v>9.0028670212720499E-2</v>
      </c>
      <c r="W23" s="252">
        <f>Intro!AB24</f>
        <v>213</v>
      </c>
      <c r="X23" s="268" t="str">
        <f>Intro!AL24</f>
        <v>250K</v>
      </c>
      <c r="Y23" s="151">
        <f>'e1.3B'!U22</f>
        <v>10</v>
      </c>
      <c r="Z23" s="266">
        <f t="shared" ca="1" si="3"/>
        <v>0.87892144347217616</v>
      </c>
      <c r="AD23" s="268">
        <f t="shared" si="4"/>
        <v>2002</v>
      </c>
      <c r="AE23" s="290">
        <f ca="1">'e2.1'!AP24-'e2.1'!BD24</f>
        <v>139848.81227470189</v>
      </c>
      <c r="AF23" s="266">
        <f ca="1">'e1.2A'!Z23</f>
        <v>0.89912552263876477</v>
      </c>
      <c r="AG23" s="290">
        <f ca="1">'e2.1'!AT24-'e2.1'!BE24</f>
        <v>551377.36160622071</v>
      </c>
      <c r="AH23" s="266">
        <f t="shared" ca="1" si="5"/>
        <v>0.87892144347217616</v>
      </c>
      <c r="AI23" s="290">
        <f t="shared" ca="1" si="12"/>
        <v>610359.02298772137</v>
      </c>
      <c r="AJ23" s="290">
        <f t="shared" ca="1" si="6"/>
        <v>18846.718378755264</v>
      </c>
    </row>
    <row r="24" spans="1:36" x14ac:dyDescent="0.2">
      <c r="A24" s="268">
        <f>Intro!C25</f>
        <v>2003</v>
      </c>
      <c r="C24" s="290">
        <f>'e1.3B'!M23</f>
        <v>0</v>
      </c>
      <c r="E24" s="290">
        <f t="shared" ca="1" si="0"/>
        <v>0</v>
      </c>
      <c r="F24" s="290"/>
      <c r="G24" s="290">
        <f t="shared" ca="1" si="7"/>
        <v>0</v>
      </c>
      <c r="I24" s="295">
        <f t="shared" ref="I24:I40" ca="1" si="13">Z24</f>
        <v>0.86496511400437781</v>
      </c>
      <c r="K24" s="290">
        <f ca="1">G24*I24</f>
        <v>0</v>
      </c>
      <c r="M24" s="344">
        <f t="shared" ca="1" si="8"/>
        <v>0</v>
      </c>
      <c r="N24" s="344"/>
      <c r="O24" s="344">
        <f t="shared" ca="1" si="9"/>
        <v>0</v>
      </c>
      <c r="Q24" s="388">
        <f ca="1">1/'e3.2C'!G26</f>
        <v>0.78607794239688278</v>
      </c>
      <c r="R24" s="388">
        <f ca="1">1 / [1]!ldfsir(xsldfs, ldf_ages, xsldf_type, xsldf_ret, Intro!$AB25, "Paid XS", Intro!$H25, cutoff, 3)</f>
        <v>0.78929647058947405</v>
      </c>
      <c r="S24" s="388">
        <f ca="1">1 / [1]!ldfsir(xsldfs, ldf_ages, xsldf_type, xsldf_ret, Intro!$AB25 + 12, "Paid", Intro!$H25, cutoff, 3)</f>
        <v>0.80788672749407997</v>
      </c>
      <c r="T24" s="388">
        <f t="shared" ca="1" si="10"/>
        <v>1.5045331129726265E-2</v>
      </c>
      <c r="U24" s="388">
        <f t="shared" ca="1" si="11"/>
        <v>8.8229451858803168E-2</v>
      </c>
      <c r="W24" s="252">
        <f>Intro!AB25</f>
        <v>201</v>
      </c>
      <c r="X24" s="268" t="str">
        <f>Intro!AL25</f>
        <v>250K</v>
      </c>
      <c r="Y24" s="151">
        <f>'e1.3B'!U23</f>
        <v>10</v>
      </c>
      <c r="Z24" s="266">
        <f t="shared" ca="1" si="3"/>
        <v>0.86496511400437781</v>
      </c>
    </row>
    <row r="25" spans="1:36" x14ac:dyDescent="0.2">
      <c r="A25" s="268">
        <f>Intro!C26</f>
        <v>2004</v>
      </c>
      <c r="C25" s="290">
        <f ca="1">'e1.3B'!M24</f>
        <v>238737.20128173154</v>
      </c>
      <c r="E25" s="290">
        <f t="shared" ca="1" si="0"/>
        <v>3386.3698997064939</v>
      </c>
      <c r="F25" s="290"/>
      <c r="G25" s="290">
        <f t="shared" ca="1" si="7"/>
        <v>235350.83138202503</v>
      </c>
      <c r="I25" s="295">
        <f t="shared" ca="1" si="13"/>
        <v>0.85058571062320387</v>
      </c>
      <c r="K25" s="290">
        <f t="shared" ref="K25:K40" ca="1" si="14">G25*I25</f>
        <v>200186.05415684159</v>
      </c>
      <c r="M25" s="344">
        <f t="shared" ca="1" si="8"/>
        <v>19615.763224818478</v>
      </c>
      <c r="N25" s="344"/>
      <c r="O25" s="344">
        <f t="shared" ca="1" si="9"/>
        <v>215735.06815720655</v>
      </c>
      <c r="Q25" s="388">
        <f ca="1">1/'e3.2C'!G27</f>
        <v>0.74888492948820373</v>
      </c>
      <c r="R25" s="388">
        <f ca="1">1 / [1]!ldfsir(xsldfs, ldf_ages, xsldf_type, xsldf_ret, Intro!$AB26, "Paid XS", Intro!$H26, cutoff, 3)</f>
        <v>0.75244687338123073</v>
      </c>
      <c r="S25" s="388">
        <f ca="1">1 / [1]!ldfsir(xsldfs, ldf_ages, xsldf_type, xsldf_ret, Intro!$AB26 + 12, "Paid", Intro!$H26, cutoff, 3)</f>
        <v>0.77307966013962992</v>
      </c>
      <c r="T25" s="388">
        <f t="shared" ca="1" si="10"/>
        <v>1.4184508662771289E-2</v>
      </c>
      <c r="U25" s="388">
        <f t="shared" ca="1" si="11"/>
        <v>8.3346904319950649E-2</v>
      </c>
      <c r="W25" s="252">
        <f>Intro!AB26</f>
        <v>189</v>
      </c>
      <c r="X25" s="268" t="str">
        <f>Intro!AL26</f>
        <v>350K</v>
      </c>
      <c r="Y25" s="151">
        <f>'e1.3B'!U24</f>
        <v>9</v>
      </c>
      <c r="Z25" s="266">
        <f t="shared" ca="1" si="3"/>
        <v>0.85058571062320387</v>
      </c>
      <c r="AB25" s="290"/>
    </row>
    <row r="26" spans="1:36" x14ac:dyDescent="0.2">
      <c r="A26" s="268">
        <f>Intro!C27</f>
        <v>2005</v>
      </c>
      <c r="C26" s="290">
        <f>'e1.3B'!M25</f>
        <v>0</v>
      </c>
      <c r="E26" s="290">
        <f t="shared" ca="1" si="0"/>
        <v>0</v>
      </c>
      <c r="F26" s="290"/>
      <c r="G26" s="290">
        <f t="shared" ca="1" si="7"/>
        <v>0</v>
      </c>
      <c r="I26" s="295">
        <f t="shared" ca="1" si="13"/>
        <v>0.83848415125562092</v>
      </c>
      <c r="K26" s="290">
        <f t="shared" ca="1" si="14"/>
        <v>0</v>
      </c>
      <c r="M26" s="344">
        <f t="shared" ca="1" si="8"/>
        <v>0</v>
      </c>
      <c r="N26" s="344"/>
      <c r="O26" s="344">
        <f t="shared" ca="1" si="9"/>
        <v>0</v>
      </c>
      <c r="Q26" s="388">
        <f ca="1">1/'e3.2C'!G28</f>
        <v>0.72762901022750892</v>
      </c>
      <c r="R26" s="388">
        <f ca="1">1 / [1]!ldfsir(xsldfs, ldf_ages, xsldf_type, xsldf_ret, Intro!$AB27, "Paid XS", Intro!$H27, cutoff, 3)</f>
        <v>0.73103722750555067</v>
      </c>
      <c r="S26" s="388">
        <f ca="1">1 / [1]!ldfsir(xsldfs, ldf_ages, xsldf_type, xsldf_ret, Intro!$AB27 + 12, "Paid", Intro!$H27, cutoff, 3)</f>
        <v>0.75244687338123073</v>
      </c>
      <c r="T26" s="388">
        <f t="shared" ca="1" si="10"/>
        <v>1.2513143491854985E-2</v>
      </c>
      <c r="U26" s="388">
        <f t="shared" ca="1" si="11"/>
        <v>7.9600777747492538E-2</v>
      </c>
      <c r="W26" s="252">
        <f>Intro!AB27</f>
        <v>177</v>
      </c>
      <c r="X26" s="268" t="str">
        <f>Intro!AL27</f>
        <v>350K</v>
      </c>
      <c r="Y26" s="151">
        <f>'e1.3B'!U25</f>
        <v>9</v>
      </c>
      <c r="Z26" s="266">
        <f t="shared" ca="1" si="3"/>
        <v>0.83848415125562092</v>
      </c>
    </row>
    <row r="27" spans="1:36" x14ac:dyDescent="0.2">
      <c r="A27" s="268">
        <f>Intro!C28</f>
        <v>2006</v>
      </c>
      <c r="C27" s="290">
        <f>'e1.3B'!M26</f>
        <v>0</v>
      </c>
      <c r="E27" s="290">
        <f t="shared" ca="1" si="0"/>
        <v>0</v>
      </c>
      <c r="F27" s="290"/>
      <c r="G27" s="290">
        <f t="shared" ca="1" si="7"/>
        <v>0</v>
      </c>
      <c r="I27" s="295">
        <f t="shared" ca="1" si="13"/>
        <v>0.82646629384711379</v>
      </c>
      <c r="K27" s="290">
        <f t="shared" ca="1" si="14"/>
        <v>0</v>
      </c>
      <c r="M27" s="344">
        <f t="shared" ca="1" si="8"/>
        <v>0</v>
      </c>
      <c r="N27" s="344"/>
      <c r="O27" s="344">
        <f t="shared" ca="1" si="9"/>
        <v>0</v>
      </c>
      <c r="Q27" s="388">
        <f ca="1">1/'e3.2C'!G29</f>
        <v>0.70639540818067204</v>
      </c>
      <c r="R27" s="388">
        <f ca="1">1 / [1]!ldfsir(xsldfs, ldf_ages, xsldf_type, xsldf_ret, Intro!$AB28, "Paid XS", Intro!$H28, cutoff, 3)</f>
        <v>0.71003470354617948</v>
      </c>
      <c r="S27" s="388">
        <f ca="1">1 / [1]!ldfsir(xsldfs, ldf_ages, xsldf_type, xsldf_ret, Intro!$AB28 + 12, "Paid", Intro!$H28, cutoff, 3)</f>
        <v>0.73103722750555067</v>
      </c>
      <c r="T27" s="388">
        <f t="shared" ca="1" si="10"/>
        <v>1.239522632448104E-2</v>
      </c>
      <c r="U27" s="388">
        <f t="shared" ca="1" si="11"/>
        <v>7.2431164060751743E-2</v>
      </c>
      <c r="W27" s="252">
        <f>Intro!AB28</f>
        <v>165</v>
      </c>
      <c r="X27" s="268" t="str">
        <f>Intro!AL28</f>
        <v>350K</v>
      </c>
      <c r="Y27" s="151">
        <f>'e1.3B'!U26</f>
        <v>9</v>
      </c>
      <c r="Z27" s="266">
        <f t="shared" ca="1" si="3"/>
        <v>0.82646629384711379</v>
      </c>
    </row>
    <row r="28" spans="1:36" x14ac:dyDescent="0.2">
      <c r="A28" s="268">
        <f>Intro!C29</f>
        <v>2007</v>
      </c>
      <c r="C28" s="290">
        <f>'e1.3B'!M27</f>
        <v>0</v>
      </c>
      <c r="E28" s="290">
        <f t="shared" ca="1" si="0"/>
        <v>0</v>
      </c>
      <c r="F28" s="290"/>
      <c r="G28" s="290">
        <f t="shared" ca="1" si="7"/>
        <v>0</v>
      </c>
      <c r="I28" s="295">
        <f t="shared" ca="1" si="13"/>
        <v>0.81535935362590417</v>
      </c>
      <c r="K28" s="290">
        <f t="shared" ca="1" si="14"/>
        <v>0</v>
      </c>
      <c r="M28" s="344">
        <f t="shared" ca="1" si="8"/>
        <v>0</v>
      </c>
      <c r="N28" s="344"/>
      <c r="O28" s="344">
        <f t="shared" ca="1" si="9"/>
        <v>0</v>
      </c>
      <c r="Q28" s="388">
        <f ca="1">1/'e3.2C'!G30</f>
        <v>0.68420587629302043</v>
      </c>
      <c r="R28" s="388">
        <f ca="1">1 / [1]!ldfsir(xsldfs, ldf_ages, xsldf_type, xsldf_ret, Intro!$AB29, "Paid XS", Intro!$H29, cutoff, 3)</f>
        <v>0.68789924762221977</v>
      </c>
      <c r="S28" s="388">
        <f ca="1">1 / [1]!ldfsir(xsldfs, ldf_ages, xsldf_type, xsldf_ret, Intro!$AB29 + 12, "Paid", Intro!$H29, cutoff, 3)</f>
        <v>0.71003470354617948</v>
      </c>
      <c r="T28" s="388">
        <f t="shared" ca="1" si="10"/>
        <v>1.1695503658663252E-2</v>
      </c>
      <c r="U28" s="388">
        <f t="shared" ca="1" si="11"/>
        <v>7.09240710101397E-2</v>
      </c>
      <c r="W28" s="252">
        <f>Intro!AB29</f>
        <v>153</v>
      </c>
      <c r="X28" s="268" t="str">
        <f>Intro!AL29</f>
        <v>350K</v>
      </c>
      <c r="Y28" s="151">
        <f>'e1.3B'!U27</f>
        <v>9</v>
      </c>
      <c r="Z28" s="266">
        <f t="shared" ca="1" si="3"/>
        <v>0.81535935362590417</v>
      </c>
    </row>
    <row r="29" spans="1:36" x14ac:dyDescent="0.2">
      <c r="A29" s="268">
        <f>Intro!C30</f>
        <v>2008</v>
      </c>
      <c r="C29" s="290">
        <f>'e1.3B'!M28</f>
        <v>0</v>
      </c>
      <c r="E29" s="290">
        <f t="shared" ca="1" si="0"/>
        <v>0</v>
      </c>
      <c r="F29" s="290"/>
      <c r="G29" s="290">
        <f t="shared" ca="1" si="7"/>
        <v>0</v>
      </c>
      <c r="I29" s="295">
        <f t="shared" ca="1" si="13"/>
        <v>0.80416263345758154</v>
      </c>
      <c r="K29" s="290">
        <f t="shared" ca="1" si="14"/>
        <v>0</v>
      </c>
      <c r="M29" s="344">
        <f t="shared" ca="1" si="8"/>
        <v>0</v>
      </c>
      <c r="N29" s="344"/>
      <c r="O29" s="344">
        <f t="shared" ca="1" si="9"/>
        <v>0</v>
      </c>
      <c r="Q29" s="388">
        <f ca="1">1/'e3.2C'!G31</f>
        <v>0.7292796036800312</v>
      </c>
      <c r="R29" s="388">
        <f ca="1">1 / [1]!ldfsir(xsldfs, ldf_ages, xsldf_type, xsldf_ret, Intro!$AB30, "Paid XS", Intro!$H30, cutoff, 3)</f>
        <v>0.73240003447344493</v>
      </c>
      <c r="S29" s="388">
        <f ca="1">1 / [1]!ldfsir(xsldfs, ldf_ages, xsldf_type, xsldf_ret, Intro!$AB30 + 12, "Paid", Intro!$H30, cutoff, 3)</f>
        <v>0.75064820443894276</v>
      </c>
      <c r="T29" s="388">
        <f t="shared" ca="1" si="10"/>
        <v>1.1526397108718929E-2</v>
      </c>
      <c r="U29" s="388">
        <f t="shared" ca="1" si="11"/>
        <v>6.8191974276196179E-2</v>
      </c>
      <c r="W29" s="252">
        <f>Intro!AB30</f>
        <v>141</v>
      </c>
      <c r="X29" s="268" t="str">
        <f>Intro!AL30</f>
        <v>500K</v>
      </c>
      <c r="Y29" s="151">
        <f>'e1.3B'!U28</f>
        <v>8</v>
      </c>
      <c r="Z29" s="266">
        <f t="shared" ca="1" si="3"/>
        <v>0.80416263345758154</v>
      </c>
    </row>
    <row r="30" spans="1:36" x14ac:dyDescent="0.2">
      <c r="A30" s="268">
        <f>Intro!C31</f>
        <v>2009</v>
      </c>
      <c r="C30" s="290">
        <f>'e1.3B'!M29</f>
        <v>0</v>
      </c>
      <c r="E30" s="290">
        <f t="shared" ca="1" si="0"/>
        <v>0</v>
      </c>
      <c r="F30" s="290"/>
      <c r="G30" s="290">
        <f t="shared" ca="1" si="7"/>
        <v>0</v>
      </c>
      <c r="I30" s="295">
        <f t="shared" ca="1" si="13"/>
        <v>0.79482454417868342</v>
      </c>
      <c r="K30" s="290">
        <f t="shared" ca="1" si="14"/>
        <v>0</v>
      </c>
      <c r="M30" s="344">
        <f t="shared" ca="1" si="8"/>
        <v>0</v>
      </c>
      <c r="N30" s="344"/>
      <c r="O30" s="344">
        <f t="shared" ca="1" si="9"/>
        <v>0</v>
      </c>
      <c r="Q30" s="388">
        <f ca="1">1/'e3.2C'!G32</f>
        <v>0.70892738882420636</v>
      </c>
      <c r="R30" s="388">
        <f ca="1">1 / [1]!ldfsir(xsldfs, ldf_ages, xsldf_type, xsldf_ret, Intro!$AB31, "Paid XS", Intro!$H31, cutoff, 3)</f>
        <v>0.71263538058204023</v>
      </c>
      <c r="S30" s="388">
        <f ca="1">1 / [1]!ldfsir(xsldfs, ldf_ages, xsldf_type, xsldf_ret, Intro!$AB31 + 12, "Paid", Intro!$H31, cutoff, 3)</f>
        <v>0.73240003447344493</v>
      </c>
      <c r="T30" s="388">
        <f t="shared" ca="1" si="10"/>
        <v>1.2739061029670108E-2</v>
      </c>
      <c r="U30" s="388">
        <f t="shared" ca="1" si="11"/>
        <v>6.8779009508675229E-2</v>
      </c>
      <c r="W30" s="252">
        <f>Intro!AB31</f>
        <v>129</v>
      </c>
      <c r="X30" s="268" t="str">
        <f>Intro!AL31</f>
        <v>500K</v>
      </c>
      <c r="Y30" s="151">
        <f>'e1.3B'!U29</f>
        <v>8</v>
      </c>
      <c r="Z30" s="266">
        <f t="shared" ca="1" si="3"/>
        <v>0.79482454417868342</v>
      </c>
    </row>
    <row r="31" spans="1:36" x14ac:dyDescent="0.2">
      <c r="A31" s="268">
        <f>Intro!C32</f>
        <v>2010</v>
      </c>
      <c r="C31" s="290">
        <f>'e1.3B'!M30</f>
        <v>0</v>
      </c>
      <c r="E31" s="290">
        <f t="shared" ca="1" si="0"/>
        <v>0</v>
      </c>
      <c r="F31" s="290"/>
      <c r="G31" s="290">
        <f t="shared" ca="1" si="7"/>
        <v>0</v>
      </c>
      <c r="I31" s="295">
        <f t="shared" ca="1" si="13"/>
        <v>0.78750571773356792</v>
      </c>
      <c r="K31" s="290">
        <f t="shared" ca="1" si="14"/>
        <v>0</v>
      </c>
      <c r="M31" s="344">
        <f t="shared" ca="1" si="8"/>
        <v>0</v>
      </c>
      <c r="N31" s="344"/>
      <c r="O31" s="344">
        <f t="shared" ca="1" si="9"/>
        <v>0</v>
      </c>
      <c r="Q31" s="388">
        <f ca="1">1/'e3.2C'!G33</f>
        <v>0.68557567562509258</v>
      </c>
      <c r="R31" s="388">
        <f ca="1">1 / [1]!ldfsir(xsldfs, ldf_ages, xsldf_type, xsldf_ret, Intro!$AB32, "Paid XS", Intro!$H32, cutoff, 3)</f>
        <v>0.68963736301723277</v>
      </c>
      <c r="S31" s="388">
        <f ca="1">1 / [1]!ldfsir(xsldfs, ldf_ages, xsldf_type, xsldf_ret, Intro!$AB32 + 12, "Paid", Intro!$H32, cutoff, 3)</f>
        <v>0.71263538058204023</v>
      </c>
      <c r="T31" s="388">
        <f t="shared" ca="1" si="10"/>
        <v>1.2917853605044853E-2</v>
      </c>
      <c r="U31" s="388">
        <f t="shared" ca="1" si="11"/>
        <v>7.4100470947101843E-2</v>
      </c>
      <c r="W31" s="252">
        <f>Intro!AB32</f>
        <v>117</v>
      </c>
      <c r="X31" s="268" t="str">
        <f>Intro!AL32</f>
        <v>500K</v>
      </c>
      <c r="Y31" s="151">
        <f>'e1.3B'!U30</f>
        <v>8</v>
      </c>
      <c r="Z31" s="266">
        <f t="shared" ca="1" si="3"/>
        <v>0.78750571773356792</v>
      </c>
    </row>
    <row r="32" spans="1:36" x14ac:dyDescent="0.2">
      <c r="A32" s="268">
        <f>Intro!C33</f>
        <v>2011</v>
      </c>
      <c r="C32" s="290">
        <f>'e1.3B'!M31</f>
        <v>0</v>
      </c>
      <c r="E32" s="290">
        <f t="shared" ca="1" si="0"/>
        <v>0</v>
      </c>
      <c r="F32" s="290"/>
      <c r="G32" s="290">
        <f t="shared" ca="1" si="7"/>
        <v>0</v>
      </c>
      <c r="I32" s="295">
        <f t="shared" ca="1" si="13"/>
        <v>0.78147884358255204</v>
      </c>
      <c r="K32" s="290">
        <f t="shared" ca="1" si="14"/>
        <v>0</v>
      </c>
      <c r="M32" s="344">
        <f t="shared" ca="1" si="8"/>
        <v>0</v>
      </c>
      <c r="N32" s="344"/>
      <c r="O32" s="344">
        <f t="shared" ca="1" si="9"/>
        <v>0</v>
      </c>
      <c r="Q32" s="388">
        <f ca="1">1/'e3.2C'!G34</f>
        <v>0.65906496757527977</v>
      </c>
      <c r="R32" s="388">
        <f ca="1">1 / [1]!ldfsir(xsldfs, ldf_ages, xsldf_type, xsldf_ret, Intro!$AB33, "Paid XS", Intro!$H33, cutoff, 3)</f>
        <v>0.66389425192577556</v>
      </c>
      <c r="S32" s="388">
        <f ca="1">1 / [1]!ldfsir(xsldfs, ldf_ages, xsldf_type, xsldf_ret, Intro!$AB33 + 12, "Paid", Intro!$H33, cutoff, 3)</f>
        <v>0.68963736301723277</v>
      </c>
      <c r="T32" s="388">
        <f t="shared" ca="1" si="10"/>
        <v>1.4164822887662954E-2</v>
      </c>
      <c r="U32" s="388">
        <f t="shared" ca="1" si="11"/>
        <v>7.6592296439310509E-2</v>
      </c>
      <c r="W32" s="252">
        <f>Intro!AB33</f>
        <v>105</v>
      </c>
      <c r="X32" s="268" t="str">
        <f>Intro!AL33</f>
        <v>500K</v>
      </c>
      <c r="Y32" s="151">
        <f>'e1.3B'!U31</f>
        <v>8</v>
      </c>
      <c r="Z32" s="266">
        <f t="shared" ca="1" si="3"/>
        <v>0.78147884358255204</v>
      </c>
    </row>
    <row r="33" spans="1:28" x14ac:dyDescent="0.2">
      <c r="A33" s="268">
        <f>Intro!C34</f>
        <v>2012</v>
      </c>
      <c r="C33" s="290">
        <f>'e1.3B'!M32</f>
        <v>35000</v>
      </c>
      <c r="E33" s="290">
        <f t="shared" ca="1" si="0"/>
        <v>426.47177471361653</v>
      </c>
      <c r="F33" s="290"/>
      <c r="G33" s="290">
        <f t="shared" ca="1" si="7"/>
        <v>34573.528225286384</v>
      </c>
      <c r="I33" s="295">
        <f t="shared" ca="1" si="13"/>
        <v>0.77659417036622069</v>
      </c>
      <c r="K33" s="290">
        <f t="shared" ca="1" si="14"/>
        <v>26849.600468749395</v>
      </c>
      <c r="M33" s="344">
        <f t="shared" ca="1" si="8"/>
        <v>2729.1430620685178</v>
      </c>
      <c r="N33" s="344"/>
      <c r="O33" s="344">
        <f t="shared" ca="1" si="9"/>
        <v>31844.385163217867</v>
      </c>
      <c r="Q33" s="388">
        <f ca="1">1/'e3.2C'!G35</f>
        <v>0.63058790043195367</v>
      </c>
      <c r="R33" s="388">
        <f ca="1">1 / [1]!ldfsir(xsldfs, ldf_ages, xsldf_type, xsldf_ret, Intro!$AB34, "Paid XS", Intro!$H34, cutoff, 3)</f>
        <v>0.63508915282348133</v>
      </c>
      <c r="S33" s="388">
        <f ca="1">1 / [1]!ldfsir(xsldfs, ldf_ages, xsldf_type, xsldf_ret, Intro!$AB34 + 12, "Paid", Intro!$H34, cutoff, 3)</f>
        <v>0.66389425192577556</v>
      </c>
      <c r="T33" s="388">
        <f t="shared" ca="1" si="10"/>
        <v>1.2184907848960471E-2</v>
      </c>
      <c r="U33" s="388">
        <f t="shared" ca="1" si="11"/>
        <v>7.8937360522912364E-2</v>
      </c>
      <c r="W33" s="252">
        <f>Intro!AB34</f>
        <v>93</v>
      </c>
      <c r="X33" s="268" t="str">
        <f>Intro!AL34</f>
        <v>500K</v>
      </c>
      <c r="Y33" s="151">
        <f>'e1.3B'!U32</f>
        <v>8</v>
      </c>
      <c r="Z33" s="266">
        <f t="shared" ca="1" si="3"/>
        <v>0.77659417036622069</v>
      </c>
    </row>
    <row r="34" spans="1:28" x14ac:dyDescent="0.2">
      <c r="A34" s="268">
        <f>Intro!C35</f>
        <v>2013</v>
      </c>
      <c r="C34" s="290">
        <f ca="1">'e1.3B'!M33</f>
        <v>43150.758514579211</v>
      </c>
      <c r="E34" s="290">
        <f t="shared" ca="1" si="0"/>
        <v>467.91881765556684</v>
      </c>
      <c r="F34" s="290"/>
      <c r="G34" s="290">
        <f t="shared" ca="1" si="7"/>
        <v>42682.839696923642</v>
      </c>
      <c r="I34" s="295">
        <f t="shared" ca="1" si="13"/>
        <v>0.76986861098073567</v>
      </c>
      <c r="K34" s="290">
        <f t="shared" ca="1" si="14"/>
        <v>32860.178510184007</v>
      </c>
      <c r="M34" s="344">
        <f t="shared" ca="1" si="8"/>
        <v>2934.3660006360114</v>
      </c>
      <c r="N34" s="344"/>
      <c r="O34" s="344">
        <f t="shared" ca="1" si="9"/>
        <v>39748.473696287634</v>
      </c>
      <c r="Q34" s="388">
        <f ca="1">1/'e3.2C'!G36</f>
        <v>0.6038544783837797</v>
      </c>
      <c r="R34" s="388">
        <f ca="1">1 / [1]!ldfsir(xsldfs, ldf_ages, xsldf_type, xsldf_ret, Intro!$AB35, "Paid XS", Intro!$H35, cutoff, 3)</f>
        <v>0.60815020690571475</v>
      </c>
      <c r="S34" s="388">
        <f ca="1">1 / [1]!ldfsir(xsldfs, ldf_ages, xsldf_type, xsldf_ret, Intro!$AB35 + 12, "Paid", Intro!$H35, cutoff, 3)</f>
        <v>0.63508915282348133</v>
      </c>
      <c r="T34" s="388">
        <f t="shared" ca="1" si="10"/>
        <v>1.0843814425590516E-2</v>
      </c>
      <c r="U34" s="388">
        <f t="shared" ca="1" si="11"/>
        <v>6.8748143784995289E-2</v>
      </c>
      <c r="W34" s="252">
        <f>Intro!AB35</f>
        <v>81</v>
      </c>
      <c r="X34" s="268" t="str">
        <f>Intro!AL35</f>
        <v>500K</v>
      </c>
      <c r="Y34" s="151">
        <f>'e1.3B'!U33</f>
        <v>8</v>
      </c>
      <c r="Z34" s="266">
        <f t="shared" ca="1" si="3"/>
        <v>0.76986861098073567</v>
      </c>
    </row>
    <row r="35" spans="1:28" x14ac:dyDescent="0.2">
      <c r="A35" s="268">
        <f>Intro!C36</f>
        <v>2014</v>
      </c>
      <c r="C35" s="290">
        <f>'e1.3B'!M34</f>
        <v>0</v>
      </c>
      <c r="E35" s="290">
        <f t="shared" ca="1" si="0"/>
        <v>0</v>
      </c>
      <c r="F35" s="290"/>
      <c r="G35" s="290">
        <f t="shared" ca="1" si="7"/>
        <v>0</v>
      </c>
      <c r="I35" s="295">
        <f t="shared" ca="1" si="13"/>
        <v>0.7626338027857763</v>
      </c>
      <c r="K35" s="290">
        <f t="shared" ca="1" si="14"/>
        <v>0</v>
      </c>
      <c r="M35" s="344">
        <f t="shared" ca="1" si="8"/>
        <v>0</v>
      </c>
      <c r="N35" s="344"/>
      <c r="O35" s="344">
        <f t="shared" ca="1" si="9"/>
        <v>0</v>
      </c>
      <c r="Q35" s="388">
        <f ca="1">1/'e3.2C'!G37</f>
        <v>0.57660974945058885</v>
      </c>
      <c r="R35" s="388">
        <f ca="1">1 / [1]!ldfsir(xsldfs, ldf_ages, xsldf_type, xsldf_ret, Intro!$AB36, "Paid XS", Intro!$H36, cutoff, 3)</f>
        <v>0.58142410794201438</v>
      </c>
      <c r="S35" s="388">
        <f ca="1">1 / [1]!ldfsir(xsldfs, ldf_ages, xsldf_type, xsldf_ret, Intro!$AB36 + 12, "Paid", Intro!$H36, cutoff, 3)</f>
        <v>0.60815020690571475</v>
      </c>
      <c r="T35" s="388">
        <f t="shared" ca="1" si="10"/>
        <v>1.1370971544994697E-2</v>
      </c>
      <c r="U35" s="388">
        <f t="shared" ca="1" si="11"/>
        <v>6.3850067504599595E-2</v>
      </c>
      <c r="W35" s="252">
        <f>Intro!AB36</f>
        <v>69</v>
      </c>
      <c r="X35" s="268" t="str">
        <f>Intro!AL36</f>
        <v>500K</v>
      </c>
      <c r="Y35" s="151">
        <f>'e1.3B'!U34</f>
        <v>8</v>
      </c>
      <c r="Z35" s="266">
        <f t="shared" ca="1" si="3"/>
        <v>0.7626338027857763</v>
      </c>
    </row>
    <row r="36" spans="1:28" x14ac:dyDescent="0.2">
      <c r="A36" s="268">
        <f>Intro!C37</f>
        <v>2015</v>
      </c>
      <c r="C36" s="290">
        <f ca="1">'e1.3B'!M35</f>
        <v>95278.348827948561</v>
      </c>
      <c r="E36" s="290">
        <f t="shared" ca="1" si="0"/>
        <v>1210.4113848261268</v>
      </c>
      <c r="F36" s="290"/>
      <c r="G36" s="290">
        <f t="shared" ca="1" si="7"/>
        <v>94067.937443122428</v>
      </c>
      <c r="I36" s="295">
        <f t="shared" ca="1" si="13"/>
        <v>0.75705615776751944</v>
      </c>
      <c r="K36" s="290">
        <f t="shared" ca="1" si="14"/>
        <v>71214.711289805637</v>
      </c>
      <c r="M36" s="344">
        <f t="shared" ca="1" si="8"/>
        <v>6391.4409298474848</v>
      </c>
      <c r="N36" s="344"/>
      <c r="O36" s="344">
        <f t="shared" ca="1" si="9"/>
        <v>87676.496513274949</v>
      </c>
      <c r="Q36" s="388">
        <f ca="1">1/'e3.2C'!G38</f>
        <v>0.54513214555246114</v>
      </c>
      <c r="R36" s="388">
        <f ca="1">1 / [1]!ldfsir(xsldfs, ldf_ages, xsldf_type, xsldf_ret, Intro!$AB37, "Paid XS", Intro!$H37, cutoff, 3)</f>
        <v>0.55091076405695427</v>
      </c>
      <c r="S36" s="388">
        <f ca="1">1 / [1]!ldfsir(xsldfs, ldf_ages, xsldf_type, xsldf_ret, Intro!$AB37 + 12, "Paid", Intro!$H37, cutoff, 3)</f>
        <v>0.58142410794201438</v>
      </c>
      <c r="T36" s="388">
        <f t="shared" ca="1" si="10"/>
        <v>1.2703950054926536E-2</v>
      </c>
      <c r="U36" s="388">
        <f t="shared" ca="1" si="11"/>
        <v>6.7944945999395684E-2</v>
      </c>
      <c r="W36" s="252">
        <f>Intro!AB37</f>
        <v>57</v>
      </c>
      <c r="X36" s="268" t="str">
        <f>Intro!AL37</f>
        <v>500K</v>
      </c>
      <c r="Y36" s="151">
        <f>'e1.3B'!U35</f>
        <v>8</v>
      </c>
      <c r="Z36" s="266">
        <f t="shared" ca="1" si="3"/>
        <v>0.75705615776751944</v>
      </c>
    </row>
    <row r="37" spans="1:28" x14ac:dyDescent="0.2">
      <c r="A37" s="268">
        <f>Intro!C38</f>
        <v>2016</v>
      </c>
      <c r="C37" s="290">
        <f ca="1">'e1.3B'!M36</f>
        <v>101070.53576230325</v>
      </c>
      <c r="E37" s="290">
        <f t="shared" ca="1" si="0"/>
        <v>2966.6266703748265</v>
      </c>
      <c r="F37" s="290"/>
      <c r="G37" s="290">
        <f t="shared" ca="1" si="7"/>
        <v>98103.909091928421</v>
      </c>
      <c r="I37" s="295">
        <f t="shared" ca="1" si="13"/>
        <v>0.75492413145728821</v>
      </c>
      <c r="K37" s="290">
        <f t="shared" ca="1" si="14"/>
        <v>74061.008363788816</v>
      </c>
      <c r="M37" s="344">
        <f t="shared" ca="1" si="8"/>
        <v>9555.5112644944675</v>
      </c>
      <c r="N37" s="344"/>
      <c r="O37" s="344">
        <f t="shared" ca="1" si="9"/>
        <v>88548.397827433946</v>
      </c>
      <c r="Q37" s="388">
        <f ca="1">1/'e3.2C'!G39</f>
        <v>0.48700198713326059</v>
      </c>
      <c r="R37" s="388">
        <f ca="1">1 / [1]!ldfsir(xsldfs, ldf_ages, xsldf_type, xsldf_ret, Intro!$AB38, "Paid XS", Intro!$H38, cutoff, 3)</f>
        <v>0.50205952665594489</v>
      </c>
      <c r="S37" s="388">
        <f ca="1">1 / [1]!ldfsir(xsldfs, ldf_ages, xsldf_type, xsldf_ret, Intro!$AB38 + 12, "Paid", Intro!$H38, cutoff, 3)</f>
        <v>0.55055989576588793</v>
      </c>
      <c r="T37" s="388">
        <f t="shared" ca="1" si="10"/>
        <v>2.9352042590846769E-2</v>
      </c>
      <c r="U37" s="388">
        <f t="shared" ca="1" si="11"/>
        <v>9.7401942011713927E-2</v>
      </c>
      <c r="W37" s="252">
        <f>Intro!AB38</f>
        <v>45</v>
      </c>
      <c r="X37" s="268" t="str">
        <f>Intro!AL38</f>
        <v>750K</v>
      </c>
      <c r="Y37" s="151">
        <f>'e1.3B'!U36</f>
        <v>7</v>
      </c>
      <c r="Z37" s="266">
        <f t="shared" ca="1" si="3"/>
        <v>0.75492413145728821</v>
      </c>
    </row>
    <row r="38" spans="1:28" x14ac:dyDescent="0.2">
      <c r="A38" s="268">
        <f>Intro!C39</f>
        <v>2017</v>
      </c>
      <c r="C38" s="290">
        <f ca="1">'e1.3B'!M37</f>
        <v>157976.96184336001</v>
      </c>
      <c r="E38" s="290">
        <f t="shared" ca="1" si="0"/>
        <v>4892.3236590975212</v>
      </c>
      <c r="F38" s="290"/>
      <c r="G38" s="290">
        <f t="shared" ca="1" si="7"/>
        <v>153084.6381842625</v>
      </c>
      <c r="I38" s="295">
        <f t="shared" ca="1" si="13"/>
        <v>0.77395267749886876</v>
      </c>
      <c r="K38" s="290">
        <f t="shared" ca="1" si="14"/>
        <v>118480.26560665552</v>
      </c>
      <c r="M38" s="344">
        <f t="shared" ca="1" si="8"/>
        <v>25051.295519578784</v>
      </c>
      <c r="N38" s="344"/>
      <c r="O38" s="344">
        <f t="shared" ca="1" si="9"/>
        <v>128033.34266468372</v>
      </c>
      <c r="Q38" s="388">
        <f ca="1">1/'e3.2C'!G40</f>
        <v>0.3856043939760655</v>
      </c>
      <c r="R38" s="388">
        <f ca="1">1 / [1]!ldfsir(xsldfs, ldf_ages, xsldf_type, xsldf_ret, Intro!$AB39, "Paid XS", Intro!$H39, cutoff, 3)</f>
        <v>0.4046313592013927</v>
      </c>
      <c r="S38" s="388">
        <f ca="1">1 / [1]!ldfsir(xsldfs, ldf_ages, xsldf_type, xsldf_ret, Intro!$AB39 + 12, "Paid", Intro!$H39, cutoff, 3)</f>
        <v>0.50205952665594489</v>
      </c>
      <c r="T38" s="388">
        <f t="shared" ca="1" si="10"/>
        <v>3.0968589356392615E-2</v>
      </c>
      <c r="U38" s="388">
        <f t="shared" ca="1" si="11"/>
        <v>0.16364343161216108</v>
      </c>
      <c r="W38" s="252">
        <f>Intro!AB39</f>
        <v>33</v>
      </c>
      <c r="X38" s="268" t="str">
        <f>Intro!AL39</f>
        <v>750K</v>
      </c>
      <c r="Y38" s="151">
        <f>'e1.3B'!U37</f>
        <v>7</v>
      </c>
      <c r="Z38" s="266">
        <f t="shared" ca="1" si="3"/>
        <v>0.77395267749886876</v>
      </c>
    </row>
    <row r="39" spans="1:28" x14ac:dyDescent="0.2">
      <c r="A39" s="268">
        <f>Intro!C40</f>
        <v>2018</v>
      </c>
      <c r="C39" s="290">
        <f ca="1">'e1.3B'!M38</f>
        <v>649880.95355622564</v>
      </c>
      <c r="E39" s="290">
        <f t="shared" ca="1" si="0"/>
        <v>24929.998251000114</v>
      </c>
      <c r="F39" s="290"/>
      <c r="G39" s="290">
        <f t="shared" ca="1" si="7"/>
        <v>624950.95530522557</v>
      </c>
      <c r="I39" s="295">
        <f t="shared" ca="1" si="13"/>
        <v>0.79540187194999468</v>
      </c>
      <c r="K39" s="290">
        <f t="shared" ca="1" si="14"/>
        <v>497087.15972671384</v>
      </c>
      <c r="M39" s="344">
        <f t="shared" ca="1" si="8"/>
        <v>111397.03842999465</v>
      </c>
      <c r="N39" s="344"/>
      <c r="O39" s="344">
        <f t="shared" ca="1" si="9"/>
        <v>513553.91687523091</v>
      </c>
      <c r="Q39" s="388">
        <f ca="1">1/'e3.2C'!G41</f>
        <v>0.25937270384181854</v>
      </c>
      <c r="R39" s="388">
        <f ca="1">1 / [1]!ldfsir(xsldfs, ldf_ages, xsldf_type, xsldf_ret, Intro!$AB40, "Paid XS", Intro!$H40, cutoff, 3)</f>
        <v>0.28778381067120029</v>
      </c>
      <c r="S39" s="388">
        <f ca="1">1 / [1]!ldfsir(xsldfs, ldf_ages, xsldf_type, xsldf_ret, Intro!$AB40 + 12, "Paid", Intro!$H40, cutoff, 3)</f>
        <v>0.41473581152761252</v>
      </c>
      <c r="T39" s="388">
        <f t="shared" ca="1" si="10"/>
        <v>3.8360869193934992E-2</v>
      </c>
      <c r="U39" s="388">
        <f t="shared" ca="1" si="11"/>
        <v>0.17824924897600711</v>
      </c>
      <c r="W39" s="252">
        <f>Intro!AB40</f>
        <v>21</v>
      </c>
      <c r="X39" s="268" t="str">
        <f>Intro!AL40</f>
        <v>500K</v>
      </c>
      <c r="Y39" s="151">
        <f>'e1.3B'!U38</f>
        <v>8</v>
      </c>
      <c r="Z39" s="266">
        <f t="shared" ca="1" si="3"/>
        <v>0.79540187194999468</v>
      </c>
    </row>
    <row r="40" spans="1:28" x14ac:dyDescent="0.2">
      <c r="A40" s="268">
        <f>Intro!C41</f>
        <v>2019</v>
      </c>
      <c r="C40" s="248">
        <f ca="1">'e1.3B'!M39</f>
        <v>487185.67563813308</v>
      </c>
      <c r="E40" s="292">
        <f ca="1">('e1.3B'!C39-'e1.3B'!G39) * T40</f>
        <v>23373.52122901953</v>
      </c>
      <c r="F40" s="290"/>
      <c r="G40" s="279">
        <f ca="1">('e1.3B'!C39-'e1.3B'!G39) - E40 - AB40</f>
        <v>628769.15549049794</v>
      </c>
      <c r="H40" s="387" t="s">
        <v>833</v>
      </c>
      <c r="I40" s="298">
        <f t="shared" ca="1" si="13"/>
        <v>0.81790402347522284</v>
      </c>
      <c r="K40" s="292">
        <f t="shared" ca="1" si="14"/>
        <v>514272.82211279625</v>
      </c>
      <c r="L40" s="570" t="str">
        <f>H40</f>
        <v>**</v>
      </c>
      <c r="M40" s="629">
        <f t="shared" ca="1" si="8"/>
        <v>148910.17819705314</v>
      </c>
      <c r="N40" s="344"/>
      <c r="O40" s="629">
        <f t="shared" ca="1" si="9"/>
        <v>479858.9772934448</v>
      </c>
      <c r="P40" s="570"/>
      <c r="Q40" s="388">
        <f ca="1">1/'e3.2C'!G42</f>
        <v>4.4361348450897536E-2</v>
      </c>
      <c r="R40" s="610">
        <f ca="1">1 / ([1]!ldfsir(xsldfs, ldf_ages, xsldf_type, xsldf_ret, Intro!$AB41, "Paid XS", Intro!$H41, cutoff, 3) * (9/12))</f>
        <v>9.2255300444981439E-2</v>
      </c>
      <c r="S40" s="610">
        <f ca="1">1 / ([1]!ldfsir(xsldfs, ldf_ages, xsldf_type, xsldf_ret, 'e1.2A'!$S$45, "Paid", Intro!$H41, cutoff, 3))</f>
        <v>0.30723471504861499</v>
      </c>
      <c r="T40" s="388">
        <f ca="1">(R41-Q40) / (1-Q40)</f>
        <v>2.5982757020751091E-2</v>
      </c>
      <c r="U40" s="388">
        <f t="shared" ca="1" si="11"/>
        <v>0.23682805827345249</v>
      </c>
      <c r="V40" s="570"/>
      <c r="W40" s="397">
        <f>Intro!AB41 / 2 + 6</f>
        <v>10.5</v>
      </c>
      <c r="X40" s="268" t="str">
        <f>Intro!AL41</f>
        <v>500K</v>
      </c>
      <c r="Y40" s="151">
        <f>'e1.3B'!U39</f>
        <v>8</v>
      </c>
      <c r="Z40" s="266">
        <f t="shared" ca="1" si="3"/>
        <v>0.81790402347522284</v>
      </c>
      <c r="AB40" s="489">
        <f ca="1">Intro!$AB$43 * 'e4.2'!$Z$38</f>
        <v>247435.50162207661</v>
      </c>
    </row>
    <row r="41" spans="1:28" x14ac:dyDescent="0.2">
      <c r="R41" s="610">
        <f ca="1">1 / ([1]!ldfsir(xsldfs, ldf_ages, xsldf_type, xsldf_ret, Intro!$AB41, "Paid XS", Intro!$H41, cutoff, 3))</f>
        <v>6.9191475333736083E-2</v>
      </c>
    </row>
    <row r="42" spans="1:28" x14ac:dyDescent="0.2">
      <c r="A42" s="268" t="s">
        <v>78</v>
      </c>
      <c r="C42" s="289">
        <f ca="1">SUM(C17:C40)</f>
        <v>3991670.60086009</v>
      </c>
      <c r="E42" s="289">
        <f ca="1">SUM(E17:E40)</f>
        <v>503669.33799141191</v>
      </c>
      <c r="G42" s="289">
        <f ca="1">SUM(G17:G40)</f>
        <v>3652958.2639500625</v>
      </c>
      <c r="I42" s="295">
        <f ca="1">K42/G42</f>
        <v>0.84668452907159908</v>
      </c>
      <c r="K42" s="289">
        <f ca="1">SUM(K17:K40)</f>
        <v>3092903.2474307646</v>
      </c>
      <c r="M42" s="289">
        <f ca="1">SUM(M17:M40)</f>
        <v>487083.3962544619</v>
      </c>
      <c r="O42" s="289">
        <f ca="1">SUM(O17:O40)</f>
        <v>3165874.8676956007</v>
      </c>
      <c r="Q42" s="616">
        <f ca="1">M42/G42</f>
        <v>0.13333943644014229</v>
      </c>
      <c r="R42" s="617" t="s">
        <v>737</v>
      </c>
    </row>
    <row r="43" spans="1:28" x14ac:dyDescent="0.2">
      <c r="Q43" s="616"/>
      <c r="R43" s="618"/>
    </row>
    <row r="44" spans="1:28" x14ac:dyDescent="0.2">
      <c r="A44" s="615" t="s">
        <v>736</v>
      </c>
      <c r="M44" s="609">
        <f ca="1">M42/ (1+disc_rate)^0.5</f>
        <v>479937.53123722132</v>
      </c>
      <c r="O44" s="609">
        <f ca="1">K42-M44</f>
        <v>2612965.7161935433</v>
      </c>
      <c r="Q44" s="616">
        <f ca="1">M44/$K$42</f>
        <v>0.15517379395424002</v>
      </c>
      <c r="R44" s="617" t="s">
        <v>737</v>
      </c>
    </row>
    <row r="47" spans="1:28" x14ac:dyDescent="0.2">
      <c r="A47" s="222" t="s">
        <v>83</v>
      </c>
    </row>
    <row r="48" spans="1:28" x14ac:dyDescent="0.2">
      <c r="A48" s="488" t="s">
        <v>703</v>
      </c>
    </row>
    <row r="49" spans="1:1" x14ac:dyDescent="0.2">
      <c r="A49" s="488" t="s">
        <v>704</v>
      </c>
    </row>
    <row r="50" spans="1:1" x14ac:dyDescent="0.2">
      <c r="A50" s="488" t="s">
        <v>705</v>
      </c>
    </row>
    <row r="51" spans="1:1" x14ac:dyDescent="0.2">
      <c r="A51" s="488" t="s">
        <v>706</v>
      </c>
    </row>
    <row r="52" spans="1:1" x14ac:dyDescent="0.2">
      <c r="A52" s="633" t="s">
        <v>743</v>
      </c>
    </row>
    <row r="53" spans="1:1" x14ac:dyDescent="0.2">
      <c r="A53" s="633" t="str">
        <f>'e7'!A81</f>
        <v>* Policy periods 1995/1996 through 2001/2002 are valued as of January 26, 2017.</v>
      </c>
    </row>
    <row r="54" spans="1:1" x14ac:dyDescent="0.2">
      <c r="A54" s="222" t="str">
        <f>"** Policy period "&amp;cpy_l&amp;" is adjusted for partial exposure as of "&amp;rtxt_l&amp;"."</f>
        <v>** Policy period 2018/19 is adjusted for partial exposure as of June 30, 2019.</v>
      </c>
    </row>
  </sheetData>
  <printOptions horizontalCentered="1"/>
  <pageMargins left="0.7" right="0.7" top="0.75" bottom="0.75" header="0.3" footer="0.3"/>
  <pageSetup scale="81" orientation="portrait" blackAndWhite="1" r:id="rId1"/>
  <headerFooter>
    <oddHeader xml:space="preserve">&amp;L&amp;"Arial"&amp;10  
  &amp;R&amp;"Arial"&amp;10  Exhibit 1
Sheet 2B
</oddHeader>
    <oddFooter xml:space="preserve">&amp;L&amp;"Arial"&amp;10 Oliver Wyman Actuarial Consulting, Inc.
&amp;C&amp;"Arial"&amp;10 &amp;R&amp;"Arial"&amp;10 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>
    <tabColor rgb="FFFFFF00"/>
    <pageSetUpPr fitToPage="1"/>
  </sheetPr>
  <dimension ref="A1:AM54"/>
  <sheetViews>
    <sheetView zoomScale="85" zoomScaleNormal="85" zoomScaleSheetLayoutView="85" workbookViewId="0"/>
  </sheetViews>
  <sheetFormatPr defaultColWidth="9" defaultRowHeight="12.75" x14ac:dyDescent="0.2"/>
  <cols>
    <col min="1" max="1" width="9" style="222"/>
    <col min="2" max="2" width="2.625" style="222" customWidth="1"/>
    <col min="3" max="3" width="9.5" style="222" customWidth="1"/>
    <col min="4" max="4" width="2.625" style="222" customWidth="1"/>
    <col min="5" max="5" width="10.375" style="222" bestFit="1" customWidth="1"/>
    <col min="6" max="6" width="2.625" style="222" customWidth="1"/>
    <col min="7" max="7" width="10.375" style="222" bestFit="1" customWidth="1"/>
    <col min="8" max="8" width="2.625" style="222" customWidth="1"/>
    <col min="9" max="9" width="10.375" style="222" bestFit="1" customWidth="1"/>
    <col min="10" max="10" width="2.625" style="222" customWidth="1"/>
    <col min="11" max="11" width="9.5" style="222" bestFit="1" customWidth="1"/>
    <col min="12" max="12" width="2.625" style="222" customWidth="1"/>
    <col min="13" max="13" width="9.5" style="222" bestFit="1" customWidth="1"/>
    <col min="14" max="14" width="2.625" style="222" customWidth="1"/>
    <col min="15" max="15" width="10.75" style="222" bestFit="1" customWidth="1"/>
    <col min="16" max="16" width="2.625" style="222" customWidth="1"/>
    <col min="17" max="17" width="9.125" style="222" customWidth="1"/>
    <col min="18" max="18" width="2.625" style="222" customWidth="1"/>
    <col min="19" max="19" width="10.375" style="222" bestFit="1" customWidth="1"/>
    <col min="20" max="20" width="2.625" style="222" customWidth="1"/>
    <col min="21" max="21" width="9" style="222"/>
    <col min="22" max="22" width="2.625" style="222" customWidth="1"/>
    <col min="23" max="23" width="10.375" style="222" bestFit="1" customWidth="1"/>
    <col min="24" max="24" width="2.625" style="222" customWidth="1"/>
    <col min="25" max="25" width="7.5" style="222" customWidth="1"/>
    <col min="26" max="26" width="7.75" style="222" customWidth="1"/>
    <col min="27" max="28" width="5.625" style="222" customWidth="1"/>
    <col min="29" max="29" width="2.625" style="222" customWidth="1"/>
    <col min="30" max="33" width="9" style="222"/>
    <col min="34" max="34" width="2.625" style="222" customWidth="1"/>
    <col min="35" max="16384" width="9" style="222"/>
  </cols>
  <sheetData>
    <row r="1" spans="1:39" x14ac:dyDescent="0.2">
      <c r="A1" s="1" t="str">
        <f>[1]!getlabels()</f>
        <v>Exhibit 1, Sheet 3A</v>
      </c>
    </row>
    <row r="2" spans="1:39" ht="22.5" x14ac:dyDescent="0.45">
      <c r="A2" s="78" t="str">
        <f>client</f>
        <v>CLIENT XYZ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</row>
    <row r="3" spans="1:39" ht="15" x14ac:dyDescent="0.2">
      <c r="A3" s="80" t="str">
        <f>tit</f>
        <v>Analysis of Unpaid Loss &amp; ALAE as of June 30, 2019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</row>
    <row r="4" spans="1:39" ht="15" x14ac:dyDescent="0.2">
      <c r="A4" s="80" t="str">
        <f>cov</f>
        <v>Workers Compensation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</row>
    <row r="5" spans="1:39" ht="15" x14ac:dyDescent="0.2">
      <c r="A5" s="80" t="str">
        <f>"Data Evaluated as of "&amp;ctxt_l</f>
        <v>Data Evaluated as of April 30, 2019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</row>
    <row r="6" spans="1:39" x14ac:dyDescent="0.2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</row>
    <row r="7" spans="1:39" x14ac:dyDescent="0.2">
      <c r="A7" s="224" t="str">
        <f>"Summary of Retained Unpaid Loss &amp; ALAE as of "&amp;ctxt_l</f>
        <v>Summary of Retained Unpaid Loss &amp; ALAE as of April 30, 2019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</row>
    <row r="8" spans="1:39" x14ac:dyDescent="0.2">
      <c r="W8" s="285"/>
    </row>
    <row r="9" spans="1:39" x14ac:dyDescent="0.2">
      <c r="W9" s="285" t="s">
        <v>534</v>
      </c>
    </row>
    <row r="10" spans="1:39" x14ac:dyDescent="0.2">
      <c r="E10" s="301" t="str">
        <f>"After Aggregate Adjusted Retained Loss &amp; ALAE as of "&amp;ctxt_l</f>
        <v>After Aggregate Adjusted Retained Loss &amp; ALAE as of April 30, 2019</v>
      </c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Q10" s="268" t="s">
        <v>347</v>
      </c>
      <c r="U10" s="342"/>
      <c r="W10" s="398" t="s">
        <v>423</v>
      </c>
    </row>
    <row r="11" spans="1:39" x14ac:dyDescent="0.2">
      <c r="A11" s="285" t="str">
        <f>Intro!M9</f>
        <v>Policy</v>
      </c>
      <c r="O11" s="285" t="s">
        <v>78</v>
      </c>
      <c r="Q11" s="268" t="s">
        <v>633</v>
      </c>
      <c r="S11" s="285" t="s">
        <v>78</v>
      </c>
      <c r="U11" s="370" t="s">
        <v>532</v>
      </c>
      <c r="W11" s="370" t="s">
        <v>468</v>
      </c>
    </row>
    <row r="12" spans="1:39" x14ac:dyDescent="0.2">
      <c r="A12" s="285" t="str">
        <f>Intro!M10</f>
        <v>Period</v>
      </c>
      <c r="C12" s="399" t="s">
        <v>20</v>
      </c>
      <c r="E12" s="285" t="s">
        <v>105</v>
      </c>
      <c r="G12" s="285"/>
      <c r="I12" s="285"/>
      <c r="K12" s="285" t="s">
        <v>74</v>
      </c>
      <c r="M12" s="285" t="s">
        <v>191</v>
      </c>
      <c r="O12" s="285" t="s">
        <v>468</v>
      </c>
      <c r="Q12" s="268" t="s">
        <v>229</v>
      </c>
      <c r="S12" s="285" t="s">
        <v>468</v>
      </c>
      <c r="U12" s="370" t="s">
        <v>533</v>
      </c>
      <c r="W12" s="342" t="s">
        <v>334</v>
      </c>
      <c r="Y12" s="285" t="str">
        <f>ctxt</f>
        <v>4/30/19</v>
      </c>
      <c r="AE12" s="409" t="s">
        <v>571</v>
      </c>
      <c r="AF12" s="301"/>
      <c r="AG12" s="301"/>
    </row>
    <row r="13" spans="1:39" x14ac:dyDescent="0.2">
      <c r="A13" s="251" t="str">
        <f>Intro!M11</f>
        <v>Ending 9/30</v>
      </c>
      <c r="C13" s="400" t="s">
        <v>90</v>
      </c>
      <c r="E13" s="251" t="s">
        <v>245</v>
      </c>
      <c r="G13" s="251" t="s">
        <v>71</v>
      </c>
      <c r="I13" s="251" t="s">
        <v>75</v>
      </c>
      <c r="K13" s="251" t="s">
        <v>76</v>
      </c>
      <c r="M13" s="251" t="s">
        <v>76</v>
      </c>
      <c r="O13" s="436" t="s">
        <v>8</v>
      </c>
      <c r="Q13" s="251" t="s">
        <v>634</v>
      </c>
      <c r="S13" s="436" t="s">
        <v>635</v>
      </c>
      <c r="U13" s="395">
        <f>disc_rate</f>
        <v>0.03</v>
      </c>
      <c r="W13" s="343" t="str">
        <f>ctxt</f>
        <v>4/30/19</v>
      </c>
      <c r="Y13" s="343" t="s">
        <v>553</v>
      </c>
      <c r="Z13" s="343" t="s">
        <v>15</v>
      </c>
      <c r="AA13" s="343" t="s">
        <v>408</v>
      </c>
      <c r="AB13" s="343" t="s">
        <v>552</v>
      </c>
      <c r="AE13" s="410" t="s">
        <v>409</v>
      </c>
      <c r="AF13" s="410" t="s">
        <v>93</v>
      </c>
      <c r="AG13" s="410" t="s">
        <v>75</v>
      </c>
      <c r="AI13" s="409" t="s">
        <v>270</v>
      </c>
      <c r="AJ13" s="301"/>
      <c r="AK13" s="301"/>
    </row>
    <row r="14" spans="1:39" x14ac:dyDescent="0.2">
      <c r="C14" s="406" t="s">
        <v>424</v>
      </c>
      <c r="E14" s="407" t="s">
        <v>425</v>
      </c>
      <c r="G14" s="288">
        <v>2</v>
      </c>
      <c r="I14" s="288">
        <f>G14+1</f>
        <v>3</v>
      </c>
      <c r="K14" s="288">
        <f>I14+1</f>
        <v>4</v>
      </c>
      <c r="M14" s="288">
        <f>K14+1</f>
        <v>5</v>
      </c>
      <c r="O14" s="288">
        <f>M14+1</f>
        <v>6</v>
      </c>
      <c r="Q14" s="288">
        <f>O14+1</f>
        <v>7</v>
      </c>
      <c r="S14" s="288">
        <f>Q14+1</f>
        <v>8</v>
      </c>
      <c r="U14" s="288">
        <f>S14+1</f>
        <v>9</v>
      </c>
      <c r="W14" s="288">
        <f>U14+1</f>
        <v>10</v>
      </c>
    </row>
    <row r="16" spans="1:39" x14ac:dyDescent="0.2">
      <c r="A16" s="268">
        <f>Intro!C18</f>
        <v>1996</v>
      </c>
      <c r="C16" s="289">
        <f>Intro!I18</f>
        <v>1066389</v>
      </c>
      <c r="E16" s="389">
        <f>MIN($C16, 'e2.1'!U18)</f>
        <v>683326</v>
      </c>
      <c r="G16" s="389">
        <f>MIN($C16, 'e2.1'!M18)</f>
        <v>683326</v>
      </c>
      <c r="I16" s="389">
        <f>MIN($C16, 'e2.1'!O18)</f>
        <v>683326</v>
      </c>
      <c r="K16" s="289">
        <f>G16-I16</f>
        <v>0</v>
      </c>
      <c r="M16" s="289">
        <f>E16-G16</f>
        <v>0</v>
      </c>
      <c r="O16" s="289">
        <f>M16+K16</f>
        <v>0</v>
      </c>
      <c r="Q16" s="249">
        <v>0</v>
      </c>
      <c r="S16" s="289">
        <f>O16+Q16</f>
        <v>0</v>
      </c>
      <c r="U16" s="324">
        <f ca="1">IFERROR(W16/O16, AB16)</f>
        <v>0.98532927816429228</v>
      </c>
      <c r="V16" s="294"/>
      <c r="W16" s="401">
        <f ca="1">HLOOKUP($A16, 'Agg Disc'!$C$34:$O$36, 2, FALSE)</f>
        <v>0</v>
      </c>
      <c r="Y16" s="419">
        <f>'e1.3B'!S16</f>
        <v>283</v>
      </c>
      <c r="Z16" s="268" t="str">
        <f>Intro!AL18</f>
        <v>250K</v>
      </c>
      <c r="AA16" s="151">
        <f t="shared" ref="AA16:AA39" si="0">MATCH(Z16, disccols, 0)</f>
        <v>6</v>
      </c>
      <c r="AB16" s="266">
        <f t="shared" ref="AB16:AB39" ca="1" si="1">VLOOKUP(Y16, discs, AA16, FALSE)</f>
        <v>0.98532927816429228</v>
      </c>
      <c r="AD16" s="290"/>
      <c r="AE16" s="290">
        <f>'e2.1'!U18-E16</f>
        <v>0</v>
      </c>
      <c r="AF16" s="290">
        <f>'e2.1'!M18-G16</f>
        <v>0</v>
      </c>
      <c r="AG16" s="290">
        <f>'e2.1'!O18-I16</f>
        <v>0</v>
      </c>
      <c r="AI16" s="222" t="b">
        <f>AE16='e2.1'!AP18</f>
        <v>1</v>
      </c>
      <c r="AJ16" s="222" t="b">
        <f>AF16='e2.1'!AQ18</f>
        <v>1</v>
      </c>
      <c r="AK16" s="222" t="b">
        <f>AG16='e2.1'!AR18</f>
        <v>1</v>
      </c>
      <c r="AM16" s="289"/>
    </row>
    <row r="17" spans="1:39" x14ac:dyDescent="0.2">
      <c r="A17" s="268">
        <f>Intro!C19</f>
        <v>1997</v>
      </c>
      <c r="C17" s="290">
        <f>Intro!I19</f>
        <v>1660996</v>
      </c>
      <c r="E17" s="304">
        <f>MIN($C17, 'e2.1'!U19)</f>
        <v>1337604</v>
      </c>
      <c r="G17" s="304">
        <f>MIN($C17, 'e2.1'!M19)</f>
        <v>1337604</v>
      </c>
      <c r="H17" s="290"/>
      <c r="I17" s="304">
        <f>MIN($C17, 'e2.1'!O19)</f>
        <v>1337604</v>
      </c>
      <c r="K17" s="291">
        <f t="shared" ref="K17:K39" si="2">G17-I17</f>
        <v>0</v>
      </c>
      <c r="M17" s="290">
        <f t="shared" ref="M17:M37" si="3">E17-G17</f>
        <v>0</v>
      </c>
      <c r="O17" s="291">
        <f t="shared" ref="O17:O39" si="4">M17+K17</f>
        <v>0</v>
      </c>
      <c r="Q17" s="235">
        <v>0</v>
      </c>
      <c r="S17" s="291">
        <f t="shared" ref="S17:S39" si="5">O17+Q17</f>
        <v>0</v>
      </c>
      <c r="U17" s="324">
        <f t="shared" ref="U17:U22" ca="1" si="6">IFERROR(W17/O17, AB17)</f>
        <v>0.97512255912012513</v>
      </c>
      <c r="V17" s="294"/>
      <c r="W17" s="309">
        <f ca="1">HLOOKUP($A17, 'Agg Disc'!$C$34:$O$36, 2, FALSE)</f>
        <v>0</v>
      </c>
      <c r="Y17" s="419">
        <f>'e1.3B'!S17</f>
        <v>271</v>
      </c>
      <c r="Z17" s="268" t="str">
        <f>Intro!AL19</f>
        <v>250K</v>
      </c>
      <c r="AA17" s="151">
        <f t="shared" si="0"/>
        <v>6</v>
      </c>
      <c r="AB17" s="266">
        <f t="shared" ca="1" si="1"/>
        <v>0.97512255912012513</v>
      </c>
      <c r="AD17" s="290"/>
      <c r="AE17" s="290">
        <f>'e2.1'!U19-E17</f>
        <v>0</v>
      </c>
      <c r="AF17" s="290">
        <f>'e2.1'!M19-G17</f>
        <v>0</v>
      </c>
      <c r="AG17" s="290">
        <f>'e2.1'!O19-I17</f>
        <v>0</v>
      </c>
      <c r="AI17" s="222" t="b">
        <f>AE17='e2.1'!AP19</f>
        <v>1</v>
      </c>
      <c r="AJ17" s="222" t="b">
        <f>AF17='e2.1'!AQ19</f>
        <v>1</v>
      </c>
      <c r="AK17" s="222" t="b">
        <f>AG17='e2.1'!AR19</f>
        <v>1</v>
      </c>
      <c r="AM17" s="289"/>
    </row>
    <row r="18" spans="1:39" x14ac:dyDescent="0.2">
      <c r="A18" s="268">
        <f>Intro!C20</f>
        <v>1998</v>
      </c>
      <c r="C18" s="290">
        <f>Intro!I20</f>
        <v>2412000</v>
      </c>
      <c r="E18" s="304">
        <f>MIN($C18, 'e2.1'!U20)</f>
        <v>2412000</v>
      </c>
      <c r="G18" s="304">
        <f>MIN($C18, 'e2.1'!M20)</f>
        <v>2412000</v>
      </c>
      <c r="H18" s="290"/>
      <c r="I18" s="304">
        <f>MIN($C18, 'e2.1'!O20)</f>
        <v>2412000</v>
      </c>
      <c r="K18" s="291">
        <f t="shared" si="2"/>
        <v>0</v>
      </c>
      <c r="M18" s="290">
        <f t="shared" si="3"/>
        <v>0</v>
      </c>
      <c r="O18" s="291">
        <f t="shared" si="4"/>
        <v>0</v>
      </c>
      <c r="Q18" s="235">
        <v>0</v>
      </c>
      <c r="S18" s="291">
        <f t="shared" si="5"/>
        <v>0</v>
      </c>
      <c r="U18" s="324">
        <f t="shared" ca="1" si="6"/>
        <v>0.95286350092386163</v>
      </c>
      <c r="V18" s="294"/>
      <c r="W18" s="309">
        <f ca="1">HLOOKUP($A18, 'Agg Disc'!$C$34:$O$36, 2, FALSE)</f>
        <v>0</v>
      </c>
      <c r="Y18" s="419">
        <f>'e1.3B'!S18</f>
        <v>259</v>
      </c>
      <c r="Z18" s="268" t="str">
        <f>Intro!AL20</f>
        <v>250K</v>
      </c>
      <c r="AA18" s="151">
        <f t="shared" si="0"/>
        <v>6</v>
      </c>
      <c r="AB18" s="266">
        <f t="shared" ca="1" si="1"/>
        <v>0.95286350092386163</v>
      </c>
      <c r="AD18" s="290"/>
      <c r="AE18" s="290">
        <f>'e2.1'!U20-E18</f>
        <v>191276.87980256137</v>
      </c>
      <c r="AF18" s="290">
        <f>'e2.1'!M20-G18</f>
        <v>181680.71999999974</v>
      </c>
      <c r="AG18" s="290">
        <f>'e2.1'!O20-I18</f>
        <v>172955.16999999993</v>
      </c>
      <c r="AI18" s="222" t="b">
        <f>AE18='e2.1'!AP20</f>
        <v>1</v>
      </c>
      <c r="AJ18" s="222" t="b">
        <f>AF18='e2.1'!AQ20</f>
        <v>1</v>
      </c>
      <c r="AK18" s="222" t="b">
        <f>AG18='e2.1'!AR20</f>
        <v>1</v>
      </c>
      <c r="AM18" s="289"/>
    </row>
    <row r="19" spans="1:39" x14ac:dyDescent="0.2">
      <c r="A19" s="268">
        <f>Intro!C21</f>
        <v>1999</v>
      </c>
      <c r="C19" s="290">
        <f>Intro!I21</f>
        <v>2371069</v>
      </c>
      <c r="E19" s="304">
        <f>MIN($C19, 'e2.1'!U21)</f>
        <v>2371069</v>
      </c>
      <c r="G19" s="304">
        <f>MIN($C19, 'e2.1'!M21)</f>
        <v>2371069</v>
      </c>
      <c r="H19" s="290"/>
      <c r="I19" s="304">
        <f>MIN($C19, 'e2.1'!O21)</f>
        <v>2371069</v>
      </c>
      <c r="K19" s="291">
        <f t="shared" si="2"/>
        <v>0</v>
      </c>
      <c r="M19" s="290">
        <f t="shared" si="3"/>
        <v>0</v>
      </c>
      <c r="O19" s="291">
        <f t="shared" si="4"/>
        <v>0</v>
      </c>
      <c r="Q19" s="235">
        <v>0</v>
      </c>
      <c r="S19" s="291">
        <f t="shared" si="5"/>
        <v>0</v>
      </c>
      <c r="U19" s="324">
        <f t="shared" ca="1" si="6"/>
        <v>0.93466828770736687</v>
      </c>
      <c r="V19" s="294"/>
      <c r="W19" s="309">
        <f ca="1">HLOOKUP($A19, 'Agg Disc'!$C$34:$O$36, 2, FALSE)</f>
        <v>0</v>
      </c>
      <c r="Y19" s="419">
        <f>'e1.3B'!S19</f>
        <v>247</v>
      </c>
      <c r="Z19" s="268" t="str">
        <f>Intro!AL21</f>
        <v>250K</v>
      </c>
      <c r="AA19" s="151">
        <f t="shared" si="0"/>
        <v>6</v>
      </c>
      <c r="AB19" s="266">
        <f t="shared" ca="1" si="1"/>
        <v>0.93466828770736687</v>
      </c>
      <c r="AD19" s="290"/>
      <c r="AE19" s="290">
        <f>'e2.1'!U21-E19</f>
        <v>279107.9452059255</v>
      </c>
      <c r="AF19" s="290">
        <f>'e2.1'!M21-G19</f>
        <v>269312.79999999981</v>
      </c>
      <c r="AG19" s="290">
        <f>'e2.1'!O21-I19</f>
        <v>177782.29000000004</v>
      </c>
      <c r="AI19" s="222" t="b">
        <f>AE19='e2.1'!AP21</f>
        <v>1</v>
      </c>
      <c r="AJ19" s="222" t="b">
        <f>AF19='e2.1'!AQ21</f>
        <v>1</v>
      </c>
      <c r="AK19" s="222" t="b">
        <f>AG19='e2.1'!AR21</f>
        <v>1</v>
      </c>
      <c r="AM19" s="289"/>
    </row>
    <row r="20" spans="1:39" x14ac:dyDescent="0.2">
      <c r="A20" s="268">
        <f>Intro!C22</f>
        <v>2000</v>
      </c>
      <c r="C20" s="290">
        <f>Intro!I22</f>
        <v>1985102</v>
      </c>
      <c r="E20" s="304">
        <f>MIN($C20, 'e2.1'!U22)</f>
        <v>1985102</v>
      </c>
      <c r="G20" s="304">
        <f>MIN($C20, 'e2.1'!M22)</f>
        <v>1985102</v>
      </c>
      <c r="H20" s="290"/>
      <c r="I20" s="304">
        <f>MIN($C20, 'e2.1'!O22)</f>
        <v>1985102</v>
      </c>
      <c r="K20" s="291">
        <f t="shared" si="2"/>
        <v>0</v>
      </c>
      <c r="M20" s="290">
        <f t="shared" si="3"/>
        <v>0</v>
      </c>
      <c r="O20" s="291">
        <f t="shared" si="4"/>
        <v>0</v>
      </c>
      <c r="Q20" s="235">
        <v>0</v>
      </c>
      <c r="S20" s="291">
        <f t="shared" si="5"/>
        <v>0</v>
      </c>
      <c r="U20" s="324">
        <f t="shared" ca="1" si="6"/>
        <v>0.9197894752281065</v>
      </c>
      <c r="V20" s="294"/>
      <c r="W20" s="309">
        <f ca="1">HLOOKUP($A20, 'Agg Disc'!$C$34:$O$36, 2, FALSE)</f>
        <v>0</v>
      </c>
      <c r="Y20" s="419">
        <f>'e1.3B'!S20</f>
        <v>235</v>
      </c>
      <c r="Z20" s="268" t="str">
        <f>Intro!AL22</f>
        <v>250K</v>
      </c>
      <c r="AA20" s="151">
        <f t="shared" si="0"/>
        <v>6</v>
      </c>
      <c r="AB20" s="266">
        <f t="shared" ca="1" si="1"/>
        <v>0.9197894752281065</v>
      </c>
      <c r="AD20" s="290"/>
      <c r="AE20" s="290">
        <f>'e2.1'!U22-E20</f>
        <v>413153.83064152393</v>
      </c>
      <c r="AF20" s="290">
        <f>'e2.1'!M22-G20</f>
        <v>385383.2200000002</v>
      </c>
      <c r="AG20" s="290">
        <f>'e2.1'!O22-I20</f>
        <v>329185.93999999994</v>
      </c>
      <c r="AI20" s="222" t="b">
        <f>AE20='e2.1'!AP22</f>
        <v>1</v>
      </c>
      <c r="AJ20" s="222" t="b">
        <f>AF20='e2.1'!AQ22</f>
        <v>1</v>
      </c>
      <c r="AK20" s="222" t="b">
        <f>AG20='e2.1'!AR22</f>
        <v>1</v>
      </c>
      <c r="AM20" s="289"/>
    </row>
    <row r="21" spans="1:39" x14ac:dyDescent="0.2">
      <c r="A21" s="268">
        <f>Intro!C23</f>
        <v>2001</v>
      </c>
      <c r="C21" s="290">
        <f>Intro!I23</f>
        <v>2121632</v>
      </c>
      <c r="E21" s="304">
        <f>MIN($C21, 'e2.1'!U23)</f>
        <v>1349446.97</v>
      </c>
      <c r="G21" s="304">
        <f>MIN($C21, 'e2.1'!M23)</f>
        <v>1349446.97</v>
      </c>
      <c r="H21" s="290"/>
      <c r="I21" s="304">
        <f>MIN($C21, 'e2.1'!O23)</f>
        <v>1349346.97</v>
      </c>
      <c r="K21" s="291">
        <f t="shared" si="2"/>
        <v>100</v>
      </c>
      <c r="M21" s="290">
        <f t="shared" si="3"/>
        <v>0</v>
      </c>
      <c r="O21" s="291">
        <f t="shared" si="4"/>
        <v>100</v>
      </c>
      <c r="Q21" s="235">
        <v>0</v>
      </c>
      <c r="S21" s="291">
        <f t="shared" si="5"/>
        <v>100</v>
      </c>
      <c r="U21" s="324">
        <f t="shared" ca="1" si="6"/>
        <v>0.90761581128712754</v>
      </c>
      <c r="V21" s="294"/>
      <c r="W21" s="309">
        <f ca="1">HLOOKUP($A21, 'Agg Disc'!$C$34:$O$36, 2, FALSE)</f>
        <v>90.761581128712749</v>
      </c>
      <c r="Y21" s="419">
        <f>'e1.3B'!S21</f>
        <v>223</v>
      </c>
      <c r="Z21" s="268" t="str">
        <f>Intro!AL23</f>
        <v>250K</v>
      </c>
      <c r="AA21" s="151">
        <f t="shared" si="0"/>
        <v>6</v>
      </c>
      <c r="AB21" s="266">
        <f t="shared" ca="1" si="1"/>
        <v>0.90761581128712743</v>
      </c>
      <c r="AD21" s="290"/>
      <c r="AE21" s="290">
        <f>'e2.1'!U23-E21</f>
        <v>0</v>
      </c>
      <c r="AF21" s="290">
        <f>'e2.1'!M23-G21</f>
        <v>0</v>
      </c>
      <c r="AG21" s="290">
        <f>'e2.1'!O23-I21</f>
        <v>0</v>
      </c>
      <c r="AI21" s="222" t="b">
        <f>AE21='e2.1'!AP23</f>
        <v>1</v>
      </c>
      <c r="AJ21" s="222" t="b">
        <f>AF21='e2.1'!AQ23</f>
        <v>1</v>
      </c>
      <c r="AK21" s="222" t="b">
        <f>AG21='e2.1'!AR23</f>
        <v>1</v>
      </c>
      <c r="AM21" s="289"/>
    </row>
    <row r="22" spans="1:39" x14ac:dyDescent="0.2">
      <c r="A22" s="268">
        <f>Intro!C24</f>
        <v>2002</v>
      </c>
      <c r="C22" s="290">
        <f>Intro!I24</f>
        <v>2896730</v>
      </c>
      <c r="E22" s="304">
        <f>MIN($C22, 'e2.1'!U24)</f>
        <v>2896730</v>
      </c>
      <c r="G22" s="304">
        <f>MIN($C22, 'e2.1'!M24)</f>
        <v>2896730</v>
      </c>
      <c r="H22" s="290"/>
      <c r="I22" s="304">
        <f>MIN($C22, 'e2.1'!O24)</f>
        <v>2761132.9899999998</v>
      </c>
      <c r="K22" s="291">
        <f t="shared" si="2"/>
        <v>135597.01000000024</v>
      </c>
      <c r="M22" s="290">
        <f t="shared" si="3"/>
        <v>0</v>
      </c>
      <c r="O22" s="291">
        <f t="shared" si="4"/>
        <v>135597.01000000024</v>
      </c>
      <c r="Q22" s="235">
        <v>0</v>
      </c>
      <c r="S22" s="291">
        <f t="shared" si="5"/>
        <v>135597.01000000024</v>
      </c>
      <c r="U22" s="324">
        <f t="shared" ca="1" si="6"/>
        <v>0.94959491113078454</v>
      </c>
      <c r="V22" s="294"/>
      <c r="W22" s="309">
        <f ca="1">HLOOKUP($A22, 'Agg Disc'!$C$34:$O$36, 2, FALSE)</f>
        <v>128762.23066055033</v>
      </c>
      <c r="Y22" s="419">
        <f>'e1.3B'!S22</f>
        <v>211</v>
      </c>
      <c r="Z22" s="268" t="str">
        <f>Intro!AL24</f>
        <v>250K</v>
      </c>
      <c r="AA22" s="151">
        <f t="shared" si="0"/>
        <v>6</v>
      </c>
      <c r="AB22" s="266">
        <f t="shared" ca="1" si="1"/>
        <v>0.89764724236490068</v>
      </c>
      <c r="AD22" s="290"/>
      <c r="AE22" s="290">
        <f>'e2.1'!U24-E22</f>
        <v>139848.81227470189</v>
      </c>
      <c r="AF22" s="290">
        <f>'e2.1'!M24-G22</f>
        <v>57778.649999999907</v>
      </c>
      <c r="AG22" s="290">
        <f>'e2.1'!O24-I22</f>
        <v>0</v>
      </c>
      <c r="AI22" s="222" t="b">
        <f>AE22='e2.1'!AP24</f>
        <v>1</v>
      </c>
      <c r="AJ22" s="222" t="b">
        <f>AF22='e2.1'!AQ24</f>
        <v>1</v>
      </c>
      <c r="AK22" s="222" t="b">
        <f>AG22='e2.1'!AR24</f>
        <v>1</v>
      </c>
      <c r="AM22" s="289"/>
    </row>
    <row r="23" spans="1:39" x14ac:dyDescent="0.2">
      <c r="A23" s="268">
        <f>Intro!C25</f>
        <v>2003</v>
      </c>
      <c r="C23" s="402" t="str">
        <f>Intro!I25</f>
        <v xml:space="preserve">na </v>
      </c>
      <c r="E23" s="290">
        <f ca="1">'e2.1'!U25</f>
        <v>1243025.0200000005</v>
      </c>
      <c r="G23" s="290">
        <f>'e2.1'!M25</f>
        <v>1243025.0200000005</v>
      </c>
      <c r="H23" s="290"/>
      <c r="I23" s="290">
        <f>'e2.1'!O25</f>
        <v>1243025.0200000005</v>
      </c>
      <c r="K23" s="291">
        <f t="shared" si="2"/>
        <v>0</v>
      </c>
      <c r="M23" s="290">
        <f t="shared" ca="1" si="3"/>
        <v>0</v>
      </c>
      <c r="O23" s="291">
        <f t="shared" ca="1" si="4"/>
        <v>0</v>
      </c>
      <c r="Q23" s="235">
        <v>0</v>
      </c>
      <c r="S23" s="291">
        <f t="shared" ca="1" si="5"/>
        <v>0</v>
      </c>
      <c r="U23" s="295">
        <f t="shared" ref="U23:U39" ca="1" si="7">AB23</f>
        <v>0.88947446304503652</v>
      </c>
      <c r="W23" s="290">
        <f ca="1">S23*U23</f>
        <v>0</v>
      </c>
      <c r="Y23" s="571">
        <f>Intro!AA25</f>
        <v>199</v>
      </c>
      <c r="Z23" s="268" t="str">
        <f>Intro!AL25</f>
        <v>250K</v>
      </c>
      <c r="AA23" s="151">
        <f t="shared" si="0"/>
        <v>6</v>
      </c>
      <c r="AB23" s="266">
        <f t="shared" ca="1" si="1"/>
        <v>0.88947446304503652</v>
      </c>
    </row>
    <row r="24" spans="1:39" x14ac:dyDescent="0.2">
      <c r="A24" s="268">
        <f>Intro!C26</f>
        <v>2004</v>
      </c>
      <c r="C24" s="402" t="str">
        <f>Intro!I26</f>
        <v xml:space="preserve">na </v>
      </c>
      <c r="E24" s="290">
        <f ca="1">'e2.1'!U26</f>
        <v>2426504.272478655</v>
      </c>
      <c r="G24" s="290">
        <f>'e2.1'!M26</f>
        <v>2385205.2599999993</v>
      </c>
      <c r="H24" s="290"/>
      <c r="I24" s="290">
        <f>'e2.1'!O26</f>
        <v>2359249.2899999996</v>
      </c>
      <c r="K24" s="291">
        <f t="shared" si="2"/>
        <v>25955.969999999739</v>
      </c>
      <c r="M24" s="290">
        <f t="shared" ca="1" si="3"/>
        <v>41299.01247865567</v>
      </c>
      <c r="O24" s="291">
        <f t="shared" ca="1" si="4"/>
        <v>67254.982478655409</v>
      </c>
      <c r="Q24" s="235">
        <v>0</v>
      </c>
      <c r="S24" s="291">
        <f t="shared" ca="1" si="5"/>
        <v>67254.982478655409</v>
      </c>
      <c r="U24" s="295">
        <f t="shared" ca="1" si="7"/>
        <v>0.87325362473217316</v>
      </c>
      <c r="W24" s="290">
        <f t="shared" ref="W24:W39" ca="1" si="8">S24*U24</f>
        <v>58730.657230784629</v>
      </c>
      <c r="Y24" s="571">
        <f>Intro!AA26</f>
        <v>187</v>
      </c>
      <c r="Z24" s="268" t="str">
        <f>Intro!AL26</f>
        <v>350K</v>
      </c>
      <c r="AA24" s="151">
        <f t="shared" si="0"/>
        <v>5</v>
      </c>
      <c r="AB24" s="266">
        <f t="shared" ca="1" si="1"/>
        <v>0.87325362473217316</v>
      </c>
    </row>
    <row r="25" spans="1:39" x14ac:dyDescent="0.2">
      <c r="A25" s="268">
        <f>Intro!C27</f>
        <v>2005</v>
      </c>
      <c r="C25" s="402" t="str">
        <f>Intro!I27</f>
        <v xml:space="preserve">na </v>
      </c>
      <c r="E25" s="290">
        <f ca="1">'e2.1'!U27</f>
        <v>699839.89000000025</v>
      </c>
      <c r="G25" s="290">
        <f>'e2.1'!M27</f>
        <v>699839.89000000025</v>
      </c>
      <c r="H25" s="290"/>
      <c r="I25" s="290">
        <f>'e2.1'!O27</f>
        <v>699839.89000000025</v>
      </c>
      <c r="K25" s="291">
        <f t="shared" si="2"/>
        <v>0</v>
      </c>
      <c r="M25" s="290">
        <f t="shared" ca="1" si="3"/>
        <v>0</v>
      </c>
      <c r="O25" s="291">
        <f t="shared" ca="1" si="4"/>
        <v>0</v>
      </c>
      <c r="Q25" s="364">
        <f ca="1">0.1 * ('e2.3'!U27 - 'e2.3'!O27)</f>
        <v>0</v>
      </c>
      <c r="S25" s="291">
        <f t="shared" ca="1" si="5"/>
        <v>0</v>
      </c>
      <c r="U25" s="295">
        <f t="shared" ca="1" si="7"/>
        <v>0.86667390728882343</v>
      </c>
      <c r="W25" s="290">
        <f t="shared" ca="1" si="8"/>
        <v>0</v>
      </c>
      <c r="Y25" s="571">
        <f>Intro!AA27</f>
        <v>175</v>
      </c>
      <c r="Z25" s="268" t="str">
        <f>Intro!AL27</f>
        <v>350K</v>
      </c>
      <c r="AA25" s="151">
        <f t="shared" si="0"/>
        <v>5</v>
      </c>
      <c r="AB25" s="266">
        <f t="shared" ca="1" si="1"/>
        <v>0.86667390728882343</v>
      </c>
    </row>
    <row r="26" spans="1:39" x14ac:dyDescent="0.2">
      <c r="A26" s="268">
        <f>Intro!C28</f>
        <v>2006</v>
      </c>
      <c r="C26" s="402" t="str">
        <f>Intro!I28</f>
        <v xml:space="preserve">na </v>
      </c>
      <c r="E26" s="290">
        <f ca="1">'e2.1'!U28</f>
        <v>2005481.3700000008</v>
      </c>
      <c r="G26" s="290">
        <f>'e2.1'!M28</f>
        <v>2005481.3700000008</v>
      </c>
      <c r="H26" s="290"/>
      <c r="I26" s="290">
        <f>'e2.1'!O28</f>
        <v>2005481.3700000008</v>
      </c>
      <c r="K26" s="291">
        <f t="shared" si="2"/>
        <v>0</v>
      </c>
      <c r="M26" s="290">
        <f t="shared" ca="1" si="3"/>
        <v>0</v>
      </c>
      <c r="O26" s="291">
        <f t="shared" ca="1" si="4"/>
        <v>0</v>
      </c>
      <c r="Q26" s="235">
        <v>0</v>
      </c>
      <c r="S26" s="291">
        <f t="shared" ca="1" si="5"/>
        <v>0</v>
      </c>
      <c r="U26" s="295">
        <f t="shared" ca="1" si="7"/>
        <v>0.86131059070963667</v>
      </c>
      <c r="W26" s="290">
        <f t="shared" ca="1" si="8"/>
        <v>0</v>
      </c>
      <c r="Y26" s="571">
        <f>Intro!AA28</f>
        <v>163</v>
      </c>
      <c r="Z26" s="268" t="str">
        <f>Intro!AL28</f>
        <v>350K</v>
      </c>
      <c r="AA26" s="151">
        <f t="shared" si="0"/>
        <v>5</v>
      </c>
      <c r="AB26" s="266">
        <f t="shared" ca="1" si="1"/>
        <v>0.86131059070963667</v>
      </c>
    </row>
    <row r="27" spans="1:39" x14ac:dyDescent="0.2">
      <c r="A27" s="268">
        <f>Intro!C29</f>
        <v>2007</v>
      </c>
      <c r="C27" s="402" t="str">
        <f>Intro!I29</f>
        <v xml:space="preserve">na </v>
      </c>
      <c r="E27" s="290">
        <f ca="1">'e2.1'!U29</f>
        <v>1099670.4199999997</v>
      </c>
      <c r="G27" s="290">
        <f>'e2.1'!M29</f>
        <v>1099670.4199999997</v>
      </c>
      <c r="H27" s="290"/>
      <c r="I27" s="290">
        <f>'e2.1'!O29</f>
        <v>1099670.4199999997</v>
      </c>
      <c r="K27" s="291">
        <f t="shared" si="2"/>
        <v>0</v>
      </c>
      <c r="M27" s="290">
        <f t="shared" ca="1" si="3"/>
        <v>0</v>
      </c>
      <c r="O27" s="291">
        <f t="shared" ca="1" si="4"/>
        <v>0</v>
      </c>
      <c r="Q27" s="235">
        <v>0</v>
      </c>
      <c r="S27" s="291">
        <f t="shared" ca="1" si="5"/>
        <v>0</v>
      </c>
      <c r="U27" s="295">
        <f t="shared" ca="1" si="7"/>
        <v>0.85614330444736519</v>
      </c>
      <c r="W27" s="290">
        <f t="shared" ca="1" si="8"/>
        <v>0</v>
      </c>
      <c r="Y27" s="571">
        <f>Intro!AA29</f>
        <v>151</v>
      </c>
      <c r="Z27" s="268" t="str">
        <f>Intro!AL29</f>
        <v>350K</v>
      </c>
      <c r="AA27" s="151">
        <f t="shared" si="0"/>
        <v>5</v>
      </c>
      <c r="AB27" s="266">
        <f t="shared" ca="1" si="1"/>
        <v>0.85614330444736519</v>
      </c>
    </row>
    <row r="28" spans="1:39" x14ac:dyDescent="0.2">
      <c r="A28" s="268">
        <f>Intro!C30</f>
        <v>2008</v>
      </c>
      <c r="C28" s="402" t="str">
        <f>Intro!I30</f>
        <v xml:space="preserve">na </v>
      </c>
      <c r="E28" s="290">
        <f ca="1">'e2.1'!U30</f>
        <v>766269.99000000011</v>
      </c>
      <c r="G28" s="290">
        <f>'e2.1'!M30</f>
        <v>766269.99000000011</v>
      </c>
      <c r="H28" s="290"/>
      <c r="I28" s="290">
        <f>'e2.1'!O30</f>
        <v>766269.99000000011</v>
      </c>
      <c r="K28" s="291">
        <f t="shared" si="2"/>
        <v>0</v>
      </c>
      <c r="M28" s="290">
        <f t="shared" ca="1" si="3"/>
        <v>0</v>
      </c>
      <c r="O28" s="291">
        <f t="shared" ca="1" si="4"/>
        <v>0</v>
      </c>
      <c r="Q28" s="364">
        <f ca="1">0.1 * ('e2.3'!U30 - 'e2.3'!O30)</f>
        <v>0</v>
      </c>
      <c r="S28" s="291">
        <f t="shared" ca="1" si="5"/>
        <v>0</v>
      </c>
      <c r="U28" s="295">
        <f t="shared" ca="1" si="7"/>
        <v>0.8387330899394887</v>
      </c>
      <c r="W28" s="290">
        <f t="shared" ca="1" si="8"/>
        <v>0</v>
      </c>
      <c r="Y28" s="571">
        <f>Intro!AA30</f>
        <v>139</v>
      </c>
      <c r="Z28" s="268" t="str">
        <f>Intro!AL30</f>
        <v>500K</v>
      </c>
      <c r="AA28" s="151">
        <f t="shared" si="0"/>
        <v>4</v>
      </c>
      <c r="AB28" s="266">
        <f t="shared" ca="1" si="1"/>
        <v>0.8387330899394887</v>
      </c>
    </row>
    <row r="29" spans="1:39" x14ac:dyDescent="0.2">
      <c r="A29" s="268">
        <f>Intro!C31</f>
        <v>2009</v>
      </c>
      <c r="C29" s="402" t="str">
        <f>Intro!I31</f>
        <v xml:space="preserve">na </v>
      </c>
      <c r="E29" s="290">
        <f ca="1">'e2.1'!U31</f>
        <v>1965664.0366146131</v>
      </c>
      <c r="G29" s="290">
        <f>'e2.1'!M31</f>
        <v>1882294.4700000004</v>
      </c>
      <c r="H29" s="290"/>
      <c r="I29" s="290">
        <f>'e2.1'!O31</f>
        <v>1764381.6700000004</v>
      </c>
      <c r="K29" s="291">
        <f t="shared" si="2"/>
        <v>117912.80000000005</v>
      </c>
      <c r="M29" s="290">
        <f t="shared" ca="1" si="3"/>
        <v>83369.566614612704</v>
      </c>
      <c r="O29" s="291">
        <f t="shared" ca="1" si="4"/>
        <v>201282.36661461275</v>
      </c>
      <c r="Q29" s="364">
        <f>0.1 * ('e2.3'!U31 - 'e2.3'!O31)</f>
        <v>7583.980000000005</v>
      </c>
      <c r="S29" s="291">
        <f t="shared" ca="1" si="5"/>
        <v>208866.34661461276</v>
      </c>
      <c r="U29" s="295">
        <f t="shared" ca="1" si="7"/>
        <v>0.83373557210801952</v>
      </c>
      <c r="W29" s="290">
        <f t="shared" ca="1" si="8"/>
        <v>174139.30298884609</v>
      </c>
      <c r="Y29" s="571">
        <f>Intro!AA31</f>
        <v>127</v>
      </c>
      <c r="Z29" s="268" t="str">
        <f>Intro!AL31</f>
        <v>500K</v>
      </c>
      <c r="AA29" s="151">
        <f t="shared" si="0"/>
        <v>4</v>
      </c>
      <c r="AB29" s="266">
        <f t="shared" ca="1" si="1"/>
        <v>0.83373557210801952</v>
      </c>
    </row>
    <row r="30" spans="1:39" x14ac:dyDescent="0.2">
      <c r="A30" s="268">
        <f>Intro!C32</f>
        <v>2010</v>
      </c>
      <c r="C30" s="402" t="str">
        <f>Intro!I32</f>
        <v xml:space="preserve">na </v>
      </c>
      <c r="E30" s="290">
        <f>'e2.1'!U32</f>
        <v>1200315.5200000003</v>
      </c>
      <c r="G30" s="290">
        <f>'e2.1'!M32</f>
        <v>1200315.5200000003</v>
      </c>
      <c r="H30" s="290"/>
      <c r="I30" s="290">
        <f>'e2.1'!O32</f>
        <v>1183179.1900000002</v>
      </c>
      <c r="K30" s="291">
        <f t="shared" si="2"/>
        <v>17136.330000000075</v>
      </c>
      <c r="M30" s="290">
        <f t="shared" si="3"/>
        <v>0</v>
      </c>
      <c r="O30" s="291">
        <f t="shared" si="4"/>
        <v>17136.330000000075</v>
      </c>
      <c r="Q30" s="364">
        <f>0.1 * ('e2.3'!U32 - 'e2.3'!O32)</f>
        <v>1713.6330000000075</v>
      </c>
      <c r="S30" s="291">
        <f t="shared" si="5"/>
        <v>18849.963000000083</v>
      </c>
      <c r="U30" s="295">
        <f t="shared" ca="1" si="7"/>
        <v>0.83001918569212907</v>
      </c>
      <c r="W30" s="290">
        <f t="shared" ca="1" si="8"/>
        <v>15645.830939586831</v>
      </c>
      <c r="Y30" s="571">
        <f>Intro!AA32</f>
        <v>115</v>
      </c>
      <c r="Z30" s="268" t="str">
        <f>Intro!AL32</f>
        <v>500K</v>
      </c>
      <c r="AA30" s="151">
        <f t="shared" si="0"/>
        <v>4</v>
      </c>
      <c r="AB30" s="266">
        <f t="shared" ca="1" si="1"/>
        <v>0.83001918569212907</v>
      </c>
    </row>
    <row r="31" spans="1:39" x14ac:dyDescent="0.2">
      <c r="A31" s="268">
        <f>Intro!C33</f>
        <v>2011</v>
      </c>
      <c r="C31" s="402" t="str">
        <f>Intro!I33</f>
        <v xml:space="preserve">na </v>
      </c>
      <c r="E31" s="290">
        <f ca="1">'e2.1'!U33</f>
        <v>1212882.8100000003</v>
      </c>
      <c r="G31" s="290">
        <f>'e2.1'!M33</f>
        <v>1212882.8100000003</v>
      </c>
      <c r="H31" s="290"/>
      <c r="I31" s="290">
        <f>'e2.1'!O33</f>
        <v>1212882.8100000003</v>
      </c>
      <c r="K31" s="291">
        <f t="shared" si="2"/>
        <v>0</v>
      </c>
      <c r="M31" s="290">
        <f t="shared" ca="1" si="3"/>
        <v>0</v>
      </c>
      <c r="O31" s="291">
        <f t="shared" ca="1" si="4"/>
        <v>0</v>
      </c>
      <c r="Q31" s="309">
        <f ca="1">0.08 * ('e2.3'!U33 - 'e2.3'!O33)</f>
        <v>0</v>
      </c>
      <c r="S31" s="291">
        <f t="shared" ca="1" si="5"/>
        <v>0</v>
      </c>
      <c r="U31" s="295">
        <f t="shared" ca="1" si="7"/>
        <v>0.82733446896264429</v>
      </c>
      <c r="W31" s="290">
        <f t="shared" ca="1" si="8"/>
        <v>0</v>
      </c>
      <c r="Y31" s="571">
        <f>Intro!AA33</f>
        <v>103</v>
      </c>
      <c r="Z31" s="268" t="str">
        <f>Intro!AL33</f>
        <v>500K</v>
      </c>
      <c r="AA31" s="151">
        <f t="shared" si="0"/>
        <v>4</v>
      </c>
      <c r="AB31" s="266">
        <f t="shared" ca="1" si="1"/>
        <v>0.82733446896264429</v>
      </c>
    </row>
    <row r="32" spans="1:39" x14ac:dyDescent="0.2">
      <c r="A32" s="268">
        <f>Intro!C34</f>
        <v>2012</v>
      </c>
      <c r="C32" s="402" t="str">
        <f>Intro!I34</f>
        <v xml:space="preserve">na </v>
      </c>
      <c r="E32" s="290">
        <f ca="1">'e2.1'!U34</f>
        <v>1961844.1484409242</v>
      </c>
      <c r="G32" s="290">
        <f>'e2.1'!M34</f>
        <v>1930458.7599999993</v>
      </c>
      <c r="H32" s="290"/>
      <c r="I32" s="290">
        <f>'e2.1'!O34</f>
        <v>1925803.2599999993</v>
      </c>
      <c r="K32" s="291">
        <f t="shared" si="2"/>
        <v>4655.5</v>
      </c>
      <c r="M32" s="290">
        <f t="shared" ca="1" si="3"/>
        <v>31385.388440924929</v>
      </c>
      <c r="O32" s="291">
        <f t="shared" ca="1" si="4"/>
        <v>36040.888440924929</v>
      </c>
      <c r="Q32" s="309">
        <f>0.08 * ('e2.3'!U34 - 'e2.3'!O34)</f>
        <v>0</v>
      </c>
      <c r="S32" s="291">
        <f t="shared" ca="1" si="5"/>
        <v>36040.888440924929</v>
      </c>
      <c r="U32" s="295">
        <f t="shared" ca="1" si="7"/>
        <v>0.82658547505608482</v>
      </c>
      <c r="W32" s="290">
        <f t="shared" ca="1" si="8"/>
        <v>29790.874893385288</v>
      </c>
      <c r="Y32" s="571">
        <f>Intro!AA34</f>
        <v>91</v>
      </c>
      <c r="Z32" s="268" t="str">
        <f>Intro!AL34</f>
        <v>500K</v>
      </c>
      <c r="AA32" s="151">
        <f t="shared" si="0"/>
        <v>4</v>
      </c>
      <c r="AB32" s="266">
        <f t="shared" ca="1" si="1"/>
        <v>0.82658547505608482</v>
      </c>
    </row>
    <row r="33" spans="1:30" x14ac:dyDescent="0.2">
      <c r="A33" s="268">
        <f>Intro!C35</f>
        <v>2013</v>
      </c>
      <c r="C33" s="402" t="str">
        <f>Intro!I35</f>
        <v xml:space="preserve">na </v>
      </c>
      <c r="E33" s="290">
        <f ca="1">'e2.1'!U35</f>
        <v>2180039.3351955777</v>
      </c>
      <c r="G33" s="290">
        <f>'e2.1'!M35</f>
        <v>2106047.2399999998</v>
      </c>
      <c r="H33" s="290"/>
      <c r="I33" s="290">
        <f>'e2.1'!O35</f>
        <v>2061366.5999999999</v>
      </c>
      <c r="K33" s="291">
        <f t="shared" si="2"/>
        <v>44680.639999999898</v>
      </c>
      <c r="M33" s="290">
        <f t="shared" ca="1" si="3"/>
        <v>73992.095195577946</v>
      </c>
      <c r="O33" s="291">
        <f t="shared" ca="1" si="4"/>
        <v>118672.73519557784</v>
      </c>
      <c r="Q33" s="309">
        <f ca="1">0.08 * ('e2.3'!U35 - 'e2.3'!O35)</f>
        <v>7329.4536994116943</v>
      </c>
      <c r="S33" s="291">
        <f t="shared" ca="1" si="5"/>
        <v>126002.18889498954</v>
      </c>
      <c r="U33" s="295">
        <f t="shared" ca="1" si="7"/>
        <v>0.82835843618529725</v>
      </c>
      <c r="W33" s="290">
        <f t="shared" ca="1" si="8"/>
        <v>104374.97614897796</v>
      </c>
      <c r="Y33" s="571">
        <f>Intro!AA35</f>
        <v>79</v>
      </c>
      <c r="Z33" s="268" t="str">
        <f>Intro!AL35</f>
        <v>500K</v>
      </c>
      <c r="AA33" s="151">
        <f t="shared" si="0"/>
        <v>4</v>
      </c>
      <c r="AB33" s="266">
        <f t="shared" ca="1" si="1"/>
        <v>0.82835843618529725</v>
      </c>
    </row>
    <row r="34" spans="1:30" x14ac:dyDescent="0.2">
      <c r="A34" s="268">
        <f>Intro!C36</f>
        <v>2014</v>
      </c>
      <c r="C34" s="402" t="str">
        <f>Intro!I36</f>
        <v xml:space="preserve">na </v>
      </c>
      <c r="E34" s="290">
        <f ca="1">'e2.1'!U36</f>
        <v>2342502.8100000005</v>
      </c>
      <c r="G34" s="290">
        <f>'e2.1'!M36</f>
        <v>2342502.8100000005</v>
      </c>
      <c r="H34" s="290"/>
      <c r="I34" s="290">
        <f>'e2.1'!O36</f>
        <v>2342502.8100000005</v>
      </c>
      <c r="K34" s="291">
        <f t="shared" si="2"/>
        <v>0</v>
      </c>
      <c r="M34" s="290">
        <f t="shared" ca="1" si="3"/>
        <v>0</v>
      </c>
      <c r="O34" s="291">
        <f t="shared" ca="1" si="4"/>
        <v>0</v>
      </c>
      <c r="Q34" s="235">
        <v>0</v>
      </c>
      <c r="S34" s="291">
        <f t="shared" ca="1" si="5"/>
        <v>0</v>
      </c>
      <c r="U34" s="295">
        <f t="shared" ca="1" si="7"/>
        <v>0.83209485075738754</v>
      </c>
      <c r="W34" s="290">
        <f t="shared" ca="1" si="8"/>
        <v>0</v>
      </c>
      <c r="Y34" s="571">
        <f>Intro!AA36</f>
        <v>67</v>
      </c>
      <c r="Z34" s="268" t="str">
        <f>Intro!AL36</f>
        <v>500K</v>
      </c>
      <c r="AA34" s="151">
        <f t="shared" si="0"/>
        <v>4</v>
      </c>
      <c r="AB34" s="266">
        <f t="shared" ca="1" si="1"/>
        <v>0.83209485075738754</v>
      </c>
    </row>
    <row r="35" spans="1:30" x14ac:dyDescent="0.2">
      <c r="A35" s="268">
        <f>Intro!C37</f>
        <v>2015</v>
      </c>
      <c r="C35" s="402" t="str">
        <f>Intro!I37</f>
        <v xml:space="preserve">na </v>
      </c>
      <c r="E35" s="290">
        <f ca="1">'e2.1'!U37</f>
        <v>3581039.2926820084</v>
      </c>
      <c r="G35" s="290">
        <f>'e2.1'!M37</f>
        <v>3251678.2500000009</v>
      </c>
      <c r="H35" s="290"/>
      <c r="I35" s="290">
        <f>'e2.1'!O37</f>
        <v>2810502.1600000011</v>
      </c>
      <c r="K35" s="291">
        <f t="shared" si="2"/>
        <v>441176.08999999985</v>
      </c>
      <c r="M35" s="290">
        <f t="shared" ca="1" si="3"/>
        <v>329361.04268200742</v>
      </c>
      <c r="O35" s="291">
        <f t="shared" ca="1" si="4"/>
        <v>770537.13268200727</v>
      </c>
      <c r="Q35" s="235">
        <v>0</v>
      </c>
      <c r="S35" s="291">
        <f t="shared" ca="1" si="5"/>
        <v>770537.13268200727</v>
      </c>
      <c r="U35" s="295">
        <f t="shared" ca="1" si="7"/>
        <v>0.83959629558139226</v>
      </c>
      <c r="W35" s="290">
        <f t="shared" ca="1" si="8"/>
        <v>646940.122207721</v>
      </c>
      <c r="Y35" s="571">
        <f>Intro!AA37</f>
        <v>55</v>
      </c>
      <c r="Z35" s="268" t="str">
        <f>Intro!AL37</f>
        <v>500K</v>
      </c>
      <c r="AA35" s="151">
        <f t="shared" si="0"/>
        <v>4</v>
      </c>
      <c r="AB35" s="266">
        <f t="shared" ca="1" si="1"/>
        <v>0.83959629558139226</v>
      </c>
    </row>
    <row r="36" spans="1:30" x14ac:dyDescent="0.2">
      <c r="A36" s="268">
        <f>Intro!C38</f>
        <v>2016</v>
      </c>
      <c r="C36" s="402" t="str">
        <f>Intro!I38</f>
        <v xml:space="preserve">na </v>
      </c>
      <c r="E36" s="290">
        <f ca="1">'e2.1'!U38</f>
        <v>3097471.5187295564</v>
      </c>
      <c r="G36" s="290">
        <f>'e2.1'!M38</f>
        <v>2628716.9900000021</v>
      </c>
      <c r="H36" s="290"/>
      <c r="I36" s="290">
        <f>'e2.1'!O38</f>
        <v>2449912.0500000017</v>
      </c>
      <c r="K36" s="291">
        <f t="shared" si="2"/>
        <v>178804.94000000041</v>
      </c>
      <c r="M36" s="290">
        <f t="shared" ca="1" si="3"/>
        <v>468754.52872955427</v>
      </c>
      <c r="O36" s="291">
        <f t="shared" ca="1" si="4"/>
        <v>647559.46872955468</v>
      </c>
      <c r="Q36" s="235">
        <v>0</v>
      </c>
      <c r="S36" s="291">
        <f t="shared" ca="1" si="5"/>
        <v>647559.46872955468</v>
      </c>
      <c r="U36" s="295">
        <f t="shared" ca="1" si="7"/>
        <v>0.84755231426118705</v>
      </c>
      <c r="W36" s="290">
        <f t="shared" ca="1" si="8"/>
        <v>548840.52634347882</v>
      </c>
      <c r="Y36" s="571">
        <f>Intro!AA38</f>
        <v>43</v>
      </c>
      <c r="Z36" s="268" t="str">
        <f>Intro!AL38</f>
        <v>750K</v>
      </c>
      <c r="AA36" s="151">
        <f t="shared" si="0"/>
        <v>3</v>
      </c>
      <c r="AB36" s="266">
        <f t="shared" ca="1" si="1"/>
        <v>0.84755231426118705</v>
      </c>
    </row>
    <row r="37" spans="1:30" x14ac:dyDescent="0.2">
      <c r="A37" s="268">
        <f>Intro!C39</f>
        <v>2017</v>
      </c>
      <c r="C37" s="402" t="str">
        <f>Intro!I39</f>
        <v xml:space="preserve">na </v>
      </c>
      <c r="E37" s="290">
        <f ca="1">'e2.1'!U39</f>
        <v>3447882.2158604558</v>
      </c>
      <c r="G37" s="290">
        <f>'e2.1'!M39</f>
        <v>2585441.4500000016</v>
      </c>
      <c r="H37" s="290"/>
      <c r="I37" s="290">
        <f>'e2.1'!O39</f>
        <v>2258070.4400000018</v>
      </c>
      <c r="K37" s="291">
        <f t="shared" si="2"/>
        <v>327371.00999999978</v>
      </c>
      <c r="M37" s="290">
        <f t="shared" ca="1" si="3"/>
        <v>862440.76586045418</v>
      </c>
      <c r="O37" s="291">
        <f t="shared" ca="1" si="4"/>
        <v>1189811.775860454</v>
      </c>
      <c r="Q37" s="235">
        <v>0</v>
      </c>
      <c r="S37" s="291">
        <f t="shared" ca="1" si="5"/>
        <v>1189811.775860454</v>
      </c>
      <c r="U37" s="295">
        <f t="shared" ca="1" si="7"/>
        <v>0.86794501941720259</v>
      </c>
      <c r="W37" s="290">
        <f t="shared" ca="1" si="8"/>
        <v>1032691.204902018</v>
      </c>
      <c r="Y37" s="571">
        <f>Intro!AA39</f>
        <v>31</v>
      </c>
      <c r="Z37" s="268" t="str">
        <f>Intro!AL39</f>
        <v>750K</v>
      </c>
      <c r="AA37" s="151">
        <f t="shared" si="0"/>
        <v>3</v>
      </c>
      <c r="AB37" s="266">
        <f t="shared" ca="1" si="1"/>
        <v>0.86794501941720259</v>
      </c>
    </row>
    <row r="38" spans="1:30" x14ac:dyDescent="0.2">
      <c r="A38" s="268">
        <f>Intro!C40</f>
        <v>2018</v>
      </c>
      <c r="C38" s="402" t="str">
        <f>Intro!I40</f>
        <v xml:space="preserve">na </v>
      </c>
      <c r="E38" s="290">
        <f ca="1">'e2.1'!U40</f>
        <v>9287422.3262577429</v>
      </c>
      <c r="G38" s="290">
        <f>'e2.1'!M40</f>
        <v>5817996.7700000023</v>
      </c>
      <c r="H38" s="290"/>
      <c r="I38" s="290">
        <f>'e2.1'!O40</f>
        <v>4199295.1499999976</v>
      </c>
      <c r="K38" s="291">
        <f t="shared" ref="K38" si="9">G38-I38</f>
        <v>1618701.6200000048</v>
      </c>
      <c r="M38" s="290">
        <f t="shared" ref="M38" ca="1" si="10">E38-G38</f>
        <v>3469425.5562577406</v>
      </c>
      <c r="O38" s="291">
        <f t="shared" ref="O38" ca="1" si="11">M38+K38</f>
        <v>5088127.1762577454</v>
      </c>
      <c r="Q38" s="235">
        <v>0</v>
      </c>
      <c r="S38" s="291">
        <f t="shared" ref="S38" ca="1" si="12">O38+Q38</f>
        <v>5088127.1762577454</v>
      </c>
      <c r="U38" s="295">
        <f t="shared" ref="U38" ca="1" si="13">AB38</f>
        <v>0.89840762653085293</v>
      </c>
      <c r="W38" s="290">
        <f t="shared" ca="1" si="8"/>
        <v>4571212.2599088522</v>
      </c>
      <c r="Y38" s="571">
        <f>Intro!AA40</f>
        <v>19</v>
      </c>
      <c r="Z38" s="268" t="str">
        <f>Intro!AL40</f>
        <v>500K</v>
      </c>
      <c r="AA38" s="151">
        <f t="shared" ref="AA38" si="14">MATCH(Z38, disccols, 0)</f>
        <v>4</v>
      </c>
      <c r="AB38" s="266">
        <f t="shared" ref="AB38" ca="1" si="15">VLOOKUP(Y38, discs, AA38, FALSE)</f>
        <v>0.89840762653085293</v>
      </c>
    </row>
    <row r="39" spans="1:30" x14ac:dyDescent="0.2">
      <c r="A39" s="268">
        <f>Intro!C41</f>
        <v>2019</v>
      </c>
      <c r="C39" s="402" t="str">
        <f>Intro!I42</f>
        <v xml:space="preserve">na </v>
      </c>
      <c r="E39" s="292">
        <f ca="1">'e2.1'!U41</f>
        <v>8549781.2667972855</v>
      </c>
      <c r="G39" s="292">
        <f>'e2.1'!M41</f>
        <v>1261811.2200000007</v>
      </c>
      <c r="H39" s="290"/>
      <c r="I39" s="292">
        <f>'e2.1'!O41</f>
        <v>619309.30000000005</v>
      </c>
      <c r="K39" s="292">
        <f t="shared" si="2"/>
        <v>642501.92000000062</v>
      </c>
      <c r="M39" s="279">
        <f ca="1">E39-G39-AD39</f>
        <v>3579733.3835594044</v>
      </c>
      <c r="N39" s="387" t="str">
        <f ca="1">IF(AD39&gt;0, "*", "")</f>
        <v>*</v>
      </c>
      <c r="O39" s="292">
        <f t="shared" ca="1" si="4"/>
        <v>4222235.3035594048</v>
      </c>
      <c r="P39" s="387" t="str">
        <f ca="1">N39</f>
        <v>*</v>
      </c>
      <c r="Q39" s="248">
        <v>0</v>
      </c>
      <c r="R39" s="387"/>
      <c r="S39" s="292">
        <f t="shared" ca="1" si="5"/>
        <v>4222235.3035594048</v>
      </c>
      <c r="T39" s="387"/>
      <c r="U39" s="298">
        <f t="shared" ca="1" si="7"/>
        <v>0.90943882940947929</v>
      </c>
      <c r="W39" s="292">
        <f t="shared" ca="1" si="8"/>
        <v>3839864.7319604424</v>
      </c>
      <c r="X39" s="387" t="str">
        <f ca="1">P39</f>
        <v>*</v>
      </c>
      <c r="Y39" s="397">
        <f>Intro!AA41 / 2 + 6</f>
        <v>9.5</v>
      </c>
      <c r="Z39" s="268" t="str">
        <f>Intro!AL41</f>
        <v>500K</v>
      </c>
      <c r="AA39" s="151">
        <f t="shared" si="0"/>
        <v>4</v>
      </c>
      <c r="AB39" s="266">
        <f t="shared" ca="1" si="1"/>
        <v>0.90943882940947929</v>
      </c>
      <c r="AD39" s="577">
        <f ca="1">Intro!$AA$43 * 'e4.2'!$Q$38</f>
        <v>3708236.6632378804</v>
      </c>
    </row>
    <row r="41" spans="1:30" x14ac:dyDescent="0.2">
      <c r="A41" s="268" t="s">
        <v>78</v>
      </c>
      <c r="E41" s="289">
        <f ca="1">SUM(E16:E39)</f>
        <v>60102914.213056818</v>
      </c>
      <c r="G41" s="289">
        <f>SUM(G16:G39)</f>
        <v>47454916.210000001</v>
      </c>
      <c r="I41" s="289">
        <f>SUM(I16:I39)</f>
        <v>43900322.38000001</v>
      </c>
      <c r="K41" s="289">
        <f>SUM(K16:K39)</f>
        <v>3554593.8300000057</v>
      </c>
      <c r="M41" s="289">
        <f ca="1">SUM(M16:M39)</f>
        <v>8939761.3398189321</v>
      </c>
      <c r="O41" s="289">
        <f ca="1">SUM(O16:O39)</f>
        <v>12494355.169818938</v>
      </c>
      <c r="Q41" s="289">
        <f ca="1">SUM(Q16:Q39)</f>
        <v>16627.066699411705</v>
      </c>
      <c r="S41" s="289">
        <f ca="1">SUM(S16:S39)</f>
        <v>12510982.236518349</v>
      </c>
      <c r="U41" s="295">
        <f ca="1">W41/O41</f>
        <v>0.89248971461144788</v>
      </c>
      <c r="W41" s="289">
        <f ca="1">SUM(W16:W39)</f>
        <v>11151083.479765773</v>
      </c>
    </row>
    <row r="44" spans="1:30" x14ac:dyDescent="0.2">
      <c r="A44" s="222" t="s">
        <v>83</v>
      </c>
    </row>
    <row r="45" spans="1:30" x14ac:dyDescent="0.2">
      <c r="A45" s="408" t="s">
        <v>568</v>
      </c>
    </row>
    <row r="46" spans="1:30" x14ac:dyDescent="0.2">
      <c r="A46" s="222" t="str">
        <f>"Columns (1a), (2) and (3) provided by "&amp;client&amp;"."</f>
        <v>Columns (1a), (2) and (3) provided by CLIENT XYZ.</v>
      </c>
    </row>
    <row r="47" spans="1:30" x14ac:dyDescent="0.2">
      <c r="A47" s="222" t="s">
        <v>541</v>
      </c>
    </row>
    <row r="48" spans="1:30" x14ac:dyDescent="0.2">
      <c r="A48" s="222" t="s">
        <v>542</v>
      </c>
    </row>
    <row r="49" spans="1:1" x14ac:dyDescent="0.2">
      <c r="A49" s="222" t="s">
        <v>543</v>
      </c>
    </row>
    <row r="50" spans="1:1" x14ac:dyDescent="0.2">
      <c r="A50" s="294" t="s">
        <v>639</v>
      </c>
    </row>
    <row r="51" spans="1:1" x14ac:dyDescent="0.2">
      <c r="A51" s="435" t="s">
        <v>638</v>
      </c>
    </row>
    <row r="52" spans="1:1" x14ac:dyDescent="0.2">
      <c r="A52" s="435" t="s">
        <v>636</v>
      </c>
    </row>
    <row r="53" spans="1:1" x14ac:dyDescent="0.2">
      <c r="A53" s="435" t="s">
        <v>637</v>
      </c>
    </row>
    <row r="54" spans="1:1" x14ac:dyDescent="0.2">
      <c r="A54" s="222" t="str">
        <f>"* Policy period "&amp;cpy_l&amp;" is adjusted for partial exposure as of "&amp;ctxt_l&amp;"."</f>
        <v>* Policy period 2018/19 is adjusted for partial exposure as of April 30, 2019.</v>
      </c>
    </row>
  </sheetData>
  <printOptions horizontalCentered="1"/>
  <pageMargins left="0.7" right="0.7" top="0.75" bottom="0.75" header="0.3" footer="0.3"/>
  <pageSetup scale="74" orientation="landscape" blackAndWhite="1" r:id="rId1"/>
  <headerFooter>
    <oddHeader xml:space="preserve">&amp;L&amp;"Arial"&amp;10    
  &amp;R&amp;"Arial"&amp;10  Exhibit 1
Sheet 3A
</oddHeader>
    <oddFooter xml:space="preserve">&amp;L&amp;"Arial"&amp;10 Oliver Wyman Actuarial Consulting, Inc.
&amp;C&amp;"Arial"&amp;10 &amp;R&amp;"Arial"&amp;10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148</vt:i4>
      </vt:variant>
    </vt:vector>
  </HeadingPairs>
  <TitlesOfParts>
    <vt:vector size="221" baseType="lpstr">
      <vt:lpstr>Index</vt:lpstr>
      <vt:lpstr>Intro</vt:lpstr>
      <vt:lpstr>Tbls for Txt</vt:lpstr>
      <vt:lpstr>Unpaid Reconciliation</vt:lpstr>
      <vt:lpstr>e1.1A</vt:lpstr>
      <vt:lpstr>e1.1B</vt:lpstr>
      <vt:lpstr>e1.2A</vt:lpstr>
      <vt:lpstr>e1.2B</vt:lpstr>
      <vt:lpstr>e1.3A</vt:lpstr>
      <vt:lpstr>e1.3B</vt:lpstr>
      <vt:lpstr>e1.4</vt:lpstr>
      <vt:lpstr>e2.1</vt:lpstr>
      <vt:lpstr>e2.2</vt:lpstr>
      <vt:lpstr>e2.3</vt:lpstr>
      <vt:lpstr>e3.1A</vt:lpstr>
      <vt:lpstr>e3.1B</vt:lpstr>
      <vt:lpstr>e3.1C</vt:lpstr>
      <vt:lpstr>e3.2A</vt:lpstr>
      <vt:lpstr>e3.2B</vt:lpstr>
      <vt:lpstr>e3.2C</vt:lpstr>
      <vt:lpstr>e3.3A</vt:lpstr>
      <vt:lpstr>e3.3B</vt:lpstr>
      <vt:lpstr>e3.3C</vt:lpstr>
      <vt:lpstr>e3.4A</vt:lpstr>
      <vt:lpstr>e3.4B</vt:lpstr>
      <vt:lpstr>e3.4C</vt:lpstr>
      <vt:lpstr>e3.5A</vt:lpstr>
      <vt:lpstr>e3.5B</vt:lpstr>
      <vt:lpstr>e3.5C</vt:lpstr>
      <vt:lpstr>e4.1</vt:lpstr>
      <vt:lpstr>e4.2</vt:lpstr>
      <vt:lpstr>e4.3</vt:lpstr>
      <vt:lpstr>e4.4</vt:lpstr>
      <vt:lpstr>e4.5</vt:lpstr>
      <vt:lpstr>e4.6</vt:lpstr>
      <vt:lpstr>e5.1</vt:lpstr>
      <vt:lpstr>e5.2</vt:lpstr>
      <vt:lpstr>e5.3</vt:lpstr>
      <vt:lpstr>e5.4</vt:lpstr>
      <vt:lpstr>e6.1</vt:lpstr>
      <vt:lpstr>e6.2</vt:lpstr>
      <vt:lpstr>e7</vt:lpstr>
      <vt:lpstr>e8.1</vt:lpstr>
      <vt:lpstr>e8.2</vt:lpstr>
      <vt:lpstr>e8.3</vt:lpstr>
      <vt:lpstr>e8.4</vt:lpstr>
      <vt:lpstr>e8.5</vt:lpstr>
      <vt:lpstr>e8.6</vt:lpstr>
      <vt:lpstr>e8.7</vt:lpstr>
      <vt:lpstr>e8.8</vt:lpstr>
      <vt:lpstr>e8.9</vt:lpstr>
      <vt:lpstr>e8.10</vt:lpstr>
      <vt:lpstr>e8.11</vt:lpstr>
      <vt:lpstr>e9.1</vt:lpstr>
      <vt:lpstr>e9.2</vt:lpstr>
      <vt:lpstr>e9.3</vt:lpstr>
      <vt:lpstr>e9.4</vt:lpstr>
      <vt:lpstr>e9.5</vt:lpstr>
      <vt:lpstr>e9.6</vt:lpstr>
      <vt:lpstr>e9.7</vt:lpstr>
      <vt:lpstr>e9.8</vt:lpstr>
      <vt:lpstr>e9.9</vt:lpstr>
      <vt:lpstr>e10.1</vt:lpstr>
      <vt:lpstr>e10.2</vt:lpstr>
      <vt:lpstr>DNP -&gt;</vt:lpstr>
      <vt:lpstr>Trend</vt:lpstr>
      <vt:lpstr>LDF</vt:lpstr>
      <vt:lpstr>XS LDF</vt:lpstr>
      <vt:lpstr>Industry LDF</vt:lpstr>
      <vt:lpstr>Prior LDF</vt:lpstr>
      <vt:lpstr>Disc</vt:lpstr>
      <vt:lpstr>Agg Disc</vt:lpstr>
      <vt:lpstr>Agg Disc Roll</vt:lpstr>
      <vt:lpstr>Disc!_FilterDatabase</vt:lpstr>
      <vt:lpstr>ages</vt:lpstr>
      <vt:lpstr>CFooter</vt:lpstr>
      <vt:lpstr>client</vt:lpstr>
      <vt:lpstr>cov</vt:lpstr>
      <vt:lpstr>cpy</vt:lpstr>
      <vt:lpstr>cpy_l</vt:lpstr>
      <vt:lpstr>cpy_s</vt:lpstr>
      <vt:lpstr>ctxt</vt:lpstr>
      <vt:lpstr>ctxt_l</vt:lpstr>
      <vt:lpstr>curr</vt:lpstr>
      <vt:lpstr>curr_to_roll</vt:lpstr>
      <vt:lpstr>curr_to_roll_l</vt:lpstr>
      <vt:lpstr>cutoff</vt:lpstr>
      <vt:lpstr>disc_rate</vt:lpstr>
      <vt:lpstr>disc_rt_txt</vt:lpstr>
      <vt:lpstr>disccols</vt:lpstr>
      <vt:lpstr>discs</vt:lpstr>
      <vt:lpstr>div</vt:lpstr>
      <vt:lpstr>ExNums</vt:lpstr>
      <vt:lpstr>HFfont</vt:lpstr>
      <vt:lpstr>index_lkups</vt:lpstr>
      <vt:lpstr>indldfs</vt:lpstr>
      <vt:lpstr>indrels</vt:lpstr>
      <vt:lpstr>lctrnd_250k</vt:lpstr>
      <vt:lpstr>lctrnd_350k</vt:lpstr>
      <vt:lpstr>lctrnd_500k</vt:lpstr>
      <vt:lpstr>lctrnd_750k</vt:lpstr>
      <vt:lpstr>lctrnd_unl</vt:lpstr>
      <vt:lpstr>ldf_ages</vt:lpstr>
      <vt:lpstr>ldf_ret</vt:lpstr>
      <vt:lpstr>ldf_type</vt:lpstr>
      <vt:lpstr>ldfs</vt:lpstr>
      <vt:lpstr>LFooter</vt:lpstr>
      <vt:lpstr>LH_1</vt:lpstr>
      <vt:lpstr>LH_2</vt:lpstr>
      <vt:lpstr>LH_3</vt:lpstr>
      <vt:lpstr>LH_4</vt:lpstr>
      <vt:lpstr>ltfreq_trnd</vt:lpstr>
      <vt:lpstr>na</vt:lpstr>
      <vt:lpstr>old</vt:lpstr>
      <vt:lpstr>OptionalTabName</vt:lpstr>
      <vt:lpstr>otxt</vt:lpstr>
      <vt:lpstr>otxt_l</vt:lpstr>
      <vt:lpstr>pr</vt:lpstr>
      <vt:lpstr>pr_2</vt:lpstr>
      <vt:lpstr>pr_to_curr</vt:lpstr>
      <vt:lpstr>pr_to_curr_2</vt:lpstr>
      <vt:lpstr>pr_to_curr_l</vt:lpstr>
      <vt:lpstr>pr_to_curr_l_2</vt:lpstr>
      <vt:lpstr>Print</vt:lpstr>
      <vt:lpstr>e1.1A!Print_Area</vt:lpstr>
      <vt:lpstr>e1.1B!Print_Area</vt:lpstr>
      <vt:lpstr>e1.2A!Print_Area</vt:lpstr>
      <vt:lpstr>e1.2B!Print_Area</vt:lpstr>
      <vt:lpstr>e1.3A!Print_Area</vt:lpstr>
      <vt:lpstr>e1.3B!Print_Area</vt:lpstr>
      <vt:lpstr>e1.4!Print_Area</vt:lpstr>
      <vt:lpstr>e10.1!Print_Area</vt:lpstr>
      <vt:lpstr>e10.2!Print_Area</vt:lpstr>
      <vt:lpstr>e2.1!Print_Area</vt:lpstr>
      <vt:lpstr>e2.2!Print_Area</vt:lpstr>
      <vt:lpstr>e2.3!Print_Area</vt:lpstr>
      <vt:lpstr>e3.1A!Print_Area</vt:lpstr>
      <vt:lpstr>e3.1B!Print_Area</vt:lpstr>
      <vt:lpstr>e3.1C!Print_Area</vt:lpstr>
      <vt:lpstr>e3.2A!Print_Area</vt:lpstr>
      <vt:lpstr>e3.2B!Print_Area</vt:lpstr>
      <vt:lpstr>e3.2C!Print_Area</vt:lpstr>
      <vt:lpstr>e3.3A!Print_Area</vt:lpstr>
      <vt:lpstr>e3.3B!Print_Area</vt:lpstr>
      <vt:lpstr>e3.3C!Print_Area</vt:lpstr>
      <vt:lpstr>e3.4A!Print_Area</vt:lpstr>
      <vt:lpstr>e3.4B!Print_Area</vt:lpstr>
      <vt:lpstr>e3.4C!Print_Area</vt:lpstr>
      <vt:lpstr>e3.5A!Print_Area</vt:lpstr>
      <vt:lpstr>e3.5B!Print_Area</vt:lpstr>
      <vt:lpstr>e3.5C!Print_Area</vt:lpstr>
      <vt:lpstr>e4.1!Print_Area</vt:lpstr>
      <vt:lpstr>e4.2!Print_Area</vt:lpstr>
      <vt:lpstr>e4.3!Print_Area</vt:lpstr>
      <vt:lpstr>e4.4!Print_Area</vt:lpstr>
      <vt:lpstr>e4.5!Print_Area</vt:lpstr>
      <vt:lpstr>e4.6!Print_Area</vt:lpstr>
      <vt:lpstr>e5.1!Print_Area</vt:lpstr>
      <vt:lpstr>e5.2!Print_Area</vt:lpstr>
      <vt:lpstr>e5.3!Print_Area</vt:lpstr>
      <vt:lpstr>e5.4!Print_Area</vt:lpstr>
      <vt:lpstr>e6.1!Print_Area</vt:lpstr>
      <vt:lpstr>e6.2!Print_Area</vt:lpstr>
      <vt:lpstr>'e7'!Print_Area</vt:lpstr>
      <vt:lpstr>e8.1!Print_Area</vt:lpstr>
      <vt:lpstr>e8.10!Print_Area</vt:lpstr>
      <vt:lpstr>e8.11!Print_Area</vt:lpstr>
      <vt:lpstr>e8.2!Print_Area</vt:lpstr>
      <vt:lpstr>e8.3!Print_Area</vt:lpstr>
      <vt:lpstr>e8.4!Print_Area</vt:lpstr>
      <vt:lpstr>e8.5!Print_Area</vt:lpstr>
      <vt:lpstr>e8.6!Print_Area</vt:lpstr>
      <vt:lpstr>e8.7!Print_Area</vt:lpstr>
      <vt:lpstr>e8.8!Print_Area</vt:lpstr>
      <vt:lpstr>e8.9!Print_Area</vt:lpstr>
      <vt:lpstr>e9.1!Print_Area</vt:lpstr>
      <vt:lpstr>e9.2!Print_Area</vt:lpstr>
      <vt:lpstr>e9.3!Print_Area</vt:lpstr>
      <vt:lpstr>e9.4!Print_Area</vt:lpstr>
      <vt:lpstr>e9.5!Print_Area</vt:lpstr>
      <vt:lpstr>e9.6!Print_Area</vt:lpstr>
      <vt:lpstr>e9.7!Print_Area</vt:lpstr>
      <vt:lpstr>e9.8!Print_Area</vt:lpstr>
      <vt:lpstr>e9.9!Print_Area</vt:lpstr>
      <vt:lpstr>'Unpaid Reconciliation'!Print_Area</vt:lpstr>
      <vt:lpstr>prldf_ages</vt:lpstr>
      <vt:lpstr>prldf_cutoff</vt:lpstr>
      <vt:lpstr>prldf_ret</vt:lpstr>
      <vt:lpstr>prldf_type</vt:lpstr>
      <vt:lpstr>prldfs</vt:lpstr>
      <vt:lpstr>proj_py</vt:lpstr>
      <vt:lpstr>prxsldf_ret</vt:lpstr>
      <vt:lpstr>prxsldf_type</vt:lpstr>
      <vt:lpstr>prxsldfs</vt:lpstr>
      <vt:lpstr>ptxt</vt:lpstr>
      <vt:lpstr>ptxt_2</vt:lpstr>
      <vt:lpstr>ptxt_l</vt:lpstr>
      <vt:lpstr>ptxt_l_2</vt:lpstr>
      <vt:lpstr>RFooter</vt:lpstr>
      <vt:lpstr>RH_1</vt:lpstr>
      <vt:lpstr>RH_2</vt:lpstr>
      <vt:lpstr>RH_3</vt:lpstr>
      <vt:lpstr>RH_4</vt:lpstr>
      <vt:lpstr>roll</vt:lpstr>
      <vt:lpstr>roll_to_roll</vt:lpstr>
      <vt:lpstr>roll_to_roll_l</vt:lpstr>
      <vt:lpstr>rtxt</vt:lpstr>
      <vt:lpstr>rtxt_l</vt:lpstr>
      <vt:lpstr>sevtrnd_250k</vt:lpstr>
      <vt:lpstr>sevtrnd_350k</vt:lpstr>
      <vt:lpstr>sevtrnd_500k</vt:lpstr>
      <vt:lpstr>sevtrnd_unl</vt:lpstr>
      <vt:lpstr>SheetList</vt:lpstr>
      <vt:lpstr>tctxt</vt:lpstr>
      <vt:lpstr>tctxt_l</vt:lpstr>
      <vt:lpstr>tcurr</vt:lpstr>
      <vt:lpstr>tit</vt:lpstr>
      <vt:lpstr>trend_prior</vt:lpstr>
      <vt:lpstr>xsldf_ret</vt:lpstr>
      <vt:lpstr>xsldf_type</vt:lpstr>
      <vt:lpstr>xsldfs</vt:lpstr>
    </vt:vector>
  </TitlesOfParts>
  <Company>Oliver Wyman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Briggs</dc:creator>
  <cp:keywords>TemplateVersion: OW.Book.20160601.2; Update Pack: 2016/06/01</cp:keywords>
  <cp:lastModifiedBy>Jimmy Briggs</cp:lastModifiedBy>
  <cp:lastPrinted>2019-06-17T20:12:12Z</cp:lastPrinted>
  <dcterms:created xsi:type="dcterms:W3CDTF">2015-03-10T00:31:27Z</dcterms:created>
  <dcterms:modified xsi:type="dcterms:W3CDTF">2021-11-11T01:16:46Z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2015/06/19</vt:lpwstr>
  </property>
  <property fmtid="{D5CDD505-2E9C-101B-9397-08002B2CF9AE}" pid="3" name="DocumentMSOLanguageID">
    <vt:lpwstr>msoLanguageIDEnglishUS</vt:lpwstr>
  </property>
  <property fmtid="{D5CDD505-2E9C-101B-9397-08002B2CF9AE}" pid="4" name="{A44787D4-0540-4523-9961-78E4036D8C6D}">
    <vt:lpwstr>{CE7F1D64-D8B5-45D9-B458-FA1E5F68CD43}</vt:lpwstr>
  </property>
</Properties>
</file>