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amp\www\hispid-review-2014-15\"/>
    </mc:Choice>
  </mc:AlternateContent>
  <bookViews>
    <workbookView xWindow="0" yWindow="0" windowWidth="28800" windowHeight="12435"/>
  </bookViews>
  <sheets>
    <sheet name="HISPID2015" sheetId="1" r:id="rId1"/>
  </sheets>
  <calcPr calcId="152511"/>
</workbook>
</file>

<file path=xl/calcChain.xml><?xml version="1.0" encoding="utf-8"?>
<calcChain xmlns="http://schemas.openxmlformats.org/spreadsheetml/2006/main">
  <c r="L131" i="1" l="1"/>
  <c r="L132" i="1"/>
  <c r="L133" i="1"/>
  <c r="L134" i="1"/>
  <c r="L135" i="1"/>
  <c r="L136" i="1"/>
  <c r="L137" i="1"/>
  <c r="L130" i="1"/>
  <c r="L19" i="1"/>
  <c r="L41" i="1"/>
  <c r="L42" i="1"/>
  <c r="L40" i="1"/>
  <c r="L28" i="1"/>
  <c r="L25" i="1"/>
  <c r="L26" i="1"/>
  <c r="L27" i="1"/>
  <c r="L29" i="1"/>
  <c r="L30" i="1"/>
  <c r="L24" i="1"/>
  <c r="L11" i="1"/>
  <c r="L5" i="1"/>
  <c r="L9" i="1"/>
  <c r="L117" i="1"/>
  <c r="L73" i="1"/>
  <c r="L7" i="1"/>
  <c r="L106" i="1"/>
  <c r="L107" i="1"/>
  <c r="L108" i="1"/>
  <c r="L109" i="1"/>
  <c r="L110" i="1"/>
  <c r="L111" i="1"/>
  <c r="L112" i="1"/>
  <c r="L113" i="1"/>
  <c r="L114" i="1"/>
  <c r="L115" i="1"/>
  <c r="L116" i="1"/>
  <c r="L105" i="1"/>
  <c r="L53" i="1"/>
  <c r="L54" i="1"/>
  <c r="L23" i="1"/>
  <c r="D23" i="1"/>
  <c r="C23" i="1"/>
  <c r="L82" i="1"/>
  <c r="L77" i="1"/>
  <c r="L17" i="1"/>
  <c r="L57" i="1"/>
  <c r="L78" i="1"/>
  <c r="L22" i="1"/>
  <c r="H14" i="1" l="1"/>
  <c r="H49" i="1" l="1"/>
  <c r="H65" i="1"/>
  <c r="H134" i="1"/>
  <c r="H119" i="1"/>
  <c r="H118" i="1"/>
  <c r="H86" i="1"/>
  <c r="H85" i="1"/>
  <c r="H78" i="1"/>
  <c r="H76" i="1"/>
  <c r="H57" i="1"/>
  <c r="H20" i="1"/>
  <c r="H18" i="1"/>
  <c r="D86" i="1"/>
  <c r="C86" i="1"/>
  <c r="D104" i="1" l="1"/>
  <c r="L13" i="1"/>
  <c r="L14" i="1"/>
  <c r="L15" i="1"/>
  <c r="L16" i="1"/>
  <c r="L18" i="1"/>
  <c r="L20" i="1"/>
  <c r="D2" i="1"/>
  <c r="D3" i="1"/>
  <c r="D4" i="1"/>
  <c r="D5" i="1"/>
  <c r="D6" i="1"/>
  <c r="D7" i="1"/>
  <c r="D8" i="1"/>
  <c r="D9" i="1"/>
  <c r="D10" i="1"/>
  <c r="D11" i="1"/>
  <c r="D12" i="1"/>
  <c r="D13" i="1"/>
  <c r="D14" i="1"/>
  <c r="D15" i="1"/>
  <c r="D16" i="1"/>
  <c r="D18" i="1"/>
  <c r="D19" i="1"/>
  <c r="D20" i="1"/>
  <c r="D21" i="1"/>
  <c r="D22"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5" i="1"/>
  <c r="D66" i="1"/>
  <c r="D67" i="1"/>
  <c r="D68" i="1"/>
  <c r="D73" i="1"/>
  <c r="D74" i="1"/>
  <c r="D75" i="1"/>
  <c r="D76" i="1"/>
  <c r="D77" i="1"/>
  <c r="D78" i="1"/>
  <c r="D79" i="1"/>
  <c r="D80" i="1"/>
  <c r="D81" i="1"/>
  <c r="D82" i="1"/>
  <c r="D83" i="1"/>
  <c r="D84" i="1"/>
  <c r="D85" i="1"/>
  <c r="D87" i="1"/>
  <c r="D88" i="1"/>
  <c r="D89" i="1"/>
  <c r="D90" i="1"/>
  <c r="D91" i="1"/>
  <c r="D92" i="1"/>
  <c r="D93" i="1"/>
  <c r="D94" i="1"/>
  <c r="D95" i="1"/>
  <c r="D96" i="1"/>
  <c r="D97" i="1"/>
  <c r="D98" i="1"/>
  <c r="D99" i="1"/>
  <c r="D100" i="1"/>
  <c r="D101" i="1"/>
  <c r="D102" i="1"/>
  <c r="D103" i="1"/>
  <c r="D117" i="1"/>
  <c r="D118" i="1"/>
  <c r="D119" i="1"/>
  <c r="D120" i="1"/>
  <c r="D121" i="1"/>
  <c r="D122" i="1"/>
  <c r="D123" i="1"/>
  <c r="D124" i="1"/>
  <c r="D125" i="1"/>
  <c r="D126" i="1"/>
  <c r="D127" i="1"/>
  <c r="D128" i="1"/>
  <c r="D129" i="1"/>
  <c r="D130" i="1"/>
  <c r="D131" i="1"/>
  <c r="D132" i="1"/>
  <c r="D133" i="1"/>
  <c r="D134" i="1"/>
  <c r="D135" i="1"/>
  <c r="D136" i="1"/>
  <c r="D137" i="1"/>
  <c r="C2" i="1"/>
  <c r="C3" i="1"/>
  <c r="C4" i="1"/>
  <c r="C5" i="1"/>
  <c r="C6" i="1"/>
  <c r="C7" i="1"/>
  <c r="C8" i="1"/>
  <c r="C9" i="1"/>
  <c r="C10" i="1"/>
  <c r="C11" i="1"/>
  <c r="C12" i="1"/>
  <c r="C13" i="1"/>
  <c r="C14" i="1"/>
  <c r="C15" i="1"/>
  <c r="C16" i="1"/>
  <c r="C18" i="1"/>
  <c r="C19" i="1"/>
  <c r="C20" i="1"/>
  <c r="C21" i="1"/>
  <c r="C22"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5" i="1"/>
  <c r="C66" i="1"/>
  <c r="C67" i="1"/>
  <c r="C68" i="1"/>
  <c r="C73" i="1"/>
  <c r="C74" i="1"/>
  <c r="C75" i="1"/>
  <c r="C76" i="1"/>
  <c r="C77" i="1"/>
  <c r="C78" i="1"/>
  <c r="C79" i="1"/>
  <c r="C80" i="1"/>
  <c r="C81" i="1"/>
  <c r="C82" i="1"/>
  <c r="C83" i="1"/>
  <c r="C84" i="1"/>
  <c r="C85" i="1"/>
  <c r="C87" i="1"/>
  <c r="C88" i="1"/>
  <c r="C89" i="1"/>
  <c r="C90" i="1"/>
  <c r="C91" i="1"/>
  <c r="C92" i="1"/>
  <c r="C93" i="1"/>
  <c r="C94" i="1"/>
  <c r="C95" i="1"/>
  <c r="C96" i="1"/>
  <c r="C97" i="1"/>
  <c r="C98" i="1"/>
  <c r="C99" i="1"/>
  <c r="C100" i="1"/>
  <c r="C101" i="1"/>
  <c r="C102" i="1"/>
  <c r="C103" i="1"/>
  <c r="C104" i="1"/>
  <c r="C117" i="1"/>
  <c r="C118" i="1"/>
  <c r="C119" i="1"/>
  <c r="C120" i="1"/>
  <c r="C121" i="1"/>
  <c r="C122" i="1"/>
  <c r="C123" i="1"/>
  <c r="C124" i="1"/>
  <c r="C125" i="1"/>
  <c r="C126" i="1"/>
  <c r="C127" i="1"/>
  <c r="C128" i="1"/>
  <c r="C129" i="1"/>
  <c r="C130" i="1"/>
  <c r="C131" i="1"/>
  <c r="C132" i="1"/>
  <c r="C133" i="1"/>
  <c r="C134" i="1"/>
  <c r="C135" i="1"/>
  <c r="C136" i="1"/>
  <c r="C137" i="1"/>
</calcChain>
</file>

<file path=xl/sharedStrings.xml><?xml version="1.0" encoding="utf-8"?>
<sst xmlns="http://schemas.openxmlformats.org/spreadsheetml/2006/main" count="1094" uniqueCount="556">
  <si>
    <t>group</t>
  </si>
  <si>
    <t>name</t>
  </si>
  <si>
    <t>namespace</t>
  </si>
  <si>
    <t>qualName</t>
  </si>
  <si>
    <t>description</t>
  </si>
  <si>
    <t>dataType</t>
  </si>
  <si>
    <t>usage</t>
  </si>
  <si>
    <t>vocabulary</t>
  </si>
  <si>
    <t>comments</t>
  </si>
  <si>
    <t>examples</t>
  </si>
  <si>
    <t>status</t>
  </si>
  <si>
    <t>GitHub issue</t>
  </si>
  <si>
    <t>Darwin Core</t>
  </si>
  <si>
    <t>ABCD</t>
  </si>
  <si>
    <t>HISPID 3</t>
  </si>
  <si>
    <t>HISPID 4</t>
  </si>
  <si>
    <t>HISPID 5</t>
  </si>
  <si>
    <t>Record level terms</t>
  </si>
  <si>
    <t>institutionCode</t>
  </si>
  <si>
    <t>The Index Herbariorum code for the herbarium supplying the record.</t>
  </si>
  <si>
    <t>string</t>
  </si>
  <si>
    <t>"MEL", "CANB"</t>
  </si>
  <si>
    <t>current</t>
  </si>
  <si>
    <t>insid</t>
  </si>
  <si>
    <t>collectionCode</t>
  </si>
  <si>
    <t>An acronym or code of a collection or source within the institution.</t>
  </si>
  <si>
    <t>"CBG", "QRS"</t>
  </si>
  <si>
    <t>modified</t>
  </si>
  <si>
    <t>Date and time of the last modification to any component of the record.</t>
  </si>
  <si>
    <t>dateTime</t>
  </si>
  <si>
    <t>Must  be an ISO 8601:2004(E) date or (preferrably) date and time.</t>
  </si>
  <si>
    <t>moddat</t>
  </si>
  <si>
    <t>basisOfRecord</t>
  </si>
  <si>
    <t>Nature of the record</t>
  </si>
  <si>
    <t>http://rs.gbif.org/vocabulary/dwc/basis_of_record.xml</t>
  </si>
  <si>
    <t>"PreservedSpecimen"</t>
  </si>
  <si>
    <t>recsou</t>
  </si>
  <si>
    <t>dcterms:type</t>
  </si>
  <si>
    <t>Nature of the resource</t>
  </si>
  <si>
    <t>http://rs.gbif.org/vocabulary/dcterms/type.xml</t>
  </si>
  <si>
    <t>"PhysicalObject"</t>
  </si>
  <si>
    <t>Occurrence</t>
  </si>
  <si>
    <t>occurrenceID</t>
  </si>
  <si>
    <t>A globally unique identifier for the collection object record.</t>
  </si>
  <si>
    <t>Preferrably use a UUID. If this is not feasible an identifier can be created based on a unique field in the database, for example the catalogNumber|if doing so, the identifier must be stored in the database and cannot be changed or used for another record.</t>
  </si>
  <si>
    <t>"1cf74f91-e991-4382-8b20-42d2d8e6076a", "URN:catalog:PERTH:WAHERB:08444595"</t>
  </si>
  <si>
    <t>catalogNumber</t>
  </si>
  <si>
    <t>The unique identifier for each collection object, including the acronym</t>
  </si>
  <si>
    <t>"MEL 12345", "CANB 78021.1", "PERTH 08444595", "CHR 1234 A"</t>
  </si>
  <si>
    <t>accid</t>
  </si>
  <si>
    <t>recordedBy</t>
  </si>
  <si>
    <t>The name(s) of the person or persons who made the collection on which this record is based</t>
  </si>
  <si>
    <t>Any valid collector's name, collector's family name (surname) followed by comma and space (", ") then initials (all in uppercase and separated by fullstops).</t>
  </si>
  <si>
    <t>"Steenis, C.G.G.J. van", "Wilson, Peter G.", "Streimann, H.|Mundua, A."</t>
  </si>
  <si>
    <t>cnam</t>
  </si>
  <si>
    <t>recordNumber</t>
  </si>
  <si>
    <t>The verbatim collecting number</t>
  </si>
  <si>
    <t>cid</t>
  </si>
  <si>
    <t>preparations</t>
  </si>
  <si>
    <t>ckin</t>
  </si>
  <si>
    <t>otherCatalogNumbers</t>
  </si>
  <si>
    <t>A list of previous or alternate catalog numbers for the same Occurrence.</t>
  </si>
  <si>
    <t>e.g., for the catalogue numbers for exchanged specimens when known or of multisheets.</t>
  </si>
  <si>
    <t>donacc</t>
  </si>
  <si>
    <t>occurrenceRemarks</t>
  </si>
  <si>
    <t>Any additional information provided by the collector.</t>
  </si>
  <si>
    <t>This may contain information about the collecting event/gathering, or descriptive information about the organism.</t>
  </si>
  <si>
    <t>cnot</t>
  </si>
  <si>
    <t>organismQuantity</t>
  </si>
  <si>
    <t>An indication of abundance of the taxon at the collecting locality as recorded by the collector</t>
  </si>
  <si>
    <t>organismQuantityUnit with the value "Tansley (1946) scale" must be delivered alongside this term.</t>
  </si>
  <si>
    <t>"dominant", "rare"</t>
  </si>
  <si>
    <t>fre</t>
  </si>
  <si>
    <t>establishmentMeans</t>
  </si>
  <si>
    <t>The process by which the individual(s) represented in the Occurrence became established at the location.</t>
  </si>
  <si>
    <t>http://rs.gbif.org/vocabulary/gbif/establishment_means.xml</t>
  </si>
  <si>
    <t>lifeForm</t>
  </si>
  <si>
    <t>A description of the habit or life form of the specimen on which the collection object is based.</t>
  </si>
  <si>
    <t>discouraged</t>
  </si>
  <si>
    <t>form</t>
  </si>
  <si>
    <t>reproductiveCondition</t>
  </si>
  <si>
    <t>Reproductive condition(s) of the individual represented by the collection object.</t>
  </si>
  <si>
    <t>"flowers", "flowers|fruit"</t>
  </si>
  <si>
    <t>phe</t>
  </si>
  <si>
    <t>associatedTaxa</t>
  </si>
  <si>
    <t>A list of names of taxa and their associations with the Occurrence.</t>
  </si>
  <si>
    <t>"host:Nothofagus cunninghamii", "growingWith:Eucalyptus regnans|growingWith:Atherospermum moschatum"</t>
  </si>
  <si>
    <t>asspp</t>
  </si>
  <si>
    <t>associationType</t>
  </si>
  <si>
    <t>Type of association</t>
  </si>
  <si>
    <t>To be used in combination with hispid:associatedTaxon to make up list for associatedTaxa</t>
  </si>
  <si>
    <t>associatedTaxon</t>
  </si>
  <si>
    <t>Nameof associated taxon</t>
  </si>
  <si>
    <t>To be used in combination with hispid:associationType to make up list for associatedTaxa</t>
  </si>
  <si>
    <t>associatedSequences</t>
  </si>
  <si>
    <t>List of identifiers for sequences associated with the collection object.</t>
  </si>
  <si>
    <t>Use Genbank accession numbers.</t>
  </si>
  <si>
    <t>Event</t>
  </si>
  <si>
    <t>habitat</t>
  </si>
  <si>
    <t>Description of the habitat from where the collection object was collected, including geology and soil type, as well as the associated species.</t>
  </si>
  <si>
    <t>//Unit/Gathering/Biotope/Text</t>
  </si>
  <si>
    <t>hab</t>
  </si>
  <si>
    <t>topography</t>
  </si>
  <si>
    <t>A description of the topography of the habitat from which the collection object was collected</t>
  </si>
  <si>
    <t>//Unit/Gathering/AreaDetail</t>
  </si>
  <si>
    <t>top</t>
  </si>
  <si>
    <t>aspect</t>
  </si>
  <si>
    <t>The abbreviated aspect or outlook of the site from which the collection object was gathered.</t>
  </si>
  <si>
    <t>//Unit/Gathering/Aspect/Ordination</t>
  </si>
  <si>
    <t>asp</t>
  </si>
  <si>
    <t>geologicalSubstrate</t>
  </si>
  <si>
    <t>The substrate or parent rock material in the habitat from which the collection object was collected.</t>
  </si>
  <si>
    <t>//Unit/Gathering/Biotope/MeasurementsOrFacts/MeasurementOrFact/MeasurementOrFactAtomised[Parameter="geologicalSubstrate"]/LowerValue</t>
  </si>
  <si>
    <t>sub</t>
  </si>
  <si>
    <t>substrate</t>
  </si>
  <si>
    <t>The material from which the collection object was collected.</t>
  </si>
  <si>
    <t>//Unit/Gathering/Biotope/MeasurementsOrFacts/MeasurementOrFact/MeasurementOrFactAtomised[Parameter="substrate"]/LowerValue</t>
  </si>
  <si>
    <t>soil</t>
  </si>
  <si>
    <t>Description of the surface soil type from which the collection object was collected.</t>
  </si>
  <si>
    <t>//Unit/Gathering/Biotope/MeasurementsOrFacts/MeasurementOrFact/MeasurementOrFactAtomised[Parameter="soil"]/LowerValue</t>
  </si>
  <si>
    <t>vegetation</t>
  </si>
  <si>
    <t>Description of the vegetation from which the specimen was collected.</t>
  </si>
  <si>
    <t>//Unit/Gathering/Biotope/MeasurementsOrFacts/MeasurementOrFact/MeasurementOrFactAtomised[Parameter="vegetation"]/LowerValue</t>
  </si>
  <si>
    <t>veg</t>
  </si>
  <si>
    <t>eventDate</t>
  </si>
  <si>
    <t>The date or period when the specimen was colleced</t>
  </si>
  <si>
    <t>date</t>
  </si>
  <si>
    <t>ISO-8601</t>
  </si>
  <si>
    <t>"2014-10-03", "1954-11", "1872", "1971-02-03/1971-02-05"</t>
  </si>
  <si>
    <t>verbatimEventDate</t>
  </si>
  <si>
    <t>The verbatim date information of when the specimen was collected</t>
  </si>
  <si>
    <t>//Unit/Gathering/DateTime/DateText</t>
  </si>
  <si>
    <t>texcdat</t>
  </si>
  <si>
    <t>Location</t>
  </si>
  <si>
    <t>locality</t>
  </si>
  <si>
    <t>Description of the locality from where the specimen was collected.</t>
  </si>
  <si>
    <t>//Unit/Gathering/LocalityText</t>
  </si>
  <si>
    <t>loc</t>
  </si>
  <si>
    <t>verbatimLocality</t>
  </si>
  <si>
    <t>Verbatim locality description</t>
  </si>
  <si>
    <t>Locality should always be delivered; only deliver verbatimLocality if stored separately from the locality.</t>
  </si>
  <si>
    <t>continent</t>
  </si>
  <si>
    <t>The name of the continent in which the collecting locality is situated.</t>
  </si>
  <si>
    <t>"Australia", "South America"</t>
  </si>
  <si>
    <t>//Unit/Gathering/NamedAreas/NamedArea[AreaClass="continent"]/AreaName</t>
  </si>
  <si>
    <t>country</t>
  </si>
  <si>
    <t>The name of the country in which the collecting locality is situated</t>
  </si>
  <si>
    <t>"Australia"</t>
  </si>
  <si>
    <t>//Unit/Gathering/Country/Name</t>
  </si>
  <si>
    <t>cou</t>
  </si>
  <si>
    <t>countryCode</t>
  </si>
  <si>
    <t>The standard ISO-3166 code for the country in which the collecting locality is situated.</t>
  </si>
  <si>
    <t>ISO-3166</t>
  </si>
  <si>
    <t>"AU", "NZ"</t>
  </si>
  <si>
    <t>//Unit/Gathering/Country/ISO3166Code</t>
  </si>
  <si>
    <t>iso</t>
  </si>
  <si>
    <t>stateProvince</t>
  </si>
  <si>
    <t>The name of the next smaller administrative region after country in which the collecting locality is situated.</t>
  </si>
  <si>
    <t>"New South Wales", "Kalimantan Barat"</t>
  </si>
  <si>
    <t>//Unit/Gathering/NamedAreas/NamedArea[AreaClass="stateProvince"]/AreaName</t>
  </si>
  <si>
    <t>pru</t>
  </si>
  <si>
    <t>county</t>
  </si>
  <si>
    <t>The name of the next smaller administrative region after stateProvince in which the collecting locality is situated.</t>
  </si>
  <si>
    <t>"Communa Cabo de Hornos"</t>
  </si>
  <si>
    <t>//Unit/Gathering/NamedAreas/NamedArea[AreaClass="county"]/AreaName</t>
  </si>
  <si>
    <t>sru</t>
  </si>
  <si>
    <t>waterBody</t>
  </si>
  <si>
    <t>The name of the water body in which the Location occurs.</t>
  </si>
  <si>
    <t>"Indian Ocean", "Bass Strait"</t>
  </si>
  <si>
    <t>//Unit/Gathering/NamedAreas/NamedArea[AreaClass="waterBody"]/AreaName</t>
  </si>
  <si>
    <t>islandGroup</t>
  </si>
  <si>
    <t>The name of the island group in which the Location occurs.</t>
  </si>
  <si>
    <t>"Cocos Islands", "Auckland Islands", "Furneaux Islands"</t>
  </si>
  <si>
    <t>//Unit/Gathering/NamedAreas/NamedArea[AreaClass="islandGroup"]/AreaName</t>
  </si>
  <si>
    <t>The name of the island on or near which the Location occurs.</t>
  </si>
  <si>
    <t>"Macquarie Island", "Flinders Island"</t>
  </si>
  <si>
    <t>island</t>
  </si>
  <si>
    <t>//Unit/Gathering/NamedAreas/NamedArea[AreaClass="island"]/AreaName</t>
  </si>
  <si>
    <t>decimalLatitude</t>
  </si>
  <si>
    <t>The geographic latitude of the collecting locality</t>
  </si>
  <si>
    <t>decimal</t>
  </si>
  <si>
    <t>"-27.8566666667"</t>
  </si>
  <si>
    <t>//Unit/Gathering/SiteCoordinateSets/SiteCoordinates/CoordinatesLatLong/LatitudeDecimal</t>
  </si>
  <si>
    <t>decimalLongitude</t>
  </si>
  <si>
    <t>The geodetic longitude of the collecting locality</t>
  </si>
  <si>
    <t>"153.4422222222"</t>
  </si>
  <si>
    <t>//Unit/Gathering/SiteCoordinateSets/SiteCoordinates/CoordinatesLatLong/LongitudeDecimal</t>
  </si>
  <si>
    <t>geodeticDatum</t>
  </si>
  <si>
    <t>The ellipsoid, geodetic datum, or spatial reference system (SRS) upon which the geographic coordinates given in decimalLatitude and decimalLongitude are based.</t>
  </si>
  <si>
    <t>Use of EPSG codes is recommended.</t>
  </si>
  <si>
    <t>"EPSG:4326", "EPSG:4283"</t>
  </si>
  <si>
    <t>//Unit/Gathering/SiteCoordinateSets/SiteCoordinates/CoordinatesLatLong/SpatialDatum</t>
  </si>
  <si>
    <t>verbatimLatitude</t>
  </si>
  <si>
    <t>The verbatim original latitude for the Location</t>
  </si>
  <si>
    <t>The coordinate ellipsoid, geodeticDatum, or full Spatial Reference System (SRS) for these coordinates should be stored in verbatimSRS and the coordinate system should be stored in verbatimCoordinateSystem.</t>
  </si>
  <si>
    <t>"15° 5' 59" S"</t>
  </si>
  <si>
    <t>//Unit/Gathering/SiteCoordinateSets/SiteCoordinates/CoordinatesLatLong/VerbatimLatitude</t>
  </si>
  <si>
    <t>latdeg + latmin + latsec + latdir</t>
  </si>
  <si>
    <t>verbatimLongitude</t>
  </si>
  <si>
    <t>The verbatim original longitude for the Location</t>
  </si>
  <si>
    <t>"153° 26' 32" E"</t>
  </si>
  <si>
    <t>//Unit/Gathering/SiteCoordinateSets/SiteCoordinates/CoordinatesLatLong/VerbatimLongitude</t>
  </si>
  <si>
    <t>londeg + lonmin + lonsec + londir</t>
  </si>
  <si>
    <t>verbatimCoordinates</t>
  </si>
  <si>
    <t>The verbatim original geographic coordinates for the Location</t>
  </si>
  <si>
    <t>Use for UTM type coordinates. The coordinate ellipsoid, geodeticDatum, or full Spatial Reference System (SRS) for these coordinates should be stored in verbatimSRS and the coordinate system should be stored in verbatimCoordinateSystem.</t>
  </si>
  <si>
    <t>"MGA 55 568183 5288204"</t>
  </si>
  <si>
    <t>//Unit/Gathering/SiteCoordinateSets/SiteCoordinates/CoordinatesUTM/UTMZone + //Unit/Gathering/SiteCoordinateSets/SiteCoordinates/CoordinatesUTM/UTMEasting + //Unit/Gathering/SiteCoordinateSets/SiteCoordinates/CoordinatesUTM/UTMNorthing</t>
  </si>
  <si>
    <t>sqz + sge + sgn</t>
  </si>
  <si>
    <t>verbatimCoordinateSystem</t>
  </si>
  <si>
    <t>The spatial coordinate system for the verbatimLatitude and verbatimLongitude or the verbatimCoordinates of the Location.</t>
  </si>
  <si>
    <t>Recommended best practice is to use a controlled vocabulary.</t>
  </si>
  <si>
    <t>:decimal degrees", "UTM"</t>
  </si>
  <si>
    <t>verbatimSRS</t>
  </si>
  <si>
    <t>The ellipsoid, geodetic datum, or spatial reference system (SRS) upon which coordinates given in verbatimLatitude and verbatimLongitude, or verbatimCoordinates are based</t>
  </si>
  <si>
    <t>Recommended best practice is use the EPSG code as a controlled vocabulary to provide an SRS, if know</t>
  </si>
  <si>
    <t>"EPSG:28352"</t>
  </si>
  <si>
    <t>sgp</t>
  </si>
  <si>
    <t>spapro</t>
  </si>
  <si>
    <t>coordinatePrecision</t>
  </si>
  <si>
    <t>A decimal representation of the precision of the coordinates given in the decimalLatitude and decimalLongitude</t>
  </si>
  <si>
    <t>"0.016667", "0.0002778"</t>
  </si>
  <si>
    <t>coordinateUncertaintyInMeters</t>
  </si>
  <si>
    <t>Estimate of the maximum horizontal distance between the point referenced by the decimalLatitude and decimalLongitude and the actual location the collection took place.</t>
  </si>
  <si>
    <t>Historically many Australian herbaria have used classes to record the uncertainty in meters, for example 0–50 m, 50–1000 m, 1000–10000 m, 10000–25000 m, &gt; 25000 m. The upper limit of these classes is delivered as coordinateUncertainty.</t>
  </si>
  <si>
    <t>//Unit/Gathering/SiteCoordinateSets/SiteCoordinates/CoordinatesLatLong/CoordinateErrorDistanceInMeters</t>
  </si>
  <si>
    <t>geoacy</t>
  </si>
  <si>
    <t>georeferencedBy</t>
  </si>
  <si>
    <t>Name(s) of person(s), group(s) or organisation(s) who took the georeference of the Location</t>
  </si>
  <si>
    <t>"National Herbarium of Victoria (MEL)", "Walsh, N.G."</t>
  </si>
  <si>
    <t>geosou p.p.</t>
  </si>
  <si>
    <t>georeferenceProtocol</t>
  </si>
  <si>
    <t>A description of or reference to the methods used to determine the geographic coordinates of the Location.</t>
  </si>
  <si>
    <t>"GEOLocate"</t>
  </si>
  <si>
    <t>//Unit/Gathering/SiteCoordinateSets/SiteCoordinates/CoordinateMethod</t>
  </si>
  <si>
    <t>georeferencedDate</t>
  </si>
  <si>
    <t>The date on which the Location was georeferen</t>
  </si>
  <si>
    <t>Recommended best practice is to use an encoding scheme, such as ISO 8601:2004(E).</t>
  </si>
  <si>
    <t>georeferenceSources</t>
  </si>
  <si>
    <t>A list (concatenated and separated) of maps, gazetteers, or other resources used to georeference the Location, described specifically enough to allow anyone in the future to use the same resource.</t>
  </si>
  <si>
    <t>//Unit/Gathering/SiteCoordinateSets/SiteCoordinates/GeoreferenceSources</t>
  </si>
  <si>
    <t>georeferenceVerificationStatus</t>
  </si>
  <si>
    <t>A categorical description of the extent to which the georeference has been verified to represent the best possible spatial descript</t>
  </si>
  <si>
    <t>//Unit/Gathering/SiteCoordinateSets/SiteCoordinates/GeoreferenceVerificationStatus</t>
  </si>
  <si>
    <t>georeferenceRemarks</t>
  </si>
  <si>
    <t>Notes or comments about the spatial description determination, explaining assumptions made in addition or opposition to the those formalised in the method referred to in georeferenceProtocol.</t>
  </si>
  <si>
    <t>//Unit/Gathering/SiteCoordinateSets/SiteCoordinates/GeoreferenceRemarks</t>
  </si>
  <si>
    <t>nearestNamedPlace</t>
  </si>
  <si>
    <t xml:space="preserve">The nearest named place to the collecting locality. </t>
  </si>
  <si>
    <t>nnp</t>
  </si>
  <si>
    <t>minimumElevationInMeters</t>
  </si>
  <si>
    <t>Elevation or lower value of a range of elevation in metres.</t>
  </si>
  <si>
    <t>//Unit/Gathering/Altitude/MeasurementOrFactAtomised[UnitOfMeasurement="metres"]/LowerValue</t>
  </si>
  <si>
    <t>alt</t>
  </si>
  <si>
    <t>maximumElevationInMeters</t>
  </si>
  <si>
    <t>Higher value of the range of elevation in metres.</t>
  </si>
  <si>
    <t>altx</t>
  </si>
  <si>
    <t>verbatimElevation</t>
  </si>
  <si>
    <t>The original description of the elevation as provided by the collector.</t>
  </si>
  <si>
    <t>//Unit/Gathering/Altitude/MeasurementOrFactText</t>
  </si>
  <si>
    <t>Accuracy of Maximum Altitude</t>
  </si>
  <si>
    <t>altacyx</t>
  </si>
  <si>
    <t>Source of Altitude Accuracy Flag</t>
  </si>
  <si>
    <t>altsou</t>
  </si>
  <si>
    <t>elevationMethod</t>
  </si>
  <si>
    <t>Method by which the elevation was determined.</t>
  </si>
  <si>
    <t>altdet</t>
  </si>
  <si>
    <t>minimumDepthInMeters</t>
  </si>
  <si>
    <t>Depth or the lesser of a range of depth below the local surface in metres.</t>
  </si>
  <si>
    <t>//Unit/Gathering/Depth/MeasurementOrFactAtomised/LowerValue with
//Unit/Gathering/Depth/MeasurementOrFactAtomised/UnitOfMeasurement = 'metres'</t>
  </si>
  <si>
    <t>dep</t>
  </si>
  <si>
    <t>maximumDepthInMeters</t>
  </si>
  <si>
    <t>The greater of a range of depths below the local surface in metres.</t>
  </si>
  <si>
    <t>//Unit/Gathering/Depth/MeasurementOrFactAtomised/UpperValue with
//Unit/Gathering/Depth/MeasurementOrFactAtomised/UnitOfMeasurement = 'metres'</t>
  </si>
  <si>
    <t>depx</t>
  </si>
  <si>
    <t>verbatimDepth</t>
  </si>
  <si>
    <t>Verbatim description of the depth, as provided by the collector.</t>
  </si>
  <si>
    <t>//Unit/Gathering/Depth/MeasurementOrFactText</t>
  </si>
  <si>
    <t>Accuracy of Depth</t>
  </si>
  <si>
    <t>under consideration</t>
  </si>
  <si>
    <t>depacy</t>
  </si>
  <si>
    <t>Accuracy of Maximum Depth</t>
  </si>
  <si>
    <t>depacyx</t>
  </si>
  <si>
    <t>Source of Depth Accuracy Flag</t>
  </si>
  <si>
    <t>Method of Depth Determination</t>
  </si>
  <si>
    <t>Identification</t>
  </si>
  <si>
    <t>identificationID</t>
  </si>
  <si>
    <t>Identifier for the Identification</t>
  </si>
  <si>
    <t>Use of a UUID is recommended.</t>
  </si>
  <si>
    <t>identificationQualifier</t>
  </si>
  <si>
    <t>A brief phrase or standard term to express doubt about an identification.</t>
  </si>
  <si>
    <t>//Unit/Identifications/Identification[PreferredFlag="true"]/Result/TaxonIdentified/ScientificName/IdentificationQualifier + //Unit/Identifications/Identification[PreferredFlag="true"]/Result/TaxonIdentified/ScientificName/IdentificationQualifier[@insertionpoint]</t>
  </si>
  <si>
    <t>idql</t>
  </si>
  <si>
    <t>identificationQualifierRank</t>
  </si>
  <si>
    <t>Rank at which the identificationQualifier applies</t>
  </si>
  <si>
    <t>rkql</t>
  </si>
  <si>
    <t>nameAddendum</t>
  </si>
  <si>
    <t>A suffix added after the scientific name to indicate aggregate taxa or  more or less inclusive taxon concepts</t>
  </si>
  <si>
    <t>//Unit/Identifications/Identification[PreferredFlag="true"]/Result/TaxonIdentified/ScientificName/NameAddendum</t>
  </si>
  <si>
    <t>spql</t>
  </si>
  <si>
    <t>identificationVerificationStatus</t>
  </si>
  <si>
    <t>vlev</t>
  </si>
  <si>
    <t>identifierRole</t>
  </si>
  <si>
    <t>Categorical indicator of the type of contribution made by the determiner.</t>
  </si>
  <si>
    <t>det</t>
  </si>
  <si>
    <t>identifiedBy</t>
  </si>
  <si>
    <t>The name(s) of people, groups, or organisations who  identified the collection object.</t>
  </si>
  <si>
    <t>vnam</t>
  </si>
  <si>
    <t>dateIdentified</t>
  </si>
  <si>
    <t>The date on which the collection object was identified.</t>
  </si>
  <si>
    <t>vdat</t>
  </si>
  <si>
    <t>verbatimDateIdentified</t>
  </si>
  <si>
    <t>The verbatim date of the Identification.</t>
  </si>
  <si>
    <t>textvdat</t>
  </si>
  <si>
    <t>References used for the Identification.</t>
  </si>
  <si>
    <t>identificationReferences</t>
  </si>
  <si>
    <t>vlit</t>
  </si>
  <si>
    <t>previousIdentifications</t>
  </si>
  <si>
    <t>Previous identifications of the collection object.</t>
  </si>
  <si>
    <t>It is preferrable to use the repeatable Identification elements in ABCD or the Identification extension in Darwin Core.</t>
  </si>
  <si>
    <t>vhist</t>
  </si>
  <si>
    <t>identificationRemarks</t>
  </si>
  <si>
    <t>Any additional comments made by the determiner as part of the Identification.</t>
  </si>
  <si>
    <t>idcom</t>
  </si>
  <si>
    <t>typeStatusQualifier</t>
  </si>
  <si>
    <t>Standard term to qualify the type status designation.</t>
  </si>
  <si>
    <t>//Unit/SpecimenUnit/NomenclaturalTypeDesignations/NomenclaturalTypeDesignation[0]/DoubtfulFlag</t>
  </si>
  <si>
    <t>tql</t>
  </si>
  <si>
    <t>typeStatus</t>
  </si>
  <si>
    <t>Code indicating the type status of the collection object.</t>
  </si>
  <si>
    <t>//Unit/SpecimenUnit/NomenclaturalTypeDesignations/NomenclaturalTypeDesignation[0]/TypeStatus</t>
  </si>
  <si>
    <t>tsta</t>
  </si>
  <si>
    <t>typifiedName</t>
  </si>
  <si>
    <t>The scientific name of which the collection object is a type.</t>
  </si>
  <si>
    <t>//Unit/SpecimenUnit/NomenclaturalTypeDesignations/NomenclaturalTypeDesignation[0]/TypifiedName/FullScientificNameString</t>
  </si>
  <si>
    <t>basnam</t>
  </si>
  <si>
    <t>Taxon</t>
  </si>
  <si>
    <t>taxonRank</t>
  </si>
  <si>
    <t>Taxonomic rank of the taxon to which the collection object has been identified.</t>
  </si>
  <si>
    <t>http://rs.gbif.org/vocabulary/gbif/rank.xml</t>
  </si>
  <si>
    <t>"subspecies"</t>
  </si>
  <si>
    <t>kingdom</t>
  </si>
  <si>
    <t>Full scientific name of the kingdom in which the taxon is classified</t>
  </si>
  <si>
    <t>"Plantae"</t>
  </si>
  <si>
    <t>phylum</t>
  </si>
  <si>
    <t>Full scientific name of the phylum in which the taxon is classified</t>
  </si>
  <si>
    <t>"Streptophyta"</t>
  </si>
  <si>
    <t>class</t>
  </si>
  <si>
    <t>Full scientific name of the class in which the taxon is classified</t>
  </si>
  <si>
    <t>"Equisetopsida"</t>
  </si>
  <si>
    <t>order</t>
  </si>
  <si>
    <t>Full scientific name of the order in which the taxon is classified</t>
  </si>
  <si>
    <t>"Fabales"</t>
  </si>
  <si>
    <t>family</t>
  </si>
  <si>
    <t>Full scientific name of the order in which the family is classified</t>
  </si>
  <si>
    <t>"Fabaceae"</t>
  </si>
  <si>
    <t>fam</t>
  </si>
  <si>
    <t>genus</t>
  </si>
  <si>
    <t>Full scientific name of the order in which the genus is classified</t>
  </si>
  <si>
    <t>"Acacia"</t>
  </si>
  <si>
    <t>gen</t>
  </si>
  <si>
    <t>specificEpithet</t>
  </si>
  <si>
    <t>Species epithet of the scientific name.</t>
  </si>
  <si>
    <t>"dealbata"</t>
  </si>
  <si>
    <t>sp</t>
  </si>
  <si>
    <t>infraspecificEpithet</t>
  </si>
  <si>
    <t>Infraspecific epithet of the scientific name.</t>
  </si>
  <si>
    <t>"subalpina"</t>
  </si>
  <si>
    <t>isp</t>
  </si>
  <si>
    <t>scientificName</t>
  </si>
  <si>
    <t>Full scientific name with authorship</t>
  </si>
  <si>
    <t>"Dicranoloma menziesii (Taylor) Renauld"</t>
  </si>
  <si>
    <t>fulnam</t>
  </si>
  <si>
    <t>scientificNameAuthorship</t>
  </si>
  <si>
    <t>Authorship of the scientific name formatted to the conventions of the applicable nomenclatural code.</t>
  </si>
  <si>
    <t>spau/ispau</t>
  </si>
  <si>
    <t>nomenclaturalCode</t>
  </si>
  <si>
    <t>Nomenclatural code under which the scientific name is applied.</t>
  </si>
  <si>
    <t>http://rs.gbif.org/vocabulary/gbif/nomenclatural_code.xml</t>
  </si>
  <si>
    <t>"ICBN", "ICNCP"</t>
  </si>
  <si>
    <t>taxonRemarks</t>
  </si>
  <si>
    <t>namcom</t>
  </si>
  <si>
    <t>vernacularName</t>
  </si>
  <si>
    <t>Only use when provided by the collector, e.g. when the collection is a result of ethnobotanical study.</t>
  </si>
  <si>
    <t>vernam</t>
  </si>
  <si>
    <t>cultivarGroupName</t>
  </si>
  <si>
    <t>Cultivar group name</t>
  </si>
  <si>
    <t>Follow the conventions in the ICNCP.</t>
  </si>
  <si>
    <t>culgnam</t>
  </si>
  <si>
    <t>cultivarName</t>
  </si>
  <si>
    <t>Cultivar name</t>
  </si>
  <si>
    <t>culnam</t>
  </si>
  <si>
    <t>tradeDesignation</t>
  </si>
  <si>
    <t>Trade designation</t>
  </si>
  <si>
    <t>tranam</t>
  </si>
  <si>
    <t>Hybrid Flag</t>
  </si>
  <si>
    <t>hyb</t>
  </si>
  <si>
    <t>Hybrid Formula</t>
  </si>
  <si>
    <t>Second Hybrid Genus Name</t>
  </si>
  <si>
    <t>genhy2</t>
  </si>
  <si>
    <t>Second Hybrid Species Epithet</t>
  </si>
  <si>
    <t>sphy2</t>
  </si>
  <si>
    <t>Infraspecific Rank Flag</t>
  </si>
  <si>
    <t>isprk</t>
  </si>
  <si>
    <t>Second Hybrid Infraspecific Rank Flag</t>
  </si>
  <si>
    <t>isprkhy2</t>
  </si>
  <si>
    <t>Second Hybrid Infraspecific Epithet</t>
  </si>
  <si>
    <t>isphy2</t>
  </si>
  <si>
    <t>Second Infraspecific Rank Flag</t>
  </si>
  <si>
    <t>isp2rk</t>
  </si>
  <si>
    <t>Second Hybrid of the Second Infraspecific Flag</t>
  </si>
  <si>
    <t>isp2rkhy2</t>
  </si>
  <si>
    <t>Second Infraspecific Epithet</t>
  </si>
  <si>
    <t>isp2</t>
  </si>
  <si>
    <t>Second Hybrid of the Second Infraspecific Epithet</t>
  </si>
  <si>
    <t>isp2hy2</t>
  </si>
  <si>
    <t>Second Infraspecific Author</t>
  </si>
  <si>
    <t>isp2au</t>
  </si>
  <si>
    <t>Collection object</t>
  </si>
  <si>
    <t>miscellaneousRemarks</t>
  </si>
  <si>
    <t>Any additional information to be transferred pertaining to the collection object.</t>
  </si>
  <si>
    <t>//Unit/Notes</t>
  </si>
  <si>
    <t>misc</t>
  </si>
  <si>
    <t>voucherFlag</t>
  </si>
  <si>
    <t>Term to indicate the collection onject has served as a voucher for a special purpose.</t>
  </si>
  <si>
    <t>vou</t>
  </si>
  <si>
    <t>provenanceTypeFlag</t>
  </si>
  <si>
    <t>Code to indicate the type of provenance of the cultivated material from which this collection object was taken.</t>
  </si>
  <si>
    <t>Use ITF2 codes</t>
  </si>
  <si>
    <t>prot</t>
  </si>
  <si>
    <t>cultivatedPlantProvenance</t>
  </si>
  <si>
    <t>Descriptive and coded information that describes the geographic position from which the source material of the cultivated plant from which the collection object was taken was collected.</t>
  </si>
  <si>
    <t>Preferrably this information is databased and delivered as a related resource, using all relevant elements from the relevant standard; if this is not feasible, the information can be delivered as free text, providing as much detail as possible.</t>
  </si>
  <si>
    <t>Transaction</t>
  </si>
  <si>
    <t>donor</t>
  </si>
  <si>
    <t>The person, business or institution from which the collection object was obtained.</t>
  </si>
  <si>
    <t>don</t>
  </si>
  <si>
    <t>duplicatesDistributedTo</t>
  </si>
  <si>
    <t>List of institutions replicates have been sent to.</t>
  </si>
  <si>
    <t>Use Index Herbariorum acronyms.</t>
  </si>
  <si>
    <t>"PERTH", "CANB|NSW"</t>
  </si>
  <si>
    <t>desrep</t>
  </si>
  <si>
    <t>loanIdentifier</t>
  </si>
  <si>
    <t>The number assigned to the loan by the lending institution.</t>
  </si>
  <si>
    <t>loaid</t>
  </si>
  <si>
    <t>loanDestination</t>
  </si>
  <si>
    <t>Institution to which the loan is sent.</t>
  </si>
  <si>
    <t>Preferrably an Index Herbriorum acronym is used.</t>
  </si>
  <si>
    <t>loades</t>
  </si>
  <si>
    <t>loanForBotanist</t>
  </si>
  <si>
    <t>Name(s) of the botanist(s) for whom the loan is intended.</t>
  </si>
  <si>
    <t>loabot</t>
  </si>
  <si>
    <t>loanDate</t>
  </si>
  <si>
    <t>The date the loan is prepared and/or sent.</t>
  </si>
  <si>
    <t>loadat</t>
  </si>
  <si>
    <t>loanReturnDate</t>
  </si>
  <si>
    <t>The date the loan is due to be returned.</t>
  </si>
  <si>
    <t>loaret</t>
  </si>
  <si>
    <t>Permit</t>
  </si>
  <si>
    <t>permitType</t>
  </si>
  <si>
    <t>Type of permit.</t>
  </si>
  <si>
    <t>"collecting permit", "export permit"</t>
  </si>
  <si>
    <t>permitReferenceNumber</t>
  </si>
  <si>
    <t>Reference number allocated to the permit by the issuing authority.</t>
  </si>
  <si>
    <t>permitIssuedBy</t>
  </si>
  <si>
    <t>Name of the authority by whom the permit was issued.</t>
  </si>
  <si>
    <t>permitIssuedTo</t>
  </si>
  <si>
    <t>Name(s) of the person(s) or organisation to whom the permit was issued.</t>
  </si>
  <si>
    <t>permitIssuedDate</t>
  </si>
  <si>
    <t>Date the permit was issued.</t>
  </si>
  <si>
    <t>permitValidDate</t>
  </si>
  <si>
    <t>Date or period for which the permit is valid.</t>
  </si>
  <si>
    <t>permitStatus</t>
  </si>
  <si>
    <t>Status of the permit.</t>
  </si>
  <si>
    <t>permitConditions</t>
  </si>
  <si>
    <t>Conditions on the permit, which may affect how the specimens collected under the permit may be used or distributed.</t>
  </si>
  <si>
    <t>permitRemarks</t>
  </si>
  <si>
    <t>Any additional comments pertaining to the permit.</t>
  </si>
  <si>
    <t>permitLink</t>
  </si>
  <si>
    <t>The link to an electronic version of the permit.</t>
  </si>
  <si>
    <t>A vernacular name assigned to the specimen.</t>
  </si>
  <si>
    <t>//Unit/SourceInstitutionID</t>
  </si>
  <si>
    <t>//Unit/SourceID</t>
  </si>
  <si>
    <t>//Unit/DateLastEdited</t>
  </si>
  <si>
    <t>//Unit/RecordBasis</t>
  </si>
  <si>
    <t>//Unit/UnitID</t>
  </si>
  <si>
    <t>//Unit/Gathering/Agents/GatheringAgentsText or //Unit/Gathering/Agents/GatheringAgent/AgentText (+)</t>
  </si>
  <si>
    <t>//Unit/CollectorsFieldNumber</t>
  </si>
  <si>
    <t>//Unit/KindOfUnit</t>
  </si>
  <si>
    <t>//Unit/SpecimenUnit/History/PreviousUnits/PreviousUnit/PreviousUnitID</t>
  </si>
  <si>
    <t>//Unit/Gathering/Notes</t>
  </si>
  <si>
    <t>//Unit/MeasurementsOrFacts/MeasurementOrFact/MeasurementOrFactAtomised[Parameter="organismQuantity"][UnitOfMeasurement="Tansley (1946) scale"]/LowerValue</t>
  </si>
  <si>
    <t>//Unit/Gathering/EstablishmentMeans</t>
  </si>
  <si>
    <t>posnat + poscul</t>
  </si>
  <si>
    <t>//Unit/UnitExtension/hispid:HispidUnit/hispid:Phenology</t>
  </si>
  <si>
    <t>//Unit/MeasurementsOrFacts/MeasurementOrFact/MeasurementOrFactAtomised[Parameter="reproductiveCondition"]/LowerValue</t>
  </si>
  <si>
    <t>//Unit/UnitExtension/hispid:HispidUnit/hispid:Frequency</t>
  </si>
  <si>
    <t>//Units/Unit/UnitExtension/hispid:HispidUnit/hispid:LifeForm</t>
  </si>
  <si>
    <t>//Unit/Gathering/Synecology/AssociatedTaxa/TaxonIdentified/ScientificName/FullScientificNameString + //Unit/MeasurementsOrFacts/MeasurementOrFact/MeasurementOrFactAtomised[Parameter="host"]/LowerValue</t>
  </si>
  <si>
    <t>The ABCD mapping using the Synecology element can only be used to transfer one association type, 'growingWith'.  Host taxa have to be delivered using a MeasurementOrFact. The HISPID 5 free text representation cannot be delivered in this element at all and needs to be delivered as part of habitat.</t>
  </si>
  <si>
    <t>//Sequences/Sequence/ID-in-Database</t>
  </si>
  <si>
    <t>//Unit/UnitExtension/hispid:HispidGathering/hispid:Substrate</t>
  </si>
  <si>
    <t>//Units/Unit/UnitExtension/hispid:HispidGathering/hispid:SoilType</t>
  </si>
  <si>
    <t>//Unit/UnitExtension/hispid:HispidGathering/hispid:Vegetation</t>
  </si>
  <si>
    <t>//Unit/Gathering/DateTime/ISODateTimeBegin + //Unit/Gathering/DateTime/ISODateTimeEnd</t>
  </si>
  <si>
    <t>cdat + cdat2</t>
  </si>
  <si>
    <t>//Unit/UnitExtension/hispid:HispidGathering/hispid:PrimaryRecordingUnit</t>
  </si>
  <si>
    <t>//Unit/Gathering/SiteMeasurementsOrFacts/SiteMeasurementOrFact/MeasurementOrFactAtomised[Parameter="georeferencedBy"]/LowerValue</t>
  </si>
  <si>
    <t>//Unit/Gathering/SiteMeasurementsOrFacts/SiteMeasurementOrFact/MeasurementOrFactAtomised[Parameter="georeferencedDate"]/LowerValue</t>
  </si>
  <si>
    <t>//Unit/Gathering/NearNamedPlaces/NamedPlaceRelation/NearNamedPlace</t>
  </si>
  <si>
    <t>We do not want to use this as generalised locality any more. There are still two use cases: (1) a nearest named placed given by a collector when the collecting locality doesn't have a name or is obscure and (2) the place name the georeference is based on when the name of the locality can't be found in any gazetteer. The latter use case probably desrves its own term.</t>
  </si>
  <si>
    <t>//Unit/Gathering/Altitude/MeasurementOrFactAtomised[UnitOfMeasurement="metres"]/UpperValue</t>
  </si>
  <si>
    <t>//Unit/Identifications/Identification/VerificationLevel</t>
  </si>
  <si>
    <t>//Unit/Identifications/Identification/Identifiers/IdentifierRole</t>
  </si>
  <si>
    <t>//Unit/Identifications/Identification/Identifiers/IdentifiersText</t>
  </si>
  <si>
    <t>//Unit/Identifications/Identification/Date/ISODateTimeBegin</t>
  </si>
  <si>
    <t>//Unit/Identifications/Identification/Date/DateText</t>
  </si>
  <si>
    <t>//Unit/Identifications/Identification[PreferredFlag="FALSE"]/*
or
//Unit/Identifications/IdentificationHistory</t>
  </si>
  <si>
    <t>//Unit/Identifications/Identification/Notes</t>
  </si>
  <si>
    <t>//Unit/Identifications/Identification/Result/TaxonIdentified/HigherTaxa/HigherTaxon[HigherTaxonRank="regnum"]/HigherTaxonName</t>
  </si>
  <si>
    <t>//Unit/Identifications/Identification/Result/TaxonIdentified/HigherTaxa/HigherTaxon[HigherTaxonRank="phylum"]/HigherTaxonName</t>
  </si>
  <si>
    <t>//Unit/Identifications/Identification/Result/TaxonIdentified/HigherTaxa/HigherTaxon[HigherTaxonRank="classis"]/HigherTaxonName</t>
  </si>
  <si>
    <t>//Unit/Identifications/Identification/Result/TaxonIdentified/HigherTaxa/HigherTaxon[HigherTaxonRank="ordo"]/HigherTaxonName</t>
  </si>
  <si>
    <t>//Unit/Identifications/Identification/Result/TaxonIdentified/HigherTaxa/HigherTaxon[HigherTaxonRank="familia"]/HigherTaxonName</t>
  </si>
  <si>
    <t>//Unit/Identifications/Identification/Result/TaxonIdentified/ScientificName/NameAtomised/Botanical/GenusOrMonomial</t>
  </si>
  <si>
    <t>//Unit/Identifications/Identification/Result/TaxonIdentified/ScientificName/NameAtomised/Botanical/FirstEpithet</t>
  </si>
  <si>
    <t>//Unit/Identifications/Identification/Result/TaxonIdentified/ScientificName/NameAtomised/Botanical/InfraspecificEpithet</t>
  </si>
  <si>
    <t>//Unit/Identifications/Identification/Result/TaxonIdentified/ScientificName/FullScientificNameString</t>
  </si>
  <si>
    <t>//Unit/Identifications/Identification/Result/TaxonIdentified/ScientificName/NameAtomised/Botanical/AuthorTeam</t>
  </si>
  <si>
    <t>The parsing of the authorship into the authorship of the basionym and of the combination, as ABCD does, is discouraged. Also in ABCD the entire authorship should be delivered in AuthorTeam.</t>
  </si>
  <si>
    <t>"L.", "(Taylor) Renauld"</t>
  </si>
  <si>
    <t>//Unit/UnitExtension/hispid:HispidIdentification/hispid:NameFormula</t>
  </si>
  <si>
    <t>//Unit/Identifications/Identification/Result/TaxonIdentified/NameComments</t>
  </si>
  <si>
    <t>//Unit/Identifications/Identification/Result/TaxonIdentified/ScientificName/NameAtomised/Botanical/CultivarGroupName</t>
  </si>
  <si>
    <t>//Unit/Identifications/Identification/Result/TaxonIdentified/ScientificName/NameAtomised/Botanical/TradeDesignationNames</t>
  </si>
  <si>
    <t>//Unit/MeasurementsOrFacts/MeasurementOrFact/MeasurementOrFactAtomised[Parameter="voucher"]/LowerValue</t>
  </si>
  <si>
    <t>//Unit/UnitExtension/hispid:HispidUnit/hispid:ProvenanceType</t>
  </si>
  <si>
    <t>//Unit/MeasurementsOrFacts/MeasurementOrFact/MeasurementOrFactAtomised[Parameter="provenanceTypeFlag"]/LowerValue</t>
  </si>
  <si>
    <t>//Units/Unit/SpecimenUnit/Acquisition/AcquisitionSourceText</t>
  </si>
  <si>
    <t>/Unit/SpecimenUnit/Acquisition/AcquiredFrom/*</t>
  </si>
  <si>
    <t>//Unit/SpecimenUnit/DuplicatesDistributedTo</t>
  </si>
  <si>
    <t>//Unit/HerbariumUnit/LoanIdentifier</t>
  </si>
  <si>
    <t>//Unit/HerbariumUnit/LoanDestination</t>
  </si>
  <si>
    <t>//Unit/HerbariumUnit/LoanForBotanist</t>
  </si>
  <si>
    <t>//Unit/HerbariumUnit/LoanDate</t>
  </si>
  <si>
    <t>//Unit/HerbariumUnit/LoanReturnDate</t>
  </si>
  <si>
    <t>new</t>
  </si>
  <si>
    <t>"1963-03-08T14:07:00", "2009-02-12"</t>
  </si>
  <si>
    <t>typeStatus has been placed in the HISPID namespace, even though it is available in Darwin Core, because our use is different. In contrast to Darwin Core, in HISPID typeStatus and typifiedName have been separated. Having typeStatus in the HISPID namespace allows us to transfer the type status including or excluding the typified name depending on what circumstances require.</t>
  </si>
  <si>
    <t>lifeStage</t>
  </si>
  <si>
    <t>http://rs.tdwg.org/dwc/terms</t>
  </si>
  <si>
    <t>http://rs.tdwg.org/dwc/terms/lifeStage</t>
  </si>
  <si>
    <t>The life stage of the individual at the time it was collected.</t>
  </si>
  <si>
    <t>disposition</t>
  </si>
  <si>
    <t>Current state of the specimen with respect to the collection identified by the collectionCode and institutionCode.</t>
  </si>
  <si>
    <t>"missing"</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</si>
</sst>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1"/>
      <color theme="0" tint="-0.49998474074526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BFBFBF"/>
      </left>
      <right style="medium">
        <color rgb="FFBFBFBF"/>
      </right>
      <top style="medium">
        <color rgb="FFBFBFBF"/>
      </top>
      <bottom style="medium">
        <color rgb="FFBFBFBF"/>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8">
    <xf numFmtId="0" fontId="0" fillId="0" borderId="0" xfId="0"/>
    <xf numFmtId="0" fontId="16" fillId="33" borderId="0" xfId="0" applyFont="1" applyFill="1" applyAlignment="1">
      <alignment vertical="top" wrapText="1"/>
    </xf>
    <xf numFmtId="0" fontId="0" fillId="0" borderId="0" xfId="0" applyAlignment="1">
      <alignment vertical="top" wrapText="1"/>
    </xf>
    <xf numFmtId="0" fontId="18" fillId="0" borderId="0" xfId="42" applyAlignment="1">
      <alignment vertical="top" wrapText="1"/>
    </xf>
    <xf numFmtId="0" fontId="16" fillId="0" borderId="0" xfId="0" applyFont="1" applyAlignment="1">
      <alignment vertical="top" wrapText="1"/>
    </xf>
    <xf numFmtId="0" fontId="19" fillId="0" borderId="0" xfId="0" applyFont="1" applyAlignment="1">
      <alignment vertical="top" wrapText="1"/>
    </xf>
    <xf numFmtId="0" fontId="0" fillId="0" borderId="0" xfId="0" quotePrefix="1" applyAlignment="1">
      <alignment vertical="top" wrapText="1"/>
    </xf>
    <xf numFmtId="0" fontId="0" fillId="0" borderId="10" xfId="0" applyBorder="1" applyAlignment="1">
      <alignmen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s.tdwg.org/dwc/terms" TargetMode="External"/><Relationship Id="rId3" Type="http://schemas.openxmlformats.org/officeDocument/2006/relationships/hyperlink" Target="https://github.com/hiscom/hispid-review-2014-15/issues/22" TargetMode="External"/><Relationship Id="rId7" Type="http://schemas.openxmlformats.org/officeDocument/2006/relationships/hyperlink" Target="http://wiki.tdwg.org/twiki/bin/view/ABCD/AbcdConcept1121" TargetMode="External"/><Relationship Id="rId2" Type="http://schemas.openxmlformats.org/officeDocument/2006/relationships/hyperlink" Target="http://rs.gbif.org/vocabulary/dcterms/type.xml" TargetMode="External"/><Relationship Id="rId1" Type="http://schemas.openxmlformats.org/officeDocument/2006/relationships/hyperlink" Target="http://rs.gbif.org/vocabulary/dwc/basis_of_record.xml" TargetMode="External"/><Relationship Id="rId6" Type="http://schemas.openxmlformats.org/officeDocument/2006/relationships/hyperlink" Target="http://rs.gbif.org/vocabulary/gbif/nomenclatural_code.xml" TargetMode="External"/><Relationship Id="rId5" Type="http://schemas.openxmlformats.org/officeDocument/2006/relationships/hyperlink" Target="http://rs.gbif.org/vocabulary/gbif/rank.xml" TargetMode="External"/><Relationship Id="rId10" Type="http://schemas.openxmlformats.org/officeDocument/2006/relationships/printerSettings" Target="../printerSettings/printerSettings1.bin"/><Relationship Id="rId4" Type="http://schemas.openxmlformats.org/officeDocument/2006/relationships/hyperlink" Target="http://rs.gbif.org/vocabulary/gbif/establishment_means.xml" TargetMode="External"/><Relationship Id="rId9" Type="http://schemas.openxmlformats.org/officeDocument/2006/relationships/hyperlink" Target="http://rs.tdwg.org/dwc/terms/lifeSt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37"/>
  <sheetViews>
    <sheetView tabSelected="1" workbookViewId="0">
      <pane xSplit="2" ySplit="1" topLeftCell="I2" activePane="bottomRight" state="frozen"/>
      <selection pane="topRight" activeCell="C1" sqref="C1"/>
      <selection pane="bottomLeft" activeCell="A2" sqref="A2"/>
      <selection pane="bottomRight" activeCell="L127" sqref="L127"/>
    </sheetView>
  </sheetViews>
  <sheetFormatPr defaultRowHeight="15" x14ac:dyDescent="0.25"/>
  <cols>
    <col min="1" max="1" width="26.85546875" customWidth="1"/>
    <col min="2" max="2" width="45.5703125" bestFit="1" customWidth="1"/>
    <col min="3" max="3" width="37.28515625" bestFit="1" customWidth="1"/>
    <col min="4" max="4" width="54" customWidth="1"/>
    <col min="5" max="5" width="59.140625" customWidth="1"/>
    <col min="6" max="6" width="9.42578125" bestFit="1" customWidth="1"/>
    <col min="7" max="7" width="56.7109375" customWidth="1"/>
    <col min="8" max="8" width="50.28515625" customWidth="1"/>
    <col min="9" max="9" width="35.140625" customWidth="1"/>
    <col min="10" max="10" width="67.140625" customWidth="1"/>
    <col min="11" max="11" width="23.7109375" customWidth="1"/>
    <col min="12" max="12" width="65.7109375" customWidth="1"/>
    <col min="13" max="13" width="29.42578125" bestFit="1" customWidth="1"/>
    <col min="14" max="14" width="87.85546875" customWidth="1"/>
    <col min="17" max="17" width="53" customWidth="1"/>
  </cols>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0" x14ac:dyDescent="0.25">
      <c r="A2" s="2" t="s">
        <v>17</v>
      </c>
      <c r="B2" s="4" t="s">
        <v>18</v>
      </c>
      <c r="C2" s="3" t="str">
        <f>HYPERLINK("http://rs.tdwg.org/dwc/terms")</f>
        <v>http://rs.tdwg.org/dwc/terms</v>
      </c>
      <c r="D2" s="3" t="str">
        <f>HYPERLINK("http://rs.tdwg.org/dwc/terms/institutionCode")</f>
        <v>http://rs.tdwg.org/dwc/terms/institutionCode</v>
      </c>
      <c r="E2" s="2" t="s">
        <v>19</v>
      </c>
      <c r="F2" s="2" t="s">
        <v>20</v>
      </c>
      <c r="G2" s="2"/>
      <c r="H2" s="2"/>
      <c r="I2" s="2"/>
      <c r="J2" s="2" t="s">
        <v>21</v>
      </c>
      <c r="K2" s="2" t="s">
        <v>22</v>
      </c>
      <c r="L2" s="2"/>
      <c r="M2" s="2" t="s">
        <v>18</v>
      </c>
      <c r="N2" s="2" t="s">
        <v>481</v>
      </c>
      <c r="O2" s="2" t="s">
        <v>23</v>
      </c>
      <c r="P2" s="2" t="s">
        <v>23</v>
      </c>
      <c r="Q2" s="2"/>
    </row>
    <row r="3" spans="1:17" ht="30" x14ac:dyDescent="0.25">
      <c r="A3" s="2" t="s">
        <v>17</v>
      </c>
      <c r="B3" s="4" t="s">
        <v>24</v>
      </c>
      <c r="C3" s="3" t="str">
        <f>HYPERLINK("http://rs.tdwg.org/dwc/terms")</f>
        <v>http://rs.tdwg.org/dwc/terms</v>
      </c>
      <c r="D3" s="3" t="str">
        <f>HYPERLINK("http://rs.tdwg.org/dwc/terms/collectionCode")</f>
        <v>http://rs.tdwg.org/dwc/terms/collectionCode</v>
      </c>
      <c r="E3" s="2" t="s">
        <v>25</v>
      </c>
      <c r="F3" s="2" t="s">
        <v>20</v>
      </c>
      <c r="G3" s="2"/>
      <c r="H3" s="2"/>
      <c r="I3" s="2"/>
      <c r="J3" s="2" t="s">
        <v>26</v>
      </c>
      <c r="K3" s="2" t="s">
        <v>22</v>
      </c>
      <c r="L3" s="2"/>
      <c r="M3" s="2" t="s">
        <v>24</v>
      </c>
      <c r="N3" s="2" t="s">
        <v>482</v>
      </c>
      <c r="O3" s="2"/>
      <c r="P3" s="2"/>
      <c r="Q3" s="2"/>
    </row>
    <row r="4" spans="1:17" ht="30" x14ac:dyDescent="0.25">
      <c r="A4" s="2" t="s">
        <v>17</v>
      </c>
      <c r="B4" s="4" t="s">
        <v>27</v>
      </c>
      <c r="C4" s="3" t="str">
        <f>HYPERLINK("http://rs.tdwg.org/dwc/terms")</f>
        <v>http://rs.tdwg.org/dwc/terms</v>
      </c>
      <c r="D4" s="3" t="str">
        <f>HYPERLINK("http://rs.tdwg.org/dwc/terms/modified")</f>
        <v>http://rs.tdwg.org/dwc/terms/modified</v>
      </c>
      <c r="E4" s="2" t="s">
        <v>28</v>
      </c>
      <c r="F4" s="2" t="s">
        <v>29</v>
      </c>
      <c r="G4" s="2" t="s">
        <v>30</v>
      </c>
      <c r="H4" s="2"/>
      <c r="I4" s="2"/>
      <c r="J4" s="2" t="s">
        <v>547</v>
      </c>
      <c r="K4" s="2" t="s">
        <v>22</v>
      </c>
      <c r="L4" s="2"/>
      <c r="M4" s="2" t="s">
        <v>27</v>
      </c>
      <c r="N4" s="6" t="s">
        <v>483</v>
      </c>
      <c r="O4" s="2" t="s">
        <v>31</v>
      </c>
      <c r="P4" s="2" t="s">
        <v>31</v>
      </c>
      <c r="Q4" s="2"/>
    </row>
    <row r="5" spans="1:17" ht="30" x14ac:dyDescent="0.25">
      <c r="A5" s="2" t="s">
        <v>17</v>
      </c>
      <c r="B5" s="4" t="s">
        <v>32</v>
      </c>
      <c r="C5" s="3" t="str">
        <f>HYPERLINK("http://rs.tdwg.org/dwc/terms")</f>
        <v>http://rs.tdwg.org/dwc/terms</v>
      </c>
      <c r="D5" s="3" t="str">
        <f>HYPERLINK("http://rs.tdwg.org/dwc/terms/basisOfRecord")</f>
        <v>http://rs.tdwg.org/dwc/terms/basisOfRecord</v>
      </c>
      <c r="E5" s="2" t="s">
        <v>33</v>
      </c>
      <c r="F5" s="2" t="s">
        <v>20</v>
      </c>
      <c r="G5" s="2"/>
      <c r="H5" s="3" t="s">
        <v>34</v>
      </c>
      <c r="I5" s="2"/>
      <c r="J5" s="2" t="s">
        <v>35</v>
      </c>
      <c r="K5" s="2" t="s">
        <v>22</v>
      </c>
      <c r="L5" s="3" t="str">
        <f>HYPERLINK("https://github.com/hiscom/hispid-review-2014-15/issues/27")</f>
        <v>https://github.com/hiscom/hispid-review-2014-15/issues/27</v>
      </c>
      <c r="M5" s="2" t="s">
        <v>32</v>
      </c>
      <c r="N5" s="6" t="s">
        <v>484</v>
      </c>
      <c r="O5" s="2" t="s">
        <v>36</v>
      </c>
      <c r="P5" s="2" t="s">
        <v>36</v>
      </c>
      <c r="Q5" s="2"/>
    </row>
    <row r="6" spans="1:17" x14ac:dyDescent="0.25">
      <c r="A6" s="2" t="s">
        <v>17</v>
      </c>
      <c r="B6" s="4" t="s">
        <v>37</v>
      </c>
      <c r="C6" s="3" t="str">
        <f>HYPERLINK("http://purl.org/dc/terms")</f>
        <v>http://purl.org/dc/terms</v>
      </c>
      <c r="D6" s="3" t="str">
        <f>HYPERLINK("http://purl.org/dc/terms/type")</f>
        <v>http://purl.org/dc/terms/type</v>
      </c>
      <c r="E6" s="2" t="s">
        <v>38</v>
      </c>
      <c r="F6" s="2" t="s">
        <v>20</v>
      </c>
      <c r="G6" s="2"/>
      <c r="H6" s="3" t="s">
        <v>39</v>
      </c>
      <c r="I6" s="2"/>
      <c r="J6" s="2" t="s">
        <v>40</v>
      </c>
      <c r="K6" s="2" t="s">
        <v>22</v>
      </c>
      <c r="L6" s="2"/>
      <c r="M6" s="2" t="s">
        <v>37</v>
      </c>
      <c r="N6" s="2"/>
      <c r="O6" s="2"/>
      <c r="P6" s="2"/>
      <c r="Q6" s="2"/>
    </row>
    <row r="7" spans="1:17" ht="75" x14ac:dyDescent="0.25">
      <c r="A7" s="2" t="s">
        <v>41</v>
      </c>
      <c r="B7" s="4" t="s">
        <v>42</v>
      </c>
      <c r="C7" s="3" t="str">
        <f t="shared" ref="C7:C15" si="0">HYPERLINK("http://rs.tdwg.org/dwc/terms")</f>
        <v>http://rs.tdwg.org/dwc/terms</v>
      </c>
      <c r="D7" s="3" t="str">
        <f>HYPERLINK("http://rs.tdwg.org/dwc/terms/occurrenceID")</f>
        <v>http://rs.tdwg.org/dwc/terms/occurrenceID</v>
      </c>
      <c r="E7" s="2" t="s">
        <v>43</v>
      </c>
      <c r="F7" s="2" t="s">
        <v>20</v>
      </c>
      <c r="G7" s="2" t="s">
        <v>44</v>
      </c>
      <c r="H7" s="2"/>
      <c r="I7" s="2"/>
      <c r="J7" s="2" t="s">
        <v>45</v>
      </c>
      <c r="K7" s="2" t="s">
        <v>22</v>
      </c>
      <c r="L7" s="3" t="str">
        <f>HYPERLINK("https://github.com/hiscom/hispid-review-2014-15/issues/2")</f>
        <v>https://github.com/hiscom/hispid-review-2014-15/issues/2</v>
      </c>
      <c r="M7" s="2" t="s">
        <v>42</v>
      </c>
      <c r="N7" s="2"/>
      <c r="O7" s="2"/>
      <c r="P7" s="2"/>
      <c r="Q7" s="2"/>
    </row>
    <row r="8" spans="1:17" ht="30" x14ac:dyDescent="0.25">
      <c r="A8" s="2" t="s">
        <v>41</v>
      </c>
      <c r="B8" s="4" t="s">
        <v>46</v>
      </c>
      <c r="C8" s="3" t="str">
        <f t="shared" si="0"/>
        <v>http://rs.tdwg.org/dwc/terms</v>
      </c>
      <c r="D8" s="3" t="str">
        <f>HYPERLINK("http://rs.tdwg.org/dwc/terms/catalogNumber")</f>
        <v>http://rs.tdwg.org/dwc/terms/catalogNumber</v>
      </c>
      <c r="E8" s="2" t="s">
        <v>47</v>
      </c>
      <c r="F8" s="2" t="s">
        <v>20</v>
      </c>
      <c r="G8" s="2"/>
      <c r="H8" s="2"/>
      <c r="I8" s="2"/>
      <c r="J8" s="2" t="s">
        <v>48</v>
      </c>
      <c r="K8" s="2" t="s">
        <v>22</v>
      </c>
      <c r="L8" s="2"/>
      <c r="M8" s="2" t="s">
        <v>46</v>
      </c>
      <c r="N8" s="6" t="s">
        <v>485</v>
      </c>
      <c r="O8" s="2" t="s">
        <v>49</v>
      </c>
      <c r="P8" s="2" t="s">
        <v>49</v>
      </c>
      <c r="Q8" s="2"/>
    </row>
    <row r="9" spans="1:17" ht="45" x14ac:dyDescent="0.25">
      <c r="A9" s="2" t="s">
        <v>41</v>
      </c>
      <c r="B9" s="4" t="s">
        <v>50</v>
      </c>
      <c r="C9" s="3" t="str">
        <f t="shared" si="0"/>
        <v>http://rs.tdwg.org/dwc/terms</v>
      </c>
      <c r="D9" s="3" t="str">
        <f>HYPERLINK("http://rs.tdwg.org/dwc/terms/recordedBy")</f>
        <v>http://rs.tdwg.org/dwc/terms/recordedBy</v>
      </c>
      <c r="E9" s="2" t="s">
        <v>51</v>
      </c>
      <c r="F9" s="2" t="s">
        <v>20</v>
      </c>
      <c r="G9" s="2" t="s">
        <v>52</v>
      </c>
      <c r="H9" s="2"/>
      <c r="I9" s="2"/>
      <c r="J9" s="2" t="s">
        <v>53</v>
      </c>
      <c r="K9" s="2" t="s">
        <v>22</v>
      </c>
      <c r="L9" s="3" t="str">
        <f>HYPERLINK("https://github.com/hiscom/hispid-review-2014-15/issues/30")</f>
        <v>https://github.com/hiscom/hispid-review-2014-15/issues/30</v>
      </c>
      <c r="M9" s="2" t="s">
        <v>50</v>
      </c>
      <c r="N9" s="2" t="s">
        <v>486</v>
      </c>
      <c r="O9" s="2" t="s">
        <v>54</v>
      </c>
      <c r="P9" s="2" t="s">
        <v>54</v>
      </c>
      <c r="Q9" s="2"/>
    </row>
    <row r="10" spans="1:17" x14ac:dyDescent="0.25">
      <c r="A10" s="2" t="s">
        <v>41</v>
      </c>
      <c r="B10" s="4" t="s">
        <v>55</v>
      </c>
      <c r="C10" s="3" t="str">
        <f t="shared" si="0"/>
        <v>http://rs.tdwg.org/dwc/terms</v>
      </c>
      <c r="D10" s="3" t="str">
        <f>HYPERLINK("http://rs.tdwg.org/dwc/terms/recordNumber")</f>
        <v>http://rs.tdwg.org/dwc/terms/recordNumber</v>
      </c>
      <c r="E10" s="2" t="s">
        <v>56</v>
      </c>
      <c r="F10" s="2" t="s">
        <v>20</v>
      </c>
      <c r="G10" s="2"/>
      <c r="H10" s="2"/>
      <c r="I10" s="2"/>
      <c r="J10" s="2"/>
      <c r="K10" s="2" t="s">
        <v>22</v>
      </c>
      <c r="L10" s="2"/>
      <c r="M10" s="2" t="s">
        <v>55</v>
      </c>
      <c r="N10" s="2" t="s">
        <v>487</v>
      </c>
      <c r="O10" s="2" t="s">
        <v>57</v>
      </c>
      <c r="P10" s="2" t="s">
        <v>57</v>
      </c>
      <c r="Q10" s="2"/>
    </row>
    <row r="11" spans="1:17" x14ac:dyDescent="0.25">
      <c r="A11" s="2" t="s">
        <v>41</v>
      </c>
      <c r="B11" s="4" t="s">
        <v>58</v>
      </c>
      <c r="C11" s="3" t="str">
        <f t="shared" si="0"/>
        <v>http://rs.tdwg.org/dwc/terms</v>
      </c>
      <c r="D11" s="3" t="str">
        <f>HYPERLINK("http://rs.tdwg.org/dwc/terms/preparations")</f>
        <v>http://rs.tdwg.org/dwc/terms/preparations</v>
      </c>
      <c r="E11" s="2"/>
      <c r="F11" s="2"/>
      <c r="G11" s="2"/>
      <c r="H11" s="2"/>
      <c r="I11" s="2"/>
      <c r="J11" s="2"/>
      <c r="K11" s="2" t="s">
        <v>22</v>
      </c>
      <c r="L11" s="3" t="str">
        <f>HYPERLINK("https://github.com/hiscom/hispid-review-2014-15/issues/26")</f>
        <v>https://github.com/hiscom/hispid-review-2014-15/issues/26</v>
      </c>
      <c r="M11" s="2" t="s">
        <v>58</v>
      </c>
      <c r="N11" s="2" t="s">
        <v>488</v>
      </c>
      <c r="O11" s="2" t="s">
        <v>59</v>
      </c>
      <c r="P11" s="2" t="s">
        <v>59</v>
      </c>
      <c r="Q11" s="2"/>
    </row>
    <row r="12" spans="1:17" ht="30" x14ac:dyDescent="0.25">
      <c r="A12" s="2" t="s">
        <v>41</v>
      </c>
      <c r="B12" s="4" t="s">
        <v>60</v>
      </c>
      <c r="C12" s="3" t="str">
        <f t="shared" si="0"/>
        <v>http://rs.tdwg.org/dwc/terms</v>
      </c>
      <c r="D12" s="3" t="str">
        <f>HYPERLINK("http://rs.tdwg.org/dwc/terms/otherCatalogNumbers")</f>
        <v>http://rs.tdwg.org/dwc/terms/otherCatalogNumbers</v>
      </c>
      <c r="E12" s="2" t="s">
        <v>61</v>
      </c>
      <c r="F12" s="2" t="s">
        <v>20</v>
      </c>
      <c r="G12" s="2" t="s">
        <v>62</v>
      </c>
      <c r="H12" s="2"/>
      <c r="I12" s="2"/>
      <c r="J12" s="2"/>
      <c r="K12" s="2" t="s">
        <v>22</v>
      </c>
      <c r="L12" s="2"/>
      <c r="M12" s="2" t="s">
        <v>60</v>
      </c>
      <c r="N12" s="2" t="s">
        <v>489</v>
      </c>
      <c r="O12" s="2" t="s">
        <v>63</v>
      </c>
      <c r="P12" s="2" t="s">
        <v>63</v>
      </c>
      <c r="Q12" s="2"/>
    </row>
    <row r="13" spans="1:17" ht="45" x14ac:dyDescent="0.25">
      <c r="A13" s="2" t="s">
        <v>41</v>
      </c>
      <c r="B13" s="4" t="s">
        <v>64</v>
      </c>
      <c r="C13" s="3" t="str">
        <f t="shared" si="0"/>
        <v>http://rs.tdwg.org/dwc/terms</v>
      </c>
      <c r="D13" s="3" t="str">
        <f>HYPERLINK("http://rs.tdwg.org/dwc/terms/occurrenceRemarks")</f>
        <v>http://rs.tdwg.org/dwc/terms/occurrenceRemarks</v>
      </c>
      <c r="E13" s="2" t="s">
        <v>65</v>
      </c>
      <c r="F13" s="2" t="s">
        <v>20</v>
      </c>
      <c r="G13" s="2" t="s">
        <v>66</v>
      </c>
      <c r="H13" s="2"/>
      <c r="I13" s="2"/>
      <c r="J13" s="2"/>
      <c r="K13" s="2" t="s">
        <v>22</v>
      </c>
      <c r="L13" s="3" t="str">
        <f>HYPERLINK("https://github.com/hiscom/hispid-review-2014-15/issues/1")</f>
        <v>https://github.com/hiscom/hispid-review-2014-15/issues/1</v>
      </c>
      <c r="M13" s="2" t="s">
        <v>64</v>
      </c>
      <c r="N13" s="2" t="s">
        <v>490</v>
      </c>
      <c r="O13" s="2" t="s">
        <v>67</v>
      </c>
      <c r="P13" s="2" t="s">
        <v>67</v>
      </c>
      <c r="Q13" s="2"/>
    </row>
    <row r="14" spans="1:17" ht="45" x14ac:dyDescent="0.25">
      <c r="A14" s="2" t="s">
        <v>41</v>
      </c>
      <c r="B14" s="4" t="s">
        <v>68</v>
      </c>
      <c r="C14" s="3" t="str">
        <f t="shared" si="0"/>
        <v>http://rs.tdwg.org/dwc/terms</v>
      </c>
      <c r="D14" s="3" t="str">
        <f>HYPERLINK("http://rs.tdwg.org/dwc/terms/organismQuantity")</f>
        <v>http://rs.tdwg.org/dwc/terms/organismQuantity</v>
      </c>
      <c r="E14" s="2" t="s">
        <v>69</v>
      </c>
      <c r="F14" s="2" t="s">
        <v>20</v>
      </c>
      <c r="G14" s="2"/>
      <c r="H14" s="3" t="str">
        <f>HYPERLINK("http://hiscom.rbg.vic.gov.au/hispid/vocabulary/organism_quantity.xml")</f>
        <v>http://hiscom.rbg.vic.gov.au/hispid/vocabulary/organism_quantity.xml</v>
      </c>
      <c r="I14" s="2" t="s">
        <v>70</v>
      </c>
      <c r="J14" s="2" t="s">
        <v>71</v>
      </c>
      <c r="K14" s="2" t="s">
        <v>22</v>
      </c>
      <c r="L14" s="3" t="str">
        <f>HYPERLINK("https://github.com/hiscom/hispid-review-2014-15/issues/22")</f>
        <v>https://github.com/hiscom/hispid-review-2014-15/issues/22</v>
      </c>
      <c r="M14" s="2" t="s">
        <v>68</v>
      </c>
      <c r="N14" s="2" t="s">
        <v>491</v>
      </c>
      <c r="O14" s="2" t="s">
        <v>72</v>
      </c>
      <c r="P14" s="2" t="s">
        <v>72</v>
      </c>
      <c r="Q14" s="2" t="s">
        <v>496</v>
      </c>
    </row>
    <row r="15" spans="1:17" ht="30" x14ac:dyDescent="0.25">
      <c r="A15" s="2" t="s">
        <v>41</v>
      </c>
      <c r="B15" s="4" t="s">
        <v>73</v>
      </c>
      <c r="C15" s="3" t="str">
        <f t="shared" si="0"/>
        <v>http://rs.tdwg.org/dwc/terms</v>
      </c>
      <c r="D15" s="3" t="str">
        <f>HYPERLINK("http://rs.tdwg.org/dwc/terms/establishmentMeans")</f>
        <v>http://rs.tdwg.org/dwc/terms/establishmentMeans</v>
      </c>
      <c r="E15" s="2" t="s">
        <v>74</v>
      </c>
      <c r="F15" s="2" t="s">
        <v>20</v>
      </c>
      <c r="G15" s="2"/>
      <c r="H15" s="3" t="s">
        <v>75</v>
      </c>
      <c r="I15" s="2"/>
      <c r="J15" s="2"/>
      <c r="K15" s="2" t="s">
        <v>22</v>
      </c>
      <c r="L15" s="3" t="str">
        <f>HYPERLINK("https://github.com/hiscom/hispid-review-2014-15/issues/4")</f>
        <v>https://github.com/hiscom/hispid-review-2014-15/issues/4</v>
      </c>
      <c r="M15" s="2" t="s">
        <v>73</v>
      </c>
      <c r="N15" s="2" t="s">
        <v>492</v>
      </c>
      <c r="O15" s="2" t="s">
        <v>493</v>
      </c>
      <c r="P15" s="2" t="s">
        <v>493</v>
      </c>
      <c r="Q15" s="2"/>
    </row>
    <row r="16" spans="1:17" ht="30" x14ac:dyDescent="0.25">
      <c r="A16" s="2" t="s">
        <v>41</v>
      </c>
      <c r="B16" s="4" t="s">
        <v>76</v>
      </c>
      <c r="C16" s="3" t="str">
        <f>HYPERLINK("http://hiscom.chah.org.au/hispid/terms")</f>
        <v>http://hiscom.chah.org.au/hispid/terms</v>
      </c>
      <c r="D16" s="3" t="str">
        <f>HYPERLINK("http://hiscom.chah.org.au/hispid/terms/lifeForm")</f>
        <v>http://hiscom.chah.org.au/hispid/terms/lifeForm</v>
      </c>
      <c r="E16" s="2" t="s">
        <v>77</v>
      </c>
      <c r="F16" s="2" t="s">
        <v>20</v>
      </c>
      <c r="G16" s="2"/>
      <c r="H16" s="2"/>
      <c r="I16" s="2"/>
      <c r="J16" s="2"/>
      <c r="K16" s="2" t="s">
        <v>78</v>
      </c>
      <c r="L16" s="3" t="str">
        <f>HYPERLINK("https://github.com/hiscom/hispid-review-2014-15/issues/17")</f>
        <v>https://github.com/hiscom/hispid-review-2014-15/issues/17</v>
      </c>
      <c r="M16" s="2"/>
      <c r="N16" s="2"/>
      <c r="O16" s="2" t="s">
        <v>79</v>
      </c>
      <c r="P16" s="2" t="s">
        <v>79</v>
      </c>
      <c r="Q16" s="2" t="s">
        <v>497</v>
      </c>
    </row>
    <row r="17" spans="1:17" x14ac:dyDescent="0.25">
      <c r="A17" s="2" t="s">
        <v>41</v>
      </c>
      <c r="B17" s="4" t="s">
        <v>549</v>
      </c>
      <c r="C17" s="3" t="s">
        <v>550</v>
      </c>
      <c r="D17" s="3" t="s">
        <v>551</v>
      </c>
      <c r="E17" s="2" t="s">
        <v>552</v>
      </c>
      <c r="F17" s="2" t="s">
        <v>20</v>
      </c>
      <c r="G17" s="2"/>
      <c r="H17" s="2"/>
      <c r="I17" s="2"/>
      <c r="J17" s="2"/>
      <c r="K17" s="2" t="s">
        <v>279</v>
      </c>
      <c r="L17" s="3" t="str">
        <f>HYPERLINK("https://github.com/hiscom/hispid-review-2014-15/issues/18")</f>
        <v>https://github.com/hiscom/hispid-review-2014-15/issues/18</v>
      </c>
      <c r="M17" s="2" t="s">
        <v>549</v>
      </c>
      <c r="N17" s="2"/>
      <c r="O17" s="2"/>
      <c r="P17" s="2"/>
      <c r="Q17" s="2"/>
    </row>
    <row r="18" spans="1:17" ht="30" x14ac:dyDescent="0.25">
      <c r="A18" s="2" t="s">
        <v>41</v>
      </c>
      <c r="B18" s="4" t="s">
        <v>80</v>
      </c>
      <c r="C18" s="3" t="str">
        <f>HYPERLINK("http://rs.tdwg.org/dwc/terms")</f>
        <v>http://rs.tdwg.org/dwc/terms</v>
      </c>
      <c r="D18" s="3" t="str">
        <f>HYPERLINK("http://rs.tdwg.org/dwc/terms/reproductiveCondition")</f>
        <v>http://rs.tdwg.org/dwc/terms/reproductiveCondition</v>
      </c>
      <c r="E18" s="2" t="s">
        <v>81</v>
      </c>
      <c r="F18" s="2" t="s">
        <v>20</v>
      </c>
      <c r="G18" s="2"/>
      <c r="H18" s="3" t="str">
        <f>HYPERLINK("http://hiscom.rbg.vic.gov.au/hispid/vocabulary/reproductive_condition.xml")</f>
        <v>http://hiscom.rbg.vic.gov.au/hispid/vocabulary/reproductive_condition.xml</v>
      </c>
      <c r="I18" s="2"/>
      <c r="J18" s="2" t="s">
        <v>82</v>
      </c>
      <c r="K18" s="2" t="s">
        <v>22</v>
      </c>
      <c r="L18" s="3" t="str">
        <f>HYPERLINK("https://github.com/hiscom/hispid-review-2014-15/issues/12")</f>
        <v>https://github.com/hiscom/hispid-review-2014-15/issues/12</v>
      </c>
      <c r="M18" s="2" t="s">
        <v>80</v>
      </c>
      <c r="N18" s="2" t="s">
        <v>495</v>
      </c>
      <c r="O18" s="2" t="s">
        <v>83</v>
      </c>
      <c r="P18" s="2" t="s">
        <v>83</v>
      </c>
      <c r="Q18" s="2" t="s">
        <v>494</v>
      </c>
    </row>
    <row r="19" spans="1:17" ht="150" x14ac:dyDescent="0.25">
      <c r="A19" s="2" t="s">
        <v>41</v>
      </c>
      <c r="B19" s="4" t="s">
        <v>84</v>
      </c>
      <c r="C19" s="3" t="str">
        <f>HYPERLINK("http://rs.tdwg.org/dwc/terms")</f>
        <v>http://rs.tdwg.org/dwc/terms</v>
      </c>
      <c r="D19" s="3" t="str">
        <f>HYPERLINK("http://rs.tdwg.org/dwc/terms/associatedTaxa")</f>
        <v>http://rs.tdwg.org/dwc/terms/associatedTaxa</v>
      </c>
      <c r="E19" s="2" t="s">
        <v>85</v>
      </c>
      <c r="F19" s="2" t="s">
        <v>20</v>
      </c>
      <c r="G19" s="2"/>
      <c r="H19" s="2"/>
      <c r="I19" s="2" t="s">
        <v>499</v>
      </c>
      <c r="J19" s="2" t="s">
        <v>86</v>
      </c>
      <c r="K19" s="2" t="s">
        <v>22</v>
      </c>
      <c r="L19" s="3" t="str">
        <f>HYPERLINK("https://github.com/hiscom/hispid-review-2014-15/issues/20")</f>
        <v>https://github.com/hiscom/hispid-review-2014-15/issues/20</v>
      </c>
      <c r="M19" s="2" t="s">
        <v>84</v>
      </c>
      <c r="N19" s="2" t="s">
        <v>498</v>
      </c>
      <c r="O19" s="2" t="s">
        <v>87</v>
      </c>
      <c r="P19" s="2" t="s">
        <v>87</v>
      </c>
      <c r="Q19" s="2"/>
    </row>
    <row r="20" spans="1:17" ht="30" x14ac:dyDescent="0.25">
      <c r="A20" s="2" t="s">
        <v>41</v>
      </c>
      <c r="B20" s="4" t="s">
        <v>88</v>
      </c>
      <c r="C20" s="3" t="str">
        <f>HYPERLINK("http://hiscom.chah.org.au/hispid/terms")</f>
        <v>http://hiscom.chah.org.au/hispid/terms</v>
      </c>
      <c r="D20" s="3" t="str">
        <f>HYPERLINK("http://hiscom.chah.org.au/hispid/terms/associationType")</f>
        <v>http://hiscom.chah.org.au/hispid/terms/associationType</v>
      </c>
      <c r="E20" s="2" t="s">
        <v>89</v>
      </c>
      <c r="F20" s="2" t="s">
        <v>20</v>
      </c>
      <c r="G20" s="2" t="s">
        <v>90</v>
      </c>
      <c r="H20" s="3" t="str">
        <f>HYPERLINK("http://hiscom.rbg.vic.gov.au/hispid/vocabulary/association_type.xml")</f>
        <v>http://hiscom.rbg.vic.gov.au/hispid/vocabulary/association_type.xml</v>
      </c>
      <c r="I20" s="2"/>
      <c r="J20" s="2"/>
      <c r="K20" s="2" t="s">
        <v>546</v>
      </c>
      <c r="L20" s="3" t="str">
        <f>HYPERLINK("https://github.com/hiscom/hispid-review-2014-15/issues/33")</f>
        <v>https://github.com/hiscom/hispid-review-2014-15/issues/33</v>
      </c>
      <c r="M20" s="2"/>
      <c r="N20" s="2"/>
      <c r="O20" s="2"/>
      <c r="P20" s="2"/>
      <c r="Q20" s="2"/>
    </row>
    <row r="21" spans="1:17" ht="30" x14ac:dyDescent="0.25">
      <c r="A21" s="2" t="s">
        <v>41</v>
      </c>
      <c r="B21" s="4" t="s">
        <v>91</v>
      </c>
      <c r="C21" s="3" t="str">
        <f>HYPERLINK("http://hiscom.chah.org.au/hispid/terms")</f>
        <v>http://hiscom.chah.org.au/hispid/terms</v>
      </c>
      <c r="D21" s="3" t="str">
        <f>HYPERLINK("http://hiscom.chah.org.au/hispid/terms/associationTaxon")</f>
        <v>http://hiscom.chah.org.au/hispid/terms/associationTaxon</v>
      </c>
      <c r="E21" s="2" t="s">
        <v>92</v>
      </c>
      <c r="F21" s="2" t="s">
        <v>20</v>
      </c>
      <c r="G21" s="2" t="s">
        <v>93</v>
      </c>
      <c r="H21" s="2"/>
      <c r="I21" s="2"/>
      <c r="J21" s="2"/>
      <c r="K21" s="2" t="s">
        <v>546</v>
      </c>
      <c r="L21" s="2"/>
      <c r="M21" s="2"/>
      <c r="N21" s="2"/>
      <c r="O21" s="2"/>
      <c r="P21" s="2"/>
      <c r="Q21" s="2"/>
    </row>
    <row r="22" spans="1:17" ht="30" x14ac:dyDescent="0.25">
      <c r="A22" s="2" t="s">
        <v>41</v>
      </c>
      <c r="B22" s="4" t="s">
        <v>94</v>
      </c>
      <c r="C22" s="3" t="str">
        <f>HYPERLINK("http://rs.tdwg.org/dwc/terms")</f>
        <v>http://rs.tdwg.org/dwc/terms</v>
      </c>
      <c r="D22" s="3" t="str">
        <f>HYPERLINK("http://rs.tdwg.org/dwc/terms/associatedSequences")</f>
        <v>http://rs.tdwg.org/dwc/terms/associatedSequences</v>
      </c>
      <c r="E22" s="2" t="s">
        <v>95</v>
      </c>
      <c r="F22" s="2" t="s">
        <v>20</v>
      </c>
      <c r="G22" s="2" t="s">
        <v>96</v>
      </c>
      <c r="H22" s="2"/>
      <c r="I22" s="2"/>
      <c r="J22" s="2"/>
      <c r="K22" s="2" t="s">
        <v>546</v>
      </c>
      <c r="L22" s="3" t="str">
        <f>HYPERLINK("https://github.com/hiscom/hispid-review-2014-15/issues/32")</f>
        <v>https://github.com/hiscom/hispid-review-2014-15/issues/32</v>
      </c>
      <c r="M22" s="2"/>
      <c r="N22" s="2" t="s">
        <v>500</v>
      </c>
      <c r="O22" s="2"/>
      <c r="P22" s="2"/>
      <c r="Q22" s="2"/>
    </row>
    <row r="23" spans="1:17" ht="30" x14ac:dyDescent="0.25">
      <c r="A23" s="2" t="s">
        <v>41</v>
      </c>
      <c r="B23" s="4" t="s">
        <v>553</v>
      </c>
      <c r="C23" s="3" t="str">
        <f>HYPERLINK("http://rs.tdwg.org/dwc/terms")</f>
        <v>http://rs.tdwg.org/dwc/terms</v>
      </c>
      <c r="D23" s="3" t="str">
        <f>HYPERLINK("http://rs.tdwg.org/dwc/terms/disposition")</f>
        <v>http://rs.tdwg.org/dwc/terms/disposition</v>
      </c>
      <c r="E23" s="2" t="s">
        <v>554</v>
      </c>
      <c r="F23" s="2" t="s">
        <v>20</v>
      </c>
      <c r="G23" s="2"/>
      <c r="H23" s="2"/>
      <c r="I23" s="2"/>
      <c r="J23" s="2" t="s">
        <v>555</v>
      </c>
      <c r="K23" s="2" t="s">
        <v>279</v>
      </c>
      <c r="L23" s="3" t="str">
        <f>HYPERLINK("https://github.com/hiscom/hispid-review-2014-15/issues/15")</f>
        <v>https://github.com/hiscom/hispid-review-2014-15/issues/15</v>
      </c>
      <c r="M23" s="2"/>
      <c r="N23" s="2"/>
      <c r="O23" s="2"/>
      <c r="P23" s="2"/>
      <c r="Q23" s="2"/>
    </row>
    <row r="24" spans="1:17" ht="45" x14ac:dyDescent="0.25">
      <c r="A24" s="2" t="s">
        <v>97</v>
      </c>
      <c r="B24" s="4" t="s">
        <v>98</v>
      </c>
      <c r="C24" s="3" t="str">
        <f>HYPERLINK("http://rs.tdwg.org/dwc/terms")</f>
        <v>http://rs.tdwg.org/dwc/terms</v>
      </c>
      <c r="D24" s="3" t="str">
        <f>HYPERLINK("http://rs.tdwg.org/dwc/terms/habitat")</f>
        <v>http://rs.tdwg.org/dwc/terms/habitat</v>
      </c>
      <c r="E24" s="2" t="s">
        <v>99</v>
      </c>
      <c r="F24" s="2" t="s">
        <v>20</v>
      </c>
      <c r="G24" s="2"/>
      <c r="H24" s="2"/>
      <c r="I24" s="2"/>
      <c r="J24" s="2"/>
      <c r="K24" s="2" t="s">
        <v>22</v>
      </c>
      <c r="L24" s="3" t="str">
        <f>HYPERLINK("https://github.com/hiscom/hispid-review-2014-15/issues/23")</f>
        <v>https://github.com/hiscom/hispid-review-2014-15/issues/23</v>
      </c>
      <c r="M24" s="2" t="s">
        <v>98</v>
      </c>
      <c r="N24" s="2" t="s">
        <v>100</v>
      </c>
      <c r="O24" s="2" t="s">
        <v>101</v>
      </c>
      <c r="P24" s="2" t="s">
        <v>101</v>
      </c>
      <c r="Q24" s="2"/>
    </row>
    <row r="25" spans="1:17" ht="30" x14ac:dyDescent="0.25">
      <c r="A25" s="2" t="s">
        <v>97</v>
      </c>
      <c r="B25" s="4" t="s">
        <v>102</v>
      </c>
      <c r="C25" s="3" t="str">
        <f t="shared" ref="C25:C30" si="1">HYPERLINK("http://hiscom.chah.org.au/hispid/terms")</f>
        <v>http://hiscom.chah.org.au/hispid/terms</v>
      </c>
      <c r="D25" s="3" t="str">
        <f>HYPERLINK("http://hiscom.chah.org.au/hispid/terms/topography")</f>
        <v>http://hiscom.chah.org.au/hispid/terms/topography</v>
      </c>
      <c r="E25" s="2" t="s">
        <v>103</v>
      </c>
      <c r="F25" s="2" t="s">
        <v>20</v>
      </c>
      <c r="G25" s="2"/>
      <c r="H25" s="2"/>
      <c r="I25" s="2"/>
      <c r="J25" s="2"/>
      <c r="K25" s="2" t="s">
        <v>78</v>
      </c>
      <c r="L25" s="3" t="str">
        <f t="shared" ref="L25:L30" si="2">HYPERLINK("https://github.com/hiscom/hispid-review-2014-15/issues/23")</f>
        <v>https://github.com/hiscom/hispid-review-2014-15/issues/23</v>
      </c>
      <c r="M25" s="2"/>
      <c r="N25" s="2" t="s">
        <v>104</v>
      </c>
      <c r="O25" s="2" t="s">
        <v>105</v>
      </c>
      <c r="P25" s="2" t="s">
        <v>105</v>
      </c>
      <c r="Q25" s="2"/>
    </row>
    <row r="26" spans="1:17" ht="30" x14ac:dyDescent="0.25">
      <c r="A26" s="2" t="s">
        <v>97</v>
      </c>
      <c r="B26" s="4" t="s">
        <v>106</v>
      </c>
      <c r="C26" s="3" t="str">
        <f t="shared" si="1"/>
        <v>http://hiscom.chah.org.au/hispid/terms</v>
      </c>
      <c r="D26" s="3" t="str">
        <f>HYPERLINK("http://hiscom.chah.org.au/hispid/terms/aspect")</f>
        <v>http://hiscom.chah.org.au/hispid/terms/aspect</v>
      </c>
      <c r="E26" s="2" t="s">
        <v>107</v>
      </c>
      <c r="F26" s="2" t="s">
        <v>20</v>
      </c>
      <c r="G26" s="2"/>
      <c r="H26" s="2"/>
      <c r="I26" s="2"/>
      <c r="J26" s="2"/>
      <c r="K26" s="2" t="s">
        <v>78</v>
      </c>
      <c r="L26" s="3" t="str">
        <f t="shared" si="2"/>
        <v>https://github.com/hiscom/hispid-review-2014-15/issues/23</v>
      </c>
      <c r="M26" s="2"/>
      <c r="N26" s="2" t="s">
        <v>108</v>
      </c>
      <c r="O26" s="2" t="s">
        <v>109</v>
      </c>
      <c r="P26" s="2" t="s">
        <v>109</v>
      </c>
      <c r="Q26" s="2"/>
    </row>
    <row r="27" spans="1:17" ht="30" x14ac:dyDescent="0.25">
      <c r="A27" s="2" t="s">
        <v>97</v>
      </c>
      <c r="B27" s="4" t="s">
        <v>110</v>
      </c>
      <c r="C27" s="3" t="str">
        <f t="shared" si="1"/>
        <v>http://hiscom.chah.org.au/hispid/terms</v>
      </c>
      <c r="D27" s="3" t="str">
        <f>HYPERLINK("http://hiscom.chah.org.au/hispid/terms/geologicalSubstrate")</f>
        <v>http://hiscom.chah.org.au/hispid/terms/geologicalSubstrate</v>
      </c>
      <c r="E27" s="2" t="s">
        <v>111</v>
      </c>
      <c r="F27" s="2" t="s">
        <v>20</v>
      </c>
      <c r="G27" s="2"/>
      <c r="H27" s="2"/>
      <c r="I27" s="2"/>
      <c r="J27" s="2"/>
      <c r="K27" s="2" t="s">
        <v>78</v>
      </c>
      <c r="L27" s="3" t="str">
        <f t="shared" si="2"/>
        <v>https://github.com/hiscom/hispid-review-2014-15/issues/23</v>
      </c>
      <c r="M27" s="2"/>
      <c r="N27" s="2" t="s">
        <v>112</v>
      </c>
      <c r="O27" s="2" t="s">
        <v>113</v>
      </c>
      <c r="P27" s="2" t="s">
        <v>113</v>
      </c>
      <c r="Q27" s="2" t="s">
        <v>501</v>
      </c>
    </row>
    <row r="28" spans="1:17" ht="30" x14ac:dyDescent="0.25">
      <c r="A28" s="2" t="s">
        <v>97</v>
      </c>
      <c r="B28" s="4" t="s">
        <v>114</v>
      </c>
      <c r="C28" s="3" t="str">
        <f t="shared" si="1"/>
        <v>http://hiscom.chah.org.au/hispid/terms</v>
      </c>
      <c r="D28" s="3" t="str">
        <f>HYPERLINK("http://hiscom.chah.org.au/hispid/terms/substrate")</f>
        <v>http://hiscom.chah.org.au/hispid/terms/substrate</v>
      </c>
      <c r="E28" s="2" t="s">
        <v>115</v>
      </c>
      <c r="F28" s="2" t="s">
        <v>20</v>
      </c>
      <c r="G28" s="2"/>
      <c r="H28" s="2"/>
      <c r="I28" s="2"/>
      <c r="J28" s="2"/>
      <c r="K28" s="2" t="s">
        <v>78</v>
      </c>
      <c r="L28" s="3" t="str">
        <f>HYPERLINK("https://github.com/hiscom/hispid-review-2014-15/issues/14")</f>
        <v>https://github.com/hiscom/hispid-review-2014-15/issues/14</v>
      </c>
      <c r="M28" s="2"/>
      <c r="N28" s="2" t="s">
        <v>116</v>
      </c>
      <c r="O28" s="2"/>
      <c r="P28" s="2"/>
      <c r="Q28" s="2"/>
    </row>
    <row r="29" spans="1:17" ht="30" x14ac:dyDescent="0.25">
      <c r="A29" s="2" t="s">
        <v>97</v>
      </c>
      <c r="B29" s="4" t="s">
        <v>117</v>
      </c>
      <c r="C29" s="3" t="str">
        <f t="shared" si="1"/>
        <v>http://hiscom.chah.org.au/hispid/terms</v>
      </c>
      <c r="D29" s="3" t="str">
        <f>HYPERLINK("http://hiscom.chah.org.au/hispid/terms/soil")</f>
        <v>http://hiscom.chah.org.au/hispid/terms/soil</v>
      </c>
      <c r="E29" s="2" t="s">
        <v>118</v>
      </c>
      <c r="F29" s="2" t="s">
        <v>20</v>
      </c>
      <c r="G29" s="2"/>
      <c r="H29" s="2"/>
      <c r="I29" s="2"/>
      <c r="J29" s="2"/>
      <c r="K29" s="2" t="s">
        <v>78</v>
      </c>
      <c r="L29" s="3" t="str">
        <f t="shared" si="2"/>
        <v>https://github.com/hiscom/hispid-review-2014-15/issues/23</v>
      </c>
      <c r="M29" s="2"/>
      <c r="N29" s="2" t="s">
        <v>119</v>
      </c>
      <c r="O29" s="2" t="s">
        <v>117</v>
      </c>
      <c r="P29" s="2" t="s">
        <v>117</v>
      </c>
      <c r="Q29" s="2" t="s">
        <v>502</v>
      </c>
    </row>
    <row r="30" spans="1:17" ht="30" x14ac:dyDescent="0.25">
      <c r="A30" s="2" t="s">
        <v>97</v>
      </c>
      <c r="B30" s="4" t="s">
        <v>120</v>
      </c>
      <c r="C30" s="3" t="str">
        <f t="shared" si="1"/>
        <v>http://hiscom.chah.org.au/hispid/terms</v>
      </c>
      <c r="D30" s="3" t="str">
        <f>HYPERLINK("http://hiscom.chah.org.au/hispid/terms/vegetation")</f>
        <v>http://hiscom.chah.org.au/hispid/terms/vegetation</v>
      </c>
      <c r="E30" s="2" t="s">
        <v>121</v>
      </c>
      <c r="F30" s="2" t="s">
        <v>20</v>
      </c>
      <c r="G30" s="2"/>
      <c r="H30" s="2"/>
      <c r="I30" s="2"/>
      <c r="J30" s="2"/>
      <c r="K30" s="2" t="s">
        <v>78</v>
      </c>
      <c r="L30" s="3" t="str">
        <f t="shared" si="2"/>
        <v>https://github.com/hiscom/hispid-review-2014-15/issues/23</v>
      </c>
      <c r="M30" s="2"/>
      <c r="N30" s="2" t="s">
        <v>122</v>
      </c>
      <c r="O30" s="2" t="s">
        <v>123</v>
      </c>
      <c r="P30" s="2" t="s">
        <v>123</v>
      </c>
      <c r="Q30" s="2" t="s">
        <v>503</v>
      </c>
    </row>
    <row r="31" spans="1:17" ht="30" x14ac:dyDescent="0.25">
      <c r="A31" s="2" t="s">
        <v>97</v>
      </c>
      <c r="B31" s="4" t="s">
        <v>124</v>
      </c>
      <c r="C31" s="3" t="str">
        <f t="shared" ref="C31:C58" si="3">HYPERLINK("http://rs.tdwg.org/dwc/terms")</f>
        <v>http://rs.tdwg.org/dwc/terms</v>
      </c>
      <c r="D31" s="3" t="str">
        <f>HYPERLINK("http://rs.tdwg.org/dwc/terms/eventDate")</f>
        <v>http://rs.tdwg.org/dwc/terms/eventDate</v>
      </c>
      <c r="E31" s="2" t="s">
        <v>125</v>
      </c>
      <c r="F31" s="2" t="s">
        <v>126</v>
      </c>
      <c r="G31" s="2" t="s">
        <v>127</v>
      </c>
      <c r="H31" s="2"/>
      <c r="I31" s="2"/>
      <c r="J31" s="2" t="s">
        <v>128</v>
      </c>
      <c r="K31" s="2" t="s">
        <v>22</v>
      </c>
      <c r="L31" s="2"/>
      <c r="M31" s="2" t="s">
        <v>124</v>
      </c>
      <c r="N31" s="2" t="s">
        <v>504</v>
      </c>
      <c r="O31" s="2" t="s">
        <v>505</v>
      </c>
      <c r="P31" s="2" t="s">
        <v>505</v>
      </c>
      <c r="Q31" s="2"/>
    </row>
    <row r="32" spans="1:17" ht="30" x14ac:dyDescent="0.25">
      <c r="A32" s="2" t="s">
        <v>97</v>
      </c>
      <c r="B32" s="4" t="s">
        <v>129</v>
      </c>
      <c r="C32" s="3" t="str">
        <f t="shared" si="3"/>
        <v>http://rs.tdwg.org/dwc/terms</v>
      </c>
      <c r="D32" s="3" t="str">
        <f>HYPERLINK("http://rs.tdwg.org/dwc/terms/verbatimEventDate")</f>
        <v>http://rs.tdwg.org/dwc/terms/verbatimEventDate</v>
      </c>
      <c r="E32" s="2" t="s">
        <v>130</v>
      </c>
      <c r="F32" s="2" t="s">
        <v>20</v>
      </c>
      <c r="G32" s="2"/>
      <c r="H32" s="2"/>
      <c r="I32" s="2"/>
      <c r="J32" s="2"/>
      <c r="K32" s="2" t="s">
        <v>22</v>
      </c>
      <c r="L32" s="2"/>
      <c r="M32" s="2" t="s">
        <v>129</v>
      </c>
      <c r="N32" s="2" t="s">
        <v>131</v>
      </c>
      <c r="O32" s="2" t="s">
        <v>132</v>
      </c>
      <c r="P32" s="2" t="s">
        <v>132</v>
      </c>
      <c r="Q32" s="2"/>
    </row>
    <row r="33" spans="1:17" ht="30" x14ac:dyDescent="0.25">
      <c r="A33" s="2" t="s">
        <v>133</v>
      </c>
      <c r="B33" s="4" t="s">
        <v>134</v>
      </c>
      <c r="C33" s="3" t="str">
        <f t="shared" si="3"/>
        <v>http://rs.tdwg.org/dwc/terms</v>
      </c>
      <c r="D33" s="3" t="str">
        <f>HYPERLINK("http://rs.tdwg.org/dwc/terms/locality")</f>
        <v>http://rs.tdwg.org/dwc/terms/locality</v>
      </c>
      <c r="E33" s="2" t="s">
        <v>135</v>
      </c>
      <c r="F33" s="2" t="s">
        <v>20</v>
      </c>
      <c r="G33" s="2"/>
      <c r="H33" s="2"/>
      <c r="I33" s="2"/>
      <c r="J33" s="2"/>
      <c r="K33" s="2" t="s">
        <v>22</v>
      </c>
      <c r="L33" s="2"/>
      <c r="M33" s="2" t="s">
        <v>134</v>
      </c>
      <c r="N33" s="2" t="s">
        <v>136</v>
      </c>
      <c r="O33" s="2" t="s">
        <v>137</v>
      </c>
      <c r="P33" s="2" t="s">
        <v>137</v>
      </c>
      <c r="Q33" s="2"/>
    </row>
    <row r="34" spans="1:17" ht="30" x14ac:dyDescent="0.25">
      <c r="A34" s="2" t="s">
        <v>133</v>
      </c>
      <c r="B34" s="4" t="s">
        <v>138</v>
      </c>
      <c r="C34" s="3" t="str">
        <f t="shared" si="3"/>
        <v>http://rs.tdwg.org/dwc/terms</v>
      </c>
      <c r="D34" s="3" t="str">
        <f>HYPERLINK("http://rs.tdwg.org/dwc/terms/verbatimLocality")</f>
        <v>http://rs.tdwg.org/dwc/terms/verbatimLocality</v>
      </c>
      <c r="E34" s="2" t="s">
        <v>139</v>
      </c>
      <c r="F34" s="2" t="s">
        <v>20</v>
      </c>
      <c r="G34" s="2" t="s">
        <v>140</v>
      </c>
      <c r="H34" s="2"/>
      <c r="I34" s="2"/>
      <c r="J34" s="2"/>
      <c r="K34" s="2" t="s">
        <v>546</v>
      </c>
      <c r="L34" s="2"/>
      <c r="M34" s="2" t="s">
        <v>138</v>
      </c>
      <c r="N34" s="2" t="s">
        <v>136</v>
      </c>
      <c r="O34" s="2" t="s">
        <v>137</v>
      </c>
      <c r="P34" s="2" t="s">
        <v>137</v>
      </c>
      <c r="Q34" s="2"/>
    </row>
    <row r="35" spans="1:17" ht="30" x14ac:dyDescent="0.25">
      <c r="A35" s="2" t="s">
        <v>133</v>
      </c>
      <c r="B35" s="4" t="s">
        <v>141</v>
      </c>
      <c r="C35" s="3" t="str">
        <f t="shared" si="3"/>
        <v>http://rs.tdwg.org/dwc/terms</v>
      </c>
      <c r="D35" s="3" t="str">
        <f>HYPERLINK("http://rs.tdwg.org/dwc/terms/continent")</f>
        <v>http://rs.tdwg.org/dwc/terms/continent</v>
      </c>
      <c r="E35" s="2" t="s">
        <v>142</v>
      </c>
      <c r="F35" s="2" t="s">
        <v>20</v>
      </c>
      <c r="G35" s="2"/>
      <c r="H35" s="2"/>
      <c r="I35" s="2"/>
      <c r="J35" s="2" t="s">
        <v>143</v>
      </c>
      <c r="K35" s="2" t="s">
        <v>546</v>
      </c>
      <c r="L35" s="2"/>
      <c r="M35" s="2" t="s">
        <v>141</v>
      </c>
      <c r="N35" s="2" t="s">
        <v>144</v>
      </c>
      <c r="O35" s="2"/>
      <c r="P35" s="2"/>
      <c r="Q35" s="2"/>
    </row>
    <row r="36" spans="1:17" ht="30" x14ac:dyDescent="0.25">
      <c r="A36" s="2" t="s">
        <v>133</v>
      </c>
      <c r="B36" s="4" t="s">
        <v>145</v>
      </c>
      <c r="C36" s="3" t="str">
        <f t="shared" si="3"/>
        <v>http://rs.tdwg.org/dwc/terms</v>
      </c>
      <c r="D36" s="3" t="str">
        <f>HYPERLINK("http://rs.tdwg.org/dwc/terms/country")</f>
        <v>http://rs.tdwg.org/dwc/terms/country</v>
      </c>
      <c r="E36" s="2" t="s">
        <v>146</v>
      </c>
      <c r="F36" s="2" t="s">
        <v>20</v>
      </c>
      <c r="G36" s="2"/>
      <c r="H36" s="2"/>
      <c r="I36" s="2"/>
      <c r="J36" s="2" t="s">
        <v>147</v>
      </c>
      <c r="K36" s="2" t="s">
        <v>22</v>
      </c>
      <c r="L36" s="2"/>
      <c r="M36" s="2" t="s">
        <v>145</v>
      </c>
      <c r="N36" s="2" t="s">
        <v>148</v>
      </c>
      <c r="O36" s="2" t="s">
        <v>149</v>
      </c>
      <c r="P36" s="2" t="s">
        <v>149</v>
      </c>
      <c r="Q36" s="2"/>
    </row>
    <row r="37" spans="1:17" ht="30" x14ac:dyDescent="0.25">
      <c r="A37" s="2" t="s">
        <v>133</v>
      </c>
      <c r="B37" s="4" t="s">
        <v>150</v>
      </c>
      <c r="C37" s="3" t="str">
        <f t="shared" si="3"/>
        <v>http://rs.tdwg.org/dwc/terms</v>
      </c>
      <c r="D37" s="3" t="str">
        <f>HYPERLINK("http://rs.tdwg.org/dwc/terms/countryCode")</f>
        <v>http://rs.tdwg.org/dwc/terms/countryCode</v>
      </c>
      <c r="E37" s="2" t="s">
        <v>151</v>
      </c>
      <c r="F37" s="2" t="s">
        <v>20</v>
      </c>
      <c r="G37" s="2" t="s">
        <v>152</v>
      </c>
      <c r="H37" s="2"/>
      <c r="I37" s="2"/>
      <c r="J37" s="2" t="s">
        <v>153</v>
      </c>
      <c r="K37" s="2" t="s">
        <v>22</v>
      </c>
      <c r="L37" s="2"/>
      <c r="M37" s="2" t="s">
        <v>150</v>
      </c>
      <c r="N37" s="2" t="s">
        <v>154</v>
      </c>
      <c r="O37" s="2" t="s">
        <v>155</v>
      </c>
      <c r="P37" s="2" t="s">
        <v>155</v>
      </c>
      <c r="Q37" s="2"/>
    </row>
    <row r="38" spans="1:17" ht="30" x14ac:dyDescent="0.25">
      <c r="A38" s="2" t="s">
        <v>133</v>
      </c>
      <c r="B38" s="4" t="s">
        <v>156</v>
      </c>
      <c r="C38" s="3" t="str">
        <f t="shared" si="3"/>
        <v>http://rs.tdwg.org/dwc/terms</v>
      </c>
      <c r="D38" s="3" t="str">
        <f>HYPERLINK("http://rs.tdwg.org/dwc/terms/stateProvince")</f>
        <v>http://rs.tdwg.org/dwc/terms/stateProvince</v>
      </c>
      <c r="E38" s="2" t="s">
        <v>157</v>
      </c>
      <c r="F38" s="2" t="s">
        <v>20</v>
      </c>
      <c r="G38" s="2"/>
      <c r="H38" s="2"/>
      <c r="I38" s="2"/>
      <c r="J38" s="2" t="s">
        <v>158</v>
      </c>
      <c r="K38" s="2" t="s">
        <v>22</v>
      </c>
      <c r="L38" s="2"/>
      <c r="M38" s="2" t="s">
        <v>156</v>
      </c>
      <c r="N38" s="2" t="s">
        <v>159</v>
      </c>
      <c r="O38" s="2" t="s">
        <v>160</v>
      </c>
      <c r="P38" s="2" t="s">
        <v>160</v>
      </c>
      <c r="Q38" s="2" t="s">
        <v>506</v>
      </c>
    </row>
    <row r="39" spans="1:17" ht="30" x14ac:dyDescent="0.25">
      <c r="A39" s="2" t="s">
        <v>133</v>
      </c>
      <c r="B39" s="4" t="s">
        <v>161</v>
      </c>
      <c r="C39" s="3" t="str">
        <f t="shared" si="3"/>
        <v>http://rs.tdwg.org/dwc/terms</v>
      </c>
      <c r="D39" s="3" t="str">
        <f>HYPERLINK("http://rs.tdwg.org/dwc/terms/county")</f>
        <v>http://rs.tdwg.org/dwc/terms/county</v>
      </c>
      <c r="E39" s="2" t="s">
        <v>162</v>
      </c>
      <c r="F39" s="2" t="s">
        <v>20</v>
      </c>
      <c r="G39" s="2"/>
      <c r="H39" s="2"/>
      <c r="I39" s="2"/>
      <c r="J39" s="2" t="s">
        <v>163</v>
      </c>
      <c r="K39" s="2" t="s">
        <v>22</v>
      </c>
      <c r="L39" s="2"/>
      <c r="M39" s="2" t="s">
        <v>161</v>
      </c>
      <c r="N39" s="2" t="s">
        <v>164</v>
      </c>
      <c r="O39" s="2" t="s">
        <v>165</v>
      </c>
      <c r="P39" s="2" t="s">
        <v>165</v>
      </c>
    </row>
    <row r="40" spans="1:17" x14ac:dyDescent="0.25">
      <c r="A40" s="2" t="s">
        <v>133</v>
      </c>
      <c r="B40" s="4" t="s">
        <v>166</v>
      </c>
      <c r="C40" s="3" t="str">
        <f t="shared" si="3"/>
        <v>http://rs.tdwg.org/dwc/terms</v>
      </c>
      <c r="D40" s="3" t="str">
        <f>HYPERLINK("http://rs.tdwg.org/dwc/terms/waterBody")</f>
        <v>http://rs.tdwg.org/dwc/terms/waterBody</v>
      </c>
      <c r="E40" s="2" t="s">
        <v>167</v>
      </c>
      <c r="F40" s="2" t="s">
        <v>20</v>
      </c>
      <c r="G40" s="2"/>
      <c r="H40" s="2"/>
      <c r="I40" s="2"/>
      <c r="J40" s="2" t="s">
        <v>168</v>
      </c>
      <c r="K40" s="2" t="s">
        <v>546</v>
      </c>
      <c r="L40" s="3" t="str">
        <f>HYPERLINK("https://github.com/hiscom/hispid-review-2014-15/issues/21")</f>
        <v>https://github.com/hiscom/hispid-review-2014-15/issues/21</v>
      </c>
      <c r="M40" s="2" t="s">
        <v>166</v>
      </c>
      <c r="N40" s="2" t="s">
        <v>169</v>
      </c>
      <c r="O40" s="2"/>
      <c r="P40" s="2"/>
      <c r="Q40" s="2"/>
    </row>
    <row r="41" spans="1:17" x14ac:dyDescent="0.25">
      <c r="A41" s="2" t="s">
        <v>133</v>
      </c>
      <c r="B41" s="4" t="s">
        <v>170</v>
      </c>
      <c r="C41" s="3" t="str">
        <f t="shared" si="3"/>
        <v>http://rs.tdwg.org/dwc/terms</v>
      </c>
      <c r="D41" s="3" t="str">
        <f>HYPERLINK("http://rs.tdwg.org/dwc/terms/islandGroup")</f>
        <v>http://rs.tdwg.org/dwc/terms/islandGroup</v>
      </c>
      <c r="E41" s="2" t="s">
        <v>171</v>
      </c>
      <c r="F41" s="2" t="s">
        <v>20</v>
      </c>
      <c r="G41" s="2"/>
      <c r="H41" s="2"/>
      <c r="I41" s="2"/>
      <c r="J41" s="2" t="s">
        <v>172</v>
      </c>
      <c r="K41" s="2" t="s">
        <v>546</v>
      </c>
      <c r="L41" s="3" t="str">
        <f t="shared" ref="L41:L42" si="4">HYPERLINK("https://github.com/hiscom/hispid-review-2014-15/issues/21")</f>
        <v>https://github.com/hiscom/hispid-review-2014-15/issues/21</v>
      </c>
      <c r="M41" s="2" t="s">
        <v>170</v>
      </c>
      <c r="N41" s="2" t="s">
        <v>173</v>
      </c>
      <c r="O41" s="2"/>
      <c r="P41" s="2"/>
      <c r="Q41" s="2"/>
    </row>
    <row r="42" spans="1:17" x14ac:dyDescent="0.25">
      <c r="A42" s="2" t="s">
        <v>133</v>
      </c>
      <c r="B42" s="4" t="s">
        <v>176</v>
      </c>
      <c r="C42" s="3" t="str">
        <f t="shared" si="3"/>
        <v>http://rs.tdwg.org/dwc/terms</v>
      </c>
      <c r="D42" s="3" t="str">
        <f>HYPERLINK("http://rs.tdwg.org/dwc/terms/island")</f>
        <v>http://rs.tdwg.org/dwc/terms/island</v>
      </c>
      <c r="E42" s="2" t="s">
        <v>174</v>
      </c>
      <c r="F42" s="2" t="s">
        <v>20</v>
      </c>
      <c r="G42" s="2"/>
      <c r="H42" s="2"/>
      <c r="I42" s="2"/>
      <c r="J42" s="2" t="s">
        <v>175</v>
      </c>
      <c r="K42" s="2" t="s">
        <v>546</v>
      </c>
      <c r="L42" s="3" t="str">
        <f t="shared" si="4"/>
        <v>https://github.com/hiscom/hispid-review-2014-15/issues/21</v>
      </c>
      <c r="M42" s="2" t="s">
        <v>176</v>
      </c>
      <c r="N42" s="2" t="s">
        <v>177</v>
      </c>
      <c r="O42" s="2"/>
      <c r="P42" s="2"/>
      <c r="Q42" s="2"/>
    </row>
    <row r="43" spans="1:17" x14ac:dyDescent="0.25">
      <c r="A43" s="2" t="s">
        <v>133</v>
      </c>
      <c r="B43" s="4" t="s">
        <v>178</v>
      </c>
      <c r="C43" s="3" t="str">
        <f t="shared" si="3"/>
        <v>http://rs.tdwg.org/dwc/terms</v>
      </c>
      <c r="D43" s="3" t="str">
        <f>HYPERLINK("http://rs.tdwg.org/dwc/terms/decimalLatitude")</f>
        <v>http://rs.tdwg.org/dwc/terms/decimalLatitude</v>
      </c>
      <c r="E43" s="2" t="s">
        <v>179</v>
      </c>
      <c r="F43" s="2" t="s">
        <v>180</v>
      </c>
      <c r="G43" s="2"/>
      <c r="H43" s="2"/>
      <c r="I43" s="2"/>
      <c r="J43" s="2" t="s">
        <v>181</v>
      </c>
      <c r="K43" s="2" t="s">
        <v>22</v>
      </c>
      <c r="L43" s="2"/>
      <c r="M43" s="2" t="s">
        <v>178</v>
      </c>
      <c r="N43" s="2" t="s">
        <v>182</v>
      </c>
      <c r="O43" s="2"/>
      <c r="P43" s="2"/>
      <c r="Q43" s="2"/>
    </row>
    <row r="44" spans="1:17" x14ac:dyDescent="0.25">
      <c r="A44" s="2" t="s">
        <v>133</v>
      </c>
      <c r="B44" s="4" t="s">
        <v>183</v>
      </c>
      <c r="C44" s="3" t="str">
        <f t="shared" si="3"/>
        <v>http://rs.tdwg.org/dwc/terms</v>
      </c>
      <c r="D44" s="3" t="str">
        <f>HYPERLINK("http://rs.tdwg.org/dwc/terms/decimalLongitude")</f>
        <v>http://rs.tdwg.org/dwc/terms/decimalLongitude</v>
      </c>
      <c r="E44" s="2" t="s">
        <v>184</v>
      </c>
      <c r="F44" s="2" t="s">
        <v>180</v>
      </c>
      <c r="G44" s="2"/>
      <c r="H44" s="2"/>
      <c r="I44" s="2"/>
      <c r="J44" s="2" t="s">
        <v>185</v>
      </c>
      <c r="K44" s="2" t="s">
        <v>22</v>
      </c>
      <c r="L44" s="2"/>
      <c r="M44" s="2" t="s">
        <v>183</v>
      </c>
      <c r="N44" s="2" t="s">
        <v>186</v>
      </c>
      <c r="O44" s="2"/>
      <c r="P44" s="2"/>
      <c r="Q44" s="2"/>
    </row>
    <row r="45" spans="1:17" ht="45" x14ac:dyDescent="0.25">
      <c r="A45" s="2" t="s">
        <v>133</v>
      </c>
      <c r="B45" s="4" t="s">
        <v>187</v>
      </c>
      <c r="C45" s="3" t="str">
        <f t="shared" si="3"/>
        <v>http://rs.tdwg.org/dwc/terms</v>
      </c>
      <c r="D45" s="3" t="str">
        <f>HYPERLINK("http://rs.tdwg.org/dwc/terms/geodeticDatum")</f>
        <v>http://rs.tdwg.org/dwc/terms/geodeticDatum</v>
      </c>
      <c r="E45" s="2" t="s">
        <v>188</v>
      </c>
      <c r="F45" s="2" t="s">
        <v>20</v>
      </c>
      <c r="G45" s="2" t="s">
        <v>189</v>
      </c>
      <c r="H45" s="2"/>
      <c r="I45" s="2"/>
      <c r="J45" s="2" t="s">
        <v>190</v>
      </c>
      <c r="K45" s="2" t="s">
        <v>22</v>
      </c>
      <c r="L45" s="2"/>
      <c r="M45" s="2" t="s">
        <v>187</v>
      </c>
      <c r="N45" s="2" t="s">
        <v>191</v>
      </c>
      <c r="O45" s="2"/>
      <c r="P45" s="2"/>
      <c r="Q45" s="2"/>
    </row>
    <row r="46" spans="1:17" ht="60" x14ac:dyDescent="0.25">
      <c r="A46" s="2" t="s">
        <v>133</v>
      </c>
      <c r="B46" s="4" t="s">
        <v>192</v>
      </c>
      <c r="C46" s="3" t="str">
        <f t="shared" si="3"/>
        <v>http://rs.tdwg.org/dwc/terms</v>
      </c>
      <c r="D46" s="3" t="str">
        <f>HYPERLINK("http://rs.tdwg.org/dwc/terms/verbatimLatitude")</f>
        <v>http://rs.tdwg.org/dwc/terms/verbatimLatitude</v>
      </c>
      <c r="E46" s="2" t="s">
        <v>193</v>
      </c>
      <c r="F46" s="2" t="s">
        <v>20</v>
      </c>
      <c r="G46" s="2" t="s">
        <v>194</v>
      </c>
      <c r="H46" s="2"/>
      <c r="I46" s="2"/>
      <c r="J46" s="2" t="s">
        <v>195</v>
      </c>
      <c r="K46" s="2" t="s">
        <v>22</v>
      </c>
      <c r="L46" s="2"/>
      <c r="M46" s="2" t="s">
        <v>192</v>
      </c>
      <c r="N46" s="2" t="s">
        <v>196</v>
      </c>
      <c r="O46" s="2" t="s">
        <v>197</v>
      </c>
      <c r="P46" s="2" t="s">
        <v>197</v>
      </c>
      <c r="Q46" s="2"/>
    </row>
    <row r="47" spans="1:17" ht="60" x14ac:dyDescent="0.25">
      <c r="A47" s="2" t="s">
        <v>133</v>
      </c>
      <c r="B47" s="4" t="s">
        <v>198</v>
      </c>
      <c r="C47" s="3" t="str">
        <f t="shared" si="3"/>
        <v>http://rs.tdwg.org/dwc/terms</v>
      </c>
      <c r="D47" s="3" t="str">
        <f>HYPERLINK("http://rs.tdwg.org/dwc/terms/verbatimLongitude")</f>
        <v>http://rs.tdwg.org/dwc/terms/verbatimLongitude</v>
      </c>
      <c r="E47" s="2" t="s">
        <v>199</v>
      </c>
      <c r="F47" s="2" t="s">
        <v>20</v>
      </c>
      <c r="G47" s="2" t="s">
        <v>194</v>
      </c>
      <c r="H47" s="2"/>
      <c r="I47" s="2"/>
      <c r="J47" s="2" t="s">
        <v>200</v>
      </c>
      <c r="K47" s="2" t="s">
        <v>22</v>
      </c>
      <c r="L47" s="2"/>
      <c r="M47" s="2" t="s">
        <v>198</v>
      </c>
      <c r="N47" s="2" t="s">
        <v>201</v>
      </c>
      <c r="O47" s="2" t="s">
        <v>202</v>
      </c>
      <c r="P47" s="2" t="s">
        <v>202</v>
      </c>
      <c r="Q47" s="2"/>
    </row>
    <row r="48" spans="1:17" ht="75" x14ac:dyDescent="0.25">
      <c r="A48" s="2" t="s">
        <v>133</v>
      </c>
      <c r="B48" s="4" t="s">
        <v>203</v>
      </c>
      <c r="C48" s="3" t="str">
        <f t="shared" si="3"/>
        <v>http://rs.tdwg.org/dwc/terms</v>
      </c>
      <c r="D48" s="3" t="str">
        <f>HYPERLINK("http://rs.tdwg.org/dwc/terms/verbatimCoordinates")</f>
        <v>http://rs.tdwg.org/dwc/terms/verbatimCoordinates</v>
      </c>
      <c r="E48" s="2" t="s">
        <v>204</v>
      </c>
      <c r="F48" s="2" t="s">
        <v>20</v>
      </c>
      <c r="G48" s="2" t="s">
        <v>205</v>
      </c>
      <c r="H48" s="2"/>
      <c r="I48" s="2"/>
      <c r="J48" s="2" t="s">
        <v>206</v>
      </c>
      <c r="K48" s="2" t="s">
        <v>22</v>
      </c>
      <c r="L48" s="2"/>
      <c r="M48" s="2" t="s">
        <v>203</v>
      </c>
      <c r="N48" s="2" t="s">
        <v>207</v>
      </c>
      <c r="O48" s="2"/>
      <c r="P48" s="2" t="s">
        <v>208</v>
      </c>
      <c r="Q48" s="2"/>
    </row>
    <row r="49" spans="1:17" ht="30" x14ac:dyDescent="0.25">
      <c r="A49" s="2" t="s">
        <v>133</v>
      </c>
      <c r="B49" s="4" t="s">
        <v>209</v>
      </c>
      <c r="C49" s="3" t="str">
        <f t="shared" si="3"/>
        <v>http://rs.tdwg.org/dwc/terms</v>
      </c>
      <c r="D49" s="3" t="str">
        <f>HYPERLINK("http://rs.tdwg.org/dwc/terms/verbatimCoordinateSystem")</f>
        <v>http://rs.tdwg.org/dwc/terms/verbatimCoordinateSystem</v>
      </c>
      <c r="E49" s="2" t="s">
        <v>210</v>
      </c>
      <c r="F49" s="2" t="s">
        <v>20</v>
      </c>
      <c r="G49" s="2" t="s">
        <v>211</v>
      </c>
      <c r="H49" s="3" t="str">
        <f>HYPERLINK("http://hiscom.rbg.vic.gov.au/hispid/vocabulary/verbatim_coordinate_system.xml")</f>
        <v>http://hiscom.rbg.vic.gov.au/hispid/vocabulary/verbatim_coordinate_system.xml</v>
      </c>
      <c r="I49" s="2"/>
      <c r="J49" s="2" t="s">
        <v>212</v>
      </c>
      <c r="K49" s="2" t="s">
        <v>546</v>
      </c>
      <c r="L49" s="2"/>
      <c r="M49" s="2" t="s">
        <v>209</v>
      </c>
      <c r="N49" s="2"/>
      <c r="O49" s="2"/>
      <c r="P49" s="2"/>
      <c r="Q49" s="2"/>
    </row>
    <row r="50" spans="1:17" ht="45" x14ac:dyDescent="0.25">
      <c r="A50" s="2" t="s">
        <v>133</v>
      </c>
      <c r="B50" s="4" t="s">
        <v>213</v>
      </c>
      <c r="C50" s="3" t="str">
        <f t="shared" si="3"/>
        <v>http://rs.tdwg.org/dwc/terms</v>
      </c>
      <c r="D50" s="3" t="str">
        <f>HYPERLINK("http://rs.tdwg.org/dwc/terms/verbatimSRS")</f>
        <v>http://rs.tdwg.org/dwc/terms/verbatimSRS</v>
      </c>
      <c r="E50" s="2" t="s">
        <v>214</v>
      </c>
      <c r="F50" s="2" t="s">
        <v>20</v>
      </c>
      <c r="G50" s="2" t="s">
        <v>215</v>
      </c>
      <c r="H50" s="2"/>
      <c r="I50" s="2"/>
      <c r="J50" s="2" t="s">
        <v>216</v>
      </c>
      <c r="K50" s="2" t="s">
        <v>22</v>
      </c>
      <c r="L50" s="2"/>
      <c r="M50" s="2" t="s">
        <v>213</v>
      </c>
      <c r="N50" s="2"/>
      <c r="O50" s="2" t="s">
        <v>217</v>
      </c>
      <c r="P50" s="2" t="s">
        <v>218</v>
      </c>
      <c r="Q50" s="2"/>
    </row>
    <row r="51" spans="1:17" ht="30" x14ac:dyDescent="0.25">
      <c r="A51" s="2" t="s">
        <v>133</v>
      </c>
      <c r="B51" s="4" t="s">
        <v>219</v>
      </c>
      <c r="C51" s="3" t="str">
        <f t="shared" si="3"/>
        <v>http://rs.tdwg.org/dwc/terms</v>
      </c>
      <c r="D51" s="3" t="str">
        <f>HYPERLINK("http://rs.tdwg.org/dwc/terms/coordinatePrecision")</f>
        <v>http://rs.tdwg.org/dwc/terms/coordinatePrecision</v>
      </c>
      <c r="E51" s="2" t="s">
        <v>220</v>
      </c>
      <c r="F51" s="2" t="s">
        <v>180</v>
      </c>
      <c r="G51" s="2"/>
      <c r="H51" s="2"/>
      <c r="I51" s="2"/>
      <c r="J51" s="2" t="s">
        <v>221</v>
      </c>
      <c r="K51" s="2" t="s">
        <v>546</v>
      </c>
      <c r="L51" s="2"/>
      <c r="M51" s="2" t="s">
        <v>219</v>
      </c>
      <c r="N51" s="2"/>
      <c r="O51" s="2"/>
      <c r="P51" s="2"/>
      <c r="Q51" s="2"/>
    </row>
    <row r="52" spans="1:17" ht="105" x14ac:dyDescent="0.25">
      <c r="A52" s="2" t="s">
        <v>133</v>
      </c>
      <c r="B52" s="4" t="s">
        <v>222</v>
      </c>
      <c r="C52" s="3" t="str">
        <f t="shared" si="3"/>
        <v>http://rs.tdwg.org/dwc/terms</v>
      </c>
      <c r="D52" s="3" t="str">
        <f>HYPERLINK("http://rs.tdwg.org/dwc/terms/coordinateUncertaintyInMeters")</f>
        <v>http://rs.tdwg.org/dwc/terms/coordinateUncertaintyInMeters</v>
      </c>
      <c r="E52" s="2" t="s">
        <v>223</v>
      </c>
      <c r="F52" s="2" t="s">
        <v>180</v>
      </c>
      <c r="G52" s="2"/>
      <c r="H52" s="2"/>
      <c r="I52" s="2" t="s">
        <v>224</v>
      </c>
      <c r="J52" s="2"/>
      <c r="K52" s="2" t="s">
        <v>22</v>
      </c>
      <c r="L52" s="2"/>
      <c r="M52" s="2" t="s">
        <v>222</v>
      </c>
      <c r="N52" s="2" t="s">
        <v>225</v>
      </c>
      <c r="O52" s="2" t="s">
        <v>226</v>
      </c>
      <c r="P52" s="2" t="s">
        <v>226</v>
      </c>
      <c r="Q52" s="2"/>
    </row>
    <row r="53" spans="1:17" ht="30" x14ac:dyDescent="0.25">
      <c r="A53" s="2" t="s">
        <v>133</v>
      </c>
      <c r="B53" s="4" t="s">
        <v>227</v>
      </c>
      <c r="C53" s="3" t="str">
        <f t="shared" si="3"/>
        <v>http://rs.tdwg.org/dwc/terms</v>
      </c>
      <c r="D53" s="3" t="str">
        <f>HYPERLINK("http://rs.tdwg.org/dwc/terms/georeferencedBy")</f>
        <v>http://rs.tdwg.org/dwc/terms/georeferencedBy</v>
      </c>
      <c r="E53" s="2" t="s">
        <v>228</v>
      </c>
      <c r="F53" s="2" t="s">
        <v>20</v>
      </c>
      <c r="G53" s="2"/>
      <c r="H53" s="2"/>
      <c r="I53" s="2"/>
      <c r="J53" s="2" t="s">
        <v>229</v>
      </c>
      <c r="K53" s="2" t="s">
        <v>546</v>
      </c>
      <c r="L53" s="3" t="str">
        <f>HYPERLINK("https://github.com/hiscom/hispid-review-2014-15/issues/13")</f>
        <v>https://github.com/hiscom/hispid-review-2014-15/issues/13</v>
      </c>
      <c r="M53" s="2" t="s">
        <v>227</v>
      </c>
      <c r="N53" s="2" t="s">
        <v>507</v>
      </c>
      <c r="O53" s="2" t="s">
        <v>230</v>
      </c>
      <c r="P53" s="2" t="s">
        <v>230</v>
      </c>
      <c r="Q53" s="2"/>
    </row>
    <row r="54" spans="1:17" ht="30" x14ac:dyDescent="0.25">
      <c r="A54" s="2" t="s">
        <v>133</v>
      </c>
      <c r="B54" s="4" t="s">
        <v>231</v>
      </c>
      <c r="C54" s="3" t="str">
        <f t="shared" si="3"/>
        <v>http://rs.tdwg.org/dwc/terms</v>
      </c>
      <c r="D54" s="3" t="str">
        <f>HYPERLINK("http://rs.tdwg.org/dwc/terms/georeferenceProtocol")</f>
        <v>http://rs.tdwg.org/dwc/terms/georeferenceProtocol</v>
      </c>
      <c r="E54" s="2" t="s">
        <v>232</v>
      </c>
      <c r="F54" s="2" t="s">
        <v>20</v>
      </c>
      <c r="G54" s="2"/>
      <c r="H54" s="2"/>
      <c r="I54" s="2"/>
      <c r="J54" s="2" t="s">
        <v>233</v>
      </c>
      <c r="K54" s="2" t="s">
        <v>22</v>
      </c>
      <c r="L54" s="3" t="str">
        <f>HYPERLINK("https://github.com/hiscom/hispid-review-2014-15/issues/13")</f>
        <v>https://github.com/hiscom/hispid-review-2014-15/issues/13</v>
      </c>
      <c r="M54" s="2" t="s">
        <v>231</v>
      </c>
      <c r="N54" s="2" t="s">
        <v>234</v>
      </c>
      <c r="O54" s="2" t="s">
        <v>230</v>
      </c>
      <c r="P54" s="2" t="s">
        <v>230</v>
      </c>
      <c r="Q54" s="2"/>
    </row>
    <row r="55" spans="1:17" ht="30" x14ac:dyDescent="0.25">
      <c r="A55" s="2" t="s">
        <v>133</v>
      </c>
      <c r="B55" s="4" t="s">
        <v>235</v>
      </c>
      <c r="C55" s="3" t="str">
        <f t="shared" si="3"/>
        <v>http://rs.tdwg.org/dwc/terms</v>
      </c>
      <c r="D55" s="3" t="str">
        <f>HYPERLINK("http://rs.tdwg.org/dwc/terms/georeferencedDate")</f>
        <v>http://rs.tdwg.org/dwc/terms/georeferencedDate</v>
      </c>
      <c r="E55" s="2" t="s">
        <v>236</v>
      </c>
      <c r="F55" s="2" t="s">
        <v>20</v>
      </c>
      <c r="G55" s="2" t="s">
        <v>237</v>
      </c>
      <c r="H55" s="2"/>
      <c r="I55" s="2"/>
      <c r="J55" s="2"/>
      <c r="K55" s="2" t="s">
        <v>546</v>
      </c>
      <c r="L55" s="2"/>
      <c r="M55" s="2" t="s">
        <v>235</v>
      </c>
      <c r="N55" s="2" t="s">
        <v>508</v>
      </c>
      <c r="O55" s="2"/>
      <c r="P55" s="2"/>
      <c r="Q55" s="2"/>
    </row>
    <row r="56" spans="1:17" ht="60" x14ac:dyDescent="0.25">
      <c r="A56" s="2" t="s">
        <v>133</v>
      </c>
      <c r="B56" s="4" t="s">
        <v>238</v>
      </c>
      <c r="C56" s="3" t="str">
        <f t="shared" si="3"/>
        <v>http://rs.tdwg.org/dwc/terms</v>
      </c>
      <c r="D56" s="3" t="str">
        <f>HYPERLINK("http://rs.tdwg.org/dwc/terms/georeferenceSources")</f>
        <v>http://rs.tdwg.org/dwc/terms/georeferenceSources</v>
      </c>
      <c r="E56" s="2" t="s">
        <v>239</v>
      </c>
      <c r="F56" s="2" t="s">
        <v>20</v>
      </c>
      <c r="G56" s="2"/>
      <c r="H56" s="2"/>
      <c r="I56" s="2"/>
      <c r="J56" s="2"/>
      <c r="K56" s="2" t="s">
        <v>546</v>
      </c>
      <c r="L56" s="2"/>
      <c r="M56" s="2" t="s">
        <v>238</v>
      </c>
      <c r="N56" s="2" t="s">
        <v>240</v>
      </c>
      <c r="O56" s="2"/>
      <c r="P56" s="2"/>
      <c r="Q56" s="2"/>
    </row>
    <row r="57" spans="1:17" ht="45" x14ac:dyDescent="0.25">
      <c r="A57" s="2" t="s">
        <v>133</v>
      </c>
      <c r="B57" s="4" t="s">
        <v>241</v>
      </c>
      <c r="C57" s="3" t="str">
        <f t="shared" si="3"/>
        <v>http://rs.tdwg.org/dwc/terms</v>
      </c>
      <c r="D57" s="3" t="str">
        <f>HYPERLINK("http://rs.tdwg.org/dwc/terms/georeferenceVerificationStatus")</f>
        <v>http://rs.tdwg.org/dwc/terms/georeferenceVerificationStatus</v>
      </c>
      <c r="E57" s="2" t="s">
        <v>242</v>
      </c>
      <c r="F57" s="2" t="s">
        <v>20</v>
      </c>
      <c r="G57" s="2" t="s">
        <v>211</v>
      </c>
      <c r="H57" s="3" t="str">
        <f>HYPERLINK("http://hiscom.rbg.vic.gov.au/hispid/vocabulary/georeference_verification_status.xml")</f>
        <v>http://hiscom.rbg.vic.gov.au/hispid/vocabulary/georeference_verification_status.xml</v>
      </c>
      <c r="I57" s="2"/>
      <c r="J57" s="2"/>
      <c r="K57" s="2" t="s">
        <v>546</v>
      </c>
      <c r="L57" s="3" t="str">
        <f>HYPERLINK("https://github.com/hiscom/hispid-review-2014-15/issues/19")</f>
        <v>https://github.com/hiscom/hispid-review-2014-15/issues/19</v>
      </c>
      <c r="M57" s="2" t="s">
        <v>241</v>
      </c>
      <c r="N57" s="2" t="s">
        <v>243</v>
      </c>
      <c r="O57" s="2"/>
      <c r="P57" s="2"/>
      <c r="Q57" s="2"/>
    </row>
    <row r="58" spans="1:17" ht="60" x14ac:dyDescent="0.25">
      <c r="A58" s="2" t="s">
        <v>133</v>
      </c>
      <c r="B58" s="4" t="s">
        <v>244</v>
      </c>
      <c r="C58" s="3" t="str">
        <f t="shared" si="3"/>
        <v>http://rs.tdwg.org/dwc/terms</v>
      </c>
      <c r="D58" s="3" t="str">
        <f>HYPERLINK("http://rs.tdwg.org/dwc/terms/georeferenceRemarks")</f>
        <v>http://rs.tdwg.org/dwc/terms/georeferenceRemarks</v>
      </c>
      <c r="E58" s="2" t="s">
        <v>245</v>
      </c>
      <c r="F58" s="2" t="s">
        <v>20</v>
      </c>
      <c r="G58" s="2"/>
      <c r="H58" s="2"/>
      <c r="I58" s="2"/>
      <c r="J58" s="2"/>
      <c r="K58" s="2" t="s">
        <v>546</v>
      </c>
      <c r="L58" s="2"/>
      <c r="M58" s="2" t="s">
        <v>244</v>
      </c>
      <c r="N58" s="2" t="s">
        <v>246</v>
      </c>
      <c r="O58" s="2"/>
      <c r="P58" s="2"/>
      <c r="Q58" s="2"/>
    </row>
    <row r="59" spans="1:17" ht="165" x14ac:dyDescent="0.25">
      <c r="A59" s="2" t="s">
        <v>133</v>
      </c>
      <c r="B59" s="4" t="s">
        <v>247</v>
      </c>
      <c r="C59" s="3" t="str">
        <f>HYPERLINK("http://hiscom.chah.org.au/hispid/terms")</f>
        <v>http://hiscom.chah.org.au/hispid/terms</v>
      </c>
      <c r="D59" s="3" t="str">
        <f>HYPERLINK("http://hiscom.chah.org.au/hispid/terms/nearestNamedPlace")</f>
        <v>http://hiscom.chah.org.au/hispid/terms/nearestNamedPlace</v>
      </c>
      <c r="E59" s="2" t="s">
        <v>248</v>
      </c>
      <c r="F59" s="2" t="s">
        <v>20</v>
      </c>
      <c r="G59" s="2"/>
      <c r="H59" s="2"/>
      <c r="I59" s="2" t="s">
        <v>510</v>
      </c>
      <c r="J59" s="2"/>
      <c r="K59" s="2" t="s">
        <v>279</v>
      </c>
      <c r="L59" s="2"/>
      <c r="M59" s="2"/>
      <c r="N59" s="2" t="s">
        <v>509</v>
      </c>
      <c r="O59" s="2" t="s">
        <v>249</v>
      </c>
      <c r="P59" s="2" t="s">
        <v>249</v>
      </c>
      <c r="Q59" s="2"/>
    </row>
    <row r="60" spans="1:17" ht="30" x14ac:dyDescent="0.25">
      <c r="A60" s="2" t="s">
        <v>133</v>
      </c>
      <c r="B60" s="4" t="s">
        <v>250</v>
      </c>
      <c r="C60" s="3" t="str">
        <f>HYPERLINK("http://rs.tdwg.org/dwc/terms")</f>
        <v>http://rs.tdwg.org/dwc/terms</v>
      </c>
      <c r="D60" s="3" t="str">
        <f>HYPERLINK("http://rs.tdwg.org/dwc/terms/minimumElevationInMeters")</f>
        <v>http://rs.tdwg.org/dwc/terms/minimumElevationInMeters</v>
      </c>
      <c r="E60" s="2" t="s">
        <v>251</v>
      </c>
      <c r="F60" s="2" t="s">
        <v>180</v>
      </c>
      <c r="G60" s="2"/>
      <c r="H60" s="2"/>
      <c r="I60" s="2"/>
      <c r="J60" s="2"/>
      <c r="K60" s="2" t="s">
        <v>22</v>
      </c>
      <c r="L60" s="2"/>
      <c r="M60" s="2" t="s">
        <v>250</v>
      </c>
      <c r="N60" s="2" t="s">
        <v>252</v>
      </c>
      <c r="O60" s="2" t="s">
        <v>253</v>
      </c>
      <c r="P60" s="2" t="s">
        <v>253</v>
      </c>
      <c r="Q60" s="2"/>
    </row>
    <row r="61" spans="1:17" ht="30" x14ac:dyDescent="0.25">
      <c r="A61" s="2" t="s">
        <v>133</v>
      </c>
      <c r="B61" s="4" t="s">
        <v>254</v>
      </c>
      <c r="C61" s="3" t="str">
        <f>HYPERLINK("http://rs.tdwg.org/dwc/terms")</f>
        <v>http://rs.tdwg.org/dwc/terms</v>
      </c>
      <c r="D61" s="3" t="str">
        <f>HYPERLINK("http://rs.tdwg.org/dwc/terms/maximumElevationInMeters")</f>
        <v>http://rs.tdwg.org/dwc/terms/maximumElevationInMeters</v>
      </c>
      <c r="E61" s="2" t="s">
        <v>255</v>
      </c>
      <c r="F61" s="2" t="s">
        <v>180</v>
      </c>
      <c r="G61" s="2"/>
      <c r="H61" s="2"/>
      <c r="I61" s="2"/>
      <c r="J61" s="2"/>
      <c r="K61" s="2" t="s">
        <v>22</v>
      </c>
      <c r="L61" s="2"/>
      <c r="M61" s="2" t="s">
        <v>254</v>
      </c>
      <c r="N61" s="2" t="s">
        <v>511</v>
      </c>
      <c r="O61" s="2" t="s">
        <v>256</v>
      </c>
      <c r="P61" s="2" t="s">
        <v>256</v>
      </c>
      <c r="Q61" s="2"/>
    </row>
    <row r="62" spans="1:17" ht="30" x14ac:dyDescent="0.25">
      <c r="A62" s="2" t="s">
        <v>133</v>
      </c>
      <c r="B62" s="4" t="s">
        <v>257</v>
      </c>
      <c r="C62" s="3" t="str">
        <f>HYPERLINK("http://rs.tdwg.org/dwc/terms")</f>
        <v>http://rs.tdwg.org/dwc/terms</v>
      </c>
      <c r="D62" s="3" t="str">
        <f>HYPERLINK("http://rs.tdwg.org/dwc/terms/verbatimElevation")</f>
        <v>http://rs.tdwg.org/dwc/terms/verbatimElevation</v>
      </c>
      <c r="E62" s="2" t="s">
        <v>258</v>
      </c>
      <c r="F62" s="2" t="s">
        <v>20</v>
      </c>
      <c r="G62" s="2"/>
      <c r="H62" s="2"/>
      <c r="I62" s="2"/>
      <c r="J62" s="2"/>
      <c r="K62" s="2" t="s">
        <v>546</v>
      </c>
      <c r="L62" s="2"/>
      <c r="M62" s="2" t="s">
        <v>257</v>
      </c>
      <c r="N62" s="2" t="s">
        <v>259</v>
      </c>
      <c r="O62" s="2"/>
      <c r="P62" s="2"/>
      <c r="Q62" s="2"/>
    </row>
    <row r="63" spans="1:17" x14ac:dyDescent="0.25">
      <c r="A63" s="2" t="s">
        <v>133</v>
      </c>
      <c r="B63" s="5" t="s">
        <v>260</v>
      </c>
      <c r="C63" s="3"/>
      <c r="D63" s="3"/>
      <c r="E63" s="2"/>
      <c r="F63" s="2"/>
      <c r="G63" s="2"/>
      <c r="H63" s="2"/>
      <c r="I63" s="2"/>
      <c r="J63" s="2"/>
      <c r="K63" s="2" t="s">
        <v>279</v>
      </c>
      <c r="L63" s="2"/>
      <c r="M63" s="2"/>
      <c r="N63" s="2"/>
      <c r="O63" s="2" t="s">
        <v>261</v>
      </c>
      <c r="P63" s="2" t="s">
        <v>261</v>
      </c>
      <c r="Q63" s="2"/>
    </row>
    <row r="64" spans="1:17" x14ac:dyDescent="0.25">
      <c r="A64" s="2" t="s">
        <v>133</v>
      </c>
      <c r="B64" s="5" t="s">
        <v>262</v>
      </c>
      <c r="C64" s="3"/>
      <c r="D64" s="3"/>
      <c r="E64" s="2"/>
      <c r="F64" s="2"/>
      <c r="G64" s="2"/>
      <c r="H64" s="2"/>
      <c r="I64" s="2"/>
      <c r="J64" s="2"/>
      <c r="K64" s="2" t="s">
        <v>279</v>
      </c>
      <c r="L64" s="2"/>
      <c r="M64" s="2"/>
      <c r="N64" s="2"/>
      <c r="O64" s="2" t="s">
        <v>263</v>
      </c>
      <c r="P64" s="2" t="s">
        <v>263</v>
      </c>
      <c r="Q64" s="2"/>
    </row>
    <row r="65" spans="1:17" ht="30" x14ac:dyDescent="0.25">
      <c r="A65" s="2" t="s">
        <v>133</v>
      </c>
      <c r="B65" s="4" t="s">
        <v>264</v>
      </c>
      <c r="C65" s="3" t="str">
        <f>HYPERLINK("http://hiscom.chah.org.au/hispid/terms")</f>
        <v>http://hiscom.chah.org.au/hispid/terms</v>
      </c>
      <c r="D65" s="3" t="str">
        <f>HYPERLINK("http://hiscom.chah.org.au/hispid/terms/elevationMethod")</f>
        <v>http://hiscom.chah.org.au/hispid/terms/elevationMethod</v>
      </c>
      <c r="E65" s="2" t="s">
        <v>265</v>
      </c>
      <c r="F65" s="2" t="s">
        <v>20</v>
      </c>
      <c r="G65" s="2"/>
      <c r="H65" s="3" t="str">
        <f>HYPERLINK("http://hiscom.rbg.vic.gov.au/hispid/vocabulary/elevation_method.xml")</f>
        <v>http://hiscom.rbg.vic.gov.au/hispid/vocabulary/elevation_method.xml</v>
      </c>
      <c r="I65" s="2"/>
      <c r="J65" s="2"/>
      <c r="K65" s="2" t="s">
        <v>22</v>
      </c>
      <c r="L65" s="2"/>
      <c r="M65" s="2"/>
      <c r="N65" s="2"/>
      <c r="O65" s="2" t="s">
        <v>266</v>
      </c>
      <c r="P65" s="2" t="s">
        <v>266</v>
      </c>
      <c r="Q65" s="2"/>
    </row>
    <row r="66" spans="1:17" ht="30" x14ac:dyDescent="0.25">
      <c r="A66" s="2" t="s">
        <v>133</v>
      </c>
      <c r="B66" s="4" t="s">
        <v>267</v>
      </c>
      <c r="C66" s="3" t="str">
        <f>HYPERLINK("http://rs.tdwg.org/dwc/terms")</f>
        <v>http://rs.tdwg.org/dwc/terms</v>
      </c>
      <c r="D66" s="3" t="str">
        <f>HYPERLINK("http://rs.tdwg.org/dwc/terms/minimumDepthInMeters")</f>
        <v>http://rs.tdwg.org/dwc/terms/minimumDepthInMeters</v>
      </c>
      <c r="E66" s="2" t="s">
        <v>268</v>
      </c>
      <c r="F66" s="2" t="s">
        <v>180</v>
      </c>
      <c r="G66" s="2"/>
      <c r="H66" s="2"/>
      <c r="I66" s="2"/>
      <c r="J66" s="2"/>
      <c r="K66" s="2" t="s">
        <v>22</v>
      </c>
      <c r="L66" s="2"/>
      <c r="M66" s="2" t="s">
        <v>267</v>
      </c>
      <c r="N66" s="2" t="s">
        <v>269</v>
      </c>
      <c r="O66" s="2" t="s">
        <v>270</v>
      </c>
      <c r="P66" s="2" t="s">
        <v>270</v>
      </c>
      <c r="Q66" s="2"/>
    </row>
    <row r="67" spans="1:17" ht="30" x14ac:dyDescent="0.25">
      <c r="A67" s="2" t="s">
        <v>133</v>
      </c>
      <c r="B67" s="4" t="s">
        <v>271</v>
      </c>
      <c r="C67" s="3" t="str">
        <f>HYPERLINK("http://rs.tdwg.org/dwc/terms")</f>
        <v>http://rs.tdwg.org/dwc/terms</v>
      </c>
      <c r="D67" s="3" t="str">
        <f>HYPERLINK("http://rs.tdwg.org/dwc/terms/maximumDepthInMeters")</f>
        <v>http://rs.tdwg.org/dwc/terms/maximumDepthInMeters</v>
      </c>
      <c r="E67" s="2" t="s">
        <v>272</v>
      </c>
      <c r="F67" s="2" t="s">
        <v>180</v>
      </c>
      <c r="G67" s="2"/>
      <c r="H67" s="2"/>
      <c r="I67" s="2"/>
      <c r="J67" s="2"/>
      <c r="K67" s="2" t="s">
        <v>22</v>
      </c>
      <c r="L67" s="2"/>
      <c r="M67" s="2" t="s">
        <v>271</v>
      </c>
      <c r="N67" s="2" t="s">
        <v>273</v>
      </c>
      <c r="O67" s="2" t="s">
        <v>274</v>
      </c>
      <c r="P67" s="2" t="s">
        <v>274</v>
      </c>
      <c r="Q67" s="2"/>
    </row>
    <row r="68" spans="1:17" x14ac:dyDescent="0.25">
      <c r="A68" s="2" t="s">
        <v>133</v>
      </c>
      <c r="B68" s="4" t="s">
        <v>275</v>
      </c>
      <c r="C68" s="3" t="str">
        <f>HYPERLINK("http://rs.tdwg.org/dwc/terms")</f>
        <v>http://rs.tdwg.org/dwc/terms</v>
      </c>
      <c r="D68" s="3" t="str">
        <f>HYPERLINK("http://rs.tdwg.org/dwc/terms/verbatimDepth")</f>
        <v>http://rs.tdwg.org/dwc/terms/verbatimDepth</v>
      </c>
      <c r="E68" s="2" t="s">
        <v>276</v>
      </c>
      <c r="F68" s="2" t="s">
        <v>20</v>
      </c>
      <c r="G68" s="2"/>
      <c r="H68" s="2"/>
      <c r="I68" s="2"/>
      <c r="J68" s="2"/>
      <c r="K68" s="2" t="s">
        <v>546</v>
      </c>
      <c r="L68" s="2"/>
      <c r="M68" s="2" t="s">
        <v>275</v>
      </c>
      <c r="N68" s="2" t="s">
        <v>277</v>
      </c>
      <c r="O68" s="2"/>
      <c r="P68" s="2"/>
      <c r="Q68" s="2"/>
    </row>
    <row r="69" spans="1:17" x14ac:dyDescent="0.25">
      <c r="A69" s="2" t="s">
        <v>133</v>
      </c>
      <c r="B69" s="5" t="s">
        <v>278</v>
      </c>
      <c r="C69" s="3"/>
      <c r="D69" s="3"/>
      <c r="E69" s="2"/>
      <c r="F69" s="2"/>
      <c r="G69" s="2"/>
      <c r="H69" s="2"/>
      <c r="I69" s="2"/>
      <c r="J69" s="2"/>
      <c r="K69" s="2" t="s">
        <v>279</v>
      </c>
      <c r="L69" s="2"/>
      <c r="M69" s="2"/>
      <c r="N69" s="2"/>
      <c r="O69" s="2" t="s">
        <v>280</v>
      </c>
      <c r="P69" s="2" t="s">
        <v>280</v>
      </c>
      <c r="Q69" s="2"/>
    </row>
    <row r="70" spans="1:17" x14ac:dyDescent="0.25">
      <c r="A70" s="2" t="s">
        <v>133</v>
      </c>
      <c r="B70" s="5" t="s">
        <v>281</v>
      </c>
      <c r="C70" s="3"/>
      <c r="D70" s="3"/>
      <c r="E70" s="2"/>
      <c r="F70" s="2"/>
      <c r="G70" s="2"/>
      <c r="H70" s="2"/>
      <c r="I70" s="2"/>
      <c r="J70" s="2"/>
      <c r="K70" s="2" t="s">
        <v>279</v>
      </c>
      <c r="L70" s="2"/>
      <c r="M70" s="2"/>
      <c r="N70" s="2"/>
      <c r="O70" s="2" t="s">
        <v>282</v>
      </c>
      <c r="P70" s="2" t="s">
        <v>282</v>
      </c>
      <c r="Q70" s="2"/>
    </row>
    <row r="71" spans="1:17" x14ac:dyDescent="0.25">
      <c r="A71" s="2" t="s">
        <v>133</v>
      </c>
      <c r="B71" s="5" t="s">
        <v>283</v>
      </c>
      <c r="C71" s="3"/>
      <c r="D71" s="3"/>
      <c r="E71" s="2"/>
      <c r="F71" s="2"/>
      <c r="G71" s="2"/>
      <c r="H71" s="2"/>
      <c r="I71" s="2"/>
      <c r="J71" s="2"/>
      <c r="K71" s="2" t="s">
        <v>279</v>
      </c>
      <c r="L71" s="2"/>
      <c r="M71" s="2"/>
      <c r="N71" s="2"/>
      <c r="O71" s="2"/>
      <c r="P71" s="2"/>
      <c r="Q71" s="2"/>
    </row>
    <row r="72" spans="1:17" x14ac:dyDescent="0.25">
      <c r="A72" s="2" t="s">
        <v>133</v>
      </c>
      <c r="B72" s="5" t="s">
        <v>284</v>
      </c>
      <c r="C72" s="3"/>
      <c r="D72" s="3"/>
      <c r="E72" s="2"/>
      <c r="F72" s="2"/>
      <c r="G72" s="2"/>
      <c r="H72" s="2"/>
      <c r="I72" s="2"/>
      <c r="J72" s="2"/>
      <c r="K72" s="2" t="s">
        <v>279</v>
      </c>
      <c r="L72" s="2"/>
      <c r="M72" s="2"/>
      <c r="N72" s="2"/>
      <c r="O72" s="2"/>
      <c r="P72" s="2"/>
      <c r="Q72" s="2"/>
    </row>
    <row r="73" spans="1:17" x14ac:dyDescent="0.25">
      <c r="A73" s="2" t="s">
        <v>285</v>
      </c>
      <c r="B73" s="4" t="s">
        <v>286</v>
      </c>
      <c r="C73" s="3" t="str">
        <f>HYPERLINK("http://rs.tdwg.org/dwc/terms")</f>
        <v>http://rs.tdwg.org/dwc/terms</v>
      </c>
      <c r="D73" s="3" t="str">
        <f>HYPERLINK("http://rs.tdwg.org/dwc/terms/identificationID")</f>
        <v>http://rs.tdwg.org/dwc/terms/identificationID</v>
      </c>
      <c r="E73" s="2" t="s">
        <v>287</v>
      </c>
      <c r="F73" s="2" t="s">
        <v>20</v>
      </c>
      <c r="G73" s="2" t="s">
        <v>288</v>
      </c>
      <c r="H73" s="2"/>
      <c r="I73" s="2"/>
      <c r="J73" s="2"/>
      <c r="K73" s="2" t="s">
        <v>22</v>
      </c>
      <c r="L73" s="3" t="str">
        <f>HYPERLINK("https://github.com/hiscom/hispid-review-2014-15/issues/2")</f>
        <v>https://github.com/hiscom/hispid-review-2014-15/issues/2</v>
      </c>
      <c r="M73" s="2" t="s">
        <v>286</v>
      </c>
      <c r="N73" s="2"/>
      <c r="O73" s="2"/>
      <c r="P73" s="2"/>
      <c r="Q73" s="2"/>
    </row>
    <row r="74" spans="1:17" ht="60" x14ac:dyDescent="0.25">
      <c r="A74" s="2" t="s">
        <v>285</v>
      </c>
      <c r="B74" s="4" t="s">
        <v>289</v>
      </c>
      <c r="C74" s="3" t="str">
        <f>HYPERLINK("http://rs.tdwg.org/dwc/terms")</f>
        <v>http://rs.tdwg.org/dwc/terms</v>
      </c>
      <c r="D74" s="3" t="str">
        <f>HYPERLINK("http://rs.tdwg.org/dwc/terms/identificationQualifier")</f>
        <v>http://rs.tdwg.org/dwc/terms/identificationQualifier</v>
      </c>
      <c r="E74" s="2" t="s">
        <v>290</v>
      </c>
      <c r="F74" s="2" t="s">
        <v>20</v>
      </c>
      <c r="G74" s="2"/>
      <c r="H74" s="2"/>
      <c r="I74" s="2"/>
      <c r="J74" s="2"/>
      <c r="K74" s="2" t="s">
        <v>22</v>
      </c>
      <c r="L74" s="2"/>
      <c r="M74" s="2" t="s">
        <v>289</v>
      </c>
      <c r="N74" s="2" t="s">
        <v>291</v>
      </c>
      <c r="O74" s="2" t="s">
        <v>292</v>
      </c>
      <c r="P74" s="2" t="s">
        <v>292</v>
      </c>
      <c r="Q74" s="2"/>
    </row>
    <row r="75" spans="1:17" ht="30" x14ac:dyDescent="0.25">
      <c r="A75" s="2" t="s">
        <v>285</v>
      </c>
      <c r="B75" s="4" t="s">
        <v>293</v>
      </c>
      <c r="C75" s="3" t="str">
        <f>HYPERLINK("http://hiscom.chah.org.au/hispid/terms")</f>
        <v>http://hiscom.chah.org.au/hispid/terms</v>
      </c>
      <c r="D75" s="3" t="str">
        <f>HYPERLINK("http://hiscom.chah.org.au/hispid/terms/identificationQualifier")</f>
        <v>http://hiscom.chah.org.au/hispid/terms/identificationQualifier</v>
      </c>
      <c r="E75" s="2" t="s">
        <v>294</v>
      </c>
      <c r="F75" s="2" t="s">
        <v>20</v>
      </c>
      <c r="G75" s="2"/>
      <c r="H75" s="2"/>
      <c r="I75" s="2"/>
      <c r="J75" s="2"/>
      <c r="K75" s="2" t="s">
        <v>22</v>
      </c>
      <c r="L75" s="2"/>
      <c r="M75" s="2" t="s">
        <v>289</v>
      </c>
      <c r="N75" s="2"/>
      <c r="O75" s="2" t="s">
        <v>295</v>
      </c>
      <c r="P75" s="2" t="s">
        <v>295</v>
      </c>
      <c r="Q75" s="2"/>
    </row>
    <row r="76" spans="1:17" ht="30" x14ac:dyDescent="0.25">
      <c r="A76" s="2" t="s">
        <v>285</v>
      </c>
      <c r="B76" s="4" t="s">
        <v>296</v>
      </c>
      <c r="C76" s="3" t="str">
        <f>HYPERLINK("http://hiscom.chah.org.au/hispid/terms")</f>
        <v>http://hiscom.chah.org.au/hispid/terms</v>
      </c>
      <c r="D76" s="3" t="str">
        <f>HYPERLINK("http://hiscom.chah.org.au/hispid/terms/nameAddendum")</f>
        <v>http://hiscom.chah.org.au/hispid/terms/nameAddendum</v>
      </c>
      <c r="E76" s="2" t="s">
        <v>297</v>
      </c>
      <c r="F76" s="2" t="s">
        <v>20</v>
      </c>
      <c r="G76" s="2"/>
      <c r="H76" s="3" t="str">
        <f>HYPERLINK("http://hiscom.rbg.vic.gov.au/hispid/vocabulary/name_addendum.xml")</f>
        <v>http://hiscom.rbg.vic.gov.au/hispid/vocabulary/name_addendum.xml</v>
      </c>
      <c r="I76" s="2"/>
      <c r="J76" s="2"/>
      <c r="K76" s="2" t="s">
        <v>22</v>
      </c>
      <c r="L76" s="2"/>
      <c r="M76" s="2"/>
      <c r="N76" s="2" t="s">
        <v>298</v>
      </c>
      <c r="O76" s="2" t="s">
        <v>299</v>
      </c>
      <c r="P76" s="2" t="s">
        <v>299</v>
      </c>
      <c r="Q76" s="2"/>
    </row>
    <row r="77" spans="1:17" ht="30" x14ac:dyDescent="0.25">
      <c r="A77" s="2" t="s">
        <v>285</v>
      </c>
      <c r="B77" s="4" t="s">
        <v>300</v>
      </c>
      <c r="C77" s="3" t="str">
        <f>HYPERLINK("http://rs.tdwg.org/dwc/terms")</f>
        <v>http://rs.tdwg.org/dwc/terms</v>
      </c>
      <c r="D77" s="3" t="str">
        <f>HYPERLINK("http://rs.tdwg.org/dwc/terms/identificationVerificationStatus")</f>
        <v>http://rs.tdwg.org/dwc/terms/identificationVerificationStatus</v>
      </c>
      <c r="E77" s="2"/>
      <c r="F77" s="2"/>
      <c r="G77" s="2"/>
      <c r="H77" s="2"/>
      <c r="I77" s="2"/>
      <c r="J77" s="2"/>
      <c r="K77" s="2" t="s">
        <v>279</v>
      </c>
      <c r="L77" s="3" t="str">
        <f>HYPERLINK("https://github.com/hiscom/hispid-review-2014-15/issues/16")</f>
        <v>https://github.com/hiscom/hispid-review-2014-15/issues/16</v>
      </c>
      <c r="M77" s="2" t="s">
        <v>300</v>
      </c>
      <c r="N77" s="2" t="s">
        <v>512</v>
      </c>
      <c r="O77" s="2" t="s">
        <v>301</v>
      </c>
      <c r="P77" s="2" t="s">
        <v>301</v>
      </c>
      <c r="Q77" s="2"/>
    </row>
    <row r="78" spans="1:17" ht="30" x14ac:dyDescent="0.25">
      <c r="A78" s="2" t="s">
        <v>285</v>
      </c>
      <c r="B78" s="4" t="s">
        <v>302</v>
      </c>
      <c r="C78" s="3" t="str">
        <f>HYPERLINK("http://hiscom.chah.org.au/hispid/terms")</f>
        <v>http://hiscom.chah.org.au/hispid/terms</v>
      </c>
      <c r="D78" s="3" t="str">
        <f>HYPERLINK("http://hiscom.chah.org.au/hispid/terms/identifierRole")</f>
        <v>http://hiscom.chah.org.au/hispid/terms/identifierRole</v>
      </c>
      <c r="E78" s="2" t="s">
        <v>303</v>
      </c>
      <c r="F78" s="2" t="s">
        <v>20</v>
      </c>
      <c r="G78" s="2"/>
      <c r="H78" s="3" t="str">
        <f>HYPERLINK("http://hiscom.rbg.vic.gov.au/hispid/vocabulary/identifier_role.xml")</f>
        <v>http://hiscom.rbg.vic.gov.au/hispid/vocabulary/identifier_role.xml</v>
      </c>
      <c r="I78" s="2"/>
      <c r="J78" s="2"/>
      <c r="K78" s="2" t="s">
        <v>22</v>
      </c>
      <c r="L78" s="3" t="str">
        <f>HYPERLINK("https://github.com/hiscom/hispid-review-2014-15/issues/31")</f>
        <v>https://github.com/hiscom/hispid-review-2014-15/issues/31</v>
      </c>
      <c r="M78" s="2"/>
      <c r="N78" s="2" t="s">
        <v>513</v>
      </c>
      <c r="O78" s="2" t="s">
        <v>304</v>
      </c>
      <c r="P78" s="2" t="s">
        <v>304</v>
      </c>
      <c r="Q78" s="2"/>
    </row>
    <row r="79" spans="1:17" ht="30" x14ac:dyDescent="0.25">
      <c r="A79" s="2" t="s">
        <v>285</v>
      </c>
      <c r="B79" s="4" t="s">
        <v>305</v>
      </c>
      <c r="C79" s="3" t="str">
        <f>HYPERLINK("http://rs.tdwg.org/dwc/terms")</f>
        <v>http://rs.tdwg.org/dwc/terms</v>
      </c>
      <c r="D79" s="3" t="str">
        <f>HYPERLINK("http://rs.tdwg.org/dwc/terms/identifiedBy")</f>
        <v>http://rs.tdwg.org/dwc/terms/identifiedBy</v>
      </c>
      <c r="E79" s="2" t="s">
        <v>306</v>
      </c>
      <c r="F79" s="2" t="s">
        <v>20</v>
      </c>
      <c r="G79" s="2"/>
      <c r="H79" s="2"/>
      <c r="I79" s="2"/>
      <c r="J79" s="2"/>
      <c r="K79" s="2" t="s">
        <v>22</v>
      </c>
      <c r="L79" s="2"/>
      <c r="M79" s="2" t="s">
        <v>305</v>
      </c>
      <c r="N79" s="2" t="s">
        <v>514</v>
      </c>
      <c r="O79" s="2" t="s">
        <v>307</v>
      </c>
      <c r="P79" s="2" t="s">
        <v>307</v>
      </c>
      <c r="Q79" s="2"/>
    </row>
    <row r="80" spans="1:17" x14ac:dyDescent="0.25">
      <c r="A80" s="2" t="s">
        <v>285</v>
      </c>
      <c r="B80" s="4" t="s">
        <v>308</v>
      </c>
      <c r="C80" s="3" t="str">
        <f>HYPERLINK("http://rs.tdwg.org/dwc/terms")</f>
        <v>http://rs.tdwg.org/dwc/terms</v>
      </c>
      <c r="D80" s="3" t="str">
        <f>HYPERLINK("http://rs.tdwg.org/dwc/terms/dateIdentified")</f>
        <v>http://rs.tdwg.org/dwc/terms/dateIdentified</v>
      </c>
      <c r="E80" s="2" t="s">
        <v>309</v>
      </c>
      <c r="F80" s="2" t="s">
        <v>126</v>
      </c>
      <c r="G80" s="2"/>
      <c r="H80" s="2"/>
      <c r="I80" s="2"/>
      <c r="J80" s="2"/>
      <c r="K80" s="2" t="s">
        <v>22</v>
      </c>
      <c r="L80" s="2"/>
      <c r="M80" s="2" t="s">
        <v>308</v>
      </c>
      <c r="N80" s="2" t="s">
        <v>515</v>
      </c>
      <c r="O80" s="2" t="s">
        <v>310</v>
      </c>
      <c r="P80" s="2" t="s">
        <v>310</v>
      </c>
      <c r="Q80" s="2"/>
    </row>
    <row r="81" spans="1:17" ht="30" x14ac:dyDescent="0.25">
      <c r="A81" s="2" t="s">
        <v>285</v>
      </c>
      <c r="B81" s="4" t="s">
        <v>311</v>
      </c>
      <c r="C81" s="3" t="str">
        <f>HYPERLINK("http://hiscom.chah.org.au/hispid/terms")</f>
        <v>http://hiscom.chah.org.au/hispid/terms</v>
      </c>
      <c r="D81" s="3" t="str">
        <f>HYPERLINK("http://hiscom.chah.org.au/hispid/terms/verbatimDateIdentified")</f>
        <v>http://hiscom.chah.org.au/hispid/terms/verbatimDateIdentified</v>
      </c>
      <c r="E81" s="2" t="s">
        <v>312</v>
      </c>
      <c r="F81" s="2" t="s">
        <v>20</v>
      </c>
      <c r="G81" s="2"/>
      <c r="H81" s="2"/>
      <c r="I81" s="2"/>
      <c r="J81" s="2"/>
      <c r="K81" s="2" t="s">
        <v>22</v>
      </c>
      <c r="L81" s="2"/>
      <c r="M81" s="2"/>
      <c r="N81" s="2" t="s">
        <v>516</v>
      </c>
      <c r="O81" s="2" t="s">
        <v>313</v>
      </c>
      <c r="P81" s="2" t="s">
        <v>313</v>
      </c>
      <c r="Q81" s="2"/>
    </row>
    <row r="82" spans="1:17" x14ac:dyDescent="0.25">
      <c r="A82" s="2" t="s">
        <v>285</v>
      </c>
      <c r="B82" s="4" t="s">
        <v>315</v>
      </c>
      <c r="C82" s="3" t="str">
        <f>HYPERLINK("http://rs.tdwg.org/dwc/terms")</f>
        <v>http://rs.tdwg.org/dwc/terms</v>
      </c>
      <c r="D82" s="3" t="str">
        <f>HYPERLINK("http://rs.tdwg.org/dwc/terms/identificationReferences")</f>
        <v>http://rs.tdwg.org/dwc/terms/identificationReferences</v>
      </c>
      <c r="E82" s="2" t="s">
        <v>314</v>
      </c>
      <c r="F82" s="2" t="s">
        <v>20</v>
      </c>
      <c r="G82" s="2"/>
      <c r="H82" s="2"/>
      <c r="I82" s="2"/>
      <c r="J82" s="2"/>
      <c r="K82" s="2" t="s">
        <v>22</v>
      </c>
      <c r="L82" s="3" t="str">
        <f>HYPERLINK("https://github.com/hiscom/hispid-review-2014-15/issues/16")</f>
        <v>https://github.com/hiscom/hispid-review-2014-15/issues/16</v>
      </c>
      <c r="M82" s="2" t="s">
        <v>315</v>
      </c>
      <c r="N82" s="2"/>
      <c r="O82" s="2" t="s">
        <v>316</v>
      </c>
      <c r="P82" s="2" t="s">
        <v>316</v>
      </c>
      <c r="Q82" s="2"/>
    </row>
    <row r="83" spans="1:17" ht="45" x14ac:dyDescent="0.25">
      <c r="A83" s="2" t="s">
        <v>285</v>
      </c>
      <c r="B83" s="4" t="s">
        <v>317</v>
      </c>
      <c r="C83" s="3" t="str">
        <f>HYPERLINK("http://rs.tdwg.org/dwc/terms")</f>
        <v>http://rs.tdwg.org/dwc/terms</v>
      </c>
      <c r="D83" s="3" t="str">
        <f>HYPERLINK("http://rs.tdwg.org/dwc/terms/previousIdentifications")</f>
        <v>http://rs.tdwg.org/dwc/terms/previousIdentifications</v>
      </c>
      <c r="E83" s="2" t="s">
        <v>318</v>
      </c>
      <c r="F83" s="2" t="s">
        <v>20</v>
      </c>
      <c r="G83" s="2" t="s">
        <v>319</v>
      </c>
      <c r="H83" s="2"/>
      <c r="I83" s="2"/>
      <c r="J83" s="2"/>
      <c r="K83" s="2" t="s">
        <v>22</v>
      </c>
      <c r="L83" s="2"/>
      <c r="M83" s="2" t="s">
        <v>317</v>
      </c>
      <c r="N83" s="2" t="s">
        <v>517</v>
      </c>
      <c r="O83" s="2" t="s">
        <v>320</v>
      </c>
      <c r="P83" s="2" t="s">
        <v>320</v>
      </c>
      <c r="Q83" s="2"/>
    </row>
    <row r="84" spans="1:17" ht="30" x14ac:dyDescent="0.25">
      <c r="A84" s="2" t="s">
        <v>285</v>
      </c>
      <c r="B84" s="4" t="s">
        <v>321</v>
      </c>
      <c r="C84" s="3" t="str">
        <f>HYPERLINK("http://rs.tdwg.org/dwc/terms")</f>
        <v>http://rs.tdwg.org/dwc/terms</v>
      </c>
      <c r="D84" s="3" t="str">
        <f>HYPERLINK("http://rs.tdwg.org/dwc/terms/identificationRemarks")</f>
        <v>http://rs.tdwg.org/dwc/terms/identificationRemarks</v>
      </c>
      <c r="E84" s="2" t="s">
        <v>322</v>
      </c>
      <c r="F84" s="2" t="s">
        <v>20</v>
      </c>
      <c r="G84" s="2"/>
      <c r="H84" s="2"/>
      <c r="I84" s="2"/>
      <c r="J84" s="2"/>
      <c r="K84" s="2" t="s">
        <v>22</v>
      </c>
      <c r="L84" s="2"/>
      <c r="M84" s="2" t="s">
        <v>321</v>
      </c>
      <c r="N84" s="2" t="s">
        <v>518</v>
      </c>
      <c r="O84" s="2"/>
      <c r="P84" s="2" t="s">
        <v>323</v>
      </c>
      <c r="Q84" s="2"/>
    </row>
    <row r="85" spans="1:17" ht="30.75" thickBot="1" x14ac:dyDescent="0.3">
      <c r="A85" s="2" t="s">
        <v>285</v>
      </c>
      <c r="B85" s="4" t="s">
        <v>324</v>
      </c>
      <c r="C85" s="3" t="str">
        <f>HYPERLINK("http://hiscom.chah.org.au/hispid/terms")</f>
        <v>http://hiscom.chah.org.au/hispid/terms</v>
      </c>
      <c r="D85" s="3" t="str">
        <f>HYPERLINK("http://hiscom.chah.org.au/hispid/terms/typeStatusQualifier")</f>
        <v>http://hiscom.chah.org.au/hispid/terms/typeStatusQualifier</v>
      </c>
      <c r="E85" s="2" t="s">
        <v>325</v>
      </c>
      <c r="F85" s="2" t="s">
        <v>20</v>
      </c>
      <c r="G85" s="2"/>
      <c r="H85" s="3" t="str">
        <f>HYPERLINK("http://hiscom.rbg.vic.gov.au/hispid/vocabulary/type_status_qualifier.xml")</f>
        <v>http://hiscom.rbg.vic.gov.au/hispid/vocabulary/type_status_qualifier.xml</v>
      </c>
      <c r="I85" s="2"/>
      <c r="J85" s="2"/>
      <c r="K85" s="2" t="s">
        <v>22</v>
      </c>
      <c r="L85" s="2"/>
      <c r="M85" s="2"/>
      <c r="N85" s="2" t="s">
        <v>326</v>
      </c>
      <c r="O85" s="2" t="s">
        <v>327</v>
      </c>
      <c r="P85" s="2" t="s">
        <v>327</v>
      </c>
      <c r="Q85" s="2"/>
    </row>
    <row r="86" spans="1:17" ht="165.75" thickBot="1" x14ac:dyDescent="0.3">
      <c r="A86" s="2" t="s">
        <v>285</v>
      </c>
      <c r="B86" s="4" t="s">
        <v>328</v>
      </c>
      <c r="C86" s="3" t="str">
        <f>HYPERLINK("http://hiscom.chah.org.au/hispid/terms")</f>
        <v>http://hiscom.chah.org.au/hispid/terms</v>
      </c>
      <c r="D86" s="3" t="str">
        <f>HYPERLINK("http://hiscom.chah.org.au/hispid/terms/typeStatus")</f>
        <v>http://hiscom.chah.org.au/hispid/terms/typeStatus</v>
      </c>
      <c r="E86" s="2" t="s">
        <v>329</v>
      </c>
      <c r="F86" s="2" t="s">
        <v>20</v>
      </c>
      <c r="G86" s="2"/>
      <c r="H86" s="3" t="str">
        <f>HYPERLINK("http://hiscom.rbg.vic.gov.au/hispid/vocabulary/type_status.xml")</f>
        <v>http://hiscom.rbg.vic.gov.au/hispid/vocabulary/type_status.xml</v>
      </c>
      <c r="I86" s="7" t="s">
        <v>548</v>
      </c>
      <c r="J86" s="2"/>
      <c r="K86" s="2" t="s">
        <v>22</v>
      </c>
      <c r="L86" s="2"/>
      <c r="M86" s="2" t="s">
        <v>328</v>
      </c>
      <c r="N86" s="2" t="s">
        <v>330</v>
      </c>
      <c r="O86" s="2" t="s">
        <v>331</v>
      </c>
      <c r="P86" s="2" t="s">
        <v>331</v>
      </c>
      <c r="Q86" s="2"/>
    </row>
    <row r="87" spans="1:17" ht="30" x14ac:dyDescent="0.25">
      <c r="A87" s="2" t="s">
        <v>285</v>
      </c>
      <c r="B87" s="4" t="s">
        <v>332</v>
      </c>
      <c r="C87" s="3" t="str">
        <f>HYPERLINK("http://hiscom.chah.org.au/hispid/terms")</f>
        <v>http://hiscom.chah.org.au/hispid/terms</v>
      </c>
      <c r="D87" s="3" t="str">
        <f>HYPERLINK("http://hiscom.chah.org.au/hispid/terms/typifiedName")</f>
        <v>http://hiscom.chah.org.au/hispid/terms/typifiedName</v>
      </c>
      <c r="E87" s="2" t="s">
        <v>333</v>
      </c>
      <c r="F87" s="2" t="s">
        <v>20</v>
      </c>
      <c r="G87" s="2"/>
      <c r="H87" s="2"/>
      <c r="I87" s="2"/>
      <c r="J87" s="2"/>
      <c r="K87" s="2" t="s">
        <v>22</v>
      </c>
      <c r="L87" s="2"/>
      <c r="M87" s="2"/>
      <c r="N87" s="2" t="s">
        <v>334</v>
      </c>
      <c r="O87" s="2" t="s">
        <v>335</v>
      </c>
      <c r="P87" s="2" t="s">
        <v>335</v>
      </c>
      <c r="Q87" s="2"/>
    </row>
    <row r="88" spans="1:17" ht="30" x14ac:dyDescent="0.25">
      <c r="A88" s="2" t="s">
        <v>336</v>
      </c>
      <c r="B88" s="4" t="s">
        <v>337</v>
      </c>
      <c r="C88" s="3" t="str">
        <f t="shared" ref="C88:C101" si="5">HYPERLINK("http://rs.tdwg.org/dwc/terms")</f>
        <v>http://rs.tdwg.org/dwc/terms</v>
      </c>
      <c r="D88" s="3" t="str">
        <f>HYPERLINK("http://rs.tdwg.org/dwc/terms/taxonRank")</f>
        <v>http://rs.tdwg.org/dwc/terms/taxonRank</v>
      </c>
      <c r="E88" s="2" t="s">
        <v>338</v>
      </c>
      <c r="F88" s="2" t="s">
        <v>20</v>
      </c>
      <c r="G88" s="2"/>
      <c r="H88" s="3" t="s">
        <v>339</v>
      </c>
      <c r="I88" s="2"/>
      <c r="J88" s="2" t="s">
        <v>340</v>
      </c>
      <c r="K88" s="2" t="s">
        <v>22</v>
      </c>
      <c r="L88" s="2"/>
      <c r="M88" s="2" t="s">
        <v>337</v>
      </c>
      <c r="N88" s="2"/>
      <c r="O88" s="2"/>
      <c r="P88" s="2"/>
      <c r="Q88" s="2"/>
    </row>
    <row r="89" spans="1:17" ht="30" x14ac:dyDescent="0.25">
      <c r="A89" s="2" t="s">
        <v>336</v>
      </c>
      <c r="B89" s="4" t="s">
        <v>341</v>
      </c>
      <c r="C89" s="3" t="str">
        <f t="shared" si="5"/>
        <v>http://rs.tdwg.org/dwc/terms</v>
      </c>
      <c r="D89" s="3" t="str">
        <f>HYPERLINK("http://rs.tdwg.org/dwc/terms/kingdom")</f>
        <v>http://rs.tdwg.org/dwc/terms/kingdom</v>
      </c>
      <c r="E89" s="2" t="s">
        <v>342</v>
      </c>
      <c r="F89" s="2" t="s">
        <v>20</v>
      </c>
      <c r="G89" s="2"/>
      <c r="H89" s="2"/>
      <c r="I89" s="2"/>
      <c r="J89" s="2" t="s">
        <v>343</v>
      </c>
      <c r="K89" s="2" t="s">
        <v>22</v>
      </c>
      <c r="L89" s="2"/>
      <c r="M89" s="2" t="s">
        <v>341</v>
      </c>
      <c r="N89" s="2" t="s">
        <v>519</v>
      </c>
      <c r="O89" s="2"/>
      <c r="P89" s="2"/>
      <c r="Q89" s="2"/>
    </row>
    <row r="90" spans="1:17" ht="30" x14ac:dyDescent="0.25">
      <c r="A90" s="2" t="s">
        <v>336</v>
      </c>
      <c r="B90" s="4" t="s">
        <v>344</v>
      </c>
      <c r="C90" s="3" t="str">
        <f t="shared" si="5"/>
        <v>http://rs.tdwg.org/dwc/terms</v>
      </c>
      <c r="D90" s="3" t="str">
        <f>HYPERLINK("http://rs.tdwg.org/dwc/terms/phylum")</f>
        <v>http://rs.tdwg.org/dwc/terms/phylum</v>
      </c>
      <c r="E90" s="2" t="s">
        <v>345</v>
      </c>
      <c r="F90" s="2" t="s">
        <v>20</v>
      </c>
      <c r="G90" s="2"/>
      <c r="H90" s="2"/>
      <c r="I90" s="2"/>
      <c r="J90" s="2" t="s">
        <v>346</v>
      </c>
      <c r="K90" s="2" t="s">
        <v>22</v>
      </c>
      <c r="L90" s="2"/>
      <c r="M90" s="2" t="s">
        <v>344</v>
      </c>
      <c r="N90" s="2" t="s">
        <v>520</v>
      </c>
      <c r="O90" s="2"/>
      <c r="P90" s="2"/>
      <c r="Q90" s="2"/>
    </row>
    <row r="91" spans="1:17" ht="30" x14ac:dyDescent="0.25">
      <c r="A91" s="2" t="s">
        <v>336</v>
      </c>
      <c r="B91" s="4" t="s">
        <v>347</v>
      </c>
      <c r="C91" s="3" t="str">
        <f t="shared" si="5"/>
        <v>http://rs.tdwg.org/dwc/terms</v>
      </c>
      <c r="D91" s="3" t="str">
        <f>HYPERLINK("http://rs.tdwg.org/dwc/terms/class")</f>
        <v>http://rs.tdwg.org/dwc/terms/class</v>
      </c>
      <c r="E91" s="2" t="s">
        <v>348</v>
      </c>
      <c r="F91" s="2" t="s">
        <v>20</v>
      </c>
      <c r="G91" s="2"/>
      <c r="H91" s="2"/>
      <c r="I91" s="2"/>
      <c r="J91" s="2" t="s">
        <v>349</v>
      </c>
      <c r="K91" s="2" t="s">
        <v>22</v>
      </c>
      <c r="L91" s="2"/>
      <c r="M91" s="2" t="s">
        <v>347</v>
      </c>
      <c r="N91" s="2" t="s">
        <v>521</v>
      </c>
      <c r="O91" s="2"/>
      <c r="P91" s="2"/>
      <c r="Q91" s="2"/>
    </row>
    <row r="92" spans="1:17" ht="30" x14ac:dyDescent="0.25">
      <c r="A92" s="2" t="s">
        <v>336</v>
      </c>
      <c r="B92" s="4" t="s">
        <v>350</v>
      </c>
      <c r="C92" s="3" t="str">
        <f t="shared" si="5"/>
        <v>http://rs.tdwg.org/dwc/terms</v>
      </c>
      <c r="D92" s="3" t="str">
        <f>HYPERLINK("http://rs.tdwg.org/dwc/terms/order")</f>
        <v>http://rs.tdwg.org/dwc/terms/order</v>
      </c>
      <c r="E92" s="2" t="s">
        <v>351</v>
      </c>
      <c r="F92" s="2" t="s">
        <v>20</v>
      </c>
      <c r="G92" s="2"/>
      <c r="H92" s="2"/>
      <c r="I92" s="2"/>
      <c r="J92" s="2" t="s">
        <v>352</v>
      </c>
      <c r="K92" s="2" t="s">
        <v>22</v>
      </c>
      <c r="L92" s="2"/>
      <c r="M92" s="2" t="s">
        <v>350</v>
      </c>
      <c r="N92" s="2" t="s">
        <v>522</v>
      </c>
      <c r="O92" s="2"/>
      <c r="P92" s="2"/>
      <c r="Q92" s="2"/>
    </row>
    <row r="93" spans="1:17" ht="30" x14ac:dyDescent="0.25">
      <c r="A93" s="2" t="s">
        <v>336</v>
      </c>
      <c r="B93" s="4" t="s">
        <v>353</v>
      </c>
      <c r="C93" s="3" t="str">
        <f t="shared" si="5"/>
        <v>http://rs.tdwg.org/dwc/terms</v>
      </c>
      <c r="D93" s="3" t="str">
        <f>HYPERLINK("http://rs.tdwg.org/dwc/terms/family")</f>
        <v>http://rs.tdwg.org/dwc/terms/family</v>
      </c>
      <c r="E93" s="2" t="s">
        <v>354</v>
      </c>
      <c r="F93" s="2" t="s">
        <v>20</v>
      </c>
      <c r="G93" s="2"/>
      <c r="H93" s="2"/>
      <c r="I93" s="2"/>
      <c r="J93" s="2" t="s">
        <v>355</v>
      </c>
      <c r="K93" s="2" t="s">
        <v>22</v>
      </c>
      <c r="L93" s="2"/>
      <c r="M93" s="2" t="s">
        <v>353</v>
      </c>
      <c r="N93" s="2" t="s">
        <v>523</v>
      </c>
      <c r="O93" s="2" t="s">
        <v>356</v>
      </c>
      <c r="P93" s="2" t="s">
        <v>356</v>
      </c>
      <c r="Q93" s="2"/>
    </row>
    <row r="94" spans="1:17" ht="30" x14ac:dyDescent="0.25">
      <c r="A94" s="2" t="s">
        <v>336</v>
      </c>
      <c r="B94" s="4" t="s">
        <v>357</v>
      </c>
      <c r="C94" s="3" t="str">
        <f t="shared" si="5"/>
        <v>http://rs.tdwg.org/dwc/terms</v>
      </c>
      <c r="D94" s="3" t="str">
        <f>HYPERLINK("http://rs.tdwg.org/dwc/terms/genus")</f>
        <v>http://rs.tdwg.org/dwc/terms/genus</v>
      </c>
      <c r="E94" s="2" t="s">
        <v>358</v>
      </c>
      <c r="F94" s="2" t="s">
        <v>20</v>
      </c>
      <c r="G94" s="2"/>
      <c r="H94" s="2"/>
      <c r="I94" s="2"/>
      <c r="J94" s="2" t="s">
        <v>359</v>
      </c>
      <c r="K94" s="2" t="s">
        <v>22</v>
      </c>
      <c r="L94" s="2"/>
      <c r="M94" s="2" t="s">
        <v>357</v>
      </c>
      <c r="N94" s="2" t="s">
        <v>524</v>
      </c>
      <c r="O94" s="2" t="s">
        <v>360</v>
      </c>
      <c r="P94" s="2" t="s">
        <v>360</v>
      </c>
      <c r="Q94" s="2"/>
    </row>
    <row r="95" spans="1:17" ht="30" x14ac:dyDescent="0.25">
      <c r="A95" s="2" t="s">
        <v>336</v>
      </c>
      <c r="B95" s="4" t="s">
        <v>361</v>
      </c>
      <c r="C95" s="3" t="str">
        <f t="shared" si="5"/>
        <v>http://rs.tdwg.org/dwc/terms</v>
      </c>
      <c r="D95" s="3" t="str">
        <f>HYPERLINK("http://rs.tdwg.org/dwc/terms/specificEpithet")</f>
        <v>http://rs.tdwg.org/dwc/terms/specificEpithet</v>
      </c>
      <c r="E95" s="2" t="s">
        <v>362</v>
      </c>
      <c r="F95" s="2" t="s">
        <v>20</v>
      </c>
      <c r="G95" s="2"/>
      <c r="H95" s="2"/>
      <c r="I95" s="2"/>
      <c r="J95" s="2" t="s">
        <v>363</v>
      </c>
      <c r="K95" s="2" t="s">
        <v>22</v>
      </c>
      <c r="L95" s="2"/>
      <c r="M95" s="2" t="s">
        <v>361</v>
      </c>
      <c r="N95" s="2" t="s">
        <v>525</v>
      </c>
      <c r="O95" s="2"/>
      <c r="P95" s="2" t="s">
        <v>364</v>
      </c>
      <c r="Q95" s="2"/>
    </row>
    <row r="96" spans="1:17" ht="30" x14ac:dyDescent="0.25">
      <c r="A96" s="2" t="s">
        <v>336</v>
      </c>
      <c r="B96" s="4" t="s">
        <v>365</v>
      </c>
      <c r="C96" s="3" t="str">
        <f t="shared" si="5"/>
        <v>http://rs.tdwg.org/dwc/terms</v>
      </c>
      <c r="D96" s="3" t="str">
        <f>HYPERLINK("http://rs.tdwg.org/dwc/terms/infraspecificEpithet")</f>
        <v>http://rs.tdwg.org/dwc/terms/infraspecificEpithet</v>
      </c>
      <c r="E96" s="2" t="s">
        <v>366</v>
      </c>
      <c r="F96" s="2" t="s">
        <v>20</v>
      </c>
      <c r="G96" s="2"/>
      <c r="H96" s="2"/>
      <c r="I96" s="2"/>
      <c r="J96" s="2" t="s">
        <v>367</v>
      </c>
      <c r="K96" s="2" t="s">
        <v>22</v>
      </c>
      <c r="L96" s="2"/>
      <c r="M96" s="2" t="s">
        <v>365</v>
      </c>
      <c r="N96" s="2" t="s">
        <v>526</v>
      </c>
      <c r="O96" s="2" t="s">
        <v>368</v>
      </c>
      <c r="P96" s="2" t="s">
        <v>368</v>
      </c>
      <c r="Q96" s="2"/>
    </row>
    <row r="97" spans="1:17" ht="30" x14ac:dyDescent="0.25">
      <c r="A97" s="2" t="s">
        <v>336</v>
      </c>
      <c r="B97" s="4" t="s">
        <v>369</v>
      </c>
      <c r="C97" s="3" t="str">
        <f t="shared" si="5"/>
        <v>http://rs.tdwg.org/dwc/terms</v>
      </c>
      <c r="D97" s="3" t="str">
        <f>HYPERLINK("http://rs.tdwg.org/dwc/terms/scientificName")</f>
        <v>http://rs.tdwg.org/dwc/terms/scientificName</v>
      </c>
      <c r="E97" s="2" t="s">
        <v>370</v>
      </c>
      <c r="F97" s="2" t="s">
        <v>20</v>
      </c>
      <c r="G97" s="2"/>
      <c r="H97" s="2"/>
      <c r="I97" s="2"/>
      <c r="J97" s="2" t="s">
        <v>371</v>
      </c>
      <c r="K97" s="2" t="s">
        <v>22</v>
      </c>
      <c r="L97" s="2"/>
      <c r="M97" s="2" t="s">
        <v>369</v>
      </c>
      <c r="N97" s="2" t="s">
        <v>527</v>
      </c>
      <c r="O97" s="2" t="s">
        <v>372</v>
      </c>
      <c r="P97" s="2" t="s">
        <v>372</v>
      </c>
      <c r="Q97" s="2"/>
    </row>
    <row r="98" spans="1:17" ht="90" x14ac:dyDescent="0.25">
      <c r="A98" s="2" t="s">
        <v>336</v>
      </c>
      <c r="B98" s="4" t="s">
        <v>373</v>
      </c>
      <c r="C98" s="3" t="str">
        <f t="shared" si="5"/>
        <v>http://rs.tdwg.org/dwc/terms</v>
      </c>
      <c r="D98" s="3" t="str">
        <f>HYPERLINK("http://rs.tdwg.org/dwc/terms/scientificNameAuthorship")</f>
        <v>http://rs.tdwg.org/dwc/terms/scientificNameAuthorship</v>
      </c>
      <c r="E98" s="2" t="s">
        <v>374</v>
      </c>
      <c r="F98" s="2" t="s">
        <v>20</v>
      </c>
      <c r="G98" s="2"/>
      <c r="H98" s="2"/>
      <c r="I98" s="2" t="s">
        <v>529</v>
      </c>
      <c r="J98" s="2" t="s">
        <v>530</v>
      </c>
      <c r="K98" s="2" t="s">
        <v>22</v>
      </c>
      <c r="L98" s="2"/>
      <c r="M98" s="2" t="s">
        <v>373</v>
      </c>
      <c r="N98" s="2" t="s">
        <v>528</v>
      </c>
      <c r="O98" s="2" t="s">
        <v>375</v>
      </c>
      <c r="P98" s="2" t="s">
        <v>375</v>
      </c>
      <c r="Q98" s="2"/>
    </row>
    <row r="99" spans="1:17" ht="30" x14ac:dyDescent="0.25">
      <c r="A99" s="2" t="s">
        <v>336</v>
      </c>
      <c r="B99" s="4" t="s">
        <v>376</v>
      </c>
      <c r="C99" s="3" t="str">
        <f t="shared" si="5"/>
        <v>http://rs.tdwg.org/dwc/terms</v>
      </c>
      <c r="D99" s="3" t="str">
        <f>HYPERLINK("http://rs.tdwg.org/dwc/terms/nomenclaturalCode")</f>
        <v>http://rs.tdwg.org/dwc/terms/nomenclaturalCode</v>
      </c>
      <c r="E99" s="2" t="s">
        <v>377</v>
      </c>
      <c r="F99" s="2" t="s">
        <v>20</v>
      </c>
      <c r="G99" s="2"/>
      <c r="H99" s="3" t="s">
        <v>378</v>
      </c>
      <c r="I99" s="2"/>
      <c r="J99" s="2" t="s">
        <v>379</v>
      </c>
      <c r="K99" s="2" t="s">
        <v>546</v>
      </c>
      <c r="L99" s="2"/>
      <c r="M99" s="2" t="s">
        <v>376</v>
      </c>
      <c r="N99" s="2"/>
      <c r="O99" s="2"/>
      <c r="P99" s="2"/>
      <c r="Q99" s="2"/>
    </row>
    <row r="100" spans="1:17" x14ac:dyDescent="0.25">
      <c r="A100" s="2" t="s">
        <v>336</v>
      </c>
      <c r="B100" s="4" t="s">
        <v>380</v>
      </c>
      <c r="C100" s="3" t="str">
        <f t="shared" si="5"/>
        <v>http://rs.tdwg.org/dwc/terms</v>
      </c>
      <c r="D100" s="3" t="str">
        <f>HYPERLINK("http://rs.tdwg.org/dwc/terms/taxonRemarks")</f>
        <v>http://rs.tdwg.org/dwc/terms/taxonRemarks</v>
      </c>
      <c r="E100" s="2"/>
      <c r="F100" s="2"/>
      <c r="G100" s="2"/>
      <c r="H100" s="2"/>
      <c r="I100" s="2"/>
      <c r="J100" s="2"/>
      <c r="K100" s="2" t="s">
        <v>279</v>
      </c>
      <c r="L100" s="2"/>
      <c r="M100" s="2" t="s">
        <v>380</v>
      </c>
      <c r="N100" s="2" t="s">
        <v>532</v>
      </c>
      <c r="O100" s="2" t="s">
        <v>381</v>
      </c>
      <c r="P100" s="2" t="s">
        <v>381</v>
      </c>
      <c r="Q100" s="2"/>
    </row>
    <row r="101" spans="1:17" ht="45" x14ac:dyDescent="0.25">
      <c r="A101" s="2" t="s">
        <v>336</v>
      </c>
      <c r="B101" s="4" t="s">
        <v>382</v>
      </c>
      <c r="C101" s="3" t="str">
        <f t="shared" si="5"/>
        <v>http://rs.tdwg.org/dwc/terms</v>
      </c>
      <c r="D101" s="3" t="str">
        <f>HYPERLINK("http://rs.tdwg.org/dwc/terms/vernacularName")</f>
        <v>http://rs.tdwg.org/dwc/terms/vernacularName</v>
      </c>
      <c r="E101" s="2" t="s">
        <v>480</v>
      </c>
      <c r="F101" s="2" t="s">
        <v>20</v>
      </c>
      <c r="G101" s="2"/>
      <c r="H101" s="2"/>
      <c r="I101" s="2" t="s">
        <v>383</v>
      </c>
      <c r="J101" s="2"/>
      <c r="K101" s="2" t="s">
        <v>22</v>
      </c>
      <c r="L101" s="2"/>
      <c r="M101" s="2" t="s">
        <v>382</v>
      </c>
      <c r="N101" s="2"/>
      <c r="O101" s="2" t="s">
        <v>384</v>
      </c>
      <c r="P101" s="2" t="s">
        <v>384</v>
      </c>
      <c r="Q101" s="2"/>
    </row>
    <row r="102" spans="1:17" ht="30" x14ac:dyDescent="0.25">
      <c r="A102" s="2" t="s">
        <v>336</v>
      </c>
      <c r="B102" s="4" t="s">
        <v>385</v>
      </c>
      <c r="C102" s="3" t="str">
        <f>HYPERLINK("http://hiscom.chah.org.au/hispid/terms")</f>
        <v>http://hiscom.chah.org.au/hispid/terms</v>
      </c>
      <c r="D102" s="3" t="str">
        <f>HYPERLINK("http://hiscom.chah.org.au/hispid/terms/cultivarGroupName")</f>
        <v>http://hiscom.chah.org.au/hispid/terms/cultivarGroupName</v>
      </c>
      <c r="E102" s="2" t="s">
        <v>386</v>
      </c>
      <c r="F102" s="2" t="s">
        <v>20</v>
      </c>
      <c r="G102" s="2" t="s">
        <v>387</v>
      </c>
      <c r="H102" s="2"/>
      <c r="I102" s="2"/>
      <c r="J102" s="2"/>
      <c r="K102" s="2" t="s">
        <v>22</v>
      </c>
      <c r="L102" s="2"/>
      <c r="M102" s="2"/>
      <c r="N102" s="2" t="s">
        <v>533</v>
      </c>
      <c r="O102" s="2" t="s">
        <v>388</v>
      </c>
      <c r="P102" s="2" t="s">
        <v>388</v>
      </c>
      <c r="Q102" s="2"/>
    </row>
    <row r="103" spans="1:17" ht="30" x14ac:dyDescent="0.25">
      <c r="A103" s="2" t="s">
        <v>336</v>
      </c>
      <c r="B103" s="4" t="s">
        <v>389</v>
      </c>
      <c r="C103" s="3" t="str">
        <f>HYPERLINK("http://hiscom.chah.org.au/hispid/terms")</f>
        <v>http://hiscom.chah.org.au/hispid/terms</v>
      </c>
      <c r="D103" s="3" t="str">
        <f>HYPERLINK("http://hiscom.chah.org.au/hispid/terms/cultivarName")</f>
        <v>http://hiscom.chah.org.au/hispid/terms/cultivarName</v>
      </c>
      <c r="E103" s="2" t="s">
        <v>390</v>
      </c>
      <c r="F103" s="2" t="s">
        <v>20</v>
      </c>
      <c r="G103" s="2" t="s">
        <v>387</v>
      </c>
      <c r="H103" s="2"/>
      <c r="I103" s="2"/>
      <c r="J103" s="2"/>
      <c r="K103" s="2" t="s">
        <v>22</v>
      </c>
      <c r="L103" s="2"/>
      <c r="M103" s="2"/>
      <c r="N103" s="2" t="s">
        <v>533</v>
      </c>
      <c r="O103" s="2" t="s">
        <v>391</v>
      </c>
      <c r="P103" s="2" t="s">
        <v>391</v>
      </c>
      <c r="Q103" s="2"/>
    </row>
    <row r="104" spans="1:17" ht="30" x14ac:dyDescent="0.25">
      <c r="A104" s="2" t="s">
        <v>336</v>
      </c>
      <c r="B104" s="4" t="s">
        <v>392</v>
      </c>
      <c r="C104" s="3" t="str">
        <f>HYPERLINK("http://hiscom.chah.org.au/hispid/terms")</f>
        <v>http://hiscom.chah.org.au/hispid/terms</v>
      </c>
      <c r="D104" s="3" t="str">
        <f>HYPERLINK("http://hiscom.chah.org.au/hispid/terms/tradeDesignation")</f>
        <v>http://hiscom.chah.org.au/hispid/terms/tradeDesignation</v>
      </c>
      <c r="E104" s="2" t="s">
        <v>393</v>
      </c>
      <c r="F104" s="2" t="s">
        <v>20</v>
      </c>
      <c r="G104" s="2" t="s">
        <v>387</v>
      </c>
      <c r="H104" s="2"/>
      <c r="I104" s="2"/>
      <c r="J104" s="2"/>
      <c r="K104" s="2" t="s">
        <v>22</v>
      </c>
      <c r="L104" s="2"/>
      <c r="M104" s="2"/>
      <c r="N104" s="2" t="s">
        <v>534</v>
      </c>
      <c r="O104" s="2" t="s">
        <v>394</v>
      </c>
      <c r="P104" s="2" t="s">
        <v>394</v>
      </c>
      <c r="Q104" s="2"/>
    </row>
    <row r="105" spans="1:17" x14ac:dyDescent="0.25">
      <c r="A105" s="2" t="s">
        <v>336</v>
      </c>
      <c r="B105" s="5" t="s">
        <v>395</v>
      </c>
      <c r="C105" s="3"/>
      <c r="D105" s="3"/>
      <c r="E105" s="2"/>
      <c r="F105" s="2"/>
      <c r="G105" s="2"/>
      <c r="H105" s="2"/>
      <c r="I105" s="2"/>
      <c r="J105" s="2"/>
      <c r="K105" s="2" t="s">
        <v>279</v>
      </c>
      <c r="L105" s="3" t="str">
        <f>HYPERLINK("https://github.com/hiscom/hispid-review-2014-15/issues/11")</f>
        <v>https://github.com/hiscom/hispid-review-2014-15/issues/11</v>
      </c>
      <c r="M105" s="2"/>
      <c r="N105" s="2"/>
      <c r="O105" s="2" t="s">
        <v>396</v>
      </c>
      <c r="P105" s="2" t="s">
        <v>396</v>
      </c>
      <c r="Q105" s="2"/>
    </row>
    <row r="106" spans="1:17" ht="30" x14ac:dyDescent="0.25">
      <c r="A106" s="2" t="s">
        <v>336</v>
      </c>
      <c r="B106" s="5" t="s">
        <v>397</v>
      </c>
      <c r="C106" s="3"/>
      <c r="D106" s="3"/>
      <c r="E106" s="2"/>
      <c r="F106" s="2"/>
      <c r="G106" s="2"/>
      <c r="H106" s="2"/>
      <c r="I106" s="2"/>
      <c r="J106" s="2"/>
      <c r="K106" s="2" t="s">
        <v>279</v>
      </c>
      <c r="L106" s="3" t="str">
        <f t="shared" ref="L106:L116" si="6">HYPERLINK("https://github.com/hiscom/hispid-review-2014-15/issues/11")</f>
        <v>https://github.com/hiscom/hispid-review-2014-15/issues/11</v>
      </c>
      <c r="M106" s="2"/>
      <c r="N106" s="2"/>
      <c r="O106" s="2"/>
      <c r="P106" s="2"/>
      <c r="Q106" s="2" t="s">
        <v>531</v>
      </c>
    </row>
    <row r="107" spans="1:17" x14ac:dyDescent="0.25">
      <c r="A107" s="2" t="s">
        <v>336</v>
      </c>
      <c r="B107" s="5" t="s">
        <v>398</v>
      </c>
      <c r="C107" s="3"/>
      <c r="D107" s="3"/>
      <c r="E107" s="2"/>
      <c r="F107" s="2"/>
      <c r="G107" s="2"/>
      <c r="H107" s="2"/>
      <c r="I107" s="2"/>
      <c r="J107" s="2"/>
      <c r="K107" s="2" t="s">
        <v>279</v>
      </c>
      <c r="L107" s="3" t="str">
        <f t="shared" si="6"/>
        <v>https://github.com/hiscom/hispid-review-2014-15/issues/11</v>
      </c>
      <c r="M107" s="2"/>
      <c r="N107" s="2"/>
      <c r="O107" s="2" t="s">
        <v>399</v>
      </c>
      <c r="P107" s="2" t="s">
        <v>399</v>
      </c>
      <c r="Q107" s="2"/>
    </row>
    <row r="108" spans="1:17" x14ac:dyDescent="0.25">
      <c r="A108" s="2" t="s">
        <v>336</v>
      </c>
      <c r="B108" s="5" t="s">
        <v>400</v>
      </c>
      <c r="C108" s="3"/>
      <c r="D108" s="3"/>
      <c r="E108" s="2"/>
      <c r="F108" s="2"/>
      <c r="G108" s="2"/>
      <c r="H108" s="2"/>
      <c r="I108" s="2"/>
      <c r="J108" s="2"/>
      <c r="K108" s="2" t="s">
        <v>279</v>
      </c>
      <c r="L108" s="3" t="str">
        <f t="shared" si="6"/>
        <v>https://github.com/hiscom/hispid-review-2014-15/issues/11</v>
      </c>
      <c r="M108" s="2"/>
      <c r="N108" s="2"/>
      <c r="O108" s="2" t="s">
        <v>401</v>
      </c>
      <c r="P108" s="2" t="s">
        <v>401</v>
      </c>
      <c r="Q108" s="2"/>
    </row>
    <row r="109" spans="1:17" x14ac:dyDescent="0.25">
      <c r="A109" s="2" t="s">
        <v>336</v>
      </c>
      <c r="B109" s="5" t="s">
        <v>402</v>
      </c>
      <c r="C109" s="3"/>
      <c r="D109" s="3"/>
      <c r="E109" s="2"/>
      <c r="F109" s="2"/>
      <c r="G109" s="2"/>
      <c r="H109" s="2"/>
      <c r="I109" s="2"/>
      <c r="J109" s="2"/>
      <c r="K109" s="2" t="s">
        <v>279</v>
      </c>
      <c r="L109" s="3" t="str">
        <f t="shared" si="6"/>
        <v>https://github.com/hiscom/hispid-review-2014-15/issues/11</v>
      </c>
      <c r="M109" s="2"/>
      <c r="N109" s="2"/>
      <c r="O109" s="2" t="s">
        <v>403</v>
      </c>
      <c r="P109" s="2" t="s">
        <v>403</v>
      </c>
      <c r="Q109" s="2"/>
    </row>
    <row r="110" spans="1:17" x14ac:dyDescent="0.25">
      <c r="A110" s="2" t="s">
        <v>336</v>
      </c>
      <c r="B110" s="5" t="s">
        <v>404</v>
      </c>
      <c r="C110" s="3"/>
      <c r="D110" s="3"/>
      <c r="E110" s="2"/>
      <c r="F110" s="2"/>
      <c r="G110" s="2"/>
      <c r="H110" s="2"/>
      <c r="I110" s="2"/>
      <c r="J110" s="2"/>
      <c r="K110" s="2" t="s">
        <v>279</v>
      </c>
      <c r="L110" s="3" t="str">
        <f t="shared" si="6"/>
        <v>https://github.com/hiscom/hispid-review-2014-15/issues/11</v>
      </c>
      <c r="M110" s="2"/>
      <c r="N110" s="2"/>
      <c r="O110" s="2" t="s">
        <v>405</v>
      </c>
      <c r="P110" s="2" t="s">
        <v>405</v>
      </c>
      <c r="Q110" s="2"/>
    </row>
    <row r="111" spans="1:17" x14ac:dyDescent="0.25">
      <c r="A111" s="2" t="s">
        <v>336</v>
      </c>
      <c r="B111" s="5" t="s">
        <v>406</v>
      </c>
      <c r="C111" s="3"/>
      <c r="D111" s="3"/>
      <c r="E111" s="2"/>
      <c r="F111" s="2"/>
      <c r="G111" s="2"/>
      <c r="H111" s="2"/>
      <c r="I111" s="2"/>
      <c r="J111" s="2"/>
      <c r="K111" s="2" t="s">
        <v>279</v>
      </c>
      <c r="L111" s="3" t="str">
        <f t="shared" si="6"/>
        <v>https://github.com/hiscom/hispid-review-2014-15/issues/11</v>
      </c>
      <c r="M111" s="2"/>
      <c r="N111" s="2"/>
      <c r="O111" s="2" t="s">
        <v>407</v>
      </c>
      <c r="P111" s="2" t="s">
        <v>407</v>
      </c>
      <c r="Q111" s="2"/>
    </row>
    <row r="112" spans="1:17" x14ac:dyDescent="0.25">
      <c r="A112" s="2" t="s">
        <v>336</v>
      </c>
      <c r="B112" s="5" t="s">
        <v>408</v>
      </c>
      <c r="C112" s="3"/>
      <c r="D112" s="3"/>
      <c r="E112" s="2"/>
      <c r="F112" s="2"/>
      <c r="G112" s="2"/>
      <c r="H112" s="2"/>
      <c r="I112" s="2"/>
      <c r="J112" s="2"/>
      <c r="K112" s="2" t="s">
        <v>279</v>
      </c>
      <c r="L112" s="3" t="str">
        <f t="shared" si="6"/>
        <v>https://github.com/hiscom/hispid-review-2014-15/issues/11</v>
      </c>
      <c r="M112" s="2"/>
      <c r="N112" s="2"/>
      <c r="O112" s="2" t="s">
        <v>409</v>
      </c>
      <c r="P112" s="2" t="s">
        <v>409</v>
      </c>
      <c r="Q112" s="2"/>
    </row>
    <row r="113" spans="1:17" ht="30" x14ac:dyDescent="0.25">
      <c r="A113" s="2" t="s">
        <v>336</v>
      </c>
      <c r="B113" s="5" t="s">
        <v>410</v>
      </c>
      <c r="C113" s="3"/>
      <c r="D113" s="3"/>
      <c r="E113" s="2"/>
      <c r="F113" s="2"/>
      <c r="G113" s="2"/>
      <c r="H113" s="2"/>
      <c r="I113" s="2"/>
      <c r="J113" s="2"/>
      <c r="K113" s="2" t="s">
        <v>279</v>
      </c>
      <c r="L113" s="3" t="str">
        <f t="shared" si="6"/>
        <v>https://github.com/hiscom/hispid-review-2014-15/issues/11</v>
      </c>
      <c r="M113" s="2"/>
      <c r="N113" s="2"/>
      <c r="O113" s="2" t="s">
        <v>411</v>
      </c>
      <c r="P113" s="2" t="s">
        <v>411</v>
      </c>
      <c r="Q113" s="2"/>
    </row>
    <row r="114" spans="1:17" x14ac:dyDescent="0.25">
      <c r="A114" s="2" t="s">
        <v>336</v>
      </c>
      <c r="B114" s="5" t="s">
        <v>412</v>
      </c>
      <c r="C114" s="3"/>
      <c r="D114" s="3"/>
      <c r="E114" s="2"/>
      <c r="F114" s="2"/>
      <c r="G114" s="2"/>
      <c r="H114" s="2"/>
      <c r="I114" s="2"/>
      <c r="J114" s="2"/>
      <c r="K114" s="2" t="s">
        <v>279</v>
      </c>
      <c r="L114" s="3" t="str">
        <f t="shared" si="6"/>
        <v>https://github.com/hiscom/hispid-review-2014-15/issues/11</v>
      </c>
      <c r="M114" s="2"/>
      <c r="N114" s="2"/>
      <c r="O114" s="2" t="s">
        <v>413</v>
      </c>
      <c r="P114" s="2" t="s">
        <v>413</v>
      </c>
      <c r="Q114" s="2"/>
    </row>
    <row r="115" spans="1:17" x14ac:dyDescent="0.25">
      <c r="A115" s="2" t="s">
        <v>336</v>
      </c>
      <c r="B115" s="5" t="s">
        <v>414</v>
      </c>
      <c r="C115" s="3"/>
      <c r="D115" s="3"/>
      <c r="E115" s="2"/>
      <c r="F115" s="2"/>
      <c r="G115" s="2"/>
      <c r="H115" s="2"/>
      <c r="I115" s="2"/>
      <c r="J115" s="2"/>
      <c r="K115" s="2" t="s">
        <v>279</v>
      </c>
      <c r="L115" s="3" t="str">
        <f t="shared" si="6"/>
        <v>https://github.com/hiscom/hispid-review-2014-15/issues/11</v>
      </c>
      <c r="M115" s="2"/>
      <c r="N115" s="2"/>
      <c r="O115" s="2" t="s">
        <v>415</v>
      </c>
      <c r="P115" s="2" t="s">
        <v>415</v>
      </c>
      <c r="Q115" s="2"/>
    </row>
    <row r="116" spans="1:17" x14ac:dyDescent="0.25">
      <c r="A116" s="2" t="s">
        <v>336</v>
      </c>
      <c r="B116" s="5" t="s">
        <v>416</v>
      </c>
      <c r="C116" s="3"/>
      <c r="D116" s="3"/>
      <c r="E116" s="2"/>
      <c r="F116" s="2"/>
      <c r="G116" s="2"/>
      <c r="H116" s="2"/>
      <c r="I116" s="2"/>
      <c r="J116" s="2"/>
      <c r="K116" s="2" t="s">
        <v>279</v>
      </c>
      <c r="L116" s="3" t="str">
        <f t="shared" si="6"/>
        <v>https://github.com/hiscom/hispid-review-2014-15/issues/11</v>
      </c>
      <c r="M116" s="2"/>
      <c r="N116" s="2"/>
      <c r="O116" s="2" t="s">
        <v>417</v>
      </c>
      <c r="P116" s="2" t="s">
        <v>417</v>
      </c>
      <c r="Q116" s="2"/>
    </row>
    <row r="117" spans="1:17" ht="30" x14ac:dyDescent="0.25">
      <c r="A117" s="2" t="s">
        <v>418</v>
      </c>
      <c r="B117" s="4" t="s">
        <v>419</v>
      </c>
      <c r="C117" s="3" t="str">
        <f t="shared" ref="C117:C137" si="7">HYPERLINK("http://hiscom.chah.org.au/hispid/terms")</f>
        <v>http://hiscom.chah.org.au/hispid/terms</v>
      </c>
      <c r="D117" s="3" t="str">
        <f>HYPERLINK("http://hiscom.chah.org.au/hispid/terms/miscellaneousRemarks")</f>
        <v>http://hiscom.chah.org.au/hispid/terms/miscellaneousRemarks</v>
      </c>
      <c r="E117" s="2" t="s">
        <v>420</v>
      </c>
      <c r="F117" s="2" t="s">
        <v>20</v>
      </c>
      <c r="G117" s="2"/>
      <c r="H117" s="2"/>
      <c r="I117" s="2"/>
      <c r="J117" s="2"/>
      <c r="K117" s="2" t="s">
        <v>22</v>
      </c>
      <c r="L117" s="3" t="str">
        <f>HYPERLINK("https://github.com/hiscom/hispid-review-2014-15/issues/1")</f>
        <v>https://github.com/hiscom/hispid-review-2014-15/issues/1</v>
      </c>
      <c r="M117" s="2"/>
      <c r="N117" s="2" t="s">
        <v>421</v>
      </c>
      <c r="O117" s="2" t="s">
        <v>422</v>
      </c>
      <c r="P117" s="2" t="s">
        <v>422</v>
      </c>
      <c r="Q117" s="2"/>
    </row>
    <row r="118" spans="1:17" ht="30" x14ac:dyDescent="0.25">
      <c r="A118" s="2" t="s">
        <v>418</v>
      </c>
      <c r="B118" s="4" t="s">
        <v>423</v>
      </c>
      <c r="C118" s="3" t="str">
        <f t="shared" si="7"/>
        <v>http://hiscom.chah.org.au/hispid/terms</v>
      </c>
      <c r="D118" s="3" t="str">
        <f>HYPERLINK("http://hiscom.chah.org.au/hispid/terms/voucherFlag")</f>
        <v>http://hiscom.chah.org.au/hispid/terms/voucherFlag</v>
      </c>
      <c r="E118" s="2" t="s">
        <v>424</v>
      </c>
      <c r="F118" s="2" t="s">
        <v>20</v>
      </c>
      <c r="G118" s="2"/>
      <c r="H118" s="3" t="str">
        <f>HYPERLINK("http://hiscom.rbg.vic.gov.au/hispid/vocabulary/voucher_flag.xml")</f>
        <v>http://hiscom.rbg.vic.gov.au/hispid/vocabulary/voucher_flag.xml</v>
      </c>
      <c r="I118" s="2"/>
      <c r="J118" s="2"/>
      <c r="K118" s="2" t="s">
        <v>22</v>
      </c>
      <c r="L118" s="2"/>
      <c r="M118" s="2"/>
      <c r="N118" s="2" t="s">
        <v>535</v>
      </c>
      <c r="O118" s="2" t="s">
        <v>425</v>
      </c>
      <c r="P118" s="2" t="s">
        <v>425</v>
      </c>
      <c r="Q118" s="2"/>
    </row>
    <row r="119" spans="1:17" ht="30" x14ac:dyDescent="0.25">
      <c r="A119" s="2" t="s">
        <v>418</v>
      </c>
      <c r="B119" s="4" t="s">
        <v>426</v>
      </c>
      <c r="C119" s="3" t="str">
        <f t="shared" si="7"/>
        <v>http://hiscom.chah.org.au/hispid/terms</v>
      </c>
      <c r="D119" s="3" t="str">
        <f>HYPERLINK("http://hiscom.chah.org.au/hispid/terms/provenanceTypeFlag")</f>
        <v>http://hiscom.chah.org.au/hispid/terms/provenanceTypeFlag</v>
      </c>
      <c r="E119" s="2" t="s">
        <v>427</v>
      </c>
      <c r="F119" s="2" t="s">
        <v>20</v>
      </c>
      <c r="G119" s="2" t="s">
        <v>428</v>
      </c>
      <c r="H119" s="3" t="str">
        <f>HYPERLINK("http://hiscom.rbg.vic.gov.au/hispid/vocabulary/provenance_type_flag.xml")</f>
        <v>http://hiscom.rbg.vic.gov.au/hispid/vocabulary/provenance_type_flag.xml</v>
      </c>
      <c r="I119" s="2"/>
      <c r="J119" s="2"/>
      <c r="K119" s="2" t="s">
        <v>22</v>
      </c>
      <c r="L119" s="2"/>
      <c r="M119" s="2"/>
      <c r="N119" s="2" t="s">
        <v>537</v>
      </c>
      <c r="O119" s="2" t="s">
        <v>429</v>
      </c>
      <c r="P119" s="2" t="s">
        <v>429</v>
      </c>
      <c r="Q119" s="2" t="s">
        <v>536</v>
      </c>
    </row>
    <row r="120" spans="1:17" ht="75" x14ac:dyDescent="0.25">
      <c r="A120" s="2" t="s">
        <v>418</v>
      </c>
      <c r="B120" s="4" t="s">
        <v>430</v>
      </c>
      <c r="C120" s="3" t="str">
        <f t="shared" si="7"/>
        <v>http://hiscom.chah.org.au/hispid/terms</v>
      </c>
      <c r="D120" s="3" t="str">
        <f>HYPERLINK("http://hiscom.chah.org.au/hispid/terms/cultivatedPlantProvenance")</f>
        <v>http://hiscom.chah.org.au/hispid/terms/cultivatedPlantProvenance</v>
      </c>
      <c r="E120" s="2" t="s">
        <v>431</v>
      </c>
      <c r="F120" s="2" t="s">
        <v>20</v>
      </c>
      <c r="G120" s="2" t="s">
        <v>432</v>
      </c>
      <c r="H120" s="2"/>
      <c r="I120" s="2"/>
      <c r="J120" s="2"/>
      <c r="K120" s="2" t="s">
        <v>22</v>
      </c>
      <c r="L120" s="2"/>
      <c r="M120" s="2"/>
      <c r="N120" s="2"/>
      <c r="O120" s="2"/>
      <c r="P120" s="2"/>
      <c r="Q120" s="2"/>
    </row>
    <row r="121" spans="1:17" ht="30" x14ac:dyDescent="0.25">
      <c r="A121" s="2" t="s">
        <v>433</v>
      </c>
      <c r="B121" s="4" t="s">
        <v>434</v>
      </c>
      <c r="C121" s="3" t="str">
        <f t="shared" si="7"/>
        <v>http://hiscom.chah.org.au/hispid/terms</v>
      </c>
      <c r="D121" s="3" t="str">
        <f>HYPERLINK("http://hiscom.chah.org.au/hispid/terms/donor")</f>
        <v>http://hiscom.chah.org.au/hispid/terms/donor</v>
      </c>
      <c r="E121" s="2" t="s">
        <v>435</v>
      </c>
      <c r="F121" s="2" t="s">
        <v>20</v>
      </c>
      <c r="G121" s="2"/>
      <c r="H121" s="2"/>
      <c r="I121" s="2"/>
      <c r="J121" s="2"/>
      <c r="K121" s="2" t="s">
        <v>279</v>
      </c>
      <c r="L121" s="2"/>
      <c r="M121" s="2"/>
      <c r="N121" s="2" t="s">
        <v>538</v>
      </c>
      <c r="O121" s="2" t="s">
        <v>436</v>
      </c>
      <c r="P121" s="2" t="s">
        <v>436</v>
      </c>
      <c r="Q121" s="2" t="s">
        <v>539</v>
      </c>
    </row>
    <row r="122" spans="1:17" ht="30" x14ac:dyDescent="0.25">
      <c r="A122" s="2" t="s">
        <v>433</v>
      </c>
      <c r="B122" s="4" t="s">
        <v>437</v>
      </c>
      <c r="C122" s="3" t="str">
        <f t="shared" si="7"/>
        <v>http://hiscom.chah.org.au/hispid/terms</v>
      </c>
      <c r="D122" s="3" t="str">
        <f>HYPERLINK("http://hiscom.chah.org.au/hispid/terms/duplicatesDistributedTo")</f>
        <v>http://hiscom.chah.org.au/hispid/terms/duplicatesDistributedTo</v>
      </c>
      <c r="E122" s="2" t="s">
        <v>438</v>
      </c>
      <c r="F122" s="2" t="s">
        <v>20</v>
      </c>
      <c r="G122" s="2" t="s">
        <v>439</v>
      </c>
      <c r="H122" s="2"/>
      <c r="I122" s="2"/>
      <c r="J122" s="2" t="s">
        <v>440</v>
      </c>
      <c r="K122" s="2" t="s">
        <v>279</v>
      </c>
      <c r="L122" s="2"/>
      <c r="M122" s="2"/>
      <c r="N122" s="2" t="s">
        <v>540</v>
      </c>
      <c r="O122" s="2" t="s">
        <v>441</v>
      </c>
      <c r="P122" s="2" t="s">
        <v>441</v>
      </c>
      <c r="Q122" s="2"/>
    </row>
    <row r="123" spans="1:17" x14ac:dyDescent="0.25">
      <c r="A123" s="2" t="s">
        <v>433</v>
      </c>
      <c r="B123" s="4" t="s">
        <v>442</v>
      </c>
      <c r="C123" s="3" t="str">
        <f t="shared" si="7"/>
        <v>http://hiscom.chah.org.au/hispid/terms</v>
      </c>
      <c r="D123" s="3" t="str">
        <f>HYPERLINK("http://hiscom.chah.org.au/hispid/terms/loanIdentifier")</f>
        <v>http://hiscom.chah.org.au/hispid/terms/loanIdentifier</v>
      </c>
      <c r="E123" s="2" t="s">
        <v>443</v>
      </c>
      <c r="F123" s="2" t="s">
        <v>20</v>
      </c>
      <c r="G123" s="2"/>
      <c r="H123" s="2"/>
      <c r="I123" s="2"/>
      <c r="J123" s="2"/>
      <c r="K123" s="2" t="s">
        <v>22</v>
      </c>
      <c r="L123" s="2"/>
      <c r="M123" s="2"/>
      <c r="N123" s="2" t="s">
        <v>541</v>
      </c>
      <c r="O123" s="2" t="s">
        <v>444</v>
      </c>
      <c r="P123" s="2" t="s">
        <v>444</v>
      </c>
      <c r="Q123" s="2"/>
    </row>
    <row r="124" spans="1:17" x14ac:dyDescent="0.25">
      <c r="A124" s="2" t="s">
        <v>433</v>
      </c>
      <c r="B124" s="4" t="s">
        <v>445</v>
      </c>
      <c r="C124" s="3" t="str">
        <f t="shared" si="7"/>
        <v>http://hiscom.chah.org.au/hispid/terms</v>
      </c>
      <c r="D124" s="3" t="str">
        <f>HYPERLINK("http://hiscom.chah.org.au/hispid/terms/loanDestination")</f>
        <v>http://hiscom.chah.org.au/hispid/terms/loanDestination</v>
      </c>
      <c r="E124" s="2" t="s">
        <v>446</v>
      </c>
      <c r="F124" s="2" t="s">
        <v>20</v>
      </c>
      <c r="G124" s="2" t="s">
        <v>447</v>
      </c>
      <c r="H124" s="2"/>
      <c r="I124" s="2"/>
      <c r="J124" s="2"/>
      <c r="K124" s="2" t="s">
        <v>22</v>
      </c>
      <c r="L124" s="2"/>
      <c r="M124" s="2"/>
      <c r="N124" s="2" t="s">
        <v>542</v>
      </c>
      <c r="O124" s="2" t="s">
        <v>448</v>
      </c>
      <c r="P124" s="2" t="s">
        <v>448</v>
      </c>
      <c r="Q124" s="2"/>
    </row>
    <row r="125" spans="1:17" x14ac:dyDescent="0.25">
      <c r="A125" s="2" t="s">
        <v>433</v>
      </c>
      <c r="B125" s="4" t="s">
        <v>449</v>
      </c>
      <c r="C125" s="3" t="str">
        <f t="shared" si="7"/>
        <v>http://hiscom.chah.org.au/hispid/terms</v>
      </c>
      <c r="D125" s="3" t="str">
        <f>HYPERLINK("http://hiscom.chah.org.au/hispid/terms/loanForBotanist")</f>
        <v>http://hiscom.chah.org.au/hispid/terms/loanForBotanist</v>
      </c>
      <c r="E125" s="2" t="s">
        <v>450</v>
      </c>
      <c r="F125" s="2" t="s">
        <v>20</v>
      </c>
      <c r="G125" s="2"/>
      <c r="H125" s="2"/>
      <c r="I125" s="2"/>
      <c r="J125" s="2"/>
      <c r="K125" s="2" t="s">
        <v>22</v>
      </c>
      <c r="L125" s="2"/>
      <c r="M125" s="2"/>
      <c r="N125" s="2" t="s">
        <v>543</v>
      </c>
      <c r="O125" s="2" t="s">
        <v>451</v>
      </c>
      <c r="P125" s="2" t="s">
        <v>451</v>
      </c>
      <c r="Q125" s="2"/>
    </row>
    <row r="126" spans="1:17" x14ac:dyDescent="0.25">
      <c r="A126" s="2" t="s">
        <v>433</v>
      </c>
      <c r="B126" s="4" t="s">
        <v>452</v>
      </c>
      <c r="C126" s="3" t="str">
        <f t="shared" si="7"/>
        <v>http://hiscom.chah.org.au/hispid/terms</v>
      </c>
      <c r="D126" s="3" t="str">
        <f>HYPERLINK("http://hiscom.chah.org.au/hispid/terms/loanDate")</f>
        <v>http://hiscom.chah.org.au/hispid/terms/loanDate</v>
      </c>
      <c r="E126" s="2" t="s">
        <v>453</v>
      </c>
      <c r="F126" s="2" t="s">
        <v>20</v>
      </c>
      <c r="G126" s="2"/>
      <c r="H126" s="2"/>
      <c r="I126" s="2"/>
      <c r="J126" s="2"/>
      <c r="K126" s="2" t="s">
        <v>22</v>
      </c>
      <c r="L126" s="2"/>
      <c r="M126" s="2"/>
      <c r="N126" s="2" t="s">
        <v>544</v>
      </c>
      <c r="O126" s="2" t="s">
        <v>454</v>
      </c>
      <c r="P126" s="2" t="s">
        <v>454</v>
      </c>
      <c r="Q126" s="2"/>
    </row>
    <row r="127" spans="1:17" x14ac:dyDescent="0.25">
      <c r="A127" s="2" t="s">
        <v>433</v>
      </c>
      <c r="B127" s="4" t="s">
        <v>455</v>
      </c>
      <c r="C127" s="3" t="str">
        <f t="shared" si="7"/>
        <v>http://hiscom.chah.org.au/hispid/terms</v>
      </c>
      <c r="D127" s="3" t="str">
        <f>HYPERLINK("http://hiscom.chah.org.au/hispid/terms/loanReturnDate")</f>
        <v>http://hiscom.chah.org.au/hispid/terms/loanReturnDate</v>
      </c>
      <c r="E127" s="2" t="s">
        <v>456</v>
      </c>
      <c r="F127" s="2" t="s">
        <v>20</v>
      </c>
      <c r="G127" s="2"/>
      <c r="H127" s="2"/>
      <c r="I127" s="2"/>
      <c r="J127" s="2"/>
      <c r="K127" s="2" t="s">
        <v>22</v>
      </c>
      <c r="L127" s="2"/>
      <c r="M127" s="2"/>
      <c r="N127" s="2" t="s">
        <v>545</v>
      </c>
      <c r="O127" s="2" t="s">
        <v>457</v>
      </c>
      <c r="P127" s="2" t="s">
        <v>457</v>
      </c>
      <c r="Q127" s="2"/>
    </row>
    <row r="128" spans="1:17" x14ac:dyDescent="0.25">
      <c r="A128" s="2" t="s">
        <v>458</v>
      </c>
      <c r="B128" s="4" t="s">
        <v>459</v>
      </c>
      <c r="C128" s="3" t="str">
        <f t="shared" si="7"/>
        <v>http://hiscom.chah.org.au/hispid/terms</v>
      </c>
      <c r="D128" s="3" t="str">
        <f>HYPERLINK("http://hiscom.chah.org.au/hispid/terms/permitType")</f>
        <v>http://hiscom.chah.org.au/hispid/terms/permitType</v>
      </c>
      <c r="E128" s="2" t="s">
        <v>460</v>
      </c>
      <c r="F128" s="2"/>
      <c r="G128" s="2"/>
      <c r="H128" s="2"/>
      <c r="I128" s="2"/>
      <c r="J128" s="2" t="s">
        <v>461</v>
      </c>
      <c r="K128" s="2" t="s">
        <v>546</v>
      </c>
      <c r="L128" s="2"/>
      <c r="M128" s="2"/>
      <c r="N128" s="2"/>
      <c r="O128" s="2"/>
      <c r="P128" s="2"/>
      <c r="Q128" s="2"/>
    </row>
    <row r="129" spans="1:17" ht="30" x14ac:dyDescent="0.25">
      <c r="A129" s="2" t="s">
        <v>458</v>
      </c>
      <c r="B129" s="4" t="s">
        <v>462</v>
      </c>
      <c r="C129" s="3" t="str">
        <f t="shared" si="7"/>
        <v>http://hiscom.chah.org.au/hispid/terms</v>
      </c>
      <c r="D129" s="3" t="str">
        <f>HYPERLINK("http://hiscom.chah.org.au/hispid/terms/permitReferenceNumber")</f>
        <v>http://hiscom.chah.org.au/hispid/terms/permitReferenceNumber</v>
      </c>
      <c r="E129" s="2" t="s">
        <v>463</v>
      </c>
      <c r="F129" s="2"/>
      <c r="G129" s="2"/>
      <c r="H129" s="2"/>
      <c r="I129" s="2"/>
      <c r="J129" s="2"/>
      <c r="K129" s="2" t="s">
        <v>546</v>
      </c>
      <c r="L129" s="2"/>
      <c r="M129" s="2"/>
      <c r="N129" s="2"/>
      <c r="O129" s="2"/>
      <c r="P129" s="2"/>
      <c r="Q129" s="2"/>
    </row>
    <row r="130" spans="1:17" x14ac:dyDescent="0.25">
      <c r="A130" s="2" t="s">
        <v>458</v>
      </c>
      <c r="B130" s="4" t="s">
        <v>464</v>
      </c>
      <c r="C130" s="3" t="str">
        <f t="shared" si="7"/>
        <v>http://hiscom.chah.org.au/hispid/terms</v>
      </c>
      <c r="D130" s="3" t="str">
        <f>HYPERLINK("http://hiscom.chah.org.au/hispid/terms/permitIssuedBy")</f>
        <v>http://hiscom.chah.org.au/hispid/terms/permitIssuedBy</v>
      </c>
      <c r="E130" s="2" t="s">
        <v>465</v>
      </c>
      <c r="F130" s="2"/>
      <c r="G130" s="2"/>
      <c r="H130" s="2"/>
      <c r="I130" s="2"/>
      <c r="J130" s="2"/>
      <c r="K130" s="2" t="s">
        <v>546</v>
      </c>
      <c r="L130" s="3" t="str">
        <f>HYPERLINK("https://github.com/hiscom/hispid-review-2014-15/issues/10")</f>
        <v>https://github.com/hiscom/hispid-review-2014-15/issues/10</v>
      </c>
      <c r="M130" s="2"/>
      <c r="N130" s="2"/>
      <c r="O130" s="2"/>
      <c r="P130" s="2"/>
      <c r="Q130" s="2"/>
    </row>
    <row r="131" spans="1:17" ht="30" x14ac:dyDescent="0.25">
      <c r="A131" s="2" t="s">
        <v>458</v>
      </c>
      <c r="B131" s="4" t="s">
        <v>466</v>
      </c>
      <c r="C131" s="3" t="str">
        <f t="shared" si="7"/>
        <v>http://hiscom.chah.org.au/hispid/terms</v>
      </c>
      <c r="D131" s="3" t="str">
        <f>HYPERLINK("http://hiscom.chah.org.au/hispid/terms/permitIssuedTo")</f>
        <v>http://hiscom.chah.org.au/hispid/terms/permitIssuedTo</v>
      </c>
      <c r="E131" s="2" t="s">
        <v>467</v>
      </c>
      <c r="F131" s="2"/>
      <c r="G131" s="2"/>
      <c r="H131" s="2"/>
      <c r="I131" s="2"/>
      <c r="J131" s="2"/>
      <c r="K131" s="2" t="s">
        <v>546</v>
      </c>
      <c r="L131" s="3" t="str">
        <f t="shared" ref="L131:L137" si="8">HYPERLINK("https://github.com/hiscom/hispid-review-2014-15/issues/10")</f>
        <v>https://github.com/hiscom/hispid-review-2014-15/issues/10</v>
      </c>
      <c r="M131" s="2"/>
      <c r="N131" s="2"/>
      <c r="O131" s="2"/>
      <c r="P131" s="2"/>
      <c r="Q131" s="2"/>
    </row>
    <row r="132" spans="1:17" ht="30" x14ac:dyDescent="0.25">
      <c r="A132" s="2" t="s">
        <v>458</v>
      </c>
      <c r="B132" s="4" t="s">
        <v>468</v>
      </c>
      <c r="C132" s="3" t="str">
        <f t="shared" si="7"/>
        <v>http://hiscom.chah.org.au/hispid/terms</v>
      </c>
      <c r="D132" s="3" t="str">
        <f>HYPERLINK("http://hiscom.chah.org.au/hispid/terms/permitIssuedDate")</f>
        <v>http://hiscom.chah.org.au/hispid/terms/permitIssuedDate</v>
      </c>
      <c r="E132" s="2" t="s">
        <v>469</v>
      </c>
      <c r="F132" s="2"/>
      <c r="G132" s="2"/>
      <c r="H132" s="2"/>
      <c r="I132" s="2"/>
      <c r="J132" s="2"/>
      <c r="K132" s="2" t="s">
        <v>546</v>
      </c>
      <c r="L132" s="3" t="str">
        <f t="shared" si="8"/>
        <v>https://github.com/hiscom/hispid-review-2014-15/issues/10</v>
      </c>
      <c r="M132" s="2"/>
      <c r="N132" s="2"/>
      <c r="O132" s="2"/>
      <c r="P132" s="2"/>
      <c r="Q132" s="2"/>
    </row>
    <row r="133" spans="1:17" x14ac:dyDescent="0.25">
      <c r="A133" s="2" t="s">
        <v>458</v>
      </c>
      <c r="B133" s="4" t="s">
        <v>470</v>
      </c>
      <c r="C133" s="3" t="str">
        <f t="shared" si="7"/>
        <v>http://hiscom.chah.org.au/hispid/terms</v>
      </c>
      <c r="D133" s="3" t="str">
        <f>HYPERLINK("http://hiscom.chah.org.au/hispid/terms/permitValidDate")</f>
        <v>http://hiscom.chah.org.au/hispid/terms/permitValidDate</v>
      </c>
      <c r="E133" s="2" t="s">
        <v>471</v>
      </c>
      <c r="F133" s="2" t="s">
        <v>126</v>
      </c>
      <c r="G133" s="2" t="s">
        <v>127</v>
      </c>
      <c r="H133" s="2"/>
      <c r="I133" s="2"/>
      <c r="J133" s="2"/>
      <c r="K133" s="2" t="s">
        <v>546</v>
      </c>
      <c r="L133" s="3" t="str">
        <f t="shared" si="8"/>
        <v>https://github.com/hiscom/hispid-review-2014-15/issues/10</v>
      </c>
      <c r="M133" s="2"/>
      <c r="N133" s="2"/>
      <c r="O133" s="2"/>
      <c r="P133" s="2"/>
      <c r="Q133" s="2"/>
    </row>
    <row r="134" spans="1:17" ht="30" x14ac:dyDescent="0.25">
      <c r="A134" s="2" t="s">
        <v>458</v>
      </c>
      <c r="B134" s="4" t="s">
        <v>472</v>
      </c>
      <c r="C134" s="3" t="str">
        <f t="shared" si="7"/>
        <v>http://hiscom.chah.org.au/hispid/terms</v>
      </c>
      <c r="D134" s="3" t="str">
        <f>HYPERLINK("http://hiscom.chah.org.au/hispid/terms/permitStatus")</f>
        <v>http://hiscom.chah.org.au/hispid/terms/permitStatus</v>
      </c>
      <c r="E134" s="2" t="s">
        <v>473</v>
      </c>
      <c r="F134" s="2" t="s">
        <v>20</v>
      </c>
      <c r="G134" s="2"/>
      <c r="H134" s="3" t="str">
        <f>HYPERLINK("http://hiscom.rbg.vic.gov.au/hispid/vocabulary/permit_status.xml")</f>
        <v>http://hiscom.rbg.vic.gov.au/hispid/vocabulary/permit_status.xml</v>
      </c>
      <c r="I134" s="2"/>
      <c r="J134" s="2"/>
      <c r="K134" s="2" t="s">
        <v>546</v>
      </c>
      <c r="L134" s="3" t="str">
        <f t="shared" si="8"/>
        <v>https://github.com/hiscom/hispid-review-2014-15/issues/10</v>
      </c>
      <c r="M134" s="2"/>
      <c r="N134" s="2"/>
      <c r="O134" s="2"/>
      <c r="P134" s="2"/>
      <c r="Q134" s="2"/>
    </row>
    <row r="135" spans="1:17" ht="30" x14ac:dyDescent="0.25">
      <c r="A135" s="2" t="s">
        <v>458</v>
      </c>
      <c r="B135" s="4" t="s">
        <v>474</v>
      </c>
      <c r="C135" s="3" t="str">
        <f t="shared" si="7"/>
        <v>http://hiscom.chah.org.au/hispid/terms</v>
      </c>
      <c r="D135" s="3" t="str">
        <f>HYPERLINK("http://hiscom.chah.org.au/hispid/terms/permitConditions")</f>
        <v>http://hiscom.chah.org.au/hispid/terms/permitConditions</v>
      </c>
      <c r="E135" s="2" t="s">
        <v>475</v>
      </c>
      <c r="F135" s="2" t="s">
        <v>20</v>
      </c>
      <c r="G135" s="2"/>
      <c r="H135" s="2"/>
      <c r="I135" s="2"/>
      <c r="J135" s="2"/>
      <c r="K135" s="2" t="s">
        <v>546</v>
      </c>
      <c r="L135" s="3" t="str">
        <f t="shared" si="8"/>
        <v>https://github.com/hiscom/hispid-review-2014-15/issues/10</v>
      </c>
      <c r="M135" s="2"/>
      <c r="N135" s="2"/>
      <c r="O135" s="2"/>
      <c r="P135" s="2"/>
      <c r="Q135" s="2"/>
    </row>
    <row r="136" spans="1:17" x14ac:dyDescent="0.25">
      <c r="A136" s="2" t="s">
        <v>458</v>
      </c>
      <c r="B136" s="4" t="s">
        <v>476</v>
      </c>
      <c r="C136" s="3" t="str">
        <f t="shared" si="7"/>
        <v>http://hiscom.chah.org.au/hispid/terms</v>
      </c>
      <c r="D136" s="3" t="str">
        <f>HYPERLINK("http://hiscom.chah.org.au/hispid/terms/permitRemarks")</f>
        <v>http://hiscom.chah.org.au/hispid/terms/permitRemarks</v>
      </c>
      <c r="E136" s="2" t="s">
        <v>477</v>
      </c>
      <c r="F136" s="2" t="s">
        <v>20</v>
      </c>
      <c r="G136" s="2"/>
      <c r="H136" s="2"/>
      <c r="I136" s="2"/>
      <c r="J136" s="2"/>
      <c r="K136" s="2" t="s">
        <v>546</v>
      </c>
      <c r="L136" s="3" t="str">
        <f t="shared" si="8"/>
        <v>https://github.com/hiscom/hispid-review-2014-15/issues/10</v>
      </c>
      <c r="M136" s="2"/>
      <c r="N136" s="2"/>
      <c r="O136" s="2"/>
      <c r="P136" s="2"/>
      <c r="Q136" s="2"/>
    </row>
    <row r="137" spans="1:17" x14ac:dyDescent="0.25">
      <c r="A137" s="2" t="s">
        <v>458</v>
      </c>
      <c r="B137" s="4" t="s">
        <v>478</v>
      </c>
      <c r="C137" s="3" t="str">
        <f t="shared" si="7"/>
        <v>http://hiscom.chah.org.au/hispid/terms</v>
      </c>
      <c r="D137" s="3" t="str">
        <f>HYPERLINK("http://hiscom.chah.org.au/hispid/terms/permitLink")</f>
        <v>http://hiscom.chah.org.au/hispid/terms/permitLink</v>
      </c>
      <c r="E137" s="2" t="s">
        <v>479</v>
      </c>
      <c r="F137" s="2" t="s">
        <v>20</v>
      </c>
      <c r="G137" s="2"/>
      <c r="H137" s="2"/>
      <c r="I137" s="2"/>
      <c r="J137" s="2"/>
      <c r="K137" s="2" t="s">
        <v>546</v>
      </c>
      <c r="L137" s="3" t="str">
        <f t="shared" si="8"/>
        <v>https://github.com/hiscom/hispid-review-2014-15/issues/10</v>
      </c>
      <c r="M137" s="2"/>
      <c r="N137" s="2"/>
      <c r="O137" s="2"/>
      <c r="P137" s="2"/>
      <c r="Q137" s="2"/>
    </row>
  </sheetData>
  <hyperlinks>
    <hyperlink ref="H5" r:id="rId1"/>
    <hyperlink ref="H6" r:id="rId2"/>
    <hyperlink ref="H14" r:id="rId3" display="https://github.com/hiscom/hispid-review-2014-15/issues/22"/>
    <hyperlink ref="H15" r:id="rId4"/>
    <hyperlink ref="H88" r:id="rId5"/>
    <hyperlink ref="H99" r:id="rId6"/>
    <hyperlink ref="N53" r:id="rId7" display="http://wiki.tdwg.org/twiki/bin/view/ABCD/AbcdConcept1121"/>
    <hyperlink ref="C17" r:id="rId8"/>
    <hyperlink ref="D17" r:id="rId9"/>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HISPID2015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 Klazenga</dc:creator>
  <cp:lastModifiedBy>Niels Klazenga</cp:lastModifiedBy>
  <dcterms:created xsi:type="dcterms:W3CDTF">2015-02-22T01:15:45Z</dcterms:created>
  <dcterms:modified xsi:type="dcterms:W3CDTF">2015-02-22T13:15:20Z</dcterms:modified>
</cp:coreProperties>
</file>