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2057027910c48/Documents/Electronics/Power Supply/Instructables/Design/Other/"/>
    </mc:Choice>
  </mc:AlternateContent>
  <xr:revisionPtr revIDLastSave="1449" documentId="8_{70FE8CA8-81BC-CC4D-977F-8C41F9D6807F}" xr6:coauthVersionLast="43" xr6:coauthVersionMax="43" xr10:uidLastSave="{1753243C-09D0-D447-A0BC-598AB8EFB238}"/>
  <bookViews>
    <workbookView xWindow="52060" yWindow="13800" windowWidth="28040" windowHeight="17440" activeTab="4" xr2:uid="{F418E1D3-CA17-C24F-A068-4F2B25CD11AA}"/>
  </bookViews>
  <sheets>
    <sheet name="Fuse Calcs" sheetId="1" r:id="rId1"/>
    <sheet name="Capacitor Calcs" sheetId="3" r:id="rId2"/>
    <sheet name="Thermistor Calcs" sheetId="5" r:id="rId3"/>
    <sheet name="Heat Calcs" sheetId="2" r:id="rId4"/>
    <sheet name="LTC1624 Calc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2" l="1"/>
  <c r="J48" i="2"/>
  <c r="N16" i="2" l="1"/>
  <c r="N15" i="2"/>
  <c r="M15" i="2"/>
  <c r="M16" i="2"/>
  <c r="J16" i="2"/>
  <c r="J15" i="2"/>
  <c r="L16" i="2"/>
  <c r="L15" i="2"/>
  <c r="K16" i="2"/>
  <c r="K15" i="2"/>
  <c r="B60" i="6" l="1"/>
  <c r="B46" i="6"/>
  <c r="B38" i="6"/>
  <c r="B28" i="6"/>
  <c r="B26" i="6"/>
  <c r="F39" i="2"/>
  <c r="B21" i="6"/>
  <c r="B30" i="6" s="1"/>
  <c r="H11" i="6" l="1"/>
  <c r="H12" i="6"/>
  <c r="H13" i="6"/>
  <c r="H10" i="6"/>
  <c r="B48" i="6" s="1"/>
  <c r="B50" i="6" s="1"/>
  <c r="H9" i="6"/>
  <c r="B5" i="6"/>
  <c r="B23" i="1" l="1"/>
  <c r="B22" i="1"/>
  <c r="B22" i="5" l="1"/>
  <c r="B21" i="5"/>
  <c r="B23" i="5" s="1"/>
  <c r="B15" i="5"/>
  <c r="B7" i="5"/>
  <c r="B9" i="5" s="1"/>
  <c r="B14" i="5"/>
  <c r="B16" i="5" s="1"/>
  <c r="B8" i="5"/>
  <c r="M54" i="2"/>
  <c r="M59" i="2" s="1"/>
  <c r="N54" i="2"/>
  <c r="N59" i="2" s="1"/>
  <c r="L54" i="2"/>
  <c r="L59" i="2" s="1"/>
  <c r="J54" i="2"/>
  <c r="J59" i="2" s="1"/>
  <c r="N35" i="2"/>
  <c r="N37" i="2"/>
  <c r="N36" i="2"/>
  <c r="N34" i="2"/>
  <c r="N33" i="2"/>
  <c r="J36" i="2" l="1"/>
  <c r="J38" i="2"/>
  <c r="J42" i="2"/>
  <c r="J39" i="2"/>
  <c r="J41" i="2"/>
  <c r="J40" i="2"/>
  <c r="J37" i="2"/>
  <c r="B5" i="3" l="1"/>
  <c r="B6" i="3" s="1"/>
  <c r="B12" i="1" l="1"/>
  <c r="B13" i="1"/>
  <c r="B16" i="1"/>
  <c r="B17" i="1" s="1"/>
  <c r="M25" i="2" l="1"/>
  <c r="M30" i="2" s="1"/>
  <c r="N25" i="2"/>
  <c r="N30" i="2" s="1"/>
  <c r="M27" i="2"/>
  <c r="M29" i="2"/>
  <c r="M5" i="2"/>
  <c r="M8" i="2" s="1"/>
  <c r="N5" i="2"/>
  <c r="N8" i="2" s="1"/>
  <c r="N9" i="2" l="1"/>
  <c r="M7" i="2"/>
  <c r="N28" i="2"/>
  <c r="N26" i="2"/>
  <c r="M9" i="2"/>
  <c r="N7" i="2"/>
  <c r="M28" i="2"/>
  <c r="M26" i="2"/>
  <c r="N6" i="2"/>
  <c r="N29" i="2"/>
  <c r="N27" i="2"/>
  <c r="M6" i="2"/>
  <c r="L5" i="2"/>
  <c r="L6" i="2" s="1"/>
  <c r="K5" i="2"/>
  <c r="K8" i="2" s="1"/>
  <c r="K53" i="2"/>
  <c r="K54" i="2" s="1"/>
  <c r="K59" i="2" s="1"/>
  <c r="J5" i="2"/>
  <c r="J6" i="2" s="1"/>
  <c r="J7" i="2" l="1"/>
  <c r="K7" i="2"/>
  <c r="J8" i="2"/>
  <c r="K6" i="2"/>
  <c r="K9" i="2"/>
  <c r="L9" i="2"/>
  <c r="J9" i="2"/>
  <c r="L8" i="2"/>
  <c r="L7" i="2"/>
  <c r="J25" i="2"/>
  <c r="L24" i="2"/>
  <c r="L25" i="2" s="1"/>
  <c r="L30" i="2" s="1"/>
  <c r="K24" i="2"/>
  <c r="K25" i="2" s="1"/>
  <c r="K30" i="2" s="1"/>
  <c r="J24" i="2"/>
  <c r="J27" i="2" l="1"/>
  <c r="J30" i="2"/>
  <c r="J26" i="2"/>
  <c r="K29" i="2"/>
  <c r="K28" i="2"/>
  <c r="K26" i="2"/>
  <c r="K27" i="2"/>
  <c r="L28" i="2"/>
  <c r="L29" i="2"/>
  <c r="L26" i="2"/>
  <c r="L27" i="2"/>
  <c r="J28" i="2"/>
  <c r="J29" i="2"/>
</calcChain>
</file>

<file path=xl/sharedStrings.xml><?xml version="1.0" encoding="utf-8"?>
<sst xmlns="http://schemas.openxmlformats.org/spreadsheetml/2006/main" count="445" uniqueCount="211">
  <si>
    <t>Vin</t>
  </si>
  <si>
    <t>Vout</t>
  </si>
  <si>
    <t>Rds(on)</t>
  </si>
  <si>
    <t>V</t>
  </si>
  <si>
    <t>A</t>
  </si>
  <si>
    <t>Tj</t>
  </si>
  <si>
    <t>C</t>
  </si>
  <si>
    <t>UA7805CKCT</t>
  </si>
  <si>
    <t>5V Regulator</t>
  </si>
  <si>
    <t>Virtual Junction Temperature</t>
  </si>
  <si>
    <t>Rja</t>
  </si>
  <si>
    <t>Junction-to-Ambient Resistance</t>
  </si>
  <si>
    <t>Rjc</t>
  </si>
  <si>
    <t>LT3081</t>
  </si>
  <si>
    <t>Linear Regulator</t>
  </si>
  <si>
    <t>Junction Temperature</t>
  </si>
  <si>
    <t>Junction-to-Case Resistance</t>
  </si>
  <si>
    <t>TO-220</t>
  </si>
  <si>
    <t>IRF3205PBF</t>
  </si>
  <si>
    <t>NPN Mosfet</t>
  </si>
  <si>
    <t>Rjs</t>
  </si>
  <si>
    <t>Case-to-Sink, flat, greased Resistance</t>
  </si>
  <si>
    <t>GBU603</t>
  </si>
  <si>
    <t>Bridge Rectifier</t>
  </si>
  <si>
    <t>C/W</t>
  </si>
  <si>
    <t>Forward Voltage</t>
  </si>
  <si>
    <t>V/diode</t>
  </si>
  <si>
    <t>Vfwd</t>
  </si>
  <si>
    <t>SIP</t>
  </si>
  <si>
    <t>Rja*</t>
  </si>
  <si>
    <t>Rjc*</t>
  </si>
  <si>
    <t>* When mounted on AL heat sink 6.5x3.5x0.15cm</t>
  </si>
  <si>
    <t>I</t>
  </si>
  <si>
    <t>Scenario 1</t>
  </si>
  <si>
    <t>Scenario 1: Load pulling 3A at 1V, 0.333Ohms</t>
  </si>
  <si>
    <t>Scenario 2: Load pulling 3A at 15V, 5Ohms</t>
  </si>
  <si>
    <t>Scenario 2</t>
  </si>
  <si>
    <t>Ambient, C:</t>
  </si>
  <si>
    <t>Scenario 3: Load pulling 0.5A at 15V, 30Ohms</t>
  </si>
  <si>
    <t>Scenario 3</t>
  </si>
  <si>
    <t>Wdiss</t>
  </si>
  <si>
    <t>No Heatsink</t>
  </si>
  <si>
    <t>Temp with Rja</t>
  </si>
  <si>
    <t>Temp with Rha</t>
  </si>
  <si>
    <t>Heatsink 1</t>
  </si>
  <si>
    <t>Heatsink 1, Rha</t>
  </si>
  <si>
    <t>Heatsink 2, Rha</t>
  </si>
  <si>
    <t>Heatsink 3, Rha</t>
  </si>
  <si>
    <t>Heatsink 2</t>
  </si>
  <si>
    <t>Heatsink 3</t>
  </si>
  <si>
    <t>Temp with Rjc</t>
  </si>
  <si>
    <t>Need to take a different approach with this one as the specs are quoted with</t>
  </si>
  <si>
    <t xml:space="preserve">heatsink already in place.  5.4W is a lot to dissipate therefore we want a </t>
  </si>
  <si>
    <t>Heatsink 4, Rha</t>
  </si>
  <si>
    <t>Heatsink 4</t>
  </si>
  <si>
    <t>Temp with Rjc, Rha, Rjs</t>
  </si>
  <si>
    <t>Temp with Rjc, Rha</t>
  </si>
  <si>
    <t>Scenario 4: Load pulling 1.5A at 15V, 10Ohms</t>
  </si>
  <si>
    <t>Scenario 5: Load pulling 0.5A at 1V, 2Ohms</t>
  </si>
  <si>
    <t>Scenario 4</t>
  </si>
  <si>
    <t>Scenario 5</t>
  </si>
  <si>
    <t>Heatsink 5</t>
  </si>
  <si>
    <t>Heatsink 5, Rha</t>
  </si>
  <si>
    <t>Ohms</t>
  </si>
  <si>
    <t>Pdiss</t>
  </si>
  <si>
    <t>200W@25c / derating 1.3 C/W</t>
  </si>
  <si>
    <t>Frequency</t>
  </si>
  <si>
    <t>Measured with LTSpice for LT3081 and UA7805CKCT</t>
  </si>
  <si>
    <t>Transformer DC Resistance</t>
  </si>
  <si>
    <t>Vac</t>
  </si>
  <si>
    <t>Transformer VA</t>
  </si>
  <si>
    <t>VA</t>
  </si>
  <si>
    <t>Max current</t>
  </si>
  <si>
    <t>Ambient temperature</t>
  </si>
  <si>
    <t>In-Rush current</t>
  </si>
  <si>
    <t>Fuse required</t>
  </si>
  <si>
    <t>Max Current * 135%</t>
  </si>
  <si>
    <t>Re-rating</t>
  </si>
  <si>
    <t>From datasheet 2x19Ohms</t>
  </si>
  <si>
    <t>Type</t>
  </si>
  <si>
    <t>Slow-blow</t>
  </si>
  <si>
    <t>For dealing with inrush current</t>
  </si>
  <si>
    <t>ms</t>
  </si>
  <si>
    <t>duration of rise/fall</t>
  </si>
  <si>
    <t>Measured in LTSpice</t>
  </si>
  <si>
    <t>I^2t</t>
  </si>
  <si>
    <t>A^2s</t>
  </si>
  <si>
    <t>Duration of fall from peak</t>
  </si>
  <si>
    <t>Common curve calculation: 0.5*I*I*duration of fall from peak</t>
  </si>
  <si>
    <t>Curve calculation: 0.5*I*I*duration of rise/fall</t>
  </si>
  <si>
    <t>Interrupt Rating</t>
  </si>
  <si>
    <t>HIGH</t>
  </si>
  <si>
    <t>Fuse is mains supply side</t>
  </si>
  <si>
    <t>Rerated for ambient 65C, 10% for 20C rise</t>
  </si>
  <si>
    <t>Current</t>
  </si>
  <si>
    <t>Acceptable Peak-to-Peak ripple voltage</t>
  </si>
  <si>
    <t>Time, 50Hz</t>
  </si>
  <si>
    <t>Capacitance</t>
  </si>
  <si>
    <t>F</t>
  </si>
  <si>
    <t>uF</t>
  </si>
  <si>
    <t>C=IT/V</t>
  </si>
  <si>
    <t>Full wave rectifier</t>
  </si>
  <si>
    <t>Vd</t>
  </si>
  <si>
    <t>Imax</t>
  </si>
  <si>
    <t>K</t>
  </si>
  <si>
    <t>Crss</t>
  </si>
  <si>
    <t>Main switch duty cycle</t>
  </si>
  <si>
    <t>Hz</t>
  </si>
  <si>
    <t>Constant</t>
  </si>
  <si>
    <t>W</t>
  </si>
  <si>
    <t>Shottky Diode forward voltage</t>
  </si>
  <si>
    <t>Temp rise</t>
  </si>
  <si>
    <t>Full load</t>
  </si>
  <si>
    <t>Short Circuit</t>
  </si>
  <si>
    <t>50C - ambient</t>
  </si>
  <si>
    <t>Temperature adjustment</t>
  </si>
  <si>
    <t>Calculated from info in datasheet for LT1624</t>
  </si>
  <si>
    <t>I^2</t>
  </si>
  <si>
    <t>Constant adjustment</t>
  </si>
  <si>
    <t>Frequency allowance</t>
  </si>
  <si>
    <t>Temperature allowance</t>
  </si>
  <si>
    <t>Full load=</t>
  </si>
  <si>
    <t>((Vout +Vd) / (Vin + Vd)) * Imax^2 * ((1+(theta * Temp rise)) * Rds(on)) +</t>
  </si>
  <si>
    <t>(K * (Vin ^ 1.85)) * Imax * Crss * Frequency</t>
  </si>
  <si>
    <t>OR</t>
  </si>
  <si>
    <t>Main switch duty cycle * I^2 * temperature allowance +</t>
  </si>
  <si>
    <t>Constant adjustment *Frequency Allowance</t>
  </si>
  <si>
    <t>Short Circuit= Imax * (Vd * (Vin / (Vin + Vd)))</t>
  </si>
  <si>
    <t>heatsink at least as good as Heatsink4 and then measure in-situ to confirm</t>
  </si>
  <si>
    <t>This seems a lot although, with 2 x 4700uF, LTSpice is given ripple of circa 2V at full load so it seems right</t>
  </si>
  <si>
    <t xml:space="preserve">The choice of P-to-P acceptable is 'arbitrary' - there are no specs on the LT1624 to state what is an acceptable range. </t>
  </si>
  <si>
    <t>The simulation works with a 2V ripple so start with that and if it causes an issue in the build then change to 2x15000 uF</t>
  </si>
  <si>
    <t>kA</t>
  </si>
  <si>
    <t>Thermistor</t>
  </si>
  <si>
    <t>R2</t>
  </si>
  <si>
    <t>at Voltage Divider</t>
  </si>
  <si>
    <t>at 25c</t>
  </si>
  <si>
    <t>Pout</t>
  </si>
  <si>
    <t>at 100c</t>
  </si>
  <si>
    <t>at 150c</t>
  </si>
  <si>
    <t>Given the Pout values, choice of Thermistor is unlikely to be impacted</t>
  </si>
  <si>
    <t>by its dissipation constant affecting accuracy</t>
  </si>
  <si>
    <t>Using a simple voltage divider circuit to feed the monitor (attached to Vout)</t>
  </si>
  <si>
    <t>Efficiency</t>
  </si>
  <si>
    <t>Multicomp MCTA060/09</t>
  </si>
  <si>
    <t>%</t>
  </si>
  <si>
    <t>VA/Vac*(1/(1-2*(efficiency/100)))</t>
  </si>
  <si>
    <t>Nearest Value</t>
  </si>
  <si>
    <t>LOAD SIDE</t>
  </si>
  <si>
    <t>LINE SIDE</t>
  </si>
  <si>
    <t>Fuse Required</t>
  </si>
  <si>
    <t>Re-rated for melting integral</t>
  </si>
  <si>
    <t>Littelfuse 215 series</t>
  </si>
  <si>
    <t>Calculated for interest, load side fuse not in design. Littelfuse 215 series</t>
  </si>
  <si>
    <t>Rsense selection</t>
  </si>
  <si>
    <t>From datasheet</t>
  </si>
  <si>
    <t>Page 7</t>
  </si>
  <si>
    <t>Inductor Value</t>
  </si>
  <si>
    <t>Rsense</t>
  </si>
  <si>
    <t>f</t>
  </si>
  <si>
    <t>Shottky diode forward drop</t>
  </si>
  <si>
    <t>L</t>
  </si>
  <si>
    <t>uH</t>
  </si>
  <si>
    <t>Delta-IL</t>
  </si>
  <si>
    <t>Assumed Inductor</t>
  </si>
  <si>
    <t>Select FERRITE core.  Be aware of peak design current for selection.</t>
  </si>
  <si>
    <t>Power MOSFET selection</t>
  </si>
  <si>
    <t>Page 8</t>
  </si>
  <si>
    <t>Main Switch Duty Cycle</t>
  </si>
  <si>
    <t>iMax</t>
  </si>
  <si>
    <t>Temp Dependancy</t>
  </si>
  <si>
    <t>/C</t>
  </si>
  <si>
    <t>Pmain</t>
  </si>
  <si>
    <t>50C - Ambient</t>
  </si>
  <si>
    <t>T</t>
  </si>
  <si>
    <t>Typical Shottky Diode forward voltage</t>
  </si>
  <si>
    <t>Need to deal with the power dissipation through heatsink - see Heat Calcs sheet</t>
  </si>
  <si>
    <t>MBRS340T3G</t>
  </si>
  <si>
    <t>SMC</t>
  </si>
  <si>
    <t>Shottky Diode</t>
  </si>
  <si>
    <t>Rjl</t>
  </si>
  <si>
    <t>Junction to lead</t>
  </si>
  <si>
    <t>Temp with Rjl</t>
  </si>
  <si>
    <t>Isc</t>
  </si>
  <si>
    <t>Short Circuit dissipation</t>
  </si>
  <si>
    <t>Need a low thermal resistance</t>
  </si>
  <si>
    <t>Forward voltage drop to aim for</t>
  </si>
  <si>
    <t>Cin and Cout</t>
  </si>
  <si>
    <t>Irms</t>
  </si>
  <si>
    <t>Delta Il</t>
  </si>
  <si>
    <t>ESR</t>
  </si>
  <si>
    <t>resistance to aim for</t>
  </si>
  <si>
    <t>Voutripple</t>
  </si>
  <si>
    <t>simplified formula from page 13</t>
  </si>
  <si>
    <t>10uH - see inductor value</t>
  </si>
  <si>
    <t>LTSpice simulation shows 10uH gives best characteristics although there's not much difference between 10uH and 50uH.</t>
  </si>
  <si>
    <t>Look for Cout capacitor with 0.03ohm ESR</t>
  </si>
  <si>
    <t>Look for Cin capacitor that handles 1.452A RMS</t>
  </si>
  <si>
    <t>INTVcc Regulator</t>
  </si>
  <si>
    <t>Page 9</t>
  </si>
  <si>
    <t>Ambient</t>
  </si>
  <si>
    <t>Temp co-efficient</t>
  </si>
  <si>
    <t>From LTSpice simulation, current at Vin</t>
  </si>
  <si>
    <t>Supply current</t>
  </si>
  <si>
    <t>With a max 100C ambient temperature</t>
  </si>
  <si>
    <t>Needs monitoring under test.</t>
  </si>
  <si>
    <t>Under LTSpice simulation, raising Rsense to this value results in unstable output.  Stick with 0.01Ohms and test</t>
  </si>
  <si>
    <t>LT3092</t>
  </si>
  <si>
    <t>SOT223</t>
  </si>
  <si>
    <t>Current Source</t>
  </si>
  <si>
    <t>Pmain (see LTC1628 calcs)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</si>
</sst>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2" fontId="0" fillId="2" borderId="0" xfId="0" applyNumberFormat="1" applyFill="1"/>
    <xf numFmtId="0" fontId="0" fillId="3" borderId="0" xfId="0" applyFill="1"/>
    <xf numFmtId="0" fontId="0" fillId="0" borderId="0" xfId="0" applyNumberFormat="1"/>
    <xf numFmtId="2" fontId="0" fillId="3" borderId="0" xfId="0" applyNumberFormat="1" applyFill="1"/>
    <xf numFmtId="0" fontId="0" fillId="0" borderId="1" xfId="0" applyBorder="1"/>
    <xf numFmtId="0" fontId="0" fillId="0" borderId="0" xfId="0" applyFill="1" applyBorder="1"/>
    <xf numFmtId="0" fontId="2" fillId="2" borderId="0" xfId="0" applyFont="1" applyFill="1"/>
    <xf numFmtId="164" fontId="0" fillId="2" borderId="0" xfId="0" applyNumberFormat="1" applyFill="1"/>
    <xf numFmtId="0" fontId="2" fillId="0" borderId="0" xfId="0" applyFont="1" applyFill="1"/>
    <xf numFmtId="2" fontId="0" fillId="0" borderId="0" xfId="0" applyNumberFormat="1" applyFill="1"/>
    <xf numFmtId="164" fontId="3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200W@25c%20/%20derating%201.3%20C/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248E-1E2A-7943-A0DF-2A8AB9A95A27}">
  <dimension ref="A2:L27"/>
  <sheetViews>
    <sheetView workbookViewId="0">
      <selection activeCell="A15" sqref="A15:D19"/>
    </sheetView>
  </sheetViews>
  <sheetFormatPr baseColWidth="10" defaultRowHeight="16" x14ac:dyDescent="0.2"/>
  <cols>
    <col min="1" max="1" width="26.33203125" customWidth="1"/>
    <col min="3" max="3" width="14.83203125" customWidth="1"/>
    <col min="4" max="4" width="12.1640625" bestFit="1" customWidth="1"/>
  </cols>
  <sheetData>
    <row r="2" spans="1:11" x14ac:dyDescent="0.2">
      <c r="A2" t="s">
        <v>70</v>
      </c>
      <c r="B2">
        <v>60</v>
      </c>
      <c r="C2" t="s">
        <v>71</v>
      </c>
      <c r="D2" t="s">
        <v>144</v>
      </c>
    </row>
    <row r="3" spans="1:11" x14ac:dyDescent="0.2">
      <c r="A3" t="s">
        <v>68</v>
      </c>
      <c r="B3">
        <v>38</v>
      </c>
      <c r="C3" t="s">
        <v>63</v>
      </c>
      <c r="D3" t="s">
        <v>78</v>
      </c>
    </row>
    <row r="4" spans="1:11" x14ac:dyDescent="0.2">
      <c r="A4" t="s">
        <v>143</v>
      </c>
      <c r="B4" s="12">
        <v>88</v>
      </c>
      <c r="C4" t="s">
        <v>145</v>
      </c>
    </row>
    <row r="5" spans="1:11" x14ac:dyDescent="0.2">
      <c r="A5" t="s">
        <v>69</v>
      </c>
      <c r="B5">
        <v>240</v>
      </c>
      <c r="C5" t="s">
        <v>3</v>
      </c>
    </row>
    <row r="6" spans="1:11" x14ac:dyDescent="0.2">
      <c r="A6" t="s">
        <v>72</v>
      </c>
      <c r="B6">
        <v>3</v>
      </c>
      <c r="C6" t="s">
        <v>4</v>
      </c>
      <c r="E6" s="1"/>
    </row>
    <row r="7" spans="1:11" x14ac:dyDescent="0.2">
      <c r="A7" t="s">
        <v>73</v>
      </c>
      <c r="B7">
        <v>25</v>
      </c>
      <c r="C7" t="s">
        <v>6</v>
      </c>
    </row>
    <row r="8" spans="1:11" x14ac:dyDescent="0.2">
      <c r="A8" t="s">
        <v>74</v>
      </c>
      <c r="B8">
        <v>74</v>
      </c>
      <c r="C8" t="s">
        <v>4</v>
      </c>
      <c r="D8" s="2" t="s">
        <v>84</v>
      </c>
      <c r="E8" s="2"/>
    </row>
    <row r="9" spans="1:11" x14ac:dyDescent="0.2">
      <c r="B9">
        <v>4.4000000000000004</v>
      </c>
      <c r="C9" t="s">
        <v>82</v>
      </c>
      <c r="D9" s="2" t="s">
        <v>87</v>
      </c>
      <c r="E9" s="2"/>
    </row>
    <row r="10" spans="1:11" x14ac:dyDescent="0.2">
      <c r="B10">
        <v>5.4</v>
      </c>
      <c r="C10" t="s">
        <v>82</v>
      </c>
      <c r="D10" s="2" t="s">
        <v>83</v>
      </c>
      <c r="E10" s="2"/>
    </row>
    <row r="11" spans="1:11" x14ac:dyDescent="0.2">
      <c r="D11" s="2"/>
      <c r="E11" s="2"/>
    </row>
    <row r="12" spans="1:11" x14ac:dyDescent="0.2">
      <c r="A12" t="s">
        <v>85</v>
      </c>
      <c r="B12" s="2">
        <f>0.5*(B8*B8)*(B9*0.001)</f>
        <v>12.0472</v>
      </c>
      <c r="C12" t="s">
        <v>86</v>
      </c>
      <c r="D12" s="2" t="s">
        <v>88</v>
      </c>
      <c r="E12" s="2"/>
    </row>
    <row r="13" spans="1:11" x14ac:dyDescent="0.2">
      <c r="A13" t="s">
        <v>85</v>
      </c>
      <c r="B13" s="2">
        <f>0.5*(B8*B8)*(B10*0.001)</f>
        <v>14.785200000000001</v>
      </c>
      <c r="C13" t="s">
        <v>86</v>
      </c>
      <c r="D13" s="2" t="s">
        <v>89</v>
      </c>
      <c r="E13" s="2"/>
    </row>
    <row r="14" spans="1:11" x14ac:dyDescent="0.2">
      <c r="B14" s="2"/>
      <c r="D14" s="2"/>
      <c r="E14" s="2"/>
    </row>
    <row r="15" spans="1:11" x14ac:dyDescent="0.2">
      <c r="A15" s="5" t="s">
        <v>148</v>
      </c>
      <c r="B15" s="2"/>
      <c r="D15" s="2" t="s">
        <v>153</v>
      </c>
      <c r="E15" s="2"/>
    </row>
    <row r="16" spans="1:11" x14ac:dyDescent="0.2">
      <c r="A16" t="s">
        <v>75</v>
      </c>
      <c r="B16">
        <f>B6*1.35</f>
        <v>4.0500000000000007</v>
      </c>
      <c r="C16" t="s">
        <v>4</v>
      </c>
      <c r="D16" t="s">
        <v>76</v>
      </c>
      <c r="K16" s="3"/>
    </row>
    <row r="17" spans="1:12" x14ac:dyDescent="0.2">
      <c r="A17" t="s">
        <v>77</v>
      </c>
      <c r="B17">
        <f>B16+(B16*0.2)</f>
        <v>4.8600000000000012</v>
      </c>
      <c r="C17" t="s">
        <v>4</v>
      </c>
      <c r="D17" s="2" t="s">
        <v>93</v>
      </c>
      <c r="E17" s="8"/>
      <c r="F17" s="7"/>
      <c r="G17" s="7"/>
      <c r="H17" s="7"/>
      <c r="I17" s="7"/>
      <c r="J17" s="7"/>
      <c r="K17" s="7"/>
      <c r="L17" s="9"/>
    </row>
    <row r="18" spans="1:12" x14ac:dyDescent="0.2">
      <c r="A18" t="s">
        <v>79</v>
      </c>
      <c r="B18" t="s">
        <v>80</v>
      </c>
      <c r="D18" s="2" t="s">
        <v>81</v>
      </c>
      <c r="E18" s="8"/>
      <c r="F18" s="7"/>
      <c r="G18" s="7"/>
      <c r="H18" s="7"/>
      <c r="I18" s="7"/>
      <c r="J18" s="7"/>
      <c r="K18" s="7"/>
      <c r="L18" s="9"/>
    </row>
    <row r="19" spans="1:12" x14ac:dyDescent="0.2">
      <c r="A19" t="s">
        <v>90</v>
      </c>
      <c r="B19" t="s">
        <v>91</v>
      </c>
      <c r="C19" t="s">
        <v>132</v>
      </c>
      <c r="D19" s="2"/>
      <c r="E19" s="7"/>
      <c r="F19" s="7"/>
      <c r="G19" s="7"/>
      <c r="H19" s="7"/>
      <c r="I19" s="7"/>
      <c r="J19" s="7"/>
      <c r="K19" s="7"/>
      <c r="L19" s="7"/>
    </row>
    <row r="20" spans="1:12" x14ac:dyDescent="0.2"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5" t="s">
        <v>149</v>
      </c>
      <c r="D21" t="s">
        <v>152</v>
      </c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t="s">
        <v>150</v>
      </c>
      <c r="B22" s="2">
        <f>B2/B5*(1/(1-2*(1-B4/100)))</f>
        <v>0.32894736842105265</v>
      </c>
      <c r="C22" t="s">
        <v>4</v>
      </c>
      <c r="D22" s="2" t="s">
        <v>146</v>
      </c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t="s">
        <v>77</v>
      </c>
      <c r="B23" s="2">
        <f>B22+(B22*0.2)</f>
        <v>0.39473684210526316</v>
      </c>
      <c r="C23" t="s">
        <v>4</v>
      </c>
      <c r="D23" s="2" t="s">
        <v>93</v>
      </c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t="s">
        <v>147</v>
      </c>
      <c r="B24">
        <v>0.4</v>
      </c>
      <c r="C24" t="s">
        <v>4</v>
      </c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t="s">
        <v>151</v>
      </c>
      <c r="B25">
        <v>2.5</v>
      </c>
      <c r="C25" t="s">
        <v>4</v>
      </c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t="s">
        <v>79</v>
      </c>
      <c r="B26" t="s">
        <v>80</v>
      </c>
      <c r="D26" s="2" t="s">
        <v>81</v>
      </c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t="s">
        <v>90</v>
      </c>
      <c r="B27" t="s">
        <v>91</v>
      </c>
      <c r="C27" t="s">
        <v>132</v>
      </c>
      <c r="D27" s="2" t="s">
        <v>92</v>
      </c>
      <c r="E27" s="7"/>
      <c r="F27" s="7"/>
      <c r="G27" s="7"/>
      <c r="H27" s="7"/>
      <c r="I27" s="7"/>
      <c r="J27" s="7"/>
      <c r="K27" s="7"/>
      <c r="L27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7A73-CCC1-F441-8AF7-B840F66AF516}">
  <dimension ref="A2:D10"/>
  <sheetViews>
    <sheetView workbookViewId="0">
      <selection activeCell="C14" sqref="C14"/>
    </sheetView>
  </sheetViews>
  <sheetFormatPr baseColWidth="10" defaultRowHeight="16" x14ac:dyDescent="0.2"/>
  <cols>
    <col min="1" max="1" width="39.5" customWidth="1"/>
  </cols>
  <sheetData>
    <row r="2" spans="1:4" x14ac:dyDescent="0.2">
      <c r="A2" t="s">
        <v>94</v>
      </c>
      <c r="B2">
        <v>3</v>
      </c>
      <c r="C2" t="s">
        <v>4</v>
      </c>
    </row>
    <row r="3" spans="1:4" x14ac:dyDescent="0.2">
      <c r="A3" t="s">
        <v>95</v>
      </c>
      <c r="B3">
        <v>1</v>
      </c>
      <c r="C3" t="s">
        <v>3</v>
      </c>
    </row>
    <row r="4" spans="1:4" x14ac:dyDescent="0.2">
      <c r="A4" t="s">
        <v>96</v>
      </c>
      <c r="B4">
        <v>10</v>
      </c>
      <c r="C4" t="s">
        <v>82</v>
      </c>
      <c r="D4" t="s">
        <v>101</v>
      </c>
    </row>
    <row r="5" spans="1:4" x14ac:dyDescent="0.2">
      <c r="A5" t="s">
        <v>97</v>
      </c>
      <c r="B5">
        <f>(B2*(B4/1000)) / B3</f>
        <v>0.03</v>
      </c>
      <c r="C5" t="s">
        <v>98</v>
      </c>
      <c r="D5" t="s">
        <v>100</v>
      </c>
    </row>
    <row r="6" spans="1:4" x14ac:dyDescent="0.2">
      <c r="B6">
        <f>B5*1000000</f>
        <v>30000</v>
      </c>
      <c r="C6" t="s">
        <v>99</v>
      </c>
    </row>
    <row r="8" spans="1:4" x14ac:dyDescent="0.2">
      <c r="B8" t="s">
        <v>129</v>
      </c>
    </row>
    <row r="9" spans="1:4" x14ac:dyDescent="0.2">
      <c r="B9" t="s">
        <v>130</v>
      </c>
    </row>
    <row r="10" spans="1:4" x14ac:dyDescent="0.2">
      <c r="B10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539-5FBE-9C44-86F5-D584B883166E}">
  <dimension ref="A2:D26"/>
  <sheetViews>
    <sheetView workbookViewId="0">
      <selection activeCell="A2" sqref="A2:D23"/>
    </sheetView>
  </sheetViews>
  <sheetFormatPr baseColWidth="10" defaultRowHeight="16" x14ac:dyDescent="0.2"/>
  <sheetData>
    <row r="2" spans="1:4" x14ac:dyDescent="0.2">
      <c r="A2" t="s">
        <v>142</v>
      </c>
    </row>
    <row r="4" spans="1:4" x14ac:dyDescent="0.2">
      <c r="A4" t="s">
        <v>133</v>
      </c>
      <c r="B4">
        <v>10000</v>
      </c>
      <c r="C4" t="s">
        <v>63</v>
      </c>
      <c r="D4" t="s">
        <v>136</v>
      </c>
    </row>
    <row r="5" spans="1:4" x14ac:dyDescent="0.2">
      <c r="A5" t="s">
        <v>134</v>
      </c>
      <c r="B5">
        <v>10000</v>
      </c>
      <c r="C5" t="s">
        <v>63</v>
      </c>
    </row>
    <row r="6" spans="1:4" x14ac:dyDescent="0.2">
      <c r="A6" t="s">
        <v>0</v>
      </c>
      <c r="B6">
        <v>5</v>
      </c>
      <c r="C6" t="s">
        <v>3</v>
      </c>
    </row>
    <row r="7" spans="1:4" x14ac:dyDescent="0.2">
      <c r="A7" t="s">
        <v>1</v>
      </c>
      <c r="B7">
        <f>(B6*B5)/(B4+B5)</f>
        <v>2.5</v>
      </c>
      <c r="C7" t="s">
        <v>3</v>
      </c>
      <c r="D7" t="s">
        <v>135</v>
      </c>
    </row>
    <row r="8" spans="1:4" x14ac:dyDescent="0.2">
      <c r="A8" t="s">
        <v>32</v>
      </c>
      <c r="B8">
        <f>B6/(B5+B4)</f>
        <v>2.5000000000000001E-4</v>
      </c>
      <c r="C8" t="s">
        <v>4</v>
      </c>
    </row>
    <row r="9" spans="1:4" x14ac:dyDescent="0.2">
      <c r="A9" t="s">
        <v>137</v>
      </c>
      <c r="B9">
        <f>B7*B8</f>
        <v>6.2500000000000001E-4</v>
      </c>
      <c r="C9" t="s">
        <v>109</v>
      </c>
    </row>
    <row r="11" spans="1:4" x14ac:dyDescent="0.2">
      <c r="A11" t="s">
        <v>133</v>
      </c>
      <c r="B11">
        <v>688</v>
      </c>
      <c r="C11" t="s">
        <v>63</v>
      </c>
      <c r="D11" t="s">
        <v>138</v>
      </c>
    </row>
    <row r="12" spans="1:4" x14ac:dyDescent="0.2">
      <c r="A12" t="s">
        <v>134</v>
      </c>
      <c r="B12">
        <v>10000</v>
      </c>
      <c r="C12" t="s">
        <v>63</v>
      </c>
    </row>
    <row r="13" spans="1:4" x14ac:dyDescent="0.2">
      <c r="A13" t="s">
        <v>0</v>
      </c>
      <c r="B13">
        <v>5</v>
      </c>
      <c r="C13" t="s">
        <v>3</v>
      </c>
    </row>
    <row r="14" spans="1:4" x14ac:dyDescent="0.2">
      <c r="A14" t="s">
        <v>1</v>
      </c>
      <c r="B14">
        <f>(B13*B12)/(B11+B12)</f>
        <v>4.6781437125748502</v>
      </c>
      <c r="C14" t="s">
        <v>3</v>
      </c>
      <c r="D14" t="s">
        <v>135</v>
      </c>
    </row>
    <row r="15" spans="1:4" x14ac:dyDescent="0.2">
      <c r="A15" t="s">
        <v>32</v>
      </c>
      <c r="B15">
        <f>B13/(B12+B11)</f>
        <v>4.6781437125748503E-4</v>
      </c>
      <c r="C15" t="s">
        <v>4</v>
      </c>
    </row>
    <row r="16" spans="1:4" x14ac:dyDescent="0.2">
      <c r="A16" t="s">
        <v>137</v>
      </c>
      <c r="B16">
        <f>B14*B15</f>
        <v>2.1885028595503603E-3</v>
      </c>
      <c r="C16" t="s">
        <v>109</v>
      </c>
    </row>
    <row r="18" spans="1:4" x14ac:dyDescent="0.2">
      <c r="A18" t="s">
        <v>133</v>
      </c>
      <c r="B18">
        <v>196</v>
      </c>
      <c r="C18" t="s">
        <v>63</v>
      </c>
      <c r="D18" t="s">
        <v>139</v>
      </c>
    </row>
    <row r="19" spans="1:4" x14ac:dyDescent="0.2">
      <c r="A19" t="s">
        <v>134</v>
      </c>
      <c r="B19">
        <v>10000</v>
      </c>
      <c r="C19" t="s">
        <v>63</v>
      </c>
    </row>
    <row r="20" spans="1:4" x14ac:dyDescent="0.2">
      <c r="A20" t="s">
        <v>0</v>
      </c>
      <c r="B20">
        <v>5</v>
      </c>
      <c r="C20" t="s">
        <v>3</v>
      </c>
    </row>
    <row r="21" spans="1:4" x14ac:dyDescent="0.2">
      <c r="A21" t="s">
        <v>1</v>
      </c>
      <c r="B21">
        <f>(B20*B19)/(B18+B19)</f>
        <v>4.9038838760298153</v>
      </c>
      <c r="C21" t="s">
        <v>3</v>
      </c>
      <c r="D21" t="s">
        <v>135</v>
      </c>
    </row>
    <row r="22" spans="1:4" x14ac:dyDescent="0.2">
      <c r="A22" t="s">
        <v>32</v>
      </c>
      <c r="B22">
        <f>B20/(B19+B18)</f>
        <v>4.9038838760298153E-4</v>
      </c>
      <c r="C22" t="s">
        <v>4</v>
      </c>
    </row>
    <row r="23" spans="1:4" x14ac:dyDescent="0.2">
      <c r="A23" t="s">
        <v>137</v>
      </c>
      <c r="B23">
        <f>B21*B22</f>
        <v>2.4048077069585205E-3</v>
      </c>
      <c r="C23" t="s">
        <v>109</v>
      </c>
    </row>
    <row r="25" spans="1:4" x14ac:dyDescent="0.2">
      <c r="D25" t="s">
        <v>140</v>
      </c>
    </row>
    <row r="26" spans="1:4" x14ac:dyDescent="0.2">
      <c r="D26" t="s">
        <v>141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8E27-29D7-784A-BAEE-B48F27D1AF93}">
  <dimension ref="A1:O70"/>
  <sheetViews>
    <sheetView topLeftCell="A22" workbookViewId="0">
      <selection activeCell="I37" sqref="I37"/>
    </sheetView>
  </sheetViews>
  <sheetFormatPr baseColWidth="10" defaultRowHeight="16" x14ac:dyDescent="0.2"/>
  <cols>
    <col min="1" max="2" width="15.33203125" customWidth="1"/>
    <col min="3" max="3" width="16.33203125" customWidth="1"/>
    <col min="5" max="5" width="32.5" customWidth="1"/>
    <col min="9" max="9" width="22.33203125" customWidth="1"/>
  </cols>
  <sheetData>
    <row r="1" spans="1:14" x14ac:dyDescent="0.2">
      <c r="J1" s="5" t="s">
        <v>33</v>
      </c>
      <c r="K1" s="5" t="s">
        <v>36</v>
      </c>
      <c r="L1" s="5" t="s">
        <v>39</v>
      </c>
      <c r="M1" s="5" t="s">
        <v>59</v>
      </c>
      <c r="N1" s="5" t="s">
        <v>60</v>
      </c>
    </row>
    <row r="2" spans="1:14" x14ac:dyDescent="0.2">
      <c r="A2" t="s">
        <v>7</v>
      </c>
      <c r="B2" t="s">
        <v>17</v>
      </c>
      <c r="C2" t="s">
        <v>8</v>
      </c>
      <c r="D2" t="s">
        <v>5</v>
      </c>
      <c r="E2" t="s">
        <v>9</v>
      </c>
      <c r="F2">
        <v>125</v>
      </c>
      <c r="G2" t="s">
        <v>6</v>
      </c>
      <c r="I2" t="s">
        <v>0</v>
      </c>
      <c r="J2" s="1">
        <v>23.8</v>
      </c>
      <c r="K2" s="1">
        <v>23.8</v>
      </c>
      <c r="L2" s="1">
        <v>23.8</v>
      </c>
      <c r="M2" s="1">
        <v>23.8</v>
      </c>
      <c r="N2" s="1">
        <v>23.8</v>
      </c>
    </row>
    <row r="3" spans="1:14" x14ac:dyDescent="0.2">
      <c r="D3" t="s">
        <v>10</v>
      </c>
      <c r="E3" t="s">
        <v>11</v>
      </c>
      <c r="F3">
        <v>19</v>
      </c>
      <c r="G3" t="s">
        <v>24</v>
      </c>
      <c r="I3" t="s">
        <v>1</v>
      </c>
      <c r="J3" s="1">
        <v>5.0250000000000004</v>
      </c>
      <c r="K3" s="1">
        <v>5.0599999999999996</v>
      </c>
      <c r="L3" s="1">
        <v>5.0599999999999996</v>
      </c>
      <c r="M3" s="1">
        <v>5.0599999999999996</v>
      </c>
      <c r="N3" s="1">
        <v>5.0599999999999996</v>
      </c>
    </row>
    <row r="4" spans="1:14" x14ac:dyDescent="0.2">
      <c r="D4" t="s">
        <v>12</v>
      </c>
      <c r="E4" t="s">
        <v>16</v>
      </c>
      <c r="F4">
        <v>17</v>
      </c>
      <c r="G4" t="s">
        <v>24</v>
      </c>
      <c r="I4" t="s">
        <v>32</v>
      </c>
      <c r="J4" s="2">
        <v>1.0999999999999999E-2</v>
      </c>
      <c r="K4" s="2">
        <v>1.2E-2</v>
      </c>
      <c r="L4" s="2">
        <v>1.0999999999999999E-2</v>
      </c>
      <c r="M4" s="2">
        <v>1.4E-2</v>
      </c>
      <c r="N4" s="2">
        <v>1.4E-2</v>
      </c>
    </row>
    <row r="5" spans="1:14" x14ac:dyDescent="0.2">
      <c r="I5" t="s">
        <v>40</v>
      </c>
      <c r="J5" s="2">
        <f>ABS((J2-J3)*J4)</f>
        <v>0.20652499999999996</v>
      </c>
      <c r="K5" s="2">
        <f>ABS((K2-K3)*K4)</f>
        <v>0.22488000000000002</v>
      </c>
      <c r="L5" s="2">
        <f>ABS((L2-L3)*L4)</f>
        <v>0.20614000000000002</v>
      </c>
      <c r="M5" s="2">
        <f t="shared" ref="M5:N5" si="0">ABS((M2-M3)*M4)</f>
        <v>0.26236000000000004</v>
      </c>
      <c r="N5" s="2">
        <f t="shared" si="0"/>
        <v>0.26236000000000004</v>
      </c>
    </row>
    <row r="6" spans="1:14" x14ac:dyDescent="0.2">
      <c r="H6" t="s">
        <v>41</v>
      </c>
      <c r="I6" t="s">
        <v>42</v>
      </c>
      <c r="J6" s="10">
        <f>J5*$F$3+$B$59</f>
        <v>28.923974999999999</v>
      </c>
      <c r="K6" s="10">
        <f>K5*$F$3+$B$59</f>
        <v>29.27272</v>
      </c>
      <c r="L6" s="10">
        <f>L5*$F$3+$B$59</f>
        <v>28.91666</v>
      </c>
      <c r="M6" s="10">
        <f>M5*$F$3+$B$59</f>
        <v>29.984840000000002</v>
      </c>
      <c r="N6" s="10">
        <f>N5*$F$3+$B$59</f>
        <v>29.984840000000002</v>
      </c>
    </row>
    <row r="7" spans="1:14" x14ac:dyDescent="0.2">
      <c r="H7" t="s">
        <v>44</v>
      </c>
      <c r="I7" t="s">
        <v>56</v>
      </c>
      <c r="J7" s="1">
        <f>J5*($F$4+$B$64)+$B$59</f>
        <v>33.880575</v>
      </c>
      <c r="K7" s="1">
        <f>K5*($F$4+$B$64)+$B$59</f>
        <v>34.669840000000001</v>
      </c>
      <c r="L7" s="1">
        <f>L5*($F$4+$B$64)+$B$59</f>
        <v>33.864019999999996</v>
      </c>
      <c r="M7" s="1">
        <f>M5*($F$4+$B$64)+$B$59</f>
        <v>36.281480000000002</v>
      </c>
      <c r="N7" s="1">
        <f>N5*($F$4+$B$64)+$B$59</f>
        <v>36.281480000000002</v>
      </c>
    </row>
    <row r="8" spans="1:14" x14ac:dyDescent="0.2">
      <c r="H8" t="s">
        <v>48</v>
      </c>
      <c r="I8" t="s">
        <v>56</v>
      </c>
      <c r="J8" s="1">
        <f>J5*($F$4+$B$65)+$B$59</f>
        <v>32.847949999999997</v>
      </c>
      <c r="K8" s="1">
        <f>K5*($F$4+$B$65)+$B$59</f>
        <v>33.545439999999999</v>
      </c>
      <c r="L8" s="1">
        <f>L5*($F$4+$B$65)+$B$59</f>
        <v>32.833320000000001</v>
      </c>
      <c r="M8" s="1">
        <f>M5*($F$4+$B$65)+$B$59</f>
        <v>34.969680000000004</v>
      </c>
      <c r="N8" s="1">
        <f>N5*($F$4+$B$65)+$B$59</f>
        <v>34.969680000000004</v>
      </c>
    </row>
    <row r="9" spans="1:14" x14ac:dyDescent="0.2">
      <c r="H9" t="s">
        <v>49</v>
      </c>
      <c r="I9" t="s">
        <v>56</v>
      </c>
      <c r="J9" s="1">
        <f>J5*($F$4+$B$66)+$B$59</f>
        <v>31.608799999999999</v>
      </c>
      <c r="K9" s="1">
        <f>K5*($F$4+$B$66)+$B$59</f>
        <v>32.196159999999999</v>
      </c>
      <c r="L9" s="1">
        <f>L5*($F$4+$B$66)+$B$59</f>
        <v>31.59648</v>
      </c>
      <c r="M9" s="1">
        <f>M5*($F$4+$B$66)+$B$59</f>
        <v>33.395520000000005</v>
      </c>
      <c r="N9" s="1">
        <f>N5*($F$4+$B$66)+$B$59</f>
        <v>33.395520000000005</v>
      </c>
    </row>
    <row r="10" spans="1:14" x14ac:dyDescent="0.2">
      <c r="J10" s="1"/>
      <c r="K10" s="1"/>
      <c r="L10" s="1"/>
      <c r="M10" s="1"/>
      <c r="N10" s="1"/>
    </row>
    <row r="11" spans="1:14" x14ac:dyDescent="0.2">
      <c r="A11" t="s">
        <v>207</v>
      </c>
      <c r="B11" t="s">
        <v>208</v>
      </c>
      <c r="C11" t="s">
        <v>209</v>
      </c>
      <c r="D11" t="s">
        <v>5</v>
      </c>
      <c r="E11" t="s">
        <v>15</v>
      </c>
      <c r="F11">
        <v>125</v>
      </c>
      <c r="G11" t="s">
        <v>6</v>
      </c>
      <c r="J11" s="21" t="s">
        <v>33</v>
      </c>
      <c r="K11" s="21" t="s">
        <v>36</v>
      </c>
      <c r="L11" s="21" t="s">
        <v>39</v>
      </c>
      <c r="M11" s="21" t="s">
        <v>59</v>
      </c>
      <c r="N11" s="21" t="s">
        <v>60</v>
      </c>
    </row>
    <row r="12" spans="1:14" x14ac:dyDescent="0.2">
      <c r="D12" t="s">
        <v>10</v>
      </c>
      <c r="E12" t="s">
        <v>11</v>
      </c>
      <c r="F12">
        <v>24</v>
      </c>
      <c r="G12" t="s">
        <v>24</v>
      </c>
      <c r="I12" t="s">
        <v>0</v>
      </c>
      <c r="J12" s="1">
        <v>23.8</v>
      </c>
      <c r="K12" s="1">
        <v>23.8</v>
      </c>
      <c r="L12" s="1">
        <v>23.8</v>
      </c>
      <c r="M12" s="1">
        <v>23.8</v>
      </c>
      <c r="N12" s="1">
        <v>23.8</v>
      </c>
    </row>
    <row r="13" spans="1:14" x14ac:dyDescent="0.2">
      <c r="D13" t="s">
        <v>12</v>
      </c>
      <c r="E13" t="s">
        <v>16</v>
      </c>
      <c r="F13">
        <v>15</v>
      </c>
      <c r="G13" t="s">
        <v>24</v>
      </c>
      <c r="I13" t="s">
        <v>1</v>
      </c>
      <c r="J13" s="1">
        <v>1.4</v>
      </c>
      <c r="K13" s="1">
        <v>15.32</v>
      </c>
      <c r="L13" s="1">
        <v>15.32</v>
      </c>
      <c r="M13" s="1">
        <v>15.32</v>
      </c>
      <c r="N13" s="1">
        <v>1.28</v>
      </c>
    </row>
    <row r="14" spans="1:14" x14ac:dyDescent="0.2">
      <c r="I14" t="s">
        <v>32</v>
      </c>
      <c r="J14" s="2">
        <v>1.4E-3</v>
      </c>
      <c r="K14" s="2">
        <v>1.4E-3</v>
      </c>
      <c r="L14" s="2">
        <v>1.4E-3</v>
      </c>
      <c r="M14" s="2">
        <v>1.4E-3</v>
      </c>
      <c r="N14" s="2">
        <v>1.4E-3</v>
      </c>
    </row>
    <row r="15" spans="1:14" x14ac:dyDescent="0.2">
      <c r="I15" t="s">
        <v>40</v>
      </c>
      <c r="J15" s="1">
        <f>(J12-J13)*J14</f>
        <v>3.1360000000000006E-2</v>
      </c>
      <c r="K15" s="1">
        <f>(K12-K13)*K14</f>
        <v>1.1872000000000001E-2</v>
      </c>
      <c r="L15" s="1">
        <f>(L12-L13)*L14</f>
        <v>1.1872000000000001E-2</v>
      </c>
      <c r="M15" s="1">
        <f>(M12-M13)*M14</f>
        <v>1.1872000000000001E-2</v>
      </c>
      <c r="N15" s="1">
        <f>(N12-N13)*N14</f>
        <v>3.1528E-2</v>
      </c>
    </row>
    <row r="16" spans="1:14" x14ac:dyDescent="0.2">
      <c r="H16" t="s">
        <v>41</v>
      </c>
      <c r="I16" t="s">
        <v>42</v>
      </c>
      <c r="J16" s="10">
        <f>J15*F12+B59</f>
        <v>25.75264</v>
      </c>
      <c r="K16" s="10">
        <f>K15*F12+B59</f>
        <v>25.284928000000001</v>
      </c>
      <c r="L16" s="10">
        <f>L15*F12+B59</f>
        <v>25.284928000000001</v>
      </c>
      <c r="M16" s="10">
        <f>M15*F12+B59</f>
        <v>25.284928000000001</v>
      </c>
      <c r="N16" s="10">
        <f>N15*F12+B59</f>
        <v>25.756672000000002</v>
      </c>
    </row>
    <row r="17" spans="1:14" x14ac:dyDescent="0.2">
      <c r="J17" s="1"/>
      <c r="K17" s="1"/>
      <c r="L17" s="1"/>
      <c r="M17" s="1"/>
      <c r="N17" s="1"/>
    </row>
    <row r="18" spans="1:14" x14ac:dyDescent="0.2">
      <c r="J18" s="1"/>
      <c r="K18" s="1"/>
      <c r="L18" s="1"/>
      <c r="M18" s="1"/>
      <c r="N18" s="1"/>
    </row>
    <row r="21" spans="1:14" x14ac:dyDescent="0.2">
      <c r="J21" s="5" t="s">
        <v>33</v>
      </c>
      <c r="K21" s="5" t="s">
        <v>36</v>
      </c>
      <c r="L21" s="5" t="s">
        <v>39</v>
      </c>
      <c r="M21" s="5" t="s">
        <v>59</v>
      </c>
      <c r="N21" s="5" t="s">
        <v>60</v>
      </c>
    </row>
    <row r="22" spans="1:14" x14ac:dyDescent="0.2">
      <c r="A22" t="s">
        <v>13</v>
      </c>
      <c r="B22" t="s">
        <v>17</v>
      </c>
      <c r="C22" t="s">
        <v>14</v>
      </c>
      <c r="D22" t="s">
        <v>5</v>
      </c>
      <c r="E22" t="s">
        <v>15</v>
      </c>
      <c r="F22">
        <v>125</v>
      </c>
      <c r="G22" t="s">
        <v>24</v>
      </c>
      <c r="I22" t="s">
        <v>0</v>
      </c>
      <c r="J22" s="1">
        <v>2.93</v>
      </c>
      <c r="K22" s="1">
        <v>16.21</v>
      </c>
      <c r="L22" s="1">
        <v>15.72</v>
      </c>
      <c r="M22" s="1">
        <v>17.18</v>
      </c>
      <c r="N22" s="1">
        <v>2.9</v>
      </c>
    </row>
    <row r="23" spans="1:14" x14ac:dyDescent="0.2">
      <c r="D23" t="s">
        <v>10</v>
      </c>
      <c r="E23" t="s">
        <v>11</v>
      </c>
      <c r="F23">
        <v>40</v>
      </c>
      <c r="G23" t="s">
        <v>24</v>
      </c>
      <c r="I23" t="s">
        <v>1</v>
      </c>
      <c r="J23" s="1">
        <v>1.04</v>
      </c>
      <c r="K23" s="1">
        <v>15.19</v>
      </c>
      <c r="L23" s="1">
        <v>15.47</v>
      </c>
      <c r="M23" s="1">
        <v>15.38</v>
      </c>
      <c r="N23" s="1">
        <v>1</v>
      </c>
    </row>
    <row r="24" spans="1:14" x14ac:dyDescent="0.2">
      <c r="D24" t="s">
        <v>12</v>
      </c>
      <c r="E24" t="s">
        <v>16</v>
      </c>
      <c r="F24">
        <v>1.5</v>
      </c>
      <c r="G24" t="s">
        <v>24</v>
      </c>
      <c r="I24" t="s">
        <v>32</v>
      </c>
      <c r="J24" s="1">
        <f>-1.53</f>
        <v>-1.53</v>
      </c>
      <c r="K24" s="1">
        <f>-1.47</f>
        <v>-1.47</v>
      </c>
      <c r="L24" s="1">
        <f>-0.264</f>
        <v>-0.26400000000000001</v>
      </c>
      <c r="M24" s="1">
        <v>0.78300000000000003</v>
      </c>
      <c r="N24" s="1">
        <v>0.25600000000000001</v>
      </c>
    </row>
    <row r="25" spans="1:14" x14ac:dyDescent="0.2">
      <c r="I25" t="s">
        <v>40</v>
      </c>
      <c r="J25" s="1">
        <f>ABS((J22-J23)*J24)</f>
        <v>2.8917000000000002</v>
      </c>
      <c r="K25" s="1">
        <f t="shared" ref="K25:L25" si="1">ABS((K22-K23)*K24)</f>
        <v>1.4994000000000021</v>
      </c>
      <c r="L25" s="1">
        <f t="shared" si="1"/>
        <v>6.6000000000000003E-2</v>
      </c>
      <c r="M25" s="1">
        <f t="shared" ref="M25:N25" si="2">ABS((M22-M23)*M24)</f>
        <v>1.4093999999999993</v>
      </c>
      <c r="N25" s="1">
        <f t="shared" si="2"/>
        <v>0.4864</v>
      </c>
    </row>
    <row r="26" spans="1:14" x14ac:dyDescent="0.2">
      <c r="H26" t="s">
        <v>41</v>
      </c>
      <c r="I26" t="s">
        <v>42</v>
      </c>
      <c r="J26" s="1">
        <f>J25*$F$23+$B$59</f>
        <v>140.66800000000001</v>
      </c>
      <c r="K26" s="1">
        <f>K25*$F$23+$B$59</f>
        <v>84.976000000000084</v>
      </c>
      <c r="L26" s="1">
        <f>L25*$F$23+$B$59</f>
        <v>27.64</v>
      </c>
      <c r="M26" s="1">
        <f>M25*$F$23+$B$59</f>
        <v>81.375999999999976</v>
      </c>
      <c r="N26" s="1">
        <f>N25*$F$23+$B$59</f>
        <v>44.456000000000003</v>
      </c>
    </row>
    <row r="27" spans="1:14" x14ac:dyDescent="0.2">
      <c r="H27" t="s">
        <v>44</v>
      </c>
      <c r="I27" t="s">
        <v>56</v>
      </c>
      <c r="J27" s="1">
        <f>J25*($F$24+$B$64)+$B$59</f>
        <v>104.52175</v>
      </c>
      <c r="K27" s="1">
        <f>K25*($F$24+$B$64)+$B$59</f>
        <v>66.233500000000049</v>
      </c>
      <c r="L27" s="1">
        <f>L25*($F$24+$B$64)+$B$59</f>
        <v>26.815000000000001</v>
      </c>
      <c r="M27" s="1">
        <f>M25*($F$24+$B$64)+$B$59</f>
        <v>63.758499999999984</v>
      </c>
      <c r="N27" s="1">
        <f>N25*($F$24+$B$64)+$B$59</f>
        <v>38.375999999999998</v>
      </c>
    </row>
    <row r="28" spans="1:14" x14ac:dyDescent="0.2">
      <c r="H28" t="s">
        <v>48</v>
      </c>
      <c r="I28" t="s">
        <v>56</v>
      </c>
      <c r="J28" s="1">
        <f>J25*($F$24+$B$65)+$B$59</f>
        <v>90.063250000000011</v>
      </c>
      <c r="K28" s="1">
        <f>K25*($F$24+$B$65)+$B$59</f>
        <v>58.736500000000049</v>
      </c>
      <c r="L28" s="1">
        <f>L25*($F$24+$B$65)+$B$59</f>
        <v>26.484999999999999</v>
      </c>
      <c r="M28" s="1">
        <f>M25*($F$24+$B$65)+$B$59</f>
        <v>56.711499999999987</v>
      </c>
      <c r="N28" s="1">
        <f>N25*($F$24+$B$65)+$B$59</f>
        <v>35.944000000000003</v>
      </c>
    </row>
    <row r="29" spans="1:14" x14ac:dyDescent="0.2">
      <c r="H29" t="s">
        <v>49</v>
      </c>
      <c r="I29" t="s">
        <v>56</v>
      </c>
      <c r="J29" s="13">
        <f>J25*($F$24+$B$66)+$B$59</f>
        <v>72.71305000000001</v>
      </c>
      <c r="K29" s="10">
        <f>K25*($F$24+$B$66)+$B$59</f>
        <v>49.740100000000034</v>
      </c>
      <c r="L29" s="10">
        <f>L25*($F$24+$B$66)+$B$59</f>
        <v>26.088999999999999</v>
      </c>
      <c r="M29" s="10">
        <f>M25*($F$24+$B$66)+$B$59</f>
        <v>48.255099999999985</v>
      </c>
      <c r="N29" s="10">
        <f>N25*($F$24+$B$66)+$B$59</f>
        <v>33.025599999999997</v>
      </c>
    </row>
    <row r="30" spans="1:14" x14ac:dyDescent="0.2">
      <c r="H30" t="s">
        <v>54</v>
      </c>
      <c r="I30" t="s">
        <v>56</v>
      </c>
      <c r="J30" s="10">
        <f>J25*($F$24+$B$67)+$B$59</f>
        <v>54.20617</v>
      </c>
      <c r="K30" s="10">
        <f>K25*($F$24+$B$67)+$B$59</f>
        <v>40.143940000000022</v>
      </c>
      <c r="L30" s="10">
        <f>L25*($F$24+$B$67)+$B$59</f>
        <v>25.666599999999999</v>
      </c>
      <c r="M30" s="10">
        <f>M25*($F$24+$B$67)+$B$59</f>
        <v>39.234939999999995</v>
      </c>
      <c r="N30" s="10">
        <f>N25*($F$24+$B$67)+$B$59</f>
        <v>29.91264</v>
      </c>
    </row>
    <row r="32" spans="1:14" x14ac:dyDescent="0.2">
      <c r="J32" s="5" t="s">
        <v>112</v>
      </c>
      <c r="K32" s="5"/>
      <c r="L32" s="5"/>
      <c r="M32" s="5" t="s">
        <v>116</v>
      </c>
    </row>
    <row r="33" spans="1:15" x14ac:dyDescent="0.2">
      <c r="A33" t="s">
        <v>18</v>
      </c>
      <c r="B33" t="s">
        <v>17</v>
      </c>
      <c r="C33" t="s">
        <v>19</v>
      </c>
      <c r="D33" t="s">
        <v>5</v>
      </c>
      <c r="E33" t="s">
        <v>15</v>
      </c>
      <c r="F33">
        <v>175</v>
      </c>
      <c r="G33" t="s">
        <v>6</v>
      </c>
      <c r="I33" t="s">
        <v>1</v>
      </c>
      <c r="J33" s="1">
        <v>15</v>
      </c>
      <c r="K33" s="1"/>
      <c r="N33">
        <f>(J33+F42)/(F41+F42)</f>
        <v>0.63265306122448983</v>
      </c>
      <c r="O33" t="s">
        <v>106</v>
      </c>
    </row>
    <row r="34" spans="1:15" x14ac:dyDescent="0.2">
      <c r="D34" t="s">
        <v>10</v>
      </c>
      <c r="E34" t="s">
        <v>11</v>
      </c>
      <c r="F34">
        <v>62</v>
      </c>
      <c r="G34" t="s">
        <v>24</v>
      </c>
      <c r="I34" t="s">
        <v>103</v>
      </c>
      <c r="J34" s="1">
        <v>3</v>
      </c>
      <c r="K34" s="1"/>
      <c r="N34">
        <f>J34^2</f>
        <v>9</v>
      </c>
      <c r="O34" t="s">
        <v>117</v>
      </c>
    </row>
    <row r="35" spans="1:15" x14ac:dyDescent="0.2">
      <c r="D35" t="s">
        <v>12</v>
      </c>
      <c r="E35" t="s">
        <v>16</v>
      </c>
      <c r="F35">
        <v>0.75</v>
      </c>
      <c r="G35" t="s">
        <v>24</v>
      </c>
      <c r="J35" s="1"/>
      <c r="K35" s="1"/>
      <c r="N35">
        <f>(1+(F45*F43))*F38</f>
        <v>9.0000000000000011E-3</v>
      </c>
      <c r="O35" t="s">
        <v>120</v>
      </c>
    </row>
    <row r="36" spans="1:15" x14ac:dyDescent="0.2">
      <c r="D36" t="s">
        <v>20</v>
      </c>
      <c r="E36" t="s">
        <v>21</v>
      </c>
      <c r="F36">
        <v>0.5</v>
      </c>
      <c r="G36" t="s">
        <v>24</v>
      </c>
      <c r="I36" t="s">
        <v>210</v>
      </c>
      <c r="J36" s="2">
        <f>(N33*N34*N35)+(N36*N37)</f>
        <v>0.16442354852564398</v>
      </c>
      <c r="K36" s="2"/>
      <c r="N36">
        <f>F44*(F41^1.85)</f>
        <v>893.98618140963913</v>
      </c>
      <c r="O36" t="s">
        <v>118</v>
      </c>
    </row>
    <row r="37" spans="1:15" x14ac:dyDescent="0.2">
      <c r="D37" t="s">
        <v>64</v>
      </c>
      <c r="E37" s="4" t="s">
        <v>65</v>
      </c>
      <c r="H37" t="s">
        <v>41</v>
      </c>
      <c r="I37" t="s">
        <v>42</v>
      </c>
      <c r="J37" s="10">
        <f>J36*$F$34+$B$59</f>
        <v>35.194260008589929</v>
      </c>
      <c r="K37" s="1"/>
      <c r="N37">
        <f>J34*F39*F40</f>
        <v>1.2659999999999999E-4</v>
      </c>
      <c r="O37" t="s">
        <v>119</v>
      </c>
    </row>
    <row r="38" spans="1:15" x14ac:dyDescent="0.2">
      <c r="D38" t="s">
        <v>2</v>
      </c>
      <c r="F38">
        <v>8.0000000000000002E-3</v>
      </c>
      <c r="G38" t="s">
        <v>63</v>
      </c>
      <c r="H38" t="s">
        <v>44</v>
      </c>
      <c r="I38" t="s">
        <v>55</v>
      </c>
      <c r="J38" s="10">
        <f>J36*($F$35+$F$36+$B$64)+$B$59</f>
        <v>29.480541697323797</v>
      </c>
      <c r="K38" s="1"/>
    </row>
    <row r="39" spans="1:15" x14ac:dyDescent="0.2">
      <c r="D39" t="s">
        <v>105</v>
      </c>
      <c r="F39">
        <f>211*0.000000000001</f>
        <v>2.11E-10</v>
      </c>
      <c r="G39" t="s">
        <v>98</v>
      </c>
      <c r="H39" t="s">
        <v>48</v>
      </c>
      <c r="I39" t="s">
        <v>55</v>
      </c>
      <c r="J39" s="10">
        <f>J36*($F$35+$F$36+$B$65)+$B$59</f>
        <v>28.658423954695579</v>
      </c>
      <c r="K39" s="1"/>
      <c r="M39" t="s">
        <v>121</v>
      </c>
      <c r="N39" t="s">
        <v>122</v>
      </c>
    </row>
    <row r="40" spans="1:15" x14ac:dyDescent="0.2">
      <c r="D40" t="s">
        <v>66</v>
      </c>
      <c r="F40">
        <v>200000</v>
      </c>
      <c r="G40" t="s">
        <v>107</v>
      </c>
      <c r="H40" t="s">
        <v>49</v>
      </c>
      <c r="I40" t="s">
        <v>55</v>
      </c>
      <c r="J40" s="10">
        <f>J36*($F$35+$F$36+$B$66)+$B$59</f>
        <v>27.671882663541716</v>
      </c>
      <c r="K40" s="19"/>
      <c r="L40" s="7"/>
      <c r="M40" s="7"/>
      <c r="N40" s="7" t="s">
        <v>123</v>
      </c>
    </row>
    <row r="41" spans="1:15" x14ac:dyDescent="0.2">
      <c r="D41" t="s">
        <v>0</v>
      </c>
      <c r="F41">
        <v>24</v>
      </c>
      <c r="G41" t="s">
        <v>3</v>
      </c>
      <c r="H41" t="s">
        <v>54</v>
      </c>
      <c r="I41" t="s">
        <v>55</v>
      </c>
      <c r="J41" s="10">
        <f>J36*($F$35+$F$36+$B$67)+$B$59</f>
        <v>26.619571952977594</v>
      </c>
      <c r="K41" s="19"/>
      <c r="L41" s="7"/>
      <c r="M41" s="7"/>
      <c r="N41" s="7" t="s">
        <v>124</v>
      </c>
    </row>
    <row r="42" spans="1:15" x14ac:dyDescent="0.2">
      <c r="D42" t="s">
        <v>102</v>
      </c>
      <c r="E42" t="s">
        <v>110</v>
      </c>
      <c r="F42">
        <v>0.5</v>
      </c>
      <c r="G42" t="s">
        <v>3</v>
      </c>
      <c r="H42" t="s">
        <v>61</v>
      </c>
      <c r="I42" t="s">
        <v>55</v>
      </c>
      <c r="J42" s="10">
        <f>J36*($F$35+$F$36+$B$68)+$B$59</f>
        <v>26.884293866103881</v>
      </c>
      <c r="K42" s="19"/>
      <c r="L42" s="7"/>
      <c r="M42" s="7"/>
      <c r="N42" s="7" t="s">
        <v>125</v>
      </c>
    </row>
    <row r="43" spans="1:15" x14ac:dyDescent="0.2">
      <c r="D43" t="s">
        <v>111</v>
      </c>
      <c r="E43" t="s">
        <v>114</v>
      </c>
      <c r="F43">
        <v>25</v>
      </c>
      <c r="G43" t="s">
        <v>6</v>
      </c>
      <c r="J43" s="7"/>
      <c r="K43" s="7"/>
      <c r="L43" s="7"/>
      <c r="M43" s="7"/>
      <c r="N43" s="7" t="s">
        <v>126</v>
      </c>
    </row>
    <row r="44" spans="1:15" x14ac:dyDescent="0.2">
      <c r="D44" t="s">
        <v>104</v>
      </c>
      <c r="E44" t="s">
        <v>108</v>
      </c>
      <c r="F44">
        <v>2.5</v>
      </c>
      <c r="J44" s="7"/>
      <c r="K44" s="7"/>
      <c r="L44" s="7"/>
      <c r="M44" s="7"/>
      <c r="N44" s="7"/>
    </row>
    <row r="45" spans="1:15" x14ac:dyDescent="0.2">
      <c r="D45" t="s">
        <v>174</v>
      </c>
      <c r="E45" t="s">
        <v>115</v>
      </c>
      <c r="F45">
        <v>5.0000000000000001E-3</v>
      </c>
      <c r="J45" s="7"/>
      <c r="K45" s="7"/>
      <c r="L45" s="7"/>
      <c r="N45" s="7"/>
    </row>
    <row r="46" spans="1:15" x14ac:dyDescent="0.2">
      <c r="J46" s="18" t="s">
        <v>113</v>
      </c>
      <c r="K46" s="7"/>
      <c r="L46" s="7"/>
      <c r="M46" s="7" t="s">
        <v>127</v>
      </c>
      <c r="N46" s="7"/>
    </row>
    <row r="47" spans="1:15" x14ac:dyDescent="0.2">
      <c r="A47" t="s">
        <v>177</v>
      </c>
      <c r="B47" t="s">
        <v>178</v>
      </c>
      <c r="C47" t="s">
        <v>179</v>
      </c>
      <c r="D47" t="s">
        <v>169</v>
      </c>
      <c r="E47" t="s">
        <v>72</v>
      </c>
      <c r="F47">
        <v>3</v>
      </c>
      <c r="G47" t="s">
        <v>4</v>
      </c>
      <c r="I47" t="s">
        <v>0</v>
      </c>
      <c r="J47">
        <v>24</v>
      </c>
      <c r="K47" s="7"/>
      <c r="L47" s="7"/>
      <c r="M47" s="7"/>
      <c r="N47" s="7"/>
    </row>
    <row r="48" spans="1:15" x14ac:dyDescent="0.2">
      <c r="D48" t="s">
        <v>102</v>
      </c>
      <c r="E48" t="s">
        <v>25</v>
      </c>
      <c r="F48">
        <v>0.5</v>
      </c>
      <c r="G48" t="s">
        <v>3</v>
      </c>
      <c r="I48" t="s">
        <v>40</v>
      </c>
      <c r="J48" s="2">
        <f>F47 * (F48 * (F49/(J47+F48)))</f>
        <v>1.4693877551020407</v>
      </c>
      <c r="K48" s="7"/>
      <c r="L48" s="7"/>
      <c r="M48" s="7"/>
      <c r="N48" s="7"/>
    </row>
    <row r="49" spans="1:15" x14ac:dyDescent="0.2">
      <c r="D49" t="s">
        <v>0</v>
      </c>
      <c r="F49">
        <v>24</v>
      </c>
      <c r="G49" t="s">
        <v>3</v>
      </c>
      <c r="H49" t="s">
        <v>41</v>
      </c>
      <c r="I49" t="s">
        <v>182</v>
      </c>
      <c r="J49" s="17">
        <f>$J$48*$F$50+$B$59</f>
        <v>41.163265306122447</v>
      </c>
      <c r="K49" s="7"/>
      <c r="L49" s="7"/>
      <c r="M49" s="7"/>
      <c r="N49" s="7"/>
    </row>
    <row r="50" spans="1:15" x14ac:dyDescent="0.2">
      <c r="D50" t="s">
        <v>180</v>
      </c>
      <c r="E50" t="s">
        <v>181</v>
      </c>
      <c r="F50">
        <v>11</v>
      </c>
      <c r="G50" t="s">
        <v>24</v>
      </c>
      <c r="J50" s="2"/>
      <c r="K50" s="7"/>
      <c r="L50" s="7"/>
      <c r="M50" s="7"/>
      <c r="N50" s="7"/>
    </row>
    <row r="51" spans="1:15" x14ac:dyDescent="0.2">
      <c r="D51" t="s">
        <v>5</v>
      </c>
      <c r="E51" t="s">
        <v>15</v>
      </c>
      <c r="F51">
        <v>150</v>
      </c>
      <c r="G51" t="s">
        <v>6</v>
      </c>
    </row>
    <row r="52" spans="1:15" x14ac:dyDescent="0.2">
      <c r="J52" s="5" t="s">
        <v>33</v>
      </c>
      <c r="K52" s="5" t="s">
        <v>36</v>
      </c>
      <c r="L52" s="5" t="s">
        <v>39</v>
      </c>
      <c r="M52" s="5" t="s">
        <v>59</v>
      </c>
      <c r="N52" s="5" t="s">
        <v>60</v>
      </c>
      <c r="O52" s="5"/>
    </row>
    <row r="53" spans="1:15" x14ac:dyDescent="0.2">
      <c r="A53" t="s">
        <v>22</v>
      </c>
      <c r="B53" t="s">
        <v>28</v>
      </c>
      <c r="C53" t="s">
        <v>23</v>
      </c>
      <c r="D53" t="s">
        <v>5</v>
      </c>
      <c r="E53" t="s">
        <v>15</v>
      </c>
      <c r="F53">
        <v>150</v>
      </c>
      <c r="G53" t="s">
        <v>6</v>
      </c>
      <c r="I53" t="s">
        <v>32</v>
      </c>
      <c r="J53">
        <v>3</v>
      </c>
      <c r="K53">
        <f>J53</f>
        <v>3</v>
      </c>
      <c r="L53">
        <v>0.5</v>
      </c>
      <c r="M53">
        <v>1.5</v>
      </c>
      <c r="N53">
        <v>0.5</v>
      </c>
    </row>
    <row r="54" spans="1:15" x14ac:dyDescent="0.2">
      <c r="D54" t="s">
        <v>29</v>
      </c>
      <c r="E54" t="s">
        <v>11</v>
      </c>
      <c r="F54">
        <v>7</v>
      </c>
      <c r="G54" t="s">
        <v>24</v>
      </c>
      <c r="I54" t="s">
        <v>40</v>
      </c>
      <c r="J54">
        <f>$F$56*2*J53</f>
        <v>5.4</v>
      </c>
      <c r="K54">
        <f>$F$56*2*K53</f>
        <v>5.4</v>
      </c>
      <c r="L54">
        <f>$F$56*2*L53</f>
        <v>0.9</v>
      </c>
      <c r="M54">
        <f>$F$56*2*M53</f>
        <v>2.7</v>
      </c>
      <c r="N54">
        <f>$F$56*2*N53</f>
        <v>0.9</v>
      </c>
    </row>
    <row r="55" spans="1:15" x14ac:dyDescent="0.2">
      <c r="D55" t="s">
        <v>30</v>
      </c>
      <c r="E55" t="s">
        <v>16</v>
      </c>
      <c r="F55">
        <v>2</v>
      </c>
      <c r="G55" t="s">
        <v>24</v>
      </c>
      <c r="H55" t="s">
        <v>41</v>
      </c>
      <c r="I55" t="s">
        <v>42</v>
      </c>
    </row>
    <row r="56" spans="1:15" x14ac:dyDescent="0.2">
      <c r="D56" t="s">
        <v>27</v>
      </c>
      <c r="E56" t="s">
        <v>25</v>
      </c>
      <c r="F56">
        <v>0.9</v>
      </c>
      <c r="G56" t="s">
        <v>26</v>
      </c>
      <c r="H56" t="s">
        <v>44</v>
      </c>
      <c r="I56" t="s">
        <v>50</v>
      </c>
    </row>
    <row r="57" spans="1:15" x14ac:dyDescent="0.2">
      <c r="D57" t="s">
        <v>31</v>
      </c>
      <c r="H57" t="s">
        <v>48</v>
      </c>
      <c r="I57" t="s">
        <v>43</v>
      </c>
    </row>
    <row r="58" spans="1:15" x14ac:dyDescent="0.2">
      <c r="H58" t="s">
        <v>49</v>
      </c>
      <c r="I58" t="s">
        <v>43</v>
      </c>
    </row>
    <row r="59" spans="1:15" x14ac:dyDescent="0.2">
      <c r="A59" t="s">
        <v>37</v>
      </c>
      <c r="B59">
        <v>25</v>
      </c>
      <c r="H59" t="s">
        <v>54</v>
      </c>
      <c r="I59" t="s">
        <v>43</v>
      </c>
      <c r="J59" s="11">
        <f>J54*($F$55+$B$67)+$B$59</f>
        <v>82.240000000000009</v>
      </c>
      <c r="K59" s="11">
        <f t="shared" ref="K59:N59" si="3">K54*($F$55+$B$67)+$B$59</f>
        <v>82.240000000000009</v>
      </c>
      <c r="L59" s="6">
        <f t="shared" si="3"/>
        <v>34.54</v>
      </c>
      <c r="M59" s="6">
        <f t="shared" si="3"/>
        <v>53.620000000000005</v>
      </c>
      <c r="N59" s="6">
        <f t="shared" si="3"/>
        <v>34.54</v>
      </c>
    </row>
    <row r="60" spans="1:15" x14ac:dyDescent="0.2">
      <c r="A60" t="s">
        <v>34</v>
      </c>
    </row>
    <row r="61" spans="1:15" x14ac:dyDescent="0.2">
      <c r="A61" t="s">
        <v>35</v>
      </c>
      <c r="H61" t="s">
        <v>51</v>
      </c>
    </row>
    <row r="62" spans="1:15" x14ac:dyDescent="0.2">
      <c r="A62" t="s">
        <v>38</v>
      </c>
      <c r="H62" t="s">
        <v>52</v>
      </c>
    </row>
    <row r="63" spans="1:15" x14ac:dyDescent="0.2">
      <c r="A63" t="s">
        <v>67</v>
      </c>
      <c r="H63" t="s">
        <v>128</v>
      </c>
    </row>
    <row r="64" spans="1:15" x14ac:dyDescent="0.2">
      <c r="A64" t="s">
        <v>45</v>
      </c>
      <c r="B64">
        <v>26</v>
      </c>
    </row>
    <row r="65" spans="1:2" x14ac:dyDescent="0.2">
      <c r="A65" t="s">
        <v>46</v>
      </c>
      <c r="B65">
        <v>21</v>
      </c>
    </row>
    <row r="66" spans="1:2" x14ac:dyDescent="0.2">
      <c r="A66" t="s">
        <v>47</v>
      </c>
      <c r="B66">
        <v>15</v>
      </c>
    </row>
    <row r="67" spans="1:2" x14ac:dyDescent="0.2">
      <c r="A67" t="s">
        <v>53</v>
      </c>
      <c r="B67">
        <v>8.6</v>
      </c>
    </row>
    <row r="68" spans="1:2" x14ac:dyDescent="0.2">
      <c r="A68" t="s">
        <v>62</v>
      </c>
      <c r="B68">
        <v>10.210000000000001</v>
      </c>
    </row>
    <row r="69" spans="1:2" x14ac:dyDescent="0.2">
      <c r="A69" t="s">
        <v>57</v>
      </c>
    </row>
    <row r="70" spans="1:2" x14ac:dyDescent="0.2">
      <c r="A70" t="s">
        <v>58</v>
      </c>
    </row>
  </sheetData>
  <hyperlinks>
    <hyperlink ref="E37" r:id="rId1" xr:uid="{91A4A632-C463-C846-A67E-DDFF0A8A702B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321-857F-BD40-ADDA-2CE831DA9A55}">
  <dimension ref="A1:H62"/>
  <sheetViews>
    <sheetView tabSelected="1" topLeftCell="A36" workbookViewId="0">
      <selection activeCell="I56" sqref="I56"/>
    </sheetView>
  </sheetViews>
  <sheetFormatPr baseColWidth="10" defaultRowHeight="16" x14ac:dyDescent="0.2"/>
  <cols>
    <col min="1" max="1" width="22.1640625" customWidth="1"/>
    <col min="4" max="4" width="24.83203125" customWidth="1"/>
    <col min="8" max="8" width="12.1640625" bestFit="1" customWidth="1"/>
  </cols>
  <sheetData>
    <row r="1" spans="1:8" x14ac:dyDescent="0.2">
      <c r="A1" t="s">
        <v>155</v>
      </c>
    </row>
    <row r="3" spans="1:8" x14ac:dyDescent="0.2">
      <c r="A3" s="14" t="s">
        <v>154</v>
      </c>
      <c r="B3" s="14"/>
      <c r="C3" s="14" t="s">
        <v>156</v>
      </c>
    </row>
    <row r="4" spans="1:8" x14ac:dyDescent="0.2">
      <c r="A4" t="s">
        <v>103</v>
      </c>
      <c r="B4">
        <v>3</v>
      </c>
      <c r="C4" t="s">
        <v>4</v>
      </c>
    </row>
    <row r="5" spans="1:8" x14ac:dyDescent="0.2">
      <c r="A5" s="5" t="s">
        <v>158</v>
      </c>
      <c r="B5" s="16">
        <f>0.1 / B4</f>
        <v>3.3333333333333333E-2</v>
      </c>
      <c r="C5" s="6" t="s">
        <v>63</v>
      </c>
    </row>
    <row r="6" spans="1:8" x14ac:dyDescent="0.2">
      <c r="A6" t="s">
        <v>206</v>
      </c>
      <c r="B6" s="18"/>
      <c r="C6" s="7"/>
    </row>
    <row r="8" spans="1:8" x14ac:dyDescent="0.2">
      <c r="A8" s="14" t="s">
        <v>157</v>
      </c>
      <c r="B8" s="14"/>
      <c r="C8" s="14" t="s">
        <v>156</v>
      </c>
      <c r="F8" s="14" t="s">
        <v>164</v>
      </c>
      <c r="G8" s="14"/>
      <c r="H8" s="14" t="s">
        <v>163</v>
      </c>
    </row>
    <row r="9" spans="1:8" x14ac:dyDescent="0.2">
      <c r="A9" s="15" t="s">
        <v>0</v>
      </c>
      <c r="B9">
        <v>24</v>
      </c>
      <c r="C9" t="s">
        <v>3</v>
      </c>
      <c r="E9" t="s">
        <v>161</v>
      </c>
      <c r="F9">
        <v>5</v>
      </c>
      <c r="G9" t="s">
        <v>162</v>
      </c>
      <c r="H9" s="1">
        <f>(($B$9-$B$10)/($B$11*(F9*0.000001))*(($B$10+$B$12)/($B$9+$B$12)))</f>
        <v>5.6938775510204094</v>
      </c>
    </row>
    <row r="10" spans="1:8" x14ac:dyDescent="0.2">
      <c r="A10" s="15" t="s">
        <v>1</v>
      </c>
      <c r="B10">
        <v>15</v>
      </c>
      <c r="C10" t="s">
        <v>3</v>
      </c>
      <c r="E10" t="s">
        <v>161</v>
      </c>
      <c r="F10" s="6">
        <v>10</v>
      </c>
      <c r="G10" s="6" t="s">
        <v>162</v>
      </c>
      <c r="H10" s="1">
        <f>(($B$9-$B$10)/($B$11*(F10*0.000001))*(($B$10+$B$12)/($B$9+$B$12)))</f>
        <v>2.8469387755102047</v>
      </c>
    </row>
    <row r="11" spans="1:8" x14ac:dyDescent="0.2">
      <c r="A11" s="15" t="s">
        <v>159</v>
      </c>
      <c r="B11">
        <v>200000</v>
      </c>
      <c r="C11" t="s">
        <v>107</v>
      </c>
      <c r="E11" t="s">
        <v>161</v>
      </c>
      <c r="F11" s="6">
        <v>15</v>
      </c>
      <c r="G11" s="6" t="s">
        <v>162</v>
      </c>
      <c r="H11" s="1">
        <f t="shared" ref="H11:H13" si="0">(($B$9-$B$10)/($B$11*(F11*0.000001))*(($B$10+$B$12)/($B$9+$B$12)))</f>
        <v>1.8979591836734697</v>
      </c>
    </row>
    <row r="12" spans="1:8" x14ac:dyDescent="0.2">
      <c r="A12" s="15" t="s">
        <v>102</v>
      </c>
      <c r="B12">
        <v>0.5</v>
      </c>
      <c r="C12" t="s">
        <v>3</v>
      </c>
      <c r="D12" t="s">
        <v>160</v>
      </c>
      <c r="E12" s="7" t="s">
        <v>161</v>
      </c>
      <c r="F12" s="6">
        <v>20</v>
      </c>
      <c r="G12" s="6" t="s">
        <v>162</v>
      </c>
      <c r="H12" s="1">
        <f t="shared" si="0"/>
        <v>1.4234693877551023</v>
      </c>
    </row>
    <row r="13" spans="1:8" x14ac:dyDescent="0.2">
      <c r="E13" t="s">
        <v>161</v>
      </c>
      <c r="F13" s="6">
        <v>50</v>
      </c>
      <c r="G13" s="6" t="s">
        <v>162</v>
      </c>
      <c r="H13" s="1">
        <f t="shared" si="0"/>
        <v>0.56938775510204087</v>
      </c>
    </row>
    <row r="15" spans="1:8" x14ac:dyDescent="0.2">
      <c r="A15" t="s">
        <v>165</v>
      </c>
    </row>
    <row r="17" spans="1:5" x14ac:dyDescent="0.2">
      <c r="A17" s="14" t="s">
        <v>166</v>
      </c>
      <c r="B17" s="14"/>
      <c r="C17" s="14" t="s">
        <v>167</v>
      </c>
    </row>
    <row r="18" spans="1:5" x14ac:dyDescent="0.2">
      <c r="A18" t="s">
        <v>0</v>
      </c>
      <c r="B18">
        <v>24</v>
      </c>
      <c r="C18" t="s">
        <v>3</v>
      </c>
    </row>
    <row r="19" spans="1:5" x14ac:dyDescent="0.2">
      <c r="A19" t="s">
        <v>1</v>
      </c>
      <c r="B19">
        <v>15</v>
      </c>
      <c r="C19" t="s">
        <v>3</v>
      </c>
    </row>
    <row r="20" spans="1:5" x14ac:dyDescent="0.2">
      <c r="A20" t="s">
        <v>102</v>
      </c>
      <c r="B20">
        <v>0.5</v>
      </c>
      <c r="C20" t="s">
        <v>3</v>
      </c>
      <c r="D20" t="s">
        <v>175</v>
      </c>
    </row>
    <row r="21" spans="1:5" x14ac:dyDescent="0.2">
      <c r="A21" t="s">
        <v>168</v>
      </c>
      <c r="B21" s="2">
        <f>(B19+B20) / (B18+B20)</f>
        <v>0.63265306122448983</v>
      </c>
      <c r="C21" t="s">
        <v>3</v>
      </c>
    </row>
    <row r="22" spans="1:5" x14ac:dyDescent="0.2">
      <c r="A22" t="s">
        <v>169</v>
      </c>
      <c r="B22">
        <v>3</v>
      </c>
      <c r="C22" t="s">
        <v>4</v>
      </c>
    </row>
    <row r="23" spans="1:5" x14ac:dyDescent="0.2">
      <c r="A23" t="s">
        <v>170</v>
      </c>
      <c r="B23">
        <v>5.0000000000000001E-3</v>
      </c>
      <c r="C23" t="s">
        <v>171</v>
      </c>
    </row>
    <row r="24" spans="1:5" x14ac:dyDescent="0.2">
      <c r="A24" t="s">
        <v>2</v>
      </c>
      <c r="B24">
        <v>8.0000000000000002E-3</v>
      </c>
      <c r="C24" t="s">
        <v>63</v>
      </c>
    </row>
    <row r="25" spans="1:5" x14ac:dyDescent="0.2">
      <c r="A25" t="s">
        <v>104</v>
      </c>
      <c r="B25">
        <v>2.5</v>
      </c>
    </row>
    <row r="26" spans="1:5" x14ac:dyDescent="0.2">
      <c r="A26" t="s">
        <v>105</v>
      </c>
      <c r="B26">
        <f>211*0.000000000001</f>
        <v>2.11E-10</v>
      </c>
      <c r="C26" t="s">
        <v>98</v>
      </c>
    </row>
    <row r="27" spans="1:5" x14ac:dyDescent="0.2">
      <c r="A27" t="s">
        <v>159</v>
      </c>
      <c r="B27">
        <v>200000</v>
      </c>
      <c r="C27" t="s">
        <v>107</v>
      </c>
    </row>
    <row r="28" spans="1:5" x14ac:dyDescent="0.2">
      <c r="A28" t="s">
        <v>111</v>
      </c>
      <c r="B28">
        <f xml:space="preserve"> 50 - 25</f>
        <v>25</v>
      </c>
      <c r="C28" t="s">
        <v>6</v>
      </c>
      <c r="D28" t="s">
        <v>173</v>
      </c>
    </row>
    <row r="30" spans="1:5" x14ac:dyDescent="0.2">
      <c r="A30" t="s">
        <v>172</v>
      </c>
      <c r="B30" s="17">
        <f>(B21*B22^2*((1+(B23*B28))*B24)+(B25*(B18^1.85))*B22*B26*B27)</f>
        <v>0.16442354852564398</v>
      </c>
      <c r="C30" t="s">
        <v>109</v>
      </c>
    </row>
    <row r="32" spans="1:5" x14ac:dyDescent="0.2">
      <c r="A32" t="s">
        <v>176</v>
      </c>
      <c r="D32" s="7"/>
      <c r="E32" s="7"/>
    </row>
    <row r="33" spans="1:5" x14ac:dyDescent="0.2">
      <c r="D33" s="7"/>
      <c r="E33" s="7"/>
    </row>
    <row r="34" spans="1:5" x14ac:dyDescent="0.2">
      <c r="A34" s="14" t="s">
        <v>179</v>
      </c>
      <c r="B34" s="14"/>
      <c r="C34" s="14" t="s">
        <v>167</v>
      </c>
      <c r="D34" s="7"/>
      <c r="E34" s="7"/>
    </row>
    <row r="35" spans="1:5" x14ac:dyDescent="0.2">
      <c r="A35" s="15" t="s">
        <v>0</v>
      </c>
      <c r="B35">
        <v>24</v>
      </c>
      <c r="C35" t="s">
        <v>3</v>
      </c>
      <c r="D35" s="7"/>
      <c r="E35" s="7"/>
    </row>
    <row r="36" spans="1:5" x14ac:dyDescent="0.2">
      <c r="A36" s="15" t="s">
        <v>102</v>
      </c>
      <c r="B36">
        <v>0.5</v>
      </c>
      <c r="C36" t="s">
        <v>3</v>
      </c>
      <c r="D36" s="7" t="s">
        <v>186</v>
      </c>
      <c r="E36" s="7"/>
    </row>
    <row r="37" spans="1:5" x14ac:dyDescent="0.2">
      <c r="A37" s="15" t="s">
        <v>183</v>
      </c>
      <c r="B37">
        <v>3</v>
      </c>
      <c r="C37" t="s">
        <v>4</v>
      </c>
      <c r="D37" s="7"/>
      <c r="E37" s="7"/>
    </row>
    <row r="38" spans="1:5" x14ac:dyDescent="0.2">
      <c r="A38" s="15" t="s">
        <v>184</v>
      </c>
      <c r="B38" s="17">
        <f>B37 * (B36 * (B35 / (B35 +B36)))</f>
        <v>1.4693877551020407</v>
      </c>
      <c r="C38" t="s">
        <v>109</v>
      </c>
    </row>
    <row r="39" spans="1:5" x14ac:dyDescent="0.2">
      <c r="D39" s="20"/>
    </row>
    <row r="40" spans="1:5" x14ac:dyDescent="0.2">
      <c r="A40" t="s">
        <v>185</v>
      </c>
      <c r="D40" s="7"/>
    </row>
    <row r="42" spans="1:5" x14ac:dyDescent="0.2">
      <c r="A42" s="14" t="s">
        <v>187</v>
      </c>
      <c r="B42" s="14"/>
      <c r="C42" s="14" t="s">
        <v>167</v>
      </c>
    </row>
    <row r="43" spans="1:5" x14ac:dyDescent="0.2">
      <c r="A43" s="15" t="s">
        <v>103</v>
      </c>
      <c r="B43">
        <v>3</v>
      </c>
      <c r="C43" t="s">
        <v>4</v>
      </c>
    </row>
    <row r="44" spans="1:5" x14ac:dyDescent="0.2">
      <c r="A44" s="15" t="s">
        <v>0</v>
      </c>
      <c r="B44">
        <v>24</v>
      </c>
      <c r="C44" t="s">
        <v>3</v>
      </c>
    </row>
    <row r="45" spans="1:5" x14ac:dyDescent="0.2">
      <c r="A45" s="15" t="s">
        <v>1</v>
      </c>
      <c r="B45">
        <v>15</v>
      </c>
      <c r="C45" t="s">
        <v>3</v>
      </c>
    </row>
    <row r="46" spans="1:5" x14ac:dyDescent="0.2">
      <c r="A46" s="15" t="s">
        <v>188</v>
      </c>
      <c r="B46" s="17">
        <f>B43* ( ( (B45 * (B44-B45))^0.5) / B44 )</f>
        <v>1.4523687548277813</v>
      </c>
      <c r="C46" t="s">
        <v>4</v>
      </c>
    </row>
    <row r="48" spans="1:5" x14ac:dyDescent="0.2">
      <c r="A48" t="s">
        <v>189</v>
      </c>
      <c r="B48" s="1">
        <f>H10</f>
        <v>2.8469387755102047</v>
      </c>
      <c r="C48" t="s">
        <v>4</v>
      </c>
      <c r="D48" t="s">
        <v>194</v>
      </c>
      <c r="E48" t="s">
        <v>195</v>
      </c>
    </row>
    <row r="49" spans="1:4" x14ac:dyDescent="0.2">
      <c r="A49" t="s">
        <v>190</v>
      </c>
      <c r="B49">
        <v>0.03</v>
      </c>
      <c r="C49" t="s">
        <v>63</v>
      </c>
      <c r="D49" t="s">
        <v>191</v>
      </c>
    </row>
    <row r="50" spans="1:4" x14ac:dyDescent="0.2">
      <c r="A50" t="s">
        <v>192</v>
      </c>
      <c r="B50" s="17">
        <f xml:space="preserve"> B48*B49</f>
        <v>8.5408163265306133E-2</v>
      </c>
      <c r="C50" t="s">
        <v>3</v>
      </c>
      <c r="D50" t="s">
        <v>193</v>
      </c>
    </row>
    <row r="52" spans="1:4" x14ac:dyDescent="0.2">
      <c r="A52" t="s">
        <v>196</v>
      </c>
    </row>
    <row r="53" spans="1:4" x14ac:dyDescent="0.2">
      <c r="A53" t="s">
        <v>197</v>
      </c>
    </row>
    <row r="55" spans="1:4" x14ac:dyDescent="0.2">
      <c r="A55" s="14" t="s">
        <v>198</v>
      </c>
      <c r="B55" s="14"/>
      <c r="C55" s="14" t="s">
        <v>199</v>
      </c>
    </row>
    <row r="56" spans="1:4" x14ac:dyDescent="0.2">
      <c r="A56" s="15" t="s">
        <v>200</v>
      </c>
      <c r="B56">
        <v>100</v>
      </c>
      <c r="C56" t="s">
        <v>6</v>
      </c>
    </row>
    <row r="57" spans="1:4" x14ac:dyDescent="0.2">
      <c r="A57" s="15" t="s">
        <v>0</v>
      </c>
      <c r="B57">
        <v>24</v>
      </c>
      <c r="C57" t="s">
        <v>3</v>
      </c>
    </row>
    <row r="58" spans="1:4" x14ac:dyDescent="0.2">
      <c r="A58" s="15" t="s">
        <v>201</v>
      </c>
      <c r="B58">
        <v>110</v>
      </c>
      <c r="C58" t="s">
        <v>24</v>
      </c>
    </row>
    <row r="59" spans="1:4" x14ac:dyDescent="0.2">
      <c r="A59" s="15" t="s">
        <v>203</v>
      </c>
      <c r="B59">
        <v>8.0000000000000002E-3</v>
      </c>
      <c r="C59" t="s">
        <v>4</v>
      </c>
      <c r="D59" t="s">
        <v>202</v>
      </c>
    </row>
    <row r="60" spans="1:4" x14ac:dyDescent="0.2">
      <c r="A60" s="15" t="s">
        <v>5</v>
      </c>
      <c r="B60" s="6">
        <f xml:space="preserve"> B56+B59*B57*B58</f>
        <v>121.12</v>
      </c>
      <c r="C60" t="s">
        <v>6</v>
      </c>
      <c r="D60" t="s">
        <v>204</v>
      </c>
    </row>
    <row r="62" spans="1:4" x14ac:dyDescent="0.2">
      <c r="A62" t="s">
        <v>205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Fuse Calcs</vt:lpstr>
      <vt:lpstr>Capacitor Calcs</vt:lpstr>
      <vt:lpstr>Thermistor Calcs</vt:lpstr>
      <vt:lpstr>Heat Calcs</vt:lpstr>
      <vt:lpstr>LTC1624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Andrew Johnson</cp:lastModifiedBy>
  <dcterms:created xsi:type="dcterms:W3CDTF">2019-04-10T12:51:07Z</dcterms:created>
  <dcterms:modified xsi:type="dcterms:W3CDTF">2019-05-28T17:59:02Z</dcterms:modified>
</cp:coreProperties>
</file>