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eople.ey.com/personal/rebecca_susan_id_ey_com/Documents/02 EY/09 PRESALES/05 AI/03 FUTURE OF FINANCE AI/"/>
    </mc:Choice>
  </mc:AlternateContent>
  <xr:revisionPtr revIDLastSave="0" documentId="8_{F2BC0B31-7824-4D7E-9D9F-FFCAE181050A}" xr6:coauthVersionLast="47" xr6:coauthVersionMax="47" xr10:uidLastSave="{00000000-0000-0000-0000-000000000000}"/>
  <bookViews>
    <workbookView xWindow="-120" yWindow="-120" windowWidth="29040" windowHeight="17520" tabRatio="500" firstSheet="3" activeTab="3" xr2:uid="{00000000-000D-0000-FFFF-FFFF00000000}"/>
  </bookViews>
  <sheets>
    <sheet name="00 Guidance" sheetId="1" state="hidden" r:id="rId1"/>
    <sheet name="Summary Future Finance AI" sheetId="11" state="hidden" r:id="rId2"/>
    <sheet name="Storyline Demo" sheetId="2" r:id="rId3"/>
    <sheet name="00 Mock Up" sheetId="12" r:id="rId4"/>
    <sheet name="01 Agent AI Flow" sheetId="10" r:id="rId5"/>
    <sheet name="02 Assumptions" sheetId="3" r:id="rId6"/>
    <sheet name="03 AR Collections" sheetId="4" r:id="rId7"/>
    <sheet name="05 Other Outflows" sheetId="6" r:id="rId8"/>
    <sheet name="06 Cash Forecast 13W" sheetId="7" r:id="rId9"/>
    <sheet name="04 AP USD Payables" sheetId="5" r:id="rId10"/>
    <sheet name="07 FX Scenarios" sheetId="8" r:id="rId11"/>
    <sheet name="08 Recommendation" sheetId="9" r:id="rId12"/>
  </sheets>
  <definedNames>
    <definedName name="_xlnm._FilterDatabase" localSheetId="6" hidden="1">'03 AR Collections'!$A$4:$N$4</definedName>
    <definedName name="_xlnm._FilterDatabase" localSheetId="9" hidden="1">'04 AP USD Payables'!$A$4:$L$4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2" i="10" l="1"/>
  <c r="B24" i="8"/>
  <c r="B20" i="8"/>
  <c r="C21" i="7"/>
  <c r="B21" i="7"/>
  <c r="B19" i="7"/>
  <c r="L32" i="4"/>
  <c r="L17" i="4"/>
  <c r="B21" i="3"/>
  <c r="B20" i="3"/>
  <c r="B7" i="8"/>
  <c r="O13" i="7"/>
  <c r="B7" i="9"/>
  <c r="D30" i="8"/>
  <c r="B23" i="8"/>
  <c r="B25" i="9" s="1"/>
  <c r="B21" i="8"/>
  <c r="B15" i="8"/>
  <c r="C15" i="8" s="1"/>
  <c r="B12" i="8"/>
  <c r="C12" i="8" s="1"/>
  <c r="N22" i="7"/>
  <c r="M22" i="7"/>
  <c r="L22" i="7"/>
  <c r="K22" i="7"/>
  <c r="J22" i="7"/>
  <c r="I22" i="7"/>
  <c r="H22" i="7"/>
  <c r="G22" i="7"/>
  <c r="F22" i="7"/>
  <c r="E22" i="7"/>
  <c r="D22" i="7"/>
  <c r="C22" i="7"/>
  <c r="B22" i="7"/>
  <c r="B20" i="7"/>
  <c r="N16" i="7"/>
  <c r="M16" i="7"/>
  <c r="L16" i="7"/>
  <c r="K16" i="7"/>
  <c r="J16" i="7"/>
  <c r="I16" i="7"/>
  <c r="H16" i="7"/>
  <c r="G16" i="7"/>
  <c r="F16" i="7"/>
  <c r="E16" i="7"/>
  <c r="D16" i="7"/>
  <c r="C16" i="7"/>
  <c r="O16" i="7" s="1"/>
  <c r="B16" i="7"/>
  <c r="N15" i="7"/>
  <c r="M15" i="7"/>
  <c r="L15" i="7"/>
  <c r="K15" i="7"/>
  <c r="J15" i="7"/>
  <c r="I15" i="7"/>
  <c r="H15" i="7"/>
  <c r="G15" i="7"/>
  <c r="F15" i="7"/>
  <c r="E15" i="7"/>
  <c r="D15" i="7"/>
  <c r="C15" i="7"/>
  <c r="O15" i="7" s="1"/>
  <c r="B15" i="7"/>
  <c r="N14" i="7"/>
  <c r="M14" i="7"/>
  <c r="L14" i="7"/>
  <c r="K14" i="7"/>
  <c r="J14" i="7"/>
  <c r="I14" i="7"/>
  <c r="H14" i="7"/>
  <c r="G14" i="7"/>
  <c r="F14" i="7"/>
  <c r="E14" i="7"/>
  <c r="D14" i="7"/>
  <c r="C14" i="7"/>
  <c r="O14" i="7" s="1"/>
  <c r="B14" i="7"/>
  <c r="N13" i="7"/>
  <c r="M13" i="7"/>
  <c r="L13" i="7"/>
  <c r="K13" i="7"/>
  <c r="J13" i="7"/>
  <c r="I13" i="7"/>
  <c r="H13" i="7"/>
  <c r="G13" i="7"/>
  <c r="F13" i="7"/>
  <c r="E13" i="7"/>
  <c r="D13" i="7"/>
  <c r="C13" i="7"/>
  <c r="B13" i="7"/>
  <c r="N12" i="7"/>
  <c r="L12" i="7"/>
  <c r="H12" i="7"/>
  <c r="G12" i="7"/>
  <c r="E12" i="7"/>
  <c r="D12" i="7"/>
  <c r="C12" i="7"/>
  <c r="B12" i="7"/>
  <c r="N11" i="7"/>
  <c r="G11" i="7"/>
  <c r="D11" i="7"/>
  <c r="D17" i="7" s="1"/>
  <c r="C11" i="7"/>
  <c r="N8" i="7"/>
  <c r="N9" i="7" s="1"/>
  <c r="G8" i="7"/>
  <c r="G9" i="7" s="1"/>
  <c r="D8" i="7"/>
  <c r="D9" i="7" s="1"/>
  <c r="B6" i="7"/>
  <c r="B5" i="7"/>
  <c r="C5" i="7" s="1"/>
  <c r="O10" i="6"/>
  <c r="N10" i="6"/>
  <c r="M10" i="6"/>
  <c r="L10" i="6"/>
  <c r="K10" i="6"/>
  <c r="J10" i="6"/>
  <c r="I10" i="6"/>
  <c r="H10" i="6"/>
  <c r="G10" i="6"/>
  <c r="F10" i="6"/>
  <c r="E10" i="6"/>
  <c r="D10" i="6"/>
  <c r="C10" i="6"/>
  <c r="B10" i="6"/>
  <c r="O9" i="6"/>
  <c r="O8" i="6"/>
  <c r="O7" i="6"/>
  <c r="O6" i="6"/>
  <c r="O5" i="6"/>
  <c r="I29" i="5"/>
  <c r="B5" i="8" s="1"/>
  <c r="H29" i="5"/>
  <c r="J27" i="5"/>
  <c r="J26" i="5"/>
  <c r="M11" i="7" s="1"/>
  <c r="M17" i="7" s="1"/>
  <c r="J25" i="5"/>
  <c r="L11" i="7" s="1"/>
  <c r="L17" i="7" s="1"/>
  <c r="J24" i="5"/>
  <c r="K11" i="7" s="1"/>
  <c r="J23" i="5"/>
  <c r="J11" i="7" s="1"/>
  <c r="J22" i="5"/>
  <c r="I11" i="7" s="1"/>
  <c r="J21" i="5"/>
  <c r="H11" i="7" s="1"/>
  <c r="H17" i="7" s="1"/>
  <c r="J20" i="5"/>
  <c r="J19" i="5"/>
  <c r="F11" i="7" s="1"/>
  <c r="F17" i="7" s="1"/>
  <c r="J18" i="5"/>
  <c r="E11" i="7" s="1"/>
  <c r="E17" i="7" s="1"/>
  <c r="J17" i="5"/>
  <c r="J16" i="5"/>
  <c r="J15" i="5"/>
  <c r="B11" i="7" s="1"/>
  <c r="J14" i="5"/>
  <c r="J13" i="5"/>
  <c r="M12" i="7" s="1"/>
  <c r="J12" i="5"/>
  <c r="K12" i="7" s="1"/>
  <c r="J11" i="5"/>
  <c r="J12" i="7" s="1"/>
  <c r="J10" i="5"/>
  <c r="I12" i="7" s="1"/>
  <c r="J9" i="5"/>
  <c r="J8" i="5"/>
  <c r="F12" i="7" s="1"/>
  <c r="J7" i="5"/>
  <c r="J29" i="5" s="1"/>
  <c r="J6" i="5"/>
  <c r="J5" i="5"/>
  <c r="K32" i="4"/>
  <c r="B6" i="8" s="1"/>
  <c r="L30" i="4"/>
  <c r="L29" i="4"/>
  <c r="L28" i="4"/>
  <c r="L27" i="4"/>
  <c r="M8" i="7" s="1"/>
  <c r="M9" i="7" s="1"/>
  <c r="L26" i="4"/>
  <c r="L25" i="4"/>
  <c r="L8" i="7" s="1"/>
  <c r="L9" i="7" s="1"/>
  <c r="L24" i="4"/>
  <c r="L23" i="4"/>
  <c r="K8" i="7" s="1"/>
  <c r="K9" i="7" s="1"/>
  <c r="L22" i="4"/>
  <c r="L21" i="4"/>
  <c r="J8" i="7" s="1"/>
  <c r="J9" i="7" s="1"/>
  <c r="L20" i="4"/>
  <c r="L19" i="4"/>
  <c r="I8" i="7" s="1"/>
  <c r="I9" i="7" s="1"/>
  <c r="L18" i="4"/>
  <c r="L16" i="4"/>
  <c r="L15" i="4"/>
  <c r="L14" i="4"/>
  <c r="L13" i="4"/>
  <c r="F8" i="7" s="1"/>
  <c r="F9" i="7" s="1"/>
  <c r="L12" i="4"/>
  <c r="L11" i="4"/>
  <c r="E8" i="7" s="1"/>
  <c r="E9" i="7" s="1"/>
  <c r="L10" i="4"/>
  <c r="L9" i="4"/>
  <c r="L8" i="4"/>
  <c r="L7" i="4"/>
  <c r="L6" i="4"/>
  <c r="L5" i="4"/>
  <c r="B8" i="7" s="1"/>
  <c r="B14" i="8"/>
  <c r="C14" i="8" s="1"/>
  <c r="B22" i="8"/>
  <c r="H8" i="7" l="1"/>
  <c r="H9" i="7" s="1"/>
  <c r="H19" i="7" s="1"/>
  <c r="C17" i="7"/>
  <c r="F19" i="7"/>
  <c r="E19" i="7"/>
  <c r="L19" i="7"/>
  <c r="N17" i="7"/>
  <c r="N19" i="7" s="1"/>
  <c r="M19" i="7"/>
  <c r="G17" i="7"/>
  <c r="O12" i="7"/>
  <c r="J17" i="7"/>
  <c r="J19" i="7" s="1"/>
  <c r="D19" i="7"/>
  <c r="B24" i="9"/>
  <c r="C31" i="8"/>
  <c r="C30" i="8"/>
  <c r="B17" i="7"/>
  <c r="O11" i="7"/>
  <c r="B9" i="7"/>
  <c r="C6" i="7"/>
  <c r="D5" i="7"/>
  <c r="I17" i="7"/>
  <c r="I19" i="7" s="1"/>
  <c r="K17" i="7"/>
  <c r="K19" i="7" s="1"/>
  <c r="G19" i="7"/>
  <c r="B8" i="8"/>
  <c r="B9" i="9"/>
  <c r="D15" i="8"/>
  <c r="D32" i="8"/>
  <c r="D14" i="8"/>
  <c r="C32" i="8"/>
  <c r="B25" i="8"/>
  <c r="B13" i="8"/>
  <c r="C13" i="8" s="1"/>
  <c r="C8" i="7"/>
  <c r="C9" i="7" s="1"/>
  <c r="C19" i="7" l="1"/>
  <c r="O9" i="7"/>
  <c r="E5" i="7"/>
  <c r="D6" i="7"/>
  <c r="O8" i="7"/>
  <c r="D13" i="8"/>
  <c r="B10" i="9" s="1"/>
  <c r="O17" i="7"/>
  <c r="F5" i="7" l="1"/>
  <c r="E6" i="7"/>
  <c r="O19" i="7"/>
  <c r="B23" i="7" l="1"/>
  <c r="B24" i="7"/>
  <c r="C20" i="7"/>
  <c r="G5" i="7"/>
  <c r="F6" i="7"/>
  <c r="H5" i="7" l="1"/>
  <c r="G6" i="7"/>
  <c r="C23" i="7"/>
  <c r="C24" i="7"/>
  <c r="D20" i="7"/>
  <c r="D21" i="7" s="1"/>
  <c r="D23" i="7" l="1"/>
  <c r="D24" i="7"/>
  <c r="E20" i="7"/>
  <c r="E21" i="7" s="1"/>
  <c r="I5" i="7"/>
  <c r="H6" i="7"/>
  <c r="J5" i="7" l="1"/>
  <c r="I6" i="7"/>
  <c r="E23" i="7"/>
  <c r="E24" i="7"/>
  <c r="F20" i="7"/>
  <c r="F21" i="7" s="1"/>
  <c r="B26" i="9" l="1"/>
  <c r="F24" i="7"/>
  <c r="G20" i="7"/>
  <c r="G21" i="7" s="1"/>
  <c r="F23" i="7"/>
  <c r="B8" i="9" s="1"/>
  <c r="K5" i="7"/>
  <c r="J6" i="7"/>
  <c r="L5" i="7" l="1"/>
  <c r="K6" i="7"/>
  <c r="H20" i="7"/>
  <c r="H21" i="7" s="1"/>
  <c r="G23" i="7"/>
  <c r="G24" i="7"/>
  <c r="I20" i="7" l="1"/>
  <c r="I21" i="7" s="1"/>
  <c r="H23" i="7"/>
  <c r="H24" i="7"/>
  <c r="M5" i="7"/>
  <c r="L6" i="7"/>
  <c r="N5" i="7" l="1"/>
  <c r="N6" i="7" s="1"/>
  <c r="M6" i="7"/>
  <c r="J20" i="7"/>
  <c r="J21" i="7" s="1"/>
  <c r="I23" i="7"/>
  <c r="I24" i="7"/>
  <c r="K20" i="7" l="1"/>
  <c r="K21" i="7" s="1"/>
  <c r="J23" i="7"/>
  <c r="J24" i="7"/>
  <c r="L20" i="7" l="1"/>
  <c r="L21" i="7" s="1"/>
  <c r="K23" i="7"/>
  <c r="K24" i="7"/>
  <c r="M20" i="7" l="1"/>
  <c r="M21" i="7" s="1"/>
  <c r="L23" i="7"/>
  <c r="L24" i="7"/>
  <c r="N20" i="7" l="1"/>
  <c r="N21" i="7" s="1"/>
  <c r="M23" i="7"/>
  <c r="M24" i="7"/>
  <c r="N23" i="7" l="1"/>
  <c r="N24" i="7"/>
  <c r="B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6" authorId="0" shapeId="0" xr:uid="{00000000-0006-0000-0200-000001000000}">
      <text>
        <r>
          <rPr>
            <sz val="10"/>
            <rFont val="Arial"/>
            <family val="2"/>
          </rPr>
          <t>Source: Bank BCA e-rate and TradingEconomics, ~06-Jul-2026 (USD/IDR ~17,930-18,020). THIS NEEDS VERIFICATION on the demo date — refresh to the live rate.</t>
        </r>
      </text>
    </comment>
    <comment ref="B17" authorId="0" shapeId="0" xr:uid="{00000000-0006-0000-0200-000002000000}">
      <text>
        <r>
          <rPr>
            <sz val="10"/>
            <rFont val="Arial"/>
            <family val="2"/>
          </rPr>
          <t>Indicative forward. IDR trades at a FORWARD PREMIUM (higher than spot) because IDR interest rates &gt; USD rates. Confirm actual forward points with the company's treasury bank.</t>
        </r>
      </text>
    </comment>
    <comment ref="B24" authorId="0" shapeId="0" xr:uid="{00000000-0006-0000-0200-000003000000}">
      <text>
        <r>
          <rPr>
            <sz val="10"/>
            <rFont val="Arial"/>
            <family val="2"/>
          </rPr>
          <t>CFO policy: cash must not fall below IDR 8.0 billion. Matches the buffer used in the storyline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9" authorId="0" shapeId="0" xr:uid="{00000000-0006-0000-0700-000001000000}">
      <text>
        <r>
          <rPr>
            <sz val="10"/>
            <rFont val="Arial"/>
            <family val="2"/>
          </rPr>
          <t>Cover ~2/3 of net exposure via forward, within hedge policy (&gt;=50% in 8 weeks). Adjustable.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<sst xmlns="http://schemas.openxmlformats.org/spreadsheetml/2006/main" count="999" uniqueCount="789">
  <si>
    <t>CASH FLOW INTELLIGENCE AGENT — DEMO DATA ENGINE</t>
  </si>
  <si>
    <t>Companion to your storyline sheet. This is the data behind the story: a complete, linked 14-week cash forecast for Aug 2026 that a CFO's treasury team can drill into.</t>
  </si>
  <si>
    <t>SHEET MAP</t>
  </si>
  <si>
    <t>01 Storyline Demo        — all demos story line</t>
  </si>
  <si>
    <t>02 Assumptions        — all inputs in one place (BLUE cells). Change here to run scenarios.</t>
  </si>
  <si>
    <t>03 AR Collections     — open customer invoices -&gt; expected collection week.</t>
  </si>
  <si>
    <t>04 AP USD Payables    — vendor bills incl. USD imports -&gt; payment week and FX exposure.</t>
  </si>
  <si>
    <t>05 Other Outflows     — payroll, opex, tax, loan by week.</t>
  </si>
  <si>
    <t>06 Cash Forecast 14W  — the 13-week forecast. Flags the Week-5 buffer breach.</t>
  </si>
  <si>
    <t>07 FX Scenarios       — net USD exposure + interactive FX impact simulator.</t>
  </si>
  <si>
    <t>08 Recommendation     — the agent's decision card and illustrative journal.</t>
  </si>
  <si>
    <t>WHAT I CHANGED VS YOUR STORYLINE (honest review notes)</t>
  </si>
  <si>
    <t>1. FX RATE CONSISTENCY. Your storyline used 17,000 in one place and 16,080 in another. Both are now stale — actual USD/IDR was ~17,950 in early Jul 2026. The model uses ONE rate from sheet 01. Refresh it before every demo.</t>
  </si>
  <si>
    <t>2. HEADLINE FX NUMBERS DID NOT RECONCILE. 'Protect IDR 9.8B / lose IDR 12.4B' implies a USD ~18-20M exposure. This company's net exposure is USD 3.3M, so a +3% move is ~IDR 1.8B, not 9.8B. The model now computes the real figure. Update the storyline numbers, or label them 'directional' and point to the model.</t>
  </si>
  <si>
    <t>3. 'BUY USD NOW' CANNOT FIX BOTH PROBLEMS. Buying USD early protects FX but makes the Week-5 cash gap WORSE (you pay out sooner). The model separates the two fixes: liquidity = shift/defer IDR timing; FX = forward-cover (locks rate, no cash out today). This is the version a treasurer will accept.</t>
  </si>
  <si>
    <t>4. 13 vs 12 weeks. Standardised to a 13-week forecast (13WCF), the treasury industry standard.</t>
  </si>
  <si>
    <t>5. Journal is illustrative and flagged for Controller sign-off (PSAK 10 / IAS 21; hedge accounting under PSAK 71 / IFRS 9).</t>
  </si>
  <si>
    <t>VERIFY BEFORE YOU PRESENT (do not skip)</t>
  </si>
  <si>
    <t>[ ] USD/IDR spot &amp; forward — refresh sheet 01 to the live rate on the demo day.</t>
  </si>
  <si>
    <t>[ ] D365 Copilot / agent licensing &amp; credit cost — do NOT quote a price without checking Microsoft's current terms.</t>
  </si>
  <si>
    <t>[ ] Customer's D365 F&amp;O version — confirm the specific agents/features are available on their release.</t>
  </si>
  <si>
    <t>[ ] Journal entries &amp; FX accounting — Controller sign-off before any accounting claim.</t>
  </si>
  <si>
    <t>[ ] Confidence % on sheet 06 — illustrative placeholders, not measured accuracy. Say so if asked.</t>
  </si>
  <si>
    <t>[ ] Any ROI / impact % — present as illustrative, not verified benchmarks.</t>
  </si>
  <si>
    <t>HOW TO RUN THE DEMO (the wow moments)</t>
  </si>
  <si>
    <t>1. Open sheet 05. Point to the RED Week-5 cell: the agent found a liquidity breach 4 weeks early, automatically.</t>
  </si>
  <si>
    <t>2. Show the two drivers on 02/03: the USD 750k import payment (W5) and Customer A's collection slipping to W7.</t>
  </si>
  <si>
    <t>3. Open sheet 06. Show the USD 3.3M net exposure and the ~IDR 1.8B downside at +3%. Change the adverse % on sheet 01 and watch it update live.</t>
  </si>
  <si>
    <t>4. Open sheet 07. Show the two-thread recommendation and the calculated impact. Then the CFO decision card: approve in ~2 minutes instead of the team spending ~2 days consolidating Excel.</t>
  </si>
  <si>
    <t>5. Close on governance: human-in-the-loop approval + audit trail is a feature, not a limitation.</t>
  </si>
  <si>
    <t>UNITS &amp; COLOUR KEY</t>
  </si>
  <si>
    <t>Units: IDR million throughout (8,000 = IDR 8.0 billion). USD shown separately.</t>
  </si>
  <si>
    <t>BLUE = input you can change.   GREEN = pulled from another sheet.   BLACK = calculated.   YELLOW = key assumption.</t>
  </si>
  <si>
    <t>AGENT AI</t>
  </si>
  <si>
    <t>AGENT 01</t>
  </si>
  <si>
    <t>Agent 1, Cash Flow. Will I have enough cash. It finds a shortfall four weeks early and fixes it.</t>
  </si>
  <si>
    <t>AGENT 02</t>
  </si>
  <si>
    <t>Agent 2, Collections. Why is my cash stuck. It finds the overdue cash and who to chase first</t>
  </si>
  <si>
    <t>AGENT 03</t>
  </si>
  <si>
    <t>Agent 3, Leakage and Fraud. Is money leaking out. It blocks a fraud and finds duplicate payments</t>
  </si>
  <si>
    <t>AGENT 04</t>
  </si>
  <si>
    <t>Agent 4, Financial Performance. Why did profit fall. It explains it in one chart and tests the fix</t>
  </si>
  <si>
    <t>AGENT AI DRIVER</t>
  </si>
  <si>
    <t>OPENING</t>
  </si>
  <si>
    <t>Most finance teams are busy, but they are always one step behind. They find cash problems too late. They chase the wrong customers first. Money leaks out in small ways. And when profit falls, it takes days to find out why.
Now imagine a small AI finance team that works for you all day and night. It watches your numbers. It explains why things happen. It tests a fix before you act. Then it acts. But it never does anything without your approval.
That is what I will show you today. We built four of these agents inside your Dynamics 365 Finance system. They share the same data, and they work together.
To keep it real, we use one example company. An Indonesian manufacturer that imports raw materials in US dollars.
Everything you see uses the same company, so the four agents tell one connected story. And all the numbers today are illustrative, just to show how it works.</t>
  </si>
  <si>
    <r>
      <rPr>
        <b/>
        <sz val="11"/>
        <color theme="1"/>
        <rFont val="Aptos Narrow"/>
        <family val="2"/>
      </rPr>
      <t>First question. Will I have enough cash.</t>
    </r>
    <r>
      <rPr>
        <sz val="11"/>
        <color theme="1"/>
        <rFont val="Aptos Narrow"/>
        <family val="2"/>
        <charset val="1"/>
      </rPr>
      <t xml:space="preserve">
1. This agent builds a 14-week cash forecast from your live data. Look here. It found a problem in Week 5, four weeks early. Cash drops below your safety buffer.
2. Why. Two reasons. A large US dollar payment for imported materials lands that week. And your biggest customer pays late.
3. The agent does not just warn you. It recommends a fix. Move one flexible payment to a later week. Pull one customer payment earlier. That closes the gap.
4. It also handles the currency risk. It suggests locking the US dollar rate with a forward, so a weaker rupiah does not hurt you.
5. And here is the key part. It asks for your approval before doing anything.
</t>
    </r>
    <r>
      <rPr>
        <b/>
        <sz val="11"/>
        <color theme="1"/>
        <rFont val="Aptos Narrow"/>
        <family val="2"/>
      </rPr>
      <t>Transition: Good. Cash is safe. But some of your cash is stuck. Let us see where.</t>
    </r>
  </si>
  <si>
    <r>
      <rPr>
        <b/>
        <sz val="11"/>
        <color theme="1"/>
        <rFont val="Aptos Narrow"/>
        <family val="2"/>
      </rPr>
      <t>Second question. Why is my cash stuck, and who is risky.</t>
    </r>
    <r>
      <rPr>
        <sz val="11"/>
        <color theme="1"/>
        <rFont val="Aptos Narrow"/>
        <family val="2"/>
        <charset val="1"/>
      </rPr>
      <t xml:space="preserve">
1. This agent looks at everyone who owes you money. It found IDR 38 billion overdue.
2. Then it does something useful. It ranks who to chase first. The top five customers hold about 70 percent of the overdue cash. So your team stops guessing, and starts with the ones that matter.
3. It also scores each customer for risk. This one customer is high risk. It has a dispute, and it is sliding toward default. The agent says hold new shipments, and set aside a provision.
4. And here is the prize for you. If we cut the collection time from 57 days to 47 days, we free about IDR 20 billion in cash.
</t>
    </r>
    <r>
      <rPr>
        <b/>
        <sz val="11"/>
        <color theme="1"/>
        <rFont val="Aptos Narrow"/>
        <family val="2"/>
      </rPr>
      <t>Transition: So we found stuck cash. Now, is money leaking out the back door.</t>
    </r>
  </si>
  <si>
    <r>
      <rPr>
        <b/>
        <sz val="11"/>
        <color theme="1"/>
        <rFont val="Aptos Narrow"/>
        <family val="2"/>
      </rPr>
      <t>Third question. Is money leaving by mistake, or by fraud.</t>
    </r>
    <r>
      <rPr>
        <sz val="11"/>
        <color theme="1"/>
        <rFont val="Aptos Narrow"/>
        <family val="2"/>
        <charset val="1"/>
      </rPr>
      <t xml:space="preserve">
1. This agent scans every vendor payment. This cycle it scanned 1,850 invoices, and flagged only 10. A short, focused list.
2. Look at the top one. A vendor bank account changed two days before a payment of IDR 3.8 billion. That is a classic fraud pattern. The agent blocked it before the money left, and asked the team to verify by phone.
3. It also found IDR 3 billion in duplicate payments already made, ready to claw back. And smaller leaks, like missed early-payment discounts.
4. In total, IDR 7.8 billion of risk caught this cycle. Most of it before it left the building.
</t>
    </r>
    <r>
      <rPr>
        <b/>
        <sz val="11"/>
        <color theme="1"/>
        <rFont val="Aptos Narrow"/>
        <family val="2"/>
      </rPr>
      <t>Transition: Cash is safe, unstuck, and protected. Last question, the one that keeps a CFO awake.</t>
    </r>
  </si>
  <si>
    <r>
      <rPr>
        <b/>
        <sz val="11"/>
        <color theme="1"/>
        <rFont val="Aptos Narrow"/>
        <family val="2"/>
      </rPr>
      <t>Fourth question. My revenue is on plan, so why did my profit fall.</t>
    </r>
    <r>
      <rPr>
        <sz val="11"/>
        <color theme="1"/>
        <rFont val="Aptos Narrow"/>
        <family val="2"/>
        <charset val="1"/>
      </rPr>
      <t xml:space="preserve">
1. Look. Revenue is on target. But profit, the EBITDA, dropped from about 16 percent to about 9 percent.
2. Most tools stop at the number. This agent explains why, in one chart.
3. Selling more helped. But two things hurt. Input cost went up, mostly from the weaker rupiah on imported materials. And the product mix shifted to lower-margin products. So this is a margin problem, not a sales problem.
4. Then it lets you test a fix. If we raise price 4 percent, profit improves, but not enough. So the agent recommends three moves together. Raise price where the market allows. Sell more of the high-margin products. And hedge the currency, which it hands to the cash flow agent.</t>
    </r>
  </si>
  <si>
    <t>CONNECTIONS</t>
  </si>
  <si>
    <t>Now here is the real power. These are not four separate tools. They share one set of data, and they hand work to each other.
The performance agent found a currency problem, and handed it to the treasury agent. The treasury agent already knew your customer was paying late, because the collections agent flagged it. The leakage agent feeds cost savings back into performance.
Together, they are one finance brain. It watches, it explains, and it acts.</t>
  </si>
  <si>
    <t>CLOSING</t>
  </si>
  <si>
    <t>Three things make this different from a generic AI tool.
First, you are always in control. Every agent asks for approval before it acts, and it logs everything for audit. It is not a black box.
Second, it is built inside your Dynamics 365 Finance system, using Microsoft Copilot Studio. It reads and writes your real data. No copy and paste, no separate app.
Third, it is tuned to your world. Local tax rules, local accounting standards, your currency.
So instead of a finance team that reacts in days, you get a finance team that responds in minutes, and never sleeps. And you decide every action.
Thank you. What questions can I answer.</t>
  </si>
  <si>
    <t>NEED TO BE HIGHLIGHTED</t>
  </si>
  <si>
    <t>● If they ask: "Is it safe. Can it act on its own." &gt;&gt; No agent acts without your approval. Every action is logged for audit. You set what it can and cannot do.
● If they ask: "Are these real numbers."  &gt;&gt; These are illustrative, to show how it works. In a pilot, we connect your real data.
● If they ask: "How accurate is the AI."  &gt;&gt; The heavy math, like the cash forecast and the profit bridge, is normal finance logic, not a guess. The AI helps read data, explain it, and set priorities. And a human approves every action.
● If they ask: "What does it cost. What license do we need."  &gt;&gt; That depends on Microsoft's licensing at the time. I will confirm the exact terms for you. (Do not quote a price.)
● If they ask: "How long does it take to build."  &gt;&gt; We start with one agent as a pilot on your data, then add more. I can propose a plan.
● If they ask: "Does it work on our version of D365."  &gt;&gt; I will confirm the features available on your exact release.</t>
  </si>
  <si>
    <t>DEMO SCENARIO</t>
  </si>
  <si>
    <t>CASH FLOW INTELLIGENCE AGENT</t>
  </si>
  <si>
    <t>TAG LINE</t>
  </si>
  <si>
    <t>From Cash Visibility to Autonomous Treasury Decision</t>
  </si>
  <si>
    <t>BUSINESS VALUE</t>
  </si>
  <si>
    <t>The value is not only that CFO can see cash forecast. The value is that the CFO receives a recommended decision, understands the financial impact, approves the action, and sees the treasury and ERP impact updated in real time. This is the shift from finance reporting to autonomous finance decisioning.</t>
  </si>
  <si>
    <t>TRADITIONAL CASH FLOW FORECAST</t>
  </si>
  <si>
    <t>Report → Review → Manual Analysis → Manual Decision → Manual Follow-up</t>
  </si>
  <si>
    <t>AGENTIC CASH FLOW FORECAST</t>
  </si>
  <si>
    <t>PURPOSE</t>
  </si>
  <si>
    <r>
      <rPr>
        <b/>
        <sz val="11"/>
        <color theme="1"/>
        <rFont val="Aptos Narrow"/>
        <family val="2"/>
        <scheme val="minor"/>
      </rPr>
      <t xml:space="preserve">This agent does not only forecast cash : </t>
    </r>
    <r>
      <rPr>
        <sz val="11"/>
        <color theme="1"/>
        <rFont val="Aptos Narrow"/>
        <family val="2"/>
        <charset val="1"/>
      </rPr>
      <t xml:space="preserve">
- It continuously monitors ERP transactions
- Identifies upcoming liquidity risk
- Connects the risk with real-time currency movement
- Recommends the best treasury action
- Asks CFO approval
- Triggers Treasury Agent execution
- Updates ERP financial impact.</t>
    </r>
  </si>
  <si>
    <t>CFO ISSUES</t>
  </si>
  <si>
    <t>PT Future Manufacturing Tbk has upcoming USD vendor payments for imported raw materials.</t>
  </si>
  <si>
    <t>CFO PAIN POINT</t>
  </si>
  <si>
    <t>- Cash forecast is manual and delayed
- FX exposure is monitored separately
- Shortage risk is discovered late
- Treasury action is disconnected from forecast
- Journal and ERP impact are not immediately visible</t>
  </si>
  <si>
    <t>CFO POINT OF VIEW</t>
  </si>
  <si>
    <t>The CFO wants to know:
- Do we have enough cash for the next 14 weeks?
- When will cash shortage happen?
- How much USD do we need?
- Should we buy USD now, wait, hedge, or sell excess USD?
- What is the financial impact of each option?
- Can the approved decision trigger Treasury execution and ERP posting?</t>
  </si>
  <si>
    <t>AGENTIC CASH FLOW FORECAST SOLUTION</t>
  </si>
  <si>
    <t>Continuously monitor cash flow
↓
Detect liquidity and FX risk
↓
Simulate financial impact
↓
Recommend best treasury action
↓
Request CFO approval
↓
Trigger Treasury Agent
↓
Update ERP and forecast impact</t>
  </si>
  <si>
    <t>AGENTIC CASH FLOW FORECAST WORKFLOW</t>
  </si>
  <si>
    <t>Trigger → Perceive → Reason → Recommend → Approve → Execute → Learn</t>
  </si>
  <si>
    <t>Step</t>
  </si>
  <si>
    <t>What Happens</t>
  </si>
  <si>
    <t>CFO Sees</t>
  </si>
  <si>
    <t>Agent Output</t>
  </si>
  <si>
    <t>Business Value</t>
  </si>
  <si>
    <t>System Touchpoint</t>
  </si>
  <si>
    <t>1. Trigger</t>
  </si>
  <si>
    <t>Agent detects future cash shortage and FX exposure</t>
  </si>
  <si>
    <t>Alert: Week 5 shortage risk</t>
  </si>
  <si>
    <t>Risk notification</t>
  </si>
  <si>
    <t>1. Autonomous CFO Office changes cash flow forecasting from a static report into an agentic financial decision process.
2. The agent has detected a projected cash shortage in Week 5.
3. The main driver is a large USD vendor payment combined with delayed customer collection.</t>
  </si>
  <si>
    <t>D365, FX feed</t>
  </si>
  <si>
    <t>2. Perceive</t>
  </si>
  <si>
    <t>Agent reads ERP and external data</t>
  </si>
  <si>
    <t>Source data summary</t>
  </si>
  <si>
    <t>AR/AP, PO, SO, expenses, FX rate</t>
  </si>
  <si>
    <t>Before recommending anything, the agent shows the data it used: 
- open customer invoices,
- vendor payments,
- purchase orders,
- recurring expenses,
- bank balance,
- today’s USD/IDR rate</t>
  </si>
  <si>
    <t>D365 Finance, external rate</t>
  </si>
  <si>
    <t>3. Reason</t>
  </si>
  <si>
    <t>Agent calculates forecast and simulations</t>
  </si>
  <si>
    <t>Scenario comparison</t>
  </si>
  <si>
    <t>Base, buy now, hedge, wait</t>
  </si>
  <si>
    <t>The agent now simulates three options: buy USD today, hedge partially, or wait. Each option has cash impact, FX impact, risk level, and confidence.</t>
  </si>
  <si>
    <t>Forecast engine, scenario model</t>
  </si>
  <si>
    <t>4. Recommend</t>
  </si>
  <si>
    <t>Agent ranks best action</t>
  </si>
  <si>
    <t>Decision card</t>
  </si>
  <si>
    <t>Buy USD / hedge / wait options</t>
  </si>
  <si>
    <t>The recommended action is to buy USD 750,000 today and hedge part of the remaining exposure. The expected value protected is IDR 9.8 billion with 88% confidence.</t>
  </si>
  <si>
    <t>Copilot Studio / dashboard</t>
  </si>
  <si>
    <t>5. Approve</t>
  </si>
  <si>
    <t>CFO approves or modifies</t>
  </si>
  <si>
    <t>Approval card</t>
  </si>
  <si>
    <t>Approved decision record</t>
  </si>
  <si>
    <t>The CFO can approve, modify, simulate, ask why, delegate to treasury, or reject. This keeps the process governed and auditable.</t>
  </si>
  <si>
    <t>Teams / Power Automate</t>
  </si>
  <si>
    <t>6. Execute</t>
  </si>
  <si>
    <t>Treasury Agent prepares action</t>
  </si>
  <si>
    <t>Execution status</t>
  </si>
  <si>
    <t>Bank instruction, journal preview</t>
  </si>
  <si>
    <t>After approval, the Treasury Agent prepares the bank instruction, updates the cash forecast, notifies Treasury, and prepares the ERP journal preview.</t>
  </si>
  <si>
    <t>Treasury, D365 Finance</t>
  </si>
  <si>
    <t>7. Learn</t>
  </si>
  <si>
    <t>Agent compares actual vs forecast</t>
  </si>
  <si>
    <t>Accuracy and outcome report</t>
  </si>
  <si>
    <t>Updated assumptions</t>
  </si>
  <si>
    <t>After actual settlement, the agent compares forecast versus actual result and improves future forecast assumptions.</t>
  </si>
  <si>
    <t>Analytics layer</t>
  </si>
  <si>
    <t>HIGHLIGHT SCENARIO</t>
  </si>
  <si>
    <t>TRIGGER</t>
  </si>
  <si>
    <t>Agent detects liquidity and FX exposure risk.</t>
  </si>
  <si>
    <t>Trigger Type</t>
  </si>
  <si>
    <t>Example Trigger</t>
  </si>
  <si>
    <t>Why It Matters</t>
  </si>
  <si>
    <t>Remarks</t>
  </si>
  <si>
    <t>Real Time Currency trigger</t>
  </si>
  <si>
    <t>USD/IDR moved above CFO tolerance</t>
  </si>
  <si>
    <t>Detects FX exposure risk</t>
  </si>
  <si>
    <t>1. The agent detected that projected cash balance will fall below the IDR 8 billion minimum buffer in Week 5 because of upcoming vendor USD payments and delayed customer collections.
2. Instead of waiting for finance team to manually consolidate Excel reports, the agent continuously monitors ERP data and alerts the CFO when future liquidity risk appears.</t>
  </si>
  <si>
    <t>Scheduled trigger</t>
  </si>
  <si>
    <t>Daily 7 AM cash forecast refresh</t>
  </si>
  <si>
    <t>CFO gets daily executive briefing</t>
  </si>
  <si>
    <t>The agent detected that projected cash balance will fall below the IDR 8 billion minimum buffer in Week 5 because of upcoming vendor payments and delayed customer collections.</t>
  </si>
  <si>
    <t>Threshold trigger</t>
  </si>
  <si>
    <t>Forecasted cash balance below minimum buffer</t>
  </si>
  <si>
    <t>Detects liquidity risk before crisis</t>
  </si>
  <si>
    <t>Payment trigger</t>
  </si>
  <si>
    <t>Large vendor payment due in 14 days</t>
  </si>
  <si>
    <t>Prevents unexpected cash pressure</t>
  </si>
  <si>
    <t>Customer delay trigger</t>
  </si>
  <si>
    <t>Top customer overdue payment &gt; 30 days</t>
  </si>
  <si>
    <t>Updates cash forecast risk</t>
  </si>
  <si>
    <t>Scenario trigger</t>
  </si>
  <si>
    <t>Demand forecast or purchase order changes</t>
  </si>
  <si>
    <t>Recalculates cash requirement</t>
  </si>
  <si>
    <t>PERCEIVE</t>
  </si>
  <si>
    <t>Agent analyzed 12 week projected inflows and outflows using open AR, AP, purchase orders, recurring expenses, and latest USD/IDR rate. Agent also applied CFO policy: minimum cash buffer must remain above IDR 8 billion.</t>
  </si>
  <si>
    <t>Data Area</t>
  </si>
  <si>
    <t>Example Data Used by Agent</t>
  </si>
  <si>
    <t>Source</t>
  </si>
  <si>
    <t>Cash &amp; Bank</t>
  </si>
  <si>
    <t>Opening bank balance, liquidity accounts</t>
  </si>
  <si>
    <t>D365 Finance</t>
  </si>
  <si>
    <t>Accounts Receivable</t>
  </si>
  <si>
    <t>Open customer invoices, expected collection date</t>
  </si>
  <si>
    <t>Accounts Payable</t>
  </si>
  <si>
    <t>Vendor invoices, due dates, payment schedule</t>
  </si>
  <si>
    <t>Purchase Orders</t>
  </si>
  <si>
    <t>Upcoming import purchase obligations</t>
  </si>
  <si>
    <t>D365 Finance / Supply Chain</t>
  </si>
  <si>
    <t>Sales Orders</t>
  </si>
  <si>
    <t>Expected future inflow from sales</t>
  </si>
  <si>
    <t>Budget / Expense</t>
  </si>
  <si>
    <t>Payroll, rent, tax, operating expenses</t>
  </si>
  <si>
    <t>External FX Rate</t>
  </si>
  <si>
    <t>Daily USD/IDR spot and forward rate</t>
  </si>
  <si>
    <t>External data source / bank feed</t>
  </si>
  <si>
    <t>Risk Inputs</t>
  </si>
  <si>
    <t>Payment delay, FX volatility, vendor exposure</t>
  </si>
  <si>
    <t>Agent risk logic</t>
  </si>
  <si>
    <t>REASON</t>
  </si>
  <si>
    <t>Agent calculates forecast, detects shortage, simulates FX scenarios, and compares options.
The agent does not give one answer only. The agent compares several financial paths and shows their cash, risk, and profit impact.</t>
  </si>
  <si>
    <t>Logic</t>
  </si>
  <si>
    <t>Calculation Logic</t>
  </si>
  <si>
    <t>Cash Forecast</t>
  </si>
  <si>
    <t>Opening Cash
+ Expected Customer Payments
+ Other Cash Inflows
- Vendor Payments
- Payroll / Opex
- Tax / Loan / Other Expenses
- FX-adjusted USD Payables
= Forecasted Closing Cash</t>
  </si>
  <si>
    <t>Cash Shortage Detection</t>
  </si>
  <si>
    <t>If Forecasted Closing Cash &lt; Minimum Cash Buffer
Then Shortage Alert = Yes</t>
  </si>
  <si>
    <t>USD Exposure</t>
  </si>
  <si>
    <t>USD Net Exposure
= USD Payables - USD Receivables</t>
  </si>
  <si>
    <t>FX Impact Simulation</t>
  </si>
  <si>
    <t>FX Impact
= USD Net Exposure × FX Rate Movement</t>
  </si>
  <si>
    <t>Scenario A — Do Nothing</t>
  </si>
  <si>
    <t>Projected FX Loss: IDR 12.4B
Liquidity Risk: High
Confidence: 76%</t>
  </si>
  <si>
    <t>Scenario B — Buy USD Today</t>
  </si>
  <si>
    <t>Projected Protection: IDR 9.8B
Liquidity Risk: Medium
Confidence: 88%</t>
  </si>
  <si>
    <t>Scenario C — Hedge 50%</t>
  </si>
  <si>
    <t>Projected Protection: IDR 6.1B
Liquidity Risk: Low
Confidence: 84%</t>
  </si>
  <si>
    <t>Scenario</t>
  </si>
  <si>
    <t>Description</t>
  </si>
  <si>
    <t>Impact Area</t>
  </si>
  <si>
    <t>Base Case</t>
  </si>
  <si>
    <t>Current forecast using latest ERP data</t>
  </si>
  <si>
    <t>Cash position</t>
  </si>
  <si>
    <t>USD +3%</t>
  </si>
  <si>
    <t>USD strengthens by 3%</t>
  </si>
  <si>
    <t>FX loss, vendor payment impact</t>
  </si>
  <si>
    <t>Customer delay +14 days</t>
  </si>
  <si>
    <t>Major customer pays late</t>
  </si>
  <si>
    <t>Liquidity gap</t>
  </si>
  <si>
    <t>Vendor payment accelerated</t>
  </si>
  <si>
    <t>Vendor requires earlier payment</t>
  </si>
  <si>
    <t>Cash shortage</t>
  </si>
  <si>
    <t>Partial hedge 50%</t>
  </si>
  <si>
    <t>Company buys/hedges half USD exposure</t>
  </si>
  <si>
    <t>Reduced FX risk</t>
  </si>
  <si>
    <t>Buy USD today</t>
  </si>
  <si>
    <t>Full USD requirement secured today</t>
  </si>
  <si>
    <t>Cash outflow now, lower FX uncertainty</t>
  </si>
  <si>
    <t>Wait and buy later</t>
  </si>
  <si>
    <t>No action today</t>
  </si>
  <si>
    <t>Higher potential FX risk</t>
  </si>
  <si>
    <t>RECOMMEND</t>
  </si>
  <si>
    <r>
      <t xml:space="preserve">Agent gives CFO recommendations with confidence level, impact, and risk.
</t>
    </r>
    <r>
      <rPr>
        <b/>
        <sz val="11"/>
        <color theme="1"/>
        <rFont val="Aptos Narrow"/>
        <family val="2"/>
        <scheme val="minor"/>
      </rPr>
      <t>AI Recommendation:</t>
    </r>
    <r>
      <rPr>
        <sz val="11"/>
        <color theme="1"/>
        <rFont val="Aptos Narrow"/>
        <family val="2"/>
        <charset val="1"/>
      </rPr>
      <t xml:space="preserve">
Buy USD 750,000 today and hedge additional 30% exposure for Week 5.
</t>
    </r>
    <r>
      <rPr>
        <b/>
        <sz val="11"/>
        <color theme="1"/>
        <rFont val="Aptos Narrow"/>
        <family val="2"/>
        <scheme val="minor"/>
      </rPr>
      <t>Reason:</t>
    </r>
    <r>
      <rPr>
        <sz val="11"/>
        <color theme="1"/>
        <rFont val="Aptos Narrow"/>
        <family val="2"/>
        <charset val="1"/>
      </rPr>
      <t xml:space="preserve">
USD exposure is increasing, projected cash shortage appears in Week 5,
and forward rate indicates higher future cost compared with current spot rate.
</t>
    </r>
    <r>
      <rPr>
        <b/>
        <sz val="11"/>
        <color theme="1"/>
        <rFont val="Aptos Narrow"/>
        <family val="2"/>
        <scheme val="minor"/>
      </rPr>
      <t>Expected impact:</t>
    </r>
    <r>
      <rPr>
        <sz val="11"/>
        <color theme="1"/>
        <rFont val="Aptos Narrow"/>
        <family val="2"/>
        <charset val="1"/>
      </rPr>
      <t xml:space="preserve">
- Reduce FX exposure by IDR 9.8B
- Maintain minimum cash buffer above IDR 8B
- Reduce forecast volatility for Week 5 to Week 8
</t>
    </r>
    <r>
      <rPr>
        <b/>
        <sz val="11"/>
        <color theme="1"/>
        <rFont val="Aptos Narrow"/>
        <family val="2"/>
        <scheme val="minor"/>
      </rPr>
      <t xml:space="preserve">Confidence: </t>
    </r>
    <r>
      <rPr>
        <sz val="11"/>
        <color theme="1"/>
        <rFont val="Aptos Narrow"/>
        <family val="2"/>
        <charset val="1"/>
      </rPr>
      <t xml:space="preserve">88%
</t>
    </r>
    <r>
      <rPr>
        <b/>
        <sz val="11"/>
        <color theme="1"/>
        <rFont val="Aptos Narrow"/>
        <family val="2"/>
        <scheme val="minor"/>
      </rPr>
      <t xml:space="preserve">Risk level: </t>
    </r>
    <r>
      <rPr>
        <sz val="11"/>
        <color theme="1"/>
        <rFont val="Aptos Narrow"/>
        <family val="2"/>
        <charset val="1"/>
      </rPr>
      <t xml:space="preserve">Medium
</t>
    </r>
    <r>
      <rPr>
        <b/>
        <sz val="11"/>
        <color theme="1"/>
        <rFont val="Aptos Narrow"/>
        <family val="2"/>
        <scheme val="minor"/>
      </rPr>
      <t>Required approval:</t>
    </r>
    <r>
      <rPr>
        <sz val="11"/>
        <color theme="1"/>
        <rFont val="Aptos Narrow"/>
        <family val="2"/>
        <charset val="1"/>
      </rPr>
      <t xml:space="preserve">
CFO + Treasury Manager</t>
    </r>
  </si>
  <si>
    <t>Option</t>
  </si>
  <si>
    <t>Expected Impact</t>
  </si>
  <si>
    <t>Risk</t>
  </si>
  <si>
    <t>Cash Impact</t>
  </si>
  <si>
    <t>Confidence</t>
  </si>
  <si>
    <t>AI Ranking</t>
  </si>
  <si>
    <t>Protect IDR 9.8B</t>
  </si>
  <si>
    <t>Medium</t>
  </si>
  <si>
    <t>Medium cash outflow</t>
  </si>
  <si>
    <t>#1</t>
  </si>
  <si>
    <t>Hedge 50%</t>
  </si>
  <si>
    <t>Protect IDR 6.1B</t>
  </si>
  <si>
    <t>Low</t>
  </si>
  <si>
    <t>Lower cash pressure</t>
  </si>
  <si>
    <t>#2</t>
  </si>
  <si>
    <t>Wait 7 days</t>
  </si>
  <si>
    <t>Possible loss IDR 12.4B</t>
  </si>
  <si>
    <t>High</t>
  </si>
  <si>
    <t>No cash outflow today</t>
  </si>
  <si>
    <t>#3</t>
  </si>
  <si>
    <t>Sell USD surplus</t>
  </si>
  <si>
    <t>Not applicable</t>
  </si>
  <si>
    <t>Not recommended</t>
  </si>
  <si>
    <t>CFO Option</t>
  </si>
  <si>
    <t>Meaning</t>
  </si>
  <si>
    <r>
      <rPr>
        <b/>
        <sz val="11"/>
        <color theme="1"/>
        <rFont val="Aptos Narrow"/>
        <family val="2"/>
        <scheme val="minor"/>
      </rPr>
      <t>Recommended Decision</t>
    </r>
    <r>
      <rPr>
        <sz val="11"/>
        <color theme="1"/>
        <rFont val="Aptos Narrow"/>
        <family val="2"/>
        <charset val="1"/>
      </rPr>
      <t xml:space="preserve">
Buy USD 750,000 Today
Expected Value Protected:
IDR 9.8B
Confidence:
88%
Risk:
Medium
[Approve] [Modify] [Simulate] [Ask Why] [Delegate] [Reject]</t>
    </r>
  </si>
  <si>
    <r>
      <rPr>
        <b/>
        <sz val="11"/>
        <color theme="1"/>
        <rFont val="Aptos Narrow"/>
        <family val="2"/>
        <scheme val="minor"/>
      </rPr>
      <t>CFO Decision Queue</t>
    </r>
    <r>
      <rPr>
        <sz val="11"/>
        <color theme="1"/>
        <rFont val="Aptos Narrow"/>
        <family val="2"/>
        <charset val="1"/>
      </rPr>
      <t xml:space="preserve">
</t>
    </r>
    <r>
      <rPr>
        <b/>
        <sz val="11"/>
        <color theme="1"/>
        <rFont val="Aptos Narrow"/>
        <family val="2"/>
        <scheme val="minor"/>
      </rPr>
      <t>Example cards:</t>
    </r>
    <r>
      <rPr>
        <sz val="11"/>
        <color theme="1"/>
        <rFont val="Aptos Narrow"/>
        <family val="2"/>
        <charset val="1"/>
      </rPr>
      <t xml:space="preserve">
1. Buy USD 750,000
2. Hedge 30% Week 5 exposure
3. Escalate Customer A collection
4. Delay non-critical vendor payment
5. Review cash buffer policy</t>
    </r>
  </si>
  <si>
    <t>Approve Recommendation</t>
  </si>
  <si>
    <t>Proceed with AI recommended action</t>
  </si>
  <si>
    <t>Approve Partial Amount</t>
  </si>
  <si>
    <t>CFO changes USD amount</t>
  </si>
  <si>
    <t>Run Simulation</t>
  </si>
  <si>
    <t>CFO asks agent to test another rate/date</t>
  </si>
  <si>
    <t>Ask Why</t>
  </si>
  <si>
    <t>Agent explains assumptions and source data</t>
  </si>
  <si>
    <t>Delegate to Treasury</t>
  </si>
  <si>
    <t>Treasury Agent reviews and prepares execution</t>
  </si>
  <si>
    <t>Reject</t>
  </si>
  <si>
    <t>No action; agent records decision reason</t>
  </si>
  <si>
    <t>APPROVE</t>
  </si>
  <si>
    <t>CFO approves, modifies, rejects, or requests simulation.
The agent is autonomous in monitoring, analysis, and recommendation. But financial execution remains governed through approval, role-based controls, and audit trail.</t>
  </si>
  <si>
    <t>Logic Name</t>
  </si>
  <si>
    <t>Approval Flow</t>
  </si>
  <si>
    <t>CFO reviews recommendation
↓
CFO clicks Approve / Modify / Simulate
↓
Approval record is created
↓
Treasury Agent receives approved decision
↓
Treasury Manager validates bank limits and policy
↓
Execution is prepared</t>
  </si>
  <si>
    <t>Approval Card</t>
  </si>
  <si>
    <r>
      <rPr>
        <b/>
        <sz val="11"/>
        <color theme="1"/>
        <rFont val="Aptos Narrow"/>
        <family val="2"/>
        <scheme val="minor"/>
      </rPr>
      <t>Approval Request: USD Purchase Decision</t>
    </r>
    <r>
      <rPr>
        <sz val="11"/>
        <color theme="1"/>
        <rFont val="Aptos Narrow"/>
        <family val="2"/>
        <charset val="1"/>
      </rPr>
      <t xml:space="preserve">
</t>
    </r>
    <r>
      <rPr>
        <b/>
        <sz val="11"/>
        <color theme="1"/>
        <rFont val="Aptos Narrow"/>
        <family val="2"/>
        <scheme val="minor"/>
      </rPr>
      <t>Requested by:</t>
    </r>
    <r>
      <rPr>
        <sz val="11"/>
        <color theme="1"/>
        <rFont val="Aptos Narrow"/>
        <family val="2"/>
        <charset val="1"/>
      </rPr>
      <t xml:space="preserve">
Cash Flow Forecast Agent
</t>
    </r>
    <r>
      <rPr>
        <b/>
        <sz val="11"/>
        <color theme="1"/>
        <rFont val="Aptos Narrow"/>
        <family val="2"/>
        <scheme val="minor"/>
      </rPr>
      <t>Recommended action:</t>
    </r>
    <r>
      <rPr>
        <sz val="11"/>
        <color theme="1"/>
        <rFont val="Aptos Narrow"/>
        <family val="2"/>
        <charset val="1"/>
      </rPr>
      <t xml:space="preserve">
Buy USD 750,000
</t>
    </r>
    <r>
      <rPr>
        <b/>
        <sz val="11"/>
        <color theme="1"/>
        <rFont val="Aptos Narrow"/>
        <family val="2"/>
        <scheme val="minor"/>
      </rPr>
      <t>Reason:</t>
    </r>
    <r>
      <rPr>
        <sz val="11"/>
        <color theme="1"/>
        <rFont val="Aptos Narrow"/>
        <family val="2"/>
        <charset val="1"/>
      </rPr>
      <t xml:space="preserve">
Projected USD exposure and Week 5 cash shortage risk
</t>
    </r>
    <r>
      <rPr>
        <b/>
        <sz val="11"/>
        <color theme="1"/>
        <rFont val="Aptos Narrow"/>
        <family val="2"/>
        <scheme val="minor"/>
      </rPr>
      <t>Expected financial impact:</t>
    </r>
    <r>
      <rPr>
        <sz val="11"/>
        <color theme="1"/>
        <rFont val="Aptos Narrow"/>
        <family val="2"/>
        <charset val="1"/>
      </rPr>
      <t xml:space="preserve">
Protect IDR 9.8B against FX movement
</t>
    </r>
    <r>
      <rPr>
        <b/>
        <sz val="11"/>
        <color theme="1"/>
        <rFont val="Aptos Narrow"/>
        <family val="2"/>
        <scheme val="minor"/>
      </rPr>
      <t>ERP impact:</t>
    </r>
    <r>
      <rPr>
        <sz val="11"/>
        <color theme="1"/>
        <rFont val="Aptos Narrow"/>
        <family val="2"/>
        <charset val="1"/>
      </rPr>
      <t xml:space="preserve">
- Treasury request draft
- Cash forecast update
- Journal preview
- Bank transaction instruction draft
</t>
    </r>
    <r>
      <rPr>
        <b/>
        <sz val="11"/>
        <color theme="1"/>
        <rFont val="Aptos Narrow"/>
        <family val="2"/>
        <scheme val="minor"/>
      </rPr>
      <t xml:space="preserve">Approval required from: </t>
    </r>
    <r>
      <rPr>
        <sz val="11"/>
        <color theme="1"/>
        <rFont val="Aptos Narrow"/>
        <family val="2"/>
        <charset val="1"/>
      </rPr>
      <t xml:space="preserve">CFO
</t>
    </r>
    <r>
      <rPr>
        <b/>
        <sz val="11"/>
        <color theme="1"/>
        <rFont val="Aptos Narrow"/>
        <family val="2"/>
        <scheme val="minor"/>
      </rPr>
      <t xml:space="preserve">Secondary review: </t>
    </r>
    <r>
      <rPr>
        <sz val="11"/>
        <color theme="1"/>
        <rFont val="Aptos Narrow"/>
        <family val="2"/>
        <charset val="1"/>
      </rPr>
      <t xml:space="preserve">Treasury Manager
</t>
    </r>
    <r>
      <rPr>
        <b/>
        <sz val="11"/>
        <color theme="1"/>
        <rFont val="Aptos Narrow"/>
        <family val="2"/>
        <scheme val="minor"/>
      </rPr>
      <t>Decision:</t>
    </r>
    <r>
      <rPr>
        <sz val="11"/>
        <color theme="1"/>
        <rFont val="Aptos Narrow"/>
        <family val="2"/>
        <charset val="1"/>
      </rPr>
      <t xml:space="preserve">
[Approve] [Modify Amount] [Request Treasury Review] [Reject]</t>
    </r>
  </si>
  <si>
    <t>Control</t>
  </si>
  <si>
    <t>Why Important</t>
  </si>
  <si>
    <t>CFO approval</t>
  </si>
  <si>
    <t>Prevents uncontrolled AI execution</t>
  </si>
  <si>
    <t>Treasury review</t>
  </si>
  <si>
    <t>Ensures bank policy and limit compliance</t>
  </si>
  <si>
    <t>Audit trail</t>
  </si>
  <si>
    <t>Tracks recommendation, approval, and execution</t>
  </si>
  <si>
    <t>Segregation of duties</t>
  </si>
  <si>
    <t>Separates recommendation, approval, execution, and posting</t>
  </si>
  <si>
    <t>Journal preview</t>
  </si>
  <si>
    <t>CFO sees accounting impact before posting</t>
  </si>
  <si>
    <t>EXECUTE</t>
  </si>
  <si>
    <t>Treasury Agent executes approved action and prepares ERP transaction impact.
After CFO approval, the agent does not stop at notification. It triggers the Treasury Agent to prepare action and updates the forecast impact in real time.</t>
  </si>
  <si>
    <t>Agent-to-Agent Handoff</t>
  </si>
  <si>
    <r>
      <rPr>
        <b/>
        <sz val="11"/>
        <color theme="1"/>
        <rFont val="Aptos Narrow"/>
        <family val="2"/>
        <scheme val="minor"/>
      </rPr>
      <t xml:space="preserve">Cash Flow Forecast Agent : </t>
    </r>
    <r>
      <rPr>
        <sz val="11"/>
        <color theme="1"/>
        <rFont val="Aptos Narrow"/>
        <family val="2"/>
        <charset val="1"/>
      </rPr>
      <t xml:space="preserve">
detects risk and recommends action
↓
CFO approves
↓
Treasury Agent receives approved instruction
↓
Treasury Agent prepares bank transaction and ERP impact
↓
Finance Agent prepares journal entry preview
↓
Cash Forecast Update
↓
Stakeholders are notified</t>
    </r>
  </si>
  <si>
    <t>Treasury Agent Action</t>
  </si>
  <si>
    <t>Example Output</t>
  </si>
  <si>
    <t>Validate approved USD amount</t>
  </si>
  <si>
    <t>USD 750,000</t>
  </si>
  <si>
    <t>Rate</t>
  </si>
  <si>
    <t>IDR 17,000</t>
  </si>
  <si>
    <t>Check bank account liquidity</t>
  </si>
  <si>
    <t>IDR account has sufficient balance</t>
  </si>
  <si>
    <t>Check policy limit</t>
  </si>
  <si>
    <t>Within approved treasury limit</t>
  </si>
  <si>
    <t>Prepare bank instruction</t>
  </si>
  <si>
    <t>USD purchase request draft</t>
  </si>
  <si>
    <t>Notify treasury team</t>
  </si>
  <si>
    <t>Teams / email notification</t>
  </si>
  <si>
    <t>Update cash forecast</t>
  </si>
  <si>
    <t>Forecast reflects USD purchase</t>
  </si>
  <si>
    <t>Prepare ERP transaction</t>
  </si>
  <si>
    <t>Bank transfer / journal preview</t>
  </si>
  <si>
    <t>Send status update</t>
  </si>
  <si>
    <t>“Execution prepared / pending bank confirmation”</t>
  </si>
  <si>
    <t>Before Execution</t>
  </si>
  <si>
    <t>No journal posted yet.
Only forecast and recommendation created.</t>
  </si>
  <si>
    <t>After Approval and Treasury Confirmation</t>
  </si>
  <si>
    <t>Dr Foreign Currency Bank Account
Cr IDR Bank Account
Optional:
Dr/Cr Realized FX Gain/Loss
depending on rate and settlement treatment</t>
  </si>
  <si>
    <t>Real-Time Impact</t>
  </si>
  <si>
    <r>
      <rPr>
        <b/>
        <sz val="11"/>
        <color theme="1"/>
        <rFont val="Aptos Narrow"/>
        <family val="2"/>
        <scheme val="minor"/>
      </rPr>
      <t>Real-Time Financial Impact After Approval</t>
    </r>
    <r>
      <rPr>
        <sz val="11"/>
        <color theme="1"/>
        <rFont val="Aptos Narrow"/>
        <family val="2"/>
        <charset val="1"/>
      </rPr>
      <t xml:space="preserve">
1. Cash forecast before approval
2. Cash forecast after approval
3. FX exposure before
4. FX exposure after
5. Journal preview
6. Treasury action status</t>
    </r>
  </si>
  <si>
    <t>Real-Time verification</t>
  </si>
  <si>
    <t>1. Bank API or host-to-host integration availability
2. D365 treasury and bank configuration
3. Exchange rate source
4. Approval matrix
5. Journal posting design
6. Local accounting and treasury policy
7. Whether execution should be automatic, semi-automatic, or manual confirmation</t>
  </si>
  <si>
    <t>Real-Time Update Example</t>
  </si>
  <si>
    <r>
      <rPr>
        <b/>
        <sz val="11"/>
        <color theme="1"/>
        <rFont val="Aptos Narrow"/>
        <family val="2"/>
        <scheme val="minor"/>
      </rPr>
      <t>Treasury Agent Update</t>
    </r>
    <r>
      <rPr>
        <sz val="11"/>
        <color theme="1"/>
        <rFont val="Aptos Narrow"/>
        <family val="2"/>
        <charset val="1"/>
      </rPr>
      <t xml:space="preserve">
Status:
USD purchase instruction prepared.
Amount:
USD 750,000
Rate:
IDR 16,080
Estimated IDR cash impact:
IDR 12.06B
Forecast updated:
Week 5 liquidity risk reduced from High to Medium.
Journal preview:
Available for Finance Controller review.</t>
    </r>
  </si>
  <si>
    <t>LEARN</t>
  </si>
  <si>
    <t>Agent compares actual result vs forecast and updates forecast accuracy.
The agent becomes more useful over time because it compares forecast assumptions with actual financial outcomes.</t>
  </si>
  <si>
    <t>Learning Area</t>
  </si>
  <si>
    <t>What Agent Compares</t>
  </si>
  <si>
    <t>Forecast accuracy</t>
  </si>
  <si>
    <t>Forecasted cash vs actual cash</t>
  </si>
  <si>
    <t>Customer payment behavior</t>
  </si>
  <si>
    <t>Expected payment date vs actual payment date</t>
  </si>
  <si>
    <t>Vendor payment timing</t>
  </si>
  <si>
    <t>Planned payment vs actual payment</t>
  </si>
  <si>
    <t>FX prediction quality</t>
  </si>
  <si>
    <t>Forecasted rate vs actual rate</t>
  </si>
  <si>
    <t>Recommendation outcome</t>
  </si>
  <si>
    <t>Expected benefit vs actual benefit</t>
  </si>
  <si>
    <t>CFO decision pattern</t>
  </si>
  <si>
    <t>Approved, modified, rejected recommendations</t>
  </si>
  <si>
    <t>Example Learning Output</t>
  </si>
  <si>
    <t>Learning Summary
Previous forecast accuracy:
82%
Current forecast accuracy:
87%
Main improvement:
Customer payment behavior model improved after detecting repeated 10-day payment delay from Customer A.
Recommendation outcome:
USD buy recommendation protected approximately IDR 8.9B compared with wait scenario.
Next improvement:
Update Customer A collection assumption from 30 days to 40 days.</t>
  </si>
  <si>
    <t>Visual Suggestion</t>
  </si>
  <si>
    <r>
      <rPr>
        <b/>
        <sz val="11"/>
        <color theme="1"/>
        <rFont val="Aptos Narrow"/>
        <family val="2"/>
        <scheme val="minor"/>
      </rPr>
      <t>Forecast Accuracy Trend</t>
    </r>
    <r>
      <rPr>
        <sz val="11"/>
        <color theme="1"/>
        <rFont val="Aptos Narrow"/>
        <family val="2"/>
        <charset val="1"/>
      </rPr>
      <t xml:space="preserve">
Week 1: 78%
Week 2: 82%
Week 3: 85%
Week 4: 87%
</t>
    </r>
    <r>
      <rPr>
        <b/>
        <sz val="11"/>
        <color theme="1"/>
        <rFont val="Aptos Narrow"/>
        <family val="2"/>
        <scheme val="minor"/>
      </rPr>
      <t>Decision Outcome</t>
    </r>
    <r>
      <rPr>
        <sz val="11"/>
        <color theme="1"/>
        <rFont val="Aptos Narrow"/>
        <family val="2"/>
        <charset val="1"/>
      </rPr>
      <t xml:space="preserve">
Approved FX Action:
Expected protection IDR 9.8B
Actual protection IDR 8.9B
Variance IDR 0.9B</t>
    </r>
  </si>
  <si>
    <r>
      <rPr>
        <b/>
        <sz val="11"/>
        <color theme="1"/>
        <rFont val="Aptos Narrow"/>
        <family val="2"/>
      </rPr>
      <t>Part 1. The alert (two items)</t>
    </r>
    <r>
      <rPr>
        <sz val="11"/>
        <color theme="1"/>
        <rFont val="Aptos Narrow"/>
        <family val="2"/>
        <charset val="1"/>
      </rPr>
      <t xml:space="preserve">
- What happens: The agent messages the CFO first. Item 1, the hedge the Performance agent handed over is ready. Item 2, the 14-week forecast shows Week 5 falls below the cash buffer.
- Terms: Cash buffer, minimum cash, the floor cash must not go under. Handover between agents.
- Highlight : This is the connected story &gt;&gt;"the last decision flowed straight here." It shows the agents work as one team.
</t>
    </r>
    <r>
      <rPr>
        <b/>
        <sz val="11"/>
        <color theme="1"/>
        <rFont val="Aptos Narrow"/>
        <family val="2"/>
      </rPr>
      <t>Part 2. CFO challenge, liquidity vs currency</t>
    </r>
    <r>
      <rPr>
        <sz val="11"/>
        <color theme="1"/>
        <rFont val="Aptos Narrow"/>
        <family val="2"/>
        <charset val="1"/>
      </rPr>
      <t xml:space="preserve">
- What happens: The CFO asks if hedging and buying dollars will make the Week 5 cash gap worse.
- Terms: Liquidity (likuiditas), having enough cash on hand. Forward, a deal to lock a future exchange rate. Spot purchase (beli spot), buying dollars today.
- Why it matters: A forward needs no cash now, so it does not hurt Week 5. Buying dollars spot does. The agent keeps the two problems separate. 
</t>
    </r>
    <r>
      <rPr>
        <b/>
        <sz val="11"/>
        <color theme="1"/>
        <rFont val="Aptos Narrow"/>
        <family val="2"/>
      </rPr>
      <t>Part 3. AI shows the 14-week cash line</t>
    </r>
    <r>
      <rPr>
        <sz val="11"/>
        <color theme="1"/>
        <rFont val="Aptos Narrow"/>
        <family val="2"/>
        <charset val="1"/>
      </rPr>
      <t xml:space="preserve">
- What happens: A line chart of closing cash each week against the buffer. Week 5 dips below.
- Terms: Closing cash (saldo kas akhir) per week. Cash forecast (proyeksi arus kas).
- Numbers: Week 5 closing 6,698 vs the 8,000 buffer, short by 1,302. Drivers are a USD 750k import payment in Week 5 and the top customer's collection slipping to Week 7.</t>
    </r>
  </si>
  <si>
    <r>
      <rPr>
        <b/>
        <sz val="11"/>
        <color theme="1"/>
        <rFont val="Aptos Narrow"/>
        <family val="2"/>
      </rPr>
      <t>Part 4. CFO asks for options and cost</t>
    </r>
    <r>
      <rPr>
        <sz val="11"/>
        <color theme="1"/>
        <rFont val="Aptos Narrow"/>
        <family val="2"/>
        <charset val="1"/>
      </rPr>
      <t xml:space="preserve">
- What happens: The CFO wants choices, and he does not want to pay interest if he can avoid it.
- Term: Committed credit line (fasilitas kredit siaga), a pre-agreed loan the company can draw. Interest is its cost.
- Concerns : Shows the CFO cares about cost, not just fixing the gap.
</t>
    </r>
    <r>
      <rPr>
        <b/>
        <sz val="11"/>
        <color theme="1"/>
        <rFont val="Aptos Narrow"/>
        <family val="2"/>
      </rPr>
      <t>Part 5. AI recommendation, three ways</t>
    </r>
    <r>
      <rPr>
        <sz val="11"/>
        <color theme="1"/>
        <rFont val="Aptos Narrow"/>
        <family val="2"/>
        <charset val="1"/>
      </rPr>
      <t xml:space="preserve">
- What happens: Three options, each with a confidence level. A, accelerate the customer collection. B, defer a payment. C, draw the credit line.
- Terms: Accelerate collection (mempercepat penagihan). Defer payment (menunda pembayaran).
</t>
    </r>
  </si>
  <si>
    <r>
      <rPr>
        <b/>
        <sz val="11"/>
        <color theme="1"/>
        <rFont val="Aptos Narrow"/>
        <family val="2"/>
      </rPr>
      <t>Part 6. AI fixed simulation</t>
    </r>
    <r>
      <rPr>
        <sz val="11"/>
        <color theme="1"/>
        <rFont val="Aptos Narrow"/>
        <family val="2"/>
        <charset val="1"/>
      </rPr>
      <t xml:space="preserve">
- What happens: A bar chart of the Week 5 closing under each option, against the buffer line.
- Result to say: Accelerate gives 11,698 at no cost. Defer gives 9,698. Draw gives 8,698 but costs interest.</t>
    </r>
    <r>
      <rPr>
        <sz val="11"/>
        <color theme="1"/>
        <rFont val="Aptos Narrow"/>
        <family val="2"/>
      </rPr>
      <t xml:space="preserve">
</t>
    </r>
    <r>
      <rPr>
        <b/>
        <sz val="11"/>
        <color theme="1"/>
        <rFont val="Aptos Narrow"/>
        <family val="2"/>
      </rPr>
      <t xml:space="preserve">Part 6b. The new part, live "trial and error" simulator
</t>
    </r>
    <r>
      <rPr>
        <sz val="11"/>
        <color theme="1"/>
        <rFont val="Aptos Narrow"/>
        <family val="2"/>
      </rPr>
      <t>- What happens: The CFO says "let me try combinations myself." The agent gives a slider panel. In the app, dragging a lever re-runs Week 5 and Week 7 live.
- The levers: how much to accelerate, how much to defer, how much to draw, and the hedge size.
- What updates: Week 5 closing, headroom vs buffer, Week 7 closing, an OK or Below-buffer status, and the hedge premium and protection.
- The lesson built in: accelerating and deferring both pull cash out of Week 7. If the CFO pushes them too far, Week 7 turns red. The simulator shows this instantly.
- Terms: Lever , an input you adjust. Headroom, how far above the buffer you are. Premium, the cost of the hedge.
- Highlight "you are not trusting a fixed answer, you are testing your own." That is a strong moment.</t>
    </r>
  </si>
  <si>
    <r>
      <rPr>
        <b/>
        <sz val="11"/>
        <color theme="1"/>
        <rFont val="Aptos Narrow"/>
        <family val="2"/>
      </rPr>
      <t>Part 7. CFO deep dive</t>
    </r>
    <r>
      <rPr>
        <sz val="11"/>
        <color theme="1"/>
        <rFont val="Aptos Narrow"/>
        <family val="2"/>
        <charset val="1"/>
      </rPr>
      <t xml:space="preserve">
- What happens: The CFO asks what accelerating 5 billion does to Week 7, so he does not create a new hole.
- CFO always checks the side effect. 
</t>
    </r>
    <r>
      <rPr>
        <b/>
        <sz val="11"/>
        <color theme="1"/>
        <rFont val="Aptos Narrow"/>
        <family val="2"/>
      </rPr>
      <t xml:space="preserve">
Part 8. AI deep dive, before and after</t>
    </r>
    <r>
      <rPr>
        <sz val="11"/>
        <color theme="1"/>
        <rFont val="Aptos Narrow"/>
        <family val="2"/>
        <charset val="1"/>
      </rPr>
      <t xml:space="preserve">
- What happens: A grouped bar chart of Weeks 5, 6, 7, now versus after option A.
- Result: Week 5 rises to 11,698, Week 6 unchanged, Week 7 falls to 15,513 but stays safe. No new hole. [Medium confidence, the customer must agree to pay early]
</t>
    </r>
  </si>
  <si>
    <r>
      <rPr>
        <b/>
        <sz val="11"/>
        <color theme="1"/>
        <rFont val="Aptos Narrow"/>
        <family val="2"/>
      </rPr>
      <t>Part 9. CFO asks to calculate first</t>
    </r>
    <r>
      <rPr>
        <sz val="11"/>
        <color theme="1"/>
        <rFont val="Aptos Narrow"/>
        <family val="2"/>
        <charset val="1"/>
      </rPr>
      <t xml:space="preserve">
- What happens: Before approving, the CFO asks for exact numbers with his own parameters.
- Term: Parameters, the exact inputs the CFO sets.
- Why it matters: A CFO confirms the precise figures before signing.
</t>
    </r>
    <r>
      <rPr>
        <b/>
        <sz val="11"/>
        <color theme="1"/>
        <rFont val="Aptos Narrow"/>
        <family val="2"/>
      </rPr>
      <t>Part 10. AI on-demand calculation</t>
    </r>
    <r>
      <rPr>
        <sz val="11"/>
        <color theme="1"/>
        <rFont val="Aptos Narrow"/>
        <family val="2"/>
        <charset val="1"/>
      </rPr>
      <t xml:space="preserve">
- What happens: A precise table, not a chart. Week 5 goes from a 1,302 shortfall to a 3,698 headroom. Weeks below buffer go from 1 to 0. Plus the hedge premium 340 and protection 1,077.
- Highlight &gt;&gt; "it recalculated with the CFO's exact numbers in seconds." 
</t>
    </r>
    <r>
      <rPr>
        <b/>
        <sz val="11"/>
        <color theme="1"/>
        <rFont val="Aptos Narrow"/>
        <family val="2"/>
      </rPr>
      <t>Part 11. CFO final approval</t>
    </r>
    <r>
      <rPr>
        <sz val="11"/>
        <color theme="1"/>
        <rFont val="Aptos Narrow"/>
        <family val="2"/>
        <charset val="1"/>
      </rPr>
      <t xml:space="preserve">
- What happens: The CFO approves, and asks what it touches downstream.
- Term: Dual control, two people must approve sensitive actions.
</t>
    </r>
  </si>
  <si>
    <r>
      <rPr>
        <b/>
        <sz val="11"/>
        <color theme="1"/>
        <rFont val="Aptos Narrow"/>
        <family val="2"/>
      </rPr>
      <t>Part 12. AI action and cascade</t>
    </r>
    <r>
      <rPr>
        <sz val="11"/>
        <color theme="1"/>
        <rFont val="Aptos Narrow"/>
        <family val="2"/>
        <charset val="1"/>
      </rPr>
      <t xml:space="preserve">
- What happens: The approval fans out. Collections agent chases the customer. The bank places the forward. D365 updates the payment run. The audit log records it. Each waits for a human.
- Terms: ERP , here D365. Payment run (proses pembayaran) in the ERP. Audit trail. Cascade.
- End by saying "this closes the loop from the Performance agent, and passes the baton to Collections." That sets up agent 3.</t>
    </r>
  </si>
  <si>
    <t>OVERALL ARCHITECTURE</t>
  </si>
  <si>
    <t>Cash Flow Agent</t>
  </si>
  <si>
    <t>STEP 01 - AI INITIATES ALERT</t>
  </si>
  <si>
    <t>STEP 02 - CFO RESPOND</t>
  </si>
  <si>
    <t>STEP 03 - AI ANALYSIS RESPONSE</t>
  </si>
  <si>
    <t>STEP 04 - CFO DEEP DIVE</t>
  </si>
  <si>
    <t>STEP 05 - AI RECOMMENDATION ACTION</t>
  </si>
  <si>
    <t>STEP 06 - CFO SIMULATION</t>
  </si>
  <si>
    <t>STEP 07 - CFO Makes Final Decision</t>
  </si>
  <si>
    <t>STEP 08 - ERP UPDATED UPDATE RESULT</t>
  </si>
  <si>
    <t>                 CFO</t>
  </si>
  <si>
    <t>        │</t>
  </si>
  <si>
    <t>🔴 HIGH PRIORITY ALERT
Good Morning Susan.
A liquidity risk has been detected.
Predicted Week:
Week 5
Projected Cash:
IDR 6.99B
Minimum Buffer:
IDR 8.00B
Shortfall:
IDR 1.00B
FX Exposure:
USD 3.3M
Business Impact:
Treasury policy breach likely in 4 weeks.
``</t>
  </si>
  <si>
    <t>Why is this happening?</t>
  </si>
  <si>
    <t>Root Cause Analysis Complete
Confidence:
High
Primary Drivers Identified:
2
Driver #1
USD Vendor Settlement
Vendor:
Shenzhen Micro Ltd
Payment Due:
USD 750,000
Week:
Week 5
Business Impact:
Largest cash outflow within forecast horizon. [03A Cash F...0 20260707 | Excel]
Driver #2
Customer Collection Delay
Customer:
PT Anugerah Prima
Amount:
IDR 8.0B
Status:
Delayed 14 days
Collection shifted:
Week 5 → Week 7.</t>
  </si>
  <si>
    <t>Show me all liquidity risks.</t>
  </si>
  <si>
    <t>3 courses of action are available.</t>
  </si>
  <si>
    <t>Simulate if Customer A pays on time.</t>
  </si>
  <si>
    <t>What if USD appreciates 6%?</t>
  </si>
  <si>
    <t>Execute Recommended Plan.</t>
  </si>
  <si>
    <t>Treasury Workbench Updated
Collection Case Created
Payment Schedule Updated
Journal Preview Generated
Forecast Recalculated
``</t>
  </si>
  <si>
    <t>                  │</t>
  </si>
  <si>
    <t>        ▼</t>
  </si>
  <si>
    <t>                  ▼</t>
  </si>
  <si>
    <t>     CFO</t>
  </si>
  <si>
    <t>      Cash Flow Intelligence Agent</t>
  </si>
  <si>
    <t>────────────────────────────────────</t>
  </si>
  <si>
    <t>Decision Engine</t>
  </si>
  <si>
    <t>          DETECTED RISK</t>
  </si>
  <si>
    <t>┌──────┼──────┐</t>
  </si>
  <si>
    <t>▼      ▼      ▼</t>
  </si>
  <si>
    <t>Liquidity Breach</t>
  </si>
  <si>
    <t>AR     AP    Treasury</t>
  </si>
  <si>
    <t>Week 5</t>
  </si>
  <si>
    <t>Agent  Agent  Agent</t>
  </si>
  <si>
    <t>│      │      │</t>
  </si>
  <si>
    <t>Cash Buffer</t>
  </si>
  <si>
    <t>└──────┼──────┘</t>
  </si>
  <si>
    <t>6.99B</t>
  </si>
  <si>
    <t>Controller Agent</t>
  </si>
  <si>
    <t>FX Exposure</t>
  </si>
  <si>
    <t>USD 3.3M</t>
  </si>
  <si>
    <t>      D365 F&amp;O</t>
  </si>
  <si>
    <t>Executive Dashboard</t>
  </si>
  <si>
    <t>         RECOMMENDED ACTION</t>
  </si>
  <si>
    <t>✅ Defer Vendor Payment</t>
  </si>
  <si>
    <t>+3.0B</t>
  </si>
  <si>
    <t>✅ Forward Cover USD 2M</t>
  </si>
  <si>
    <t>+1.077B Protection</t>
  </si>
  <si>
    <t>✅ Accelerate Collection</t>
  </si>
  <si>
    <t>Week 5 Impact</t>
  </si>
  <si>
    <t>Top Risk Ranking</t>
  </si>
  <si>
    <t>OPTION A</t>
  </si>
  <si>
    <t>OPTION B</t>
  </si>
  <si>
    <t>OPTION C</t>
  </si>
  <si>
    <t>AI Simulation Result</t>
  </si>
  <si>
    <t>AI Decision Card</t>
  </si>
  <si>
    <t>Final Execution Visualization</t>
  </si>
  <si>
    <t>NO ACTION</t>
  </si>
  <si>
    <t>Liquidity + Hedge
Actions:
Defer AP-015 Packaging Bill
Forward Cover USD 2M
Accelerate Customer Collection</t>
  </si>
  <si>
    <t>Credit Line Draw</t>
  </si>
  <si>
    <t>Scenario Created</t>
  </si>
  <si>
    <t>Current Exposure</t>
  </si>
  <si>
    <t>Decision Accepted</t>
  </si>
  <si>
    <t>+8.0B</t>
  </si>
  <si>
    <t>Opening Position          +18.6B</t>
  </si>
  <si>
    <t>1️⃣ Customer Delay</t>
  </si>
  <si>
    <t>Customer A Delay Removed</t>
  </si>
  <si>
    <t>Customer Delay            -8.0B</t>
  </si>
  <si>
    <t>Impact:</t>
  </si>
  <si>
    <t>Liquidity Risk: High</t>
  </si>
  <si>
    <t>Week 5 Buffer Restored</t>
  </si>
  <si>
    <t>Cash Risk:</t>
  </si>
  <si>
    <t>Decision ID:</t>
  </si>
  <si>
    <t>USD Payment              -13.5B</t>
  </si>
  <si>
    <t>IDR 8.0B</t>
  </si>
  <si>
    <t>Before</t>
  </si>
  <si>
    <t>After</t>
  </si>
  <si>
    <t>CF-2026-0815</t>
  </si>
  <si>
    <t>            EXECUTION</t>
  </si>
  <si>
    <t>Other Expenses            -1.1B</t>
  </si>
  <si>
    <t>FX Risk: High</t>
  </si>
  <si>
    <t>Cash:</t>
  </si>
  <si>
    <t>Risk Bands</t>
  </si>
  <si>
    <t>--------------------------------</t>
  </si>
  <si>
    <t>2️⃣ USD Exposure</t>
  </si>
  <si>
    <t>9.99B</t>
  </si>
  <si>
    <t>FX Risk:</t>
  </si>
  <si>
    <t>Plain Text</t>
  </si>
  <si>
    <t>Approval:</t>
  </si>
  <si>
    <t>Final Position             7.0B</t>
  </si>
  <si>
    <t>Potential FX Loss:</t>
  </si>
  <si>
    <t>Week 5 Cash</t>
  </si>
  <si>
    <t>Normal      🟢 GREEN</t>
  </si>
  <si>
    <t>CFO</t>
  </si>
  <si>
    <t>Treasury Agent      ✅</t>
  </si>
  <si>
    <t>IDR 1.77B</t>
  </si>
  <si>
    <t>FX Downside Avoided:</t>
  </si>
  <si>
    <t>+3% USD     🟠 ORANGE</t>
  </si>
  <si>
    <t>1.077B</t>
  </si>
  <si>
    <t>Interest Expense:</t>
  </si>
  <si>
    <t>IDR 6.99B</t>
  </si>
  <si>
    <t>IDR 14.99B</t>
  </si>
  <si>
    <t>+6% USD     🔴 RED</t>
  </si>
  <si>
    <t>Status:</t>
  </si>
  <si>
    <t>AR Agent            ✅</t>
  </si>
  <si>
    <t>3️⃣ Major Import Payment</t>
  </si>
  <si>
    <t>Increases</t>
  </si>
  <si>
    <t>`</t>
  </si>
  <si>
    <t>Approved</t>
  </si>
  <si>
    <t>AP Agent            ✅</t>
  </si>
  <si>
    <t>USD 750K</t>
  </si>
  <si>
    <t>Confidence: 76% (illustrative demo value)</t>
  </si>
  <si>
    <t>Confidence: Medium-High (illustrative demo value)</t>
  </si>
  <si>
    <t>Business Impact</t>
  </si>
  <si>
    <t>Controller Agent    ✅</t>
  </si>
  <si>
    <t>4️⃣ FX Volatility</t>
  </si>
  <si>
    <t>Liquidity Risk</t>
  </si>
  <si>
    <t>D365 Updated        ✅</t>
  </si>
  <si>
    <t>IDR 1.78B</t>
  </si>
  <si>
    <t>HIGH → LOW</t>
  </si>
  <si>
    <t>             OUTCOME</t>
  </si>
  <si>
    <t>Visual #5</t>
  </si>
  <si>
    <t>Risk Level</t>
  </si>
  <si>
    <t>Week 5 ███</t>
  </si>
  <si>
    <t>Week 5 ████████████</t>
  </si>
  <si>
    <t>Status</t>
  </si>
  <si>
    <t>PROTECTED</t>
  </si>
  <si>
    <t>Agent-to-Agent Collaboration Begins</t>
  </si>
  <si>
    <t>Show more lines</t>
  </si>
  <si>
    <t>Treasury Agent</t>
  </si>
  <si>
    <t>Create Forward Cover Request</t>
  </si>
  <si>
    <t>Amount:</t>
  </si>
  <si>
    <t>USD 2M</t>
  </si>
  <si>
    <t>Rate:</t>
  </si>
  <si>
    <t>Approval Route:</t>
  </si>
  <si>
    <t>Treasury Manager</t>
  </si>
  <si>
    <t>AP Agent</t>
  </si>
  <si>
    <t>Move AP-015</t>
  </si>
  <si>
    <t>Vendor:</t>
  </si>
  <si>
    <t>PT Kemasan Prima</t>
  </si>
  <si>
    <t>IDR 3.0B</t>
  </si>
  <si>
    <t>Week 5 → Week 6</t>
  </si>
  <si>
    <t>AR Agent</t>
  </si>
  <si>
    <t>Collection Campaign Created</t>
  </si>
  <si>
    <t>Customer:</t>
  </si>
  <si>
    <t>PT Anugerah Prima</t>
  </si>
  <si>
    <t>Exposure:</t>
  </si>
  <si>
    <t>Prepare Journal Preview</t>
  </si>
  <si>
    <t>FX Hedging Impact</t>
  </si>
  <si>
    <t>Accounting Review Required</t>
  </si>
  <si>
    <t>PT Future Manufacturing Tbk  —  Cash Flow Intelligence Agent</t>
  </si>
  <si>
    <t>Central assumptions. Change BLUE cells to run scenarios. Units: IDR million unless labelled USD. Demo date: Aug 2026.</t>
  </si>
  <si>
    <t>COMPANY PROFILE (illustrative demo company)</t>
  </si>
  <si>
    <t>Company</t>
  </si>
  <si>
    <t>PT Future Manufacturing Tbk</t>
  </si>
  <si>
    <t>Industry</t>
  </si>
  <si>
    <t>Electronics &amp; auto-parts assembly</t>
  </si>
  <si>
    <t>Import-dependent: buys components/raw materials in USD, sells mostly in IDR.</t>
  </si>
  <si>
    <t>Functional / reporting currency</t>
  </si>
  <si>
    <t>IDR</t>
  </si>
  <si>
    <t>Listing</t>
  </si>
  <si>
    <t>IDX (Tbk) — illustrative</t>
  </si>
  <si>
    <t>FORECAST SETUP</t>
  </si>
  <si>
    <t>Week 1 start (Monday)</t>
  </si>
  <si>
    <t>First Monday of Aug 2026. All week dates derive from this cell.</t>
  </si>
  <si>
    <t>Horizon (weeks)</t>
  </si>
  <si>
    <t>13-week rolling cash forecast (13WCF) is the treasury industry standard.</t>
  </si>
  <si>
    <t>Presentation units</t>
  </si>
  <si>
    <t>IDR million</t>
  </si>
  <si>
    <t>IDR 8,000 million = IDR 8.0 billion.</t>
  </si>
  <si>
    <t>FX ASSUMPTIONS  (VERIFY AT DEMO TIME)</t>
  </si>
  <si>
    <t>Spot USD/IDR</t>
  </si>
  <si>
    <t>As of early Jul 2026, ~17,950. Rupiah is far weaker than 2024-25. Refresh before every demo.</t>
  </si>
  <si>
    <t>13-week forward USD/IDR</t>
  </si>
  <si>
    <t>Indicative only. Forward &gt; spot reflects the IDR-USD rate differential. Confirm with the bank.</t>
  </si>
  <si>
    <t>Adverse scenario: USD strengthens by</t>
  </si>
  <si>
    <t>Stress scenario: USD strengthens by</t>
  </si>
  <si>
    <t>Adverse rate  = spot x (1+adverse)</t>
  </si>
  <si>
    <t>Stress rate  = spot x (1+stress)</t>
  </si>
  <si>
    <t>POLICY &amp; LIQUIDITY</t>
  </si>
  <si>
    <t>Minimum cash buffer (IDR mn)</t>
  </si>
  <si>
    <t>Opening cash — Week 1 (IDR mn)</t>
  </si>
  <si>
    <t>Equals IDR 17.0 billion opening bank balance.</t>
  </si>
  <si>
    <t>Hedge policy</t>
  </si>
  <si>
    <t>Cover &gt;=50% of net USD exposure within 8 weeks</t>
  </si>
  <si>
    <t>FX approval matrix</t>
  </si>
  <si>
    <t>CFO + Treasury Manager (dual control)</t>
  </si>
  <si>
    <t>Accounts Receivable — Expected Collections (13 weeks)</t>
  </si>
  <si>
    <t>Open customer invoices mapped to the week cash is expected. Source: D365 F&amp;O AR ageing (illustrative). Amounts in IDR mn (USD invoices converted at spot).</t>
  </si>
  <si>
    <t>Inv No</t>
  </si>
  <si>
    <t>Customer</t>
  </si>
  <si>
    <t>Segment</t>
  </si>
  <si>
    <t>Invoice Date</t>
  </si>
  <si>
    <t>Terms (d)</t>
  </si>
  <si>
    <t>Due Date</t>
  </si>
  <si>
    <t>Orig Wk</t>
  </si>
  <si>
    <t>Expected Wk</t>
  </si>
  <si>
    <t>Currency</t>
  </si>
  <si>
    <t>Amount IDR mn</t>
  </si>
  <si>
    <t>USD Amount</t>
  </si>
  <si>
    <t>IDR mn value</t>
  </si>
  <si>
    <t>Delay Flag</t>
  </si>
  <si>
    <t>Notes</t>
  </si>
  <si>
    <t>AR-001</t>
  </si>
  <si>
    <t>PT Bintang Retail</t>
  </si>
  <si>
    <t>Domestic</t>
  </si>
  <si>
    <t>AR-002</t>
  </si>
  <si>
    <t>PT Cahaya Niaga</t>
  </si>
  <si>
    <t>AR-003</t>
  </si>
  <si>
    <t>PT Dua Samudra</t>
  </si>
  <si>
    <t>AR-004</t>
  </si>
  <si>
    <t>PT Estu Jaya</t>
  </si>
  <si>
    <t>AR-005</t>
  </si>
  <si>
    <t>PT Fajar Mandiri</t>
  </si>
  <si>
    <t>AR-006</t>
  </si>
  <si>
    <t>PT Graha Sentosa</t>
  </si>
  <si>
    <t>AR-007</t>
  </si>
  <si>
    <t>PT Harum Sejati</t>
  </si>
  <si>
    <t>AR-008</t>
  </si>
  <si>
    <t>PT Indah Karya</t>
  </si>
  <si>
    <t>AR-009</t>
  </si>
  <si>
    <t>PT Jaya Abadi</t>
  </si>
  <si>
    <t>AR-010</t>
  </si>
  <si>
    <t>PT Kencana Mulia</t>
  </si>
  <si>
    <t>AR-011</t>
  </si>
  <si>
    <t>PT Lestari Utama</t>
  </si>
  <si>
    <t>AR-012</t>
  </si>
  <si>
    <t>PT Anugerah Prima (Customer A)</t>
  </si>
  <si>
    <t>Delayed +14d</t>
  </si>
  <si>
    <t>TOP customer. Was due Week 5, now expected Week 7. Repeated ~14-day delay pattern -&gt; main driver of the Week 5 gap.</t>
  </si>
  <si>
    <t>AR-013</t>
  </si>
  <si>
    <t>Global Components Ltd (Export)</t>
  </si>
  <si>
    <t>Export</t>
  </si>
  <si>
    <t>USD</t>
  </si>
  <si>
    <t>Export receivable in USD -&gt; natural partial hedge against USD payables.</t>
  </si>
  <si>
    <t>AR-014</t>
  </si>
  <si>
    <t>PT Nusantara Dagang</t>
  </si>
  <si>
    <t>AR-015</t>
  </si>
  <si>
    <t>Pacific Devices Inc (Export)</t>
  </si>
  <si>
    <t>Export receivable in USD.</t>
  </si>
  <si>
    <t>AR-016</t>
  </si>
  <si>
    <t>PT Purnama Sejahtera</t>
  </si>
  <si>
    <t>AR-017</t>
  </si>
  <si>
    <t>AR-018</t>
  </si>
  <si>
    <t>PT Quantum Retail</t>
  </si>
  <si>
    <t>AR-019</t>
  </si>
  <si>
    <t>AR-020</t>
  </si>
  <si>
    <t>PT Rejeki Makmur</t>
  </si>
  <si>
    <t>AR-021</t>
  </si>
  <si>
    <t>AR-022</t>
  </si>
  <si>
    <t>AR-023</t>
  </si>
  <si>
    <t>AR-024</t>
  </si>
  <si>
    <t>AR-025</t>
  </si>
  <si>
    <t>AR-026</t>
  </si>
  <si>
    <t>TOTALS</t>
  </si>
  <si>
    <t>K = total USD receivables (natural hedge). L = total expected collections (IDR mn).</t>
  </si>
  <si>
    <t>Other Recurring Cash Outflows (13 weeks)</t>
  </si>
  <si>
    <t>Planned payroll, opex, tax and loan outflows by week. Source: budget / recurring schedules (illustrative). Units: IDR mn. Blue = input.</t>
  </si>
  <si>
    <t>Category</t>
  </si>
  <si>
    <t>W1</t>
  </si>
  <si>
    <t>W2</t>
  </si>
  <si>
    <t>W3</t>
  </si>
  <si>
    <t>W4</t>
  </si>
  <si>
    <t>W5</t>
  </si>
  <si>
    <t>W6</t>
  </si>
  <si>
    <t>W7</t>
  </si>
  <si>
    <t>W8</t>
  </si>
  <si>
    <t>W9</t>
  </si>
  <si>
    <t>W10</t>
  </si>
  <si>
    <t>W11</t>
  </si>
  <si>
    <t>W12</t>
  </si>
  <si>
    <t>W13</t>
  </si>
  <si>
    <t>Total</t>
  </si>
  <si>
    <t>Payroll</t>
  </si>
  <si>
    <t>Rent &amp; utilities</t>
  </si>
  <si>
    <t>Other opex</t>
  </si>
  <si>
    <t>Taxes (PPN / PPh)</t>
  </si>
  <si>
    <t>Loan repayment (P+I)</t>
  </si>
  <si>
    <t>Total other outflows</t>
  </si>
  <si>
    <t>Note: Payroll = monthly (end Aug/Sep/Oct). Tax = monthly filing (mid-month). Loan = quarterly instalment (W10).</t>
  </si>
  <si>
    <t>13-Week Direct Cash Flow Forecast — Aug to Nov 2026</t>
  </si>
  <si>
    <t>Everything below is calculated from sheets 02/03/04. Green = pulled from other sheets. Units: IDR mn. The agent flags any week where closing cash &lt; the CFO buffer.</t>
  </si>
  <si>
    <t>Week #</t>
  </si>
  <si>
    <t>Week starting</t>
  </si>
  <si>
    <t>Week ending</t>
  </si>
  <si>
    <t>CASH INFLOWS (IDR mn)</t>
  </si>
  <si>
    <t>Customer collections</t>
  </si>
  <si>
    <t>Total cash inflows</t>
  </si>
  <si>
    <t>CASH OUTFLOWS (IDR mn)</t>
  </si>
  <si>
    <t>Vendor payments — IDR (domestic)</t>
  </si>
  <si>
    <t>Vendor payments — USD imports (in IDR)</t>
  </si>
  <si>
    <t>Rent, utilities &amp; opex</t>
  </si>
  <si>
    <t>Total cash outflows</t>
  </si>
  <si>
    <t>Net cash flow</t>
  </si>
  <si>
    <t>Opening cash</t>
  </si>
  <si>
    <t>Closing cash</t>
  </si>
  <si>
    <t>Minimum cash buffer (policy)</t>
  </si>
  <si>
    <t>Surplus / (shortfall) vs buffer</t>
  </si>
  <si>
    <t>READ THIS:</t>
  </si>
  <si>
    <t>The agent scans all 13 weeks and flags Week 5, where closing cash falls below the IDR 8,000 mn buffer. Drivers: a large USD import payment (Week 5) plus the top customer's collection slipping from Week 5 to Week 7. See sheet 06 for the FX view and sheet 07 for the recommended actions.</t>
  </si>
  <si>
    <t>Accounts Payable — Vendor Payments &amp; USD Exposure (13 weeks)</t>
  </si>
  <si>
    <t>Vendor bills mapped to payment week. USD import bills drive FX exposure. Source: D365 F&amp;O AP / open POs (illustrative). Amounts in IDR mn (USD converted at spot).</t>
  </si>
  <si>
    <t>Bill No</t>
  </si>
  <si>
    <t>Vendor</t>
  </si>
  <si>
    <t>Pay Wk</t>
  </si>
  <si>
    <t>Deferrable?</t>
  </si>
  <si>
    <t>AP-001</t>
  </si>
  <si>
    <t>Shenzhen Micro Ltd</t>
  </si>
  <si>
    <t>Imported components</t>
  </si>
  <si>
    <t>No</t>
  </si>
  <si>
    <t>USD LC settlement</t>
  </si>
  <si>
    <t>AP-002</t>
  </si>
  <si>
    <t>Taipei Semicon Co</t>
  </si>
  <si>
    <t>AP-003</t>
  </si>
  <si>
    <t>Osaka Precision KK</t>
  </si>
  <si>
    <t>Imported raw material</t>
  </si>
  <si>
    <t>AP-004</t>
  </si>
  <si>
    <t>Imported raw material (major shipment)</t>
  </si>
  <si>
    <t>LARGE LC settlement. Critical, non-deferrable. Main cash-outflow driver of Week 5.</t>
  </si>
  <si>
    <t>AP-005</t>
  </si>
  <si>
    <t>AP-006</t>
  </si>
  <si>
    <t>AP-007</t>
  </si>
  <si>
    <t>AP-008</t>
  </si>
  <si>
    <t>AP-009</t>
  </si>
  <si>
    <t>AP-010</t>
  </si>
  <si>
    <t>AP-011</t>
  </si>
  <si>
    <t>PT Logistik Nusantara</t>
  </si>
  <si>
    <t>Logistics &amp; freight</t>
  </si>
  <si>
    <t>AP-012</t>
  </si>
  <si>
    <t>Packaging</t>
  </si>
  <si>
    <t>Yes</t>
  </si>
  <si>
    <t>Deferrable within terms</t>
  </si>
  <si>
    <t>AP-013</t>
  </si>
  <si>
    <t>PT Sumber Kimia</t>
  </si>
  <si>
    <t>Local materials</t>
  </si>
  <si>
    <t>AP-014</t>
  </si>
  <si>
    <t>AP-015</t>
  </si>
  <si>
    <t>DEFERRABLE — candidate to move from Week 5 to Week 6 to protect the buffer without breaching vendor terms.</t>
  </si>
  <si>
    <t>AP-016</t>
  </si>
  <si>
    <t>AP-017</t>
  </si>
  <si>
    <t>AP-018</t>
  </si>
  <si>
    <t>AP-019</t>
  </si>
  <si>
    <t>AP-020</t>
  </si>
  <si>
    <t>AP-021</t>
  </si>
  <si>
    <t>AP-022</t>
  </si>
  <si>
    <t>AP-023</t>
  </si>
  <si>
    <t>I = total USD payables. H = total IDR payables. J = total payments (IDR mn).</t>
  </si>
  <si>
    <t>USD Exposure &amp; FX Scenario Simulator</t>
  </si>
  <si>
    <t>Net USD exposure and the cash impact of currency moves. Change the adverse % on sheet 01 to update every number here. Units: IDR mn (exposure also in USD).</t>
  </si>
  <si>
    <t>NET USD EXPOSURE</t>
  </si>
  <si>
    <t>USD payables — total (from sheet 03)</t>
  </si>
  <si>
    <t>USD receivables — total (from sheet 02)</t>
  </si>
  <si>
    <t>Net USD exposure  = payables - receivables</t>
  </si>
  <si>
    <t>Net exposure value @ spot (IDR mn)</t>
  </si>
  <si>
    <t>IDR mn</t>
  </si>
  <si>
    <t>FX IMPACT IF WE DO NOTHING  (impact on the full net exposure)</t>
  </si>
  <si>
    <t>Rate IDR/USD</t>
  </si>
  <si>
    <t>Move vs spot</t>
  </si>
  <si>
    <t>FX cash impact (IDR mn)</t>
  </si>
  <si>
    <t>Note</t>
  </si>
  <si>
    <t>Base case (spot)</t>
  </si>
  <si>
    <t>Current rate, no move.</t>
  </si>
  <si>
    <t>Adverse: USD +3%</t>
  </si>
  <si>
    <t>CFO tolerance breached.</t>
  </si>
  <si>
    <t>Stress: USD +6%</t>
  </si>
  <si>
    <t>Severe move (stress test).</t>
  </si>
  <si>
    <t>Forward-cover all</t>
  </si>
  <si>
    <t>Locked cost if fully hedged today (premium).</t>
  </si>
  <si>
    <t>Negative = extra cash cost. Impact = net exposure x (spot - scenario rate).</t>
  </si>
  <si>
    <t>RECOMMENDED FX ACTION</t>
  </si>
  <si>
    <t>Recommended forward-cover amount (USD)</t>
  </si>
  <si>
    <t>% of net exposure covered</t>
  </si>
  <si>
    <t>Locked rate (13-week forward)</t>
  </si>
  <si>
    <t>Downside AVOIDED vs adverse move (IDR mn)</t>
  </si>
  <si>
    <t>Cost of certainty (forward premium, IDR mn)</t>
  </si>
  <si>
    <t>Residual uncovered exposure (USD)</t>
  </si>
  <si>
    <t>Residual downside at adverse (IDR mn)</t>
  </si>
  <si>
    <t>AGENT OPTION COMPARISON</t>
  </si>
  <si>
    <t>Action</t>
  </si>
  <si>
    <t>Downside avoided (IDR mn)</t>
  </si>
  <si>
    <t>Cost / premium (IDR mn)</t>
  </si>
  <si>
    <t>Liquidity effect</t>
  </si>
  <si>
    <t>Confidence*</t>
  </si>
  <si>
    <t>A. Do nothing</t>
  </si>
  <si>
    <t>Leave full exposure open</t>
  </si>
  <si>
    <t>0</t>
  </si>
  <si>
    <t>Neutral now; full risk open</t>
  </si>
  <si>
    <t>Low*</t>
  </si>
  <si>
    <t>B. Forward-cover USD 2.0M  (RECOMMENDED)</t>
  </si>
  <si>
    <t>Lock rate today, settle on due dates</t>
  </si>
  <si>
    <t>No cash out now (forward)</t>
  </si>
  <si>
    <t>Med-High*</t>
  </si>
  <si>
    <t>C. Buy USD 2.0M spot now</t>
  </si>
  <si>
    <t>Pre-purchase USD today</t>
  </si>
  <si>
    <t>WORSENS Week-5 cash (pay early)</t>
  </si>
  <si>
    <t>Medium*</t>
  </si>
  <si>
    <t>D. Hedge 50% of net</t>
  </si>
  <si>
    <t>Cover half the net exposure</t>
  </si>
  <si>
    <t>*Confidence is an ILLUSTRATIVE placeholder for the demo, not a validated model output. Do not present as a measured accuracy.</t>
  </si>
  <si>
    <t>Key point for the CFO: buying USD early protects FX but HURTS Week-5 liquidity. A forward locks the rate with no cash out today, so it fixes FX without making the liquidity gap worse.</t>
  </si>
  <si>
    <t>Agent Recommendation &amp; CFO Decision Card</t>
  </si>
  <si>
    <t>What the agent recommends, why, and the financial impact — pulled live from sheets 05 and 06. The journal is illustrative and needs Controller sign-off.</t>
  </si>
  <si>
    <t>SITUATION (from the 13-week forecast)</t>
  </si>
  <si>
    <t>Lowest projected closing cash (IDR mn)</t>
  </si>
  <si>
    <t>Week of the low point</t>
  </si>
  <si>
    <t>Week 5  (31-Aug to 06-Sep 2026)</t>
  </si>
  <si>
    <t>Minimum cash buffer (policy, IDR mn)</t>
  </si>
  <si>
    <t>Shortfall below buffer at Week 5 (IDR mn)</t>
  </si>
  <si>
    <t>Net USD exposure (USD)</t>
  </si>
  <si>
    <t>FX downside if USD +3% &amp; unhedged (IDR mn)</t>
  </si>
  <si>
    <t>RECOMMENDATION — two separate problems, two separate fixes</t>
  </si>
  <si>
    <t>1) LIQUIDITY  (fix the Week-5 buffer breach)</t>
  </si>
  <si>
    <t>• Defer deferrable IDR vendor payment from W5 to W6</t>
  </si>
  <si>
    <t>IDR 3,000 mn packaging bill (AP-015), still within terms</t>
  </si>
  <si>
    <t>Restores buffer immediately</t>
  </si>
  <si>
    <t>• Accelerate part of Customer A collection into W5</t>
  </si>
  <si>
    <t>Chase the top customer earlier / offer early-pay discount</t>
  </si>
  <si>
    <t>Adds a second safety margin</t>
  </si>
  <si>
    <t>• Keep committed credit line as backstop only</t>
  </si>
  <si>
    <t>Do NOT draw unless the above are insufficient</t>
  </si>
  <si>
    <t>Avoids interest cost</t>
  </si>
  <si>
    <t>2) FX  (cap the USD cost, without hurting liquidity)</t>
  </si>
  <si>
    <t>• Forward-cover USD 2.0M at the 13-week forward</t>
  </si>
  <si>
    <t>Locks the rate today, no cash out now</t>
  </si>
  <si>
    <t>Downside avoided ~ see B/below</t>
  </si>
  <si>
    <t>• Leave the export USD receivables as a natural hedge</t>
  </si>
  <si>
    <t>USD 0.7M inflow offsets USD payables</t>
  </si>
  <si>
    <t>Reduces net exposure</t>
  </si>
  <si>
    <t>• Review the CFO USD/IDR tolerance band</t>
  </si>
  <si>
    <t>Confirm the +3% trigger is still policy</t>
  </si>
  <si>
    <t>Governance</t>
  </si>
  <si>
    <t>EXPECTED IMPACT (calculated)</t>
  </si>
  <si>
    <t>FX downside avoided by forward-cover (IDR mn)</t>
  </si>
  <si>
    <t>Week-5 buffer after deferring the IDR bill (IDR mn)</t>
  </si>
  <si>
    <t>Closing W5 + IDR 3,000 mn deferred. Now above the 8,000 buffer.</t>
  </si>
  <si>
    <t>CFO DECISION CARD</t>
  </si>
  <si>
    <t>Requested by: Cash Flow Forecast Agent   |   Approval: CFO + Treasury Manager (dual control)</t>
  </si>
  <si>
    <t>[ Approve ]   [ Modify amount ]   [ Run simulation ]   [ Ask why ]   [ Delegate to Treasury ]   [ Reject ]</t>
  </si>
  <si>
    <t>ILLUSTRATIVE JOURNAL — NEEDS CONTROLLER SIGN-OFF</t>
  </si>
  <si>
    <t>On settlement of the USD purchase / forward (simplified, illustrative only):</t>
  </si>
  <si>
    <t>Dr</t>
  </si>
  <si>
    <t>Foreign currency (USD) bank / AP settled</t>
  </si>
  <si>
    <t>at agreed rate</t>
  </si>
  <si>
    <t>Cr</t>
  </si>
  <si>
    <t>IDR bank account</t>
  </si>
  <si>
    <t>USD amount x settlement rate</t>
  </si>
  <si>
    <t>Dr/Cr</t>
  </si>
  <si>
    <t>Realised FX gain / (loss)</t>
  </si>
  <si>
    <t>difference vs booking rate</t>
  </si>
  <si>
    <t>Treatment depends on PSAK 10 / IAS 21 and, if hedge-designated, PSAK 71 / IFRS 9. Confirm with the Controller before any demo claim about accounting.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</si>
</sst>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p-421]#,##0.00"/>
    <numFmt numFmtId="165" formatCode="dd\-mmm\-yyyy"/>
    <numFmt numFmtId="166" formatCode="0.0%"/>
    <numFmt numFmtId="167" formatCode="#,##0;\(#,##0\);\-"/>
  </numFmts>
  <fonts count="60">
    <font>
      <sz val="11"/>
      <color theme="1"/>
      <name val="Aptos Narrow"/>
      <family val="2"/>
      <charset val="1"/>
    </font>
    <font>
      <sz val="10"/>
      <name val="Arial"/>
      <family val="2"/>
    </font>
    <font>
      <b/>
      <sz val="18"/>
      <color rgb="FF1F3864"/>
      <name val="Arial"/>
      <family val="2"/>
    </font>
    <font>
      <i/>
      <sz val="10"/>
      <color rgb="FF595959"/>
      <name val="Arial"/>
      <family val="2"/>
    </font>
    <font>
      <b/>
      <sz val="12"/>
      <color rgb="FFFFFFFF"/>
      <name val="Arial"/>
      <family val="2"/>
    </font>
    <font>
      <sz val="10"/>
      <color rgb="FF000000"/>
      <name val="Arial"/>
      <family val="2"/>
    </font>
    <font>
      <sz val="10"/>
      <color rgb="FFC00000"/>
      <name val="Arial"/>
      <family val="2"/>
    </font>
    <font>
      <b/>
      <sz val="16"/>
      <color rgb="FF1F3864"/>
      <name val="Arial"/>
      <family val="2"/>
    </font>
    <font>
      <b/>
      <sz val="11"/>
      <color rgb="FFFFFFFF"/>
      <name val="Arial"/>
      <family val="2"/>
    </font>
    <font>
      <b/>
      <sz val="10"/>
      <color rgb="FF000000"/>
      <name val="Arial"/>
      <family val="2"/>
    </font>
    <font>
      <sz val="10"/>
      <color rgb="FF0000FF"/>
      <name val="Arial"/>
      <family val="2"/>
    </font>
    <font>
      <i/>
      <sz val="10"/>
      <color rgb="FFC00000"/>
      <name val="Arial"/>
      <family val="2"/>
    </font>
    <font>
      <b/>
      <sz val="9"/>
      <color rgb="FFFFFFFF"/>
      <name val="Arial"/>
      <family val="2"/>
    </font>
    <font>
      <sz val="9"/>
      <color rgb="FF000000"/>
      <name val="Arial"/>
      <family val="2"/>
    </font>
    <font>
      <sz val="9"/>
      <color rgb="FF0000FF"/>
      <name val="Arial"/>
      <family val="2"/>
    </font>
    <font>
      <sz val="9"/>
      <color rgb="FF008000"/>
      <name val="Arial"/>
      <family val="2"/>
    </font>
    <font>
      <sz val="9"/>
      <color rgb="FFC00000"/>
      <name val="Arial"/>
      <family val="2"/>
    </font>
    <font>
      <i/>
      <sz val="8"/>
      <color rgb="FF595959"/>
      <name val="Arial"/>
      <family val="2"/>
    </font>
    <font>
      <b/>
      <sz val="9"/>
      <color rgb="FFC00000"/>
      <name val="Arial"/>
      <family val="2"/>
    </font>
    <font>
      <b/>
      <sz val="10"/>
      <color rgb="FF008000"/>
      <name val="Arial"/>
      <family val="2"/>
    </font>
    <font>
      <b/>
      <sz val="9"/>
      <color rgb="FF0000FF"/>
      <name val="Arial"/>
      <family val="2"/>
    </font>
    <font>
      <sz val="9"/>
      <color rgb="FF595959"/>
      <name val="Arial"/>
      <family val="2"/>
    </font>
    <font>
      <b/>
      <sz val="9"/>
      <color rgb="FF000000"/>
      <name val="Arial"/>
      <family val="2"/>
    </font>
    <font>
      <sz val="8"/>
      <color rgb="FF008000"/>
      <name val="Arial"/>
      <family val="2"/>
    </font>
    <font>
      <sz val="8"/>
      <color rgb="FF000000"/>
      <name val="Arial"/>
      <family val="2"/>
    </font>
    <font>
      <sz val="8"/>
      <color rgb="FF595959"/>
      <name val="Arial"/>
      <family val="2"/>
    </font>
    <font>
      <b/>
      <sz val="9"/>
      <color rgb="FF008000"/>
      <name val="Arial"/>
      <family val="2"/>
    </font>
    <font>
      <b/>
      <sz val="10"/>
      <color rgb="FFC00000"/>
      <name val="Arial"/>
      <family val="2"/>
    </font>
    <font>
      <i/>
      <sz val="9"/>
      <color rgb="FF595959"/>
      <name val="Arial"/>
      <family val="2"/>
    </font>
    <font>
      <sz val="10"/>
      <color rgb="FF008000"/>
      <name val="Arial"/>
      <family val="2"/>
    </font>
    <font>
      <b/>
      <sz val="10"/>
      <color rgb="FF548235"/>
      <name val="Arial"/>
      <family val="2"/>
    </font>
    <font>
      <b/>
      <sz val="9"/>
      <color rgb="FF548235"/>
      <name val="Arial"/>
      <family val="2"/>
    </font>
    <font>
      <i/>
      <sz val="8"/>
      <color rgb="FFC00000"/>
      <name val="Arial"/>
      <family val="2"/>
    </font>
    <font>
      <b/>
      <sz val="11"/>
      <color rgb="FF1F3864"/>
      <name val="Arial"/>
      <family val="2"/>
    </font>
    <font>
      <i/>
      <sz val="9"/>
      <color rgb="FF548235"/>
      <name val="Arial"/>
      <family val="2"/>
    </font>
    <font>
      <b/>
      <sz val="10"/>
      <color rgb="FF1F3864"/>
      <name val="Arial"/>
      <family val="2"/>
    </font>
    <font>
      <b/>
      <sz val="11"/>
      <color theme="0"/>
      <name val="Aptos Narrow"/>
      <family val="2"/>
      <scheme val="minor"/>
    </font>
    <font>
      <b/>
      <sz val="11"/>
      <color theme="1"/>
      <name val="Aptos Narrow"/>
      <family val="2"/>
      <scheme val="minor"/>
    </font>
    <font>
      <b/>
      <sz val="16"/>
      <color rgb="FF1F3864"/>
      <name val="Calibri"/>
      <family val="2"/>
    </font>
    <font>
      <sz val="11"/>
      <color theme="1"/>
      <name val="Calibri"/>
      <family val="2"/>
    </font>
    <font>
      <i/>
      <sz val="10"/>
      <color rgb="FF595959"/>
      <name val="Calibri"/>
      <family val="2"/>
    </font>
    <font>
      <sz val="9"/>
      <color rgb="FF000000"/>
      <name val="Calibri"/>
      <family val="2"/>
    </font>
    <font>
      <sz val="9"/>
      <color rgb="FF0000FF"/>
      <name val="Calibri"/>
      <family val="2"/>
    </font>
    <font>
      <sz val="9"/>
      <color rgb="FF008000"/>
      <name val="Calibri"/>
      <family val="2"/>
    </font>
    <font>
      <sz val="9"/>
      <color rgb="FFC00000"/>
      <name val="Calibri"/>
      <family val="2"/>
    </font>
    <font>
      <i/>
      <sz val="8"/>
      <color rgb="FF595959"/>
      <name val="Calibri"/>
      <family val="2"/>
    </font>
    <font>
      <b/>
      <sz val="9"/>
      <color rgb="FFC00000"/>
      <name val="Calibri"/>
      <family val="2"/>
    </font>
    <font>
      <b/>
      <sz val="10"/>
      <color rgb="FF000000"/>
      <name val="Calibri"/>
      <family val="2"/>
    </font>
    <font>
      <b/>
      <sz val="10"/>
      <color rgb="FF008000"/>
      <name val="Calibri"/>
      <family val="2"/>
    </font>
    <font>
      <b/>
      <sz val="11"/>
      <color theme="0"/>
      <name val="Arial"/>
      <family val="2"/>
    </font>
    <font>
      <b/>
      <sz val="9"/>
      <color theme="0"/>
      <name val="Calibri"/>
      <family val="2"/>
    </font>
    <font>
      <b/>
      <sz val="9"/>
      <color theme="0"/>
      <name val="Arial"/>
      <family val="2"/>
    </font>
    <font>
      <sz val="8"/>
      <name val="Aptos Narrow"/>
      <family val="2"/>
      <charset val="1"/>
    </font>
    <font>
      <b/>
      <sz val="11"/>
      <color theme="1"/>
      <name val="Aptos Narrow"/>
      <family val="2"/>
    </font>
    <font>
      <sz val="11"/>
      <color theme="1"/>
      <name val="Aptos Narrow"/>
      <family val="2"/>
    </font>
    <font>
      <b/>
      <sz val="11"/>
      <color theme="0"/>
      <name val="Aptos Narrow"/>
      <family val="2"/>
    </font>
    <font>
      <sz val="11"/>
      <color theme="1"/>
      <name val="Segoe UI"/>
      <family val="2"/>
    </font>
    <font>
      <b/>
      <sz val="24"/>
      <color theme="1"/>
      <name val="Segoe UI"/>
      <family val="2"/>
    </font>
    <font>
      <b/>
      <sz val="18"/>
      <color theme="1"/>
      <name val="Segoe UI"/>
      <family val="2"/>
    </font>
    <font>
      <b/>
      <sz val="11"/>
      <color theme="1"/>
      <name val="Segoe UI"/>
      <family val="2"/>
    </font>
  </fonts>
  <fills count="18">
    <fill>
      <patternFill patternType="none"/>
    </fill>
    <fill>
      <patternFill patternType="gray125"/>
    </fill>
    <fill>
      <patternFill patternType="solid">
        <fgColor rgb="FF2E5496"/>
        <bgColor rgb="FF1F3864"/>
      </patternFill>
    </fill>
    <fill>
      <patternFill patternType="solid">
        <fgColor rgb="FFC00000"/>
        <bgColor rgb="FF800000"/>
      </patternFill>
    </fill>
    <fill>
      <patternFill patternType="solid">
        <fgColor rgb="FFFFFF00"/>
        <bgColor rgb="FFFFFF00"/>
      </patternFill>
    </fill>
    <fill>
      <patternFill patternType="solid">
        <fgColor rgb="FF1F3864"/>
        <bgColor rgb="FF333333"/>
      </patternFill>
    </fill>
    <fill>
      <patternFill patternType="solid">
        <fgColor rgb="FFF2F6FC"/>
        <bgColor rgb="FFFFFFFF"/>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F8CBAD"/>
        <bgColor rgb="FFD9D9D9"/>
      </patternFill>
    </fill>
    <fill>
      <patternFill patternType="solid">
        <fgColor rgb="FFCCCCFF"/>
        <bgColor indexed="64"/>
      </patternFill>
    </fill>
    <fill>
      <patternFill patternType="solid">
        <fgColor rgb="FF7030A0"/>
        <bgColor indexed="64"/>
      </patternFill>
    </fill>
    <fill>
      <patternFill patternType="solid">
        <fgColor rgb="FF0070C0"/>
        <bgColor rgb="FF1F3864"/>
      </patternFill>
    </fill>
    <fill>
      <patternFill patternType="solid">
        <fgColor rgb="FF0070C0"/>
        <bgColor rgb="FF333333"/>
      </patternFill>
    </fill>
    <fill>
      <patternFill patternType="solid">
        <fgColor theme="4" tint="0.79998168889431442"/>
        <bgColor indexed="64"/>
      </patternFill>
    </fill>
    <fill>
      <patternFill patternType="solid">
        <fgColor rgb="FF0070C0"/>
        <bgColor indexed="64"/>
      </patternFill>
    </fill>
    <fill>
      <patternFill patternType="solid">
        <fgColor theme="7" tint="0.79998168889431442"/>
        <bgColor indexed="64"/>
      </patternFill>
    </fill>
  </fills>
  <borders count="2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indexed="64"/>
      </left>
      <right style="thin">
        <color indexed="64"/>
      </right>
      <top/>
      <bottom style="thin">
        <color indexed="64"/>
      </bottom>
      <diagonal/>
    </border>
    <border>
      <left/>
      <right/>
      <top/>
      <bottom style="thin">
        <color rgb="FFBFBFBF"/>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255">
    <xf numFmtId="0" fontId="0" fillId="0" borderId="0" xfId="0"/>
    <xf numFmtId="0" fontId="22" fillId="0" borderId="0" xfId="0" applyFont="1" applyAlignment="1">
      <alignment horizontal="left" vertical="center"/>
    </xf>
    <xf numFmtId="0" fontId="17" fillId="0" borderId="0" xfId="0" applyFont="1" applyAlignment="1">
      <alignment horizontal="left" vertical="center"/>
    </xf>
    <xf numFmtId="0" fontId="2" fillId="0" borderId="0" xfId="0" applyFont="1"/>
    <xf numFmtId="0" fontId="3" fillId="0" borderId="0" xfId="0" applyFont="1" applyAlignment="1">
      <alignment vertical="center" wrapText="1"/>
    </xf>
    <xf numFmtId="0" fontId="4" fillId="2" borderId="0" xfId="0" applyFont="1" applyFill="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3" fillId="0" borderId="0" xfId="0" applyFont="1" applyAlignment="1">
      <alignment horizontal="left" vertical="center" wrapText="1"/>
    </xf>
    <xf numFmtId="0" fontId="4" fillId="3" borderId="0" xfId="0" applyFont="1" applyFill="1" applyAlignment="1">
      <alignment horizontal="left" vertical="center"/>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0" fillId="0" borderId="1" xfId="0" applyBorder="1" applyAlignment="1">
      <alignment vertical="top"/>
    </xf>
    <xf numFmtId="0" fontId="0" fillId="0" borderId="1" xfId="0" applyBorder="1" applyAlignment="1">
      <alignment wrapText="1"/>
    </xf>
    <xf numFmtId="0" fontId="0" fillId="0" borderId="2" xfId="0" applyBorder="1" applyAlignment="1">
      <alignment vertical="top" wrapText="1"/>
    </xf>
    <xf numFmtId="9" fontId="0" fillId="0" borderId="1" xfId="0" applyNumberFormat="1" applyBorder="1" applyAlignment="1">
      <alignment vertical="top"/>
    </xf>
    <xf numFmtId="0" fontId="3" fillId="0" borderId="0" xfId="0" applyFont="1"/>
    <xf numFmtId="0" fontId="8" fillId="2" borderId="0" xfId="0" applyFont="1" applyFill="1" applyAlignment="1">
      <alignment horizontal="left" vertical="center"/>
    </xf>
    <xf numFmtId="0" fontId="5" fillId="2" borderId="0" xfId="0" applyFont="1" applyFill="1"/>
    <xf numFmtId="0" fontId="5" fillId="0" borderId="0" xfId="0" applyFont="1" applyAlignment="1">
      <alignment horizontal="left" vertical="center"/>
    </xf>
    <xf numFmtId="167" fontId="14" fillId="0" borderId="3" xfId="0" applyNumberFormat="1" applyFont="1" applyBorder="1" applyAlignment="1">
      <alignment horizontal="right" vertical="center"/>
    </xf>
    <xf numFmtId="0" fontId="17" fillId="0" borderId="3" xfId="0" applyFont="1" applyBorder="1" applyAlignment="1">
      <alignment horizontal="left" vertical="center" wrapText="1"/>
    </xf>
    <xf numFmtId="167" fontId="14" fillId="6" borderId="3" xfId="0" applyNumberFormat="1" applyFont="1" applyFill="1" applyBorder="1" applyAlignment="1">
      <alignment horizontal="right" vertical="center"/>
    </xf>
    <xf numFmtId="0" fontId="17" fillId="6" borderId="3" xfId="0" applyFont="1" applyFill="1" applyBorder="1" applyAlignment="1">
      <alignment horizontal="left" vertical="center" wrapText="1"/>
    </xf>
    <xf numFmtId="0" fontId="21" fillId="0" borderId="3" xfId="0" applyFont="1" applyBorder="1" applyAlignment="1">
      <alignment horizontal="center" vertical="center"/>
    </xf>
    <xf numFmtId="0" fontId="21" fillId="6" borderId="3" xfId="0" applyFont="1" applyFill="1" applyBorder="1" applyAlignment="1">
      <alignment horizontal="center" vertical="center"/>
    </xf>
    <xf numFmtId="0" fontId="22" fillId="0" borderId="3" xfId="0" applyFont="1" applyBorder="1" applyAlignment="1">
      <alignment horizontal="left" vertical="center"/>
    </xf>
    <xf numFmtId="167" fontId="22" fillId="0" borderId="3" xfId="0" applyNumberFormat="1" applyFont="1" applyBorder="1"/>
    <xf numFmtId="0" fontId="22" fillId="6" borderId="3" xfId="0" applyFont="1" applyFill="1" applyBorder="1" applyAlignment="1">
      <alignment horizontal="left" vertical="center"/>
    </xf>
    <xf numFmtId="167" fontId="22" fillId="6" borderId="3" xfId="0" applyNumberFormat="1" applyFont="1" applyFill="1" applyBorder="1"/>
    <xf numFmtId="0" fontId="22" fillId="7" borderId="3" xfId="0" applyFont="1" applyFill="1" applyBorder="1"/>
    <xf numFmtId="167" fontId="22" fillId="7" borderId="3" xfId="0" applyNumberFormat="1" applyFont="1" applyFill="1" applyBorder="1"/>
    <xf numFmtId="167" fontId="13" fillId="0" borderId="3" xfId="0" applyNumberFormat="1" applyFont="1" applyBorder="1" applyAlignment="1">
      <alignment horizontal="right" vertical="center"/>
    </xf>
    <xf numFmtId="167" fontId="22" fillId="0" borderId="3" xfId="0" applyNumberFormat="1" applyFont="1" applyBorder="1" applyAlignment="1">
      <alignment horizontal="right" vertical="center"/>
    </xf>
    <xf numFmtId="0" fontId="27" fillId="0" borderId="0" xfId="0" applyFont="1" applyAlignment="1">
      <alignment horizontal="left" vertical="center"/>
    </xf>
    <xf numFmtId="0" fontId="9" fillId="0" borderId="0" xfId="0" applyFont="1" applyAlignment="1">
      <alignment horizontal="left" vertical="center"/>
    </xf>
    <xf numFmtId="167" fontId="29" fillId="0" borderId="0" xfId="0" applyNumberFormat="1" applyFont="1" applyAlignment="1">
      <alignment horizontal="right" vertical="center"/>
    </xf>
    <xf numFmtId="0" fontId="21" fillId="0" borderId="0" xfId="0" applyFont="1" applyAlignment="1">
      <alignment horizontal="left" vertical="center"/>
    </xf>
    <xf numFmtId="0" fontId="9" fillId="8" borderId="0" xfId="0" applyFont="1" applyFill="1" applyAlignment="1">
      <alignment horizontal="left" vertical="center"/>
    </xf>
    <xf numFmtId="0" fontId="21" fillId="8" borderId="0" xfId="0" applyFont="1" applyFill="1" applyAlignment="1">
      <alignment horizontal="left" vertical="center"/>
    </xf>
    <xf numFmtId="167" fontId="5" fillId="0" borderId="0" xfId="0" applyNumberFormat="1" applyFont="1" applyAlignment="1">
      <alignment horizontal="right" vertical="center"/>
    </xf>
    <xf numFmtId="3" fontId="13" fillId="6" borderId="3" xfId="0" applyNumberFormat="1" applyFont="1" applyFill="1" applyBorder="1" applyAlignment="1">
      <alignment horizontal="right" vertical="center"/>
    </xf>
    <xf numFmtId="167" fontId="13" fillId="6" borderId="3" xfId="0" applyNumberFormat="1" applyFont="1" applyFill="1" applyBorder="1" applyAlignment="1">
      <alignment horizontal="right" vertical="center"/>
    </xf>
    <xf numFmtId="3" fontId="13" fillId="0" borderId="3" xfId="0" applyNumberFormat="1" applyFont="1" applyBorder="1" applyAlignment="1">
      <alignment horizontal="right" vertical="center"/>
    </xf>
    <xf numFmtId="167" fontId="18" fillId="0" borderId="3" xfId="0" applyNumberFormat="1" applyFont="1" applyBorder="1" applyAlignment="1">
      <alignment horizontal="right" vertical="center"/>
    </xf>
    <xf numFmtId="167" fontId="18" fillId="6" borderId="3" xfId="0" applyNumberFormat="1" applyFont="1" applyFill="1" applyBorder="1" applyAlignment="1">
      <alignment horizontal="right" vertical="center"/>
    </xf>
    <xf numFmtId="0" fontId="9" fillId="9" borderId="0" xfId="0" applyFont="1" applyFill="1" applyAlignment="1">
      <alignment horizontal="left" vertical="center"/>
    </xf>
    <xf numFmtId="167" fontId="30" fillId="9" borderId="0" xfId="0" applyNumberFormat="1" applyFont="1" applyFill="1" applyAlignment="1">
      <alignment horizontal="right" vertical="center"/>
    </xf>
    <xf numFmtId="167" fontId="6" fillId="0" borderId="0" xfId="0" applyNumberFormat="1" applyFont="1" applyAlignment="1">
      <alignment horizontal="right" vertical="center"/>
    </xf>
    <xf numFmtId="167" fontId="31" fillId="0" borderId="3" xfId="0" applyNumberFormat="1" applyFont="1" applyBorder="1" applyAlignment="1">
      <alignment horizontal="right" vertical="center"/>
    </xf>
    <xf numFmtId="0" fontId="31" fillId="9" borderId="3" xfId="0" applyFont="1" applyFill="1" applyBorder="1" applyAlignment="1">
      <alignment horizontal="left" vertical="center"/>
    </xf>
    <xf numFmtId="167" fontId="31" fillId="9" borderId="3" xfId="0" applyNumberFormat="1" applyFont="1" applyFill="1" applyBorder="1" applyAlignment="1">
      <alignment horizontal="right" vertical="center"/>
    </xf>
    <xf numFmtId="167" fontId="13" fillId="9" borderId="3" xfId="0" applyNumberFormat="1" applyFont="1" applyFill="1" applyBorder="1" applyAlignment="1">
      <alignment horizontal="right" vertical="center"/>
    </xf>
    <xf numFmtId="0" fontId="21" fillId="9" borderId="3" xfId="0" applyFont="1" applyFill="1" applyBorder="1" applyAlignment="1">
      <alignment horizontal="center" vertical="center"/>
    </xf>
    <xf numFmtId="167" fontId="31" fillId="6" borderId="3" xfId="0" applyNumberFormat="1" applyFont="1" applyFill="1" applyBorder="1" applyAlignment="1">
      <alignment horizontal="right" vertical="center"/>
    </xf>
    <xf numFmtId="167" fontId="19" fillId="8" borderId="0" xfId="0" applyNumberFormat="1" applyFont="1" applyFill="1" applyAlignment="1">
      <alignment horizontal="right" vertical="center"/>
    </xf>
    <xf numFmtId="0" fontId="9" fillId="10" borderId="0" xfId="0" applyFont="1" applyFill="1" applyAlignment="1">
      <alignment horizontal="left" vertical="center"/>
    </xf>
    <xf numFmtId="167" fontId="27" fillId="10" borderId="0" xfId="0" applyNumberFormat="1" applyFont="1" applyFill="1" applyAlignment="1">
      <alignment horizontal="right" vertical="center"/>
    </xf>
    <xf numFmtId="0" fontId="33" fillId="0" borderId="0" xfId="0" applyFont="1" applyAlignment="1">
      <alignment horizontal="left" vertical="center"/>
    </xf>
    <xf numFmtId="0" fontId="0" fillId="0" borderId="1" xfId="0" quotePrefix="1" applyBorder="1" applyAlignment="1">
      <alignment vertical="top" wrapText="1"/>
    </xf>
    <xf numFmtId="0" fontId="36" fillId="12" borderId="1" xfId="0" applyFont="1" applyFill="1" applyBorder="1" applyAlignment="1">
      <alignment horizontal="center" vertical="top" wrapText="1"/>
    </xf>
    <xf numFmtId="0" fontId="0" fillId="11" borderId="1" xfId="0" applyFill="1" applyBorder="1" applyAlignment="1">
      <alignment vertical="top" wrapText="1"/>
    </xf>
    <xf numFmtId="0" fontId="36" fillId="12" borderId="1" xfId="0" applyFont="1" applyFill="1" applyBorder="1" applyAlignment="1">
      <alignment horizontal="center" vertical="center" wrapText="1"/>
    </xf>
    <xf numFmtId="0" fontId="37" fillId="11" borderId="1" xfId="0" applyFont="1" applyFill="1" applyBorder="1" applyAlignment="1">
      <alignment vertical="top" wrapText="1"/>
    </xf>
    <xf numFmtId="0" fontId="36" fillId="12" borderId="1" xfId="0" applyFont="1" applyFill="1" applyBorder="1" applyAlignment="1">
      <alignment horizontal="center" vertical="center"/>
    </xf>
    <xf numFmtId="0" fontId="37" fillId="11" borderId="1" xfId="0" applyFont="1" applyFill="1" applyBorder="1" applyAlignment="1">
      <alignment vertical="top"/>
    </xf>
    <xf numFmtId="0" fontId="37" fillId="11" borderId="2" xfId="0" applyFont="1" applyFill="1" applyBorder="1" applyAlignment="1">
      <alignment vertical="top"/>
    </xf>
    <xf numFmtId="0" fontId="37" fillId="11" borderId="2" xfId="0" applyFont="1" applyFill="1" applyBorder="1" applyAlignment="1">
      <alignment vertical="top" wrapText="1"/>
    </xf>
    <xf numFmtId="0" fontId="36" fillId="12" borderId="1" xfId="0" applyFont="1" applyFill="1" applyBorder="1" applyAlignment="1">
      <alignment horizontal="center" vertical="top"/>
    </xf>
    <xf numFmtId="0" fontId="7" fillId="0" borderId="0" xfId="0" applyFont="1" applyAlignment="1">
      <alignment vertical="top"/>
    </xf>
    <xf numFmtId="0" fontId="3" fillId="0" borderId="0" xfId="0" applyFont="1" applyAlignment="1">
      <alignment vertical="top"/>
    </xf>
    <xf numFmtId="0" fontId="9" fillId="0" borderId="0" xfId="0" applyFont="1" applyAlignment="1">
      <alignment vertical="top"/>
    </xf>
    <xf numFmtId="0" fontId="5" fillId="0" borderId="0" xfId="0" applyFont="1" applyAlignment="1">
      <alignment horizontal="left" vertical="top"/>
    </xf>
    <xf numFmtId="0" fontId="3" fillId="0" borderId="0" xfId="0" applyFont="1" applyAlignment="1">
      <alignment horizontal="left" vertical="top" wrapText="1"/>
    </xf>
    <xf numFmtId="165" fontId="10" fillId="4" borderId="0" xfId="0" applyNumberFormat="1" applyFont="1" applyFill="1" applyAlignment="1">
      <alignment horizontal="center" vertical="top"/>
    </xf>
    <xf numFmtId="0" fontId="3" fillId="0" borderId="0" xfId="0" applyFont="1" applyAlignment="1">
      <alignment horizontal="left" vertical="top"/>
    </xf>
    <xf numFmtId="0" fontId="10" fillId="0" borderId="0" xfId="0" applyFont="1" applyAlignment="1">
      <alignment horizontal="center" vertical="top"/>
    </xf>
    <xf numFmtId="0" fontId="5" fillId="0" borderId="0" xfId="0" applyFont="1" applyAlignment="1">
      <alignment horizontal="center" vertical="top"/>
    </xf>
    <xf numFmtId="3" fontId="10" fillId="4" borderId="0" xfId="0" applyNumberFormat="1" applyFont="1" applyFill="1" applyAlignment="1">
      <alignment horizontal="center" vertical="top"/>
    </xf>
    <xf numFmtId="0" fontId="11" fillId="0" borderId="0" xfId="0" applyFont="1" applyAlignment="1">
      <alignment horizontal="left" vertical="top" wrapText="1"/>
    </xf>
    <xf numFmtId="3" fontId="10" fillId="0" borderId="0" xfId="0" applyNumberFormat="1" applyFont="1" applyAlignment="1">
      <alignment horizontal="center" vertical="top"/>
    </xf>
    <xf numFmtId="166" fontId="10" fillId="4" borderId="0" xfId="0" applyNumberFormat="1" applyFont="1" applyFill="1" applyAlignment="1">
      <alignment horizontal="center" vertical="top"/>
    </xf>
    <xf numFmtId="166" fontId="10" fillId="0" borderId="0" xfId="0" applyNumberFormat="1" applyFont="1" applyAlignment="1">
      <alignment horizontal="center" vertical="top"/>
    </xf>
    <xf numFmtId="3" fontId="5" fillId="0" borderId="0" xfId="0" applyNumberFormat="1" applyFont="1" applyAlignment="1">
      <alignment horizontal="center" vertical="top"/>
    </xf>
    <xf numFmtId="167" fontId="10" fillId="4" borderId="0" xfId="0" applyNumberFormat="1" applyFont="1" applyFill="1" applyAlignment="1">
      <alignment horizontal="center" vertical="top"/>
    </xf>
    <xf numFmtId="167" fontId="10" fillId="0" borderId="0" xfId="0" applyNumberFormat="1" applyFont="1" applyAlignment="1">
      <alignment horizontal="center" vertical="top"/>
    </xf>
    <xf numFmtId="0" fontId="0" fillId="0" borderId="0" xfId="0" applyAlignment="1">
      <alignment wrapText="1"/>
    </xf>
    <xf numFmtId="0" fontId="13" fillId="0" borderId="3" xfId="0" applyFont="1" applyBorder="1" applyAlignment="1">
      <alignment horizontal="left" vertical="center" wrapText="1"/>
    </xf>
    <xf numFmtId="0" fontId="13" fillId="9" borderId="3" xfId="0" applyFont="1" applyFill="1" applyBorder="1" applyAlignment="1">
      <alignment horizontal="left" vertical="center" wrapText="1"/>
    </xf>
    <xf numFmtId="0" fontId="16" fillId="0" borderId="3" xfId="0" applyFont="1" applyBorder="1" applyAlignment="1">
      <alignment horizontal="left" vertical="center" wrapText="1"/>
    </xf>
    <xf numFmtId="0" fontId="13" fillId="6" borderId="3" xfId="0" applyFont="1" applyFill="1" applyBorder="1" applyAlignment="1">
      <alignment horizontal="left" vertical="center" wrapText="1"/>
    </xf>
    <xf numFmtId="167" fontId="29" fillId="0" borderId="0" xfId="0" applyNumberFormat="1" applyFont="1" applyAlignment="1">
      <alignment horizontal="right" vertical="center" wrapText="1"/>
    </xf>
    <xf numFmtId="167" fontId="9" fillId="8" borderId="0" xfId="0" applyNumberFormat="1" applyFont="1" applyFill="1" applyAlignment="1">
      <alignment horizontal="right" vertical="center" wrapText="1"/>
    </xf>
    <xf numFmtId="167" fontId="5" fillId="0" borderId="0" xfId="0" applyNumberFormat="1" applyFont="1" applyAlignment="1">
      <alignment horizontal="right" vertical="center" wrapText="1"/>
    </xf>
    <xf numFmtId="3" fontId="13" fillId="6" borderId="3" xfId="0" applyNumberFormat="1" applyFont="1" applyFill="1" applyBorder="1" applyAlignment="1">
      <alignment horizontal="right" vertical="center" wrapText="1"/>
    </xf>
    <xf numFmtId="3" fontId="13" fillId="0" borderId="3" xfId="0" applyNumberFormat="1" applyFont="1" applyBorder="1" applyAlignment="1">
      <alignment horizontal="right" vertical="center" wrapText="1"/>
    </xf>
    <xf numFmtId="167" fontId="10" fillId="4" borderId="0" xfId="0" applyNumberFormat="1" applyFont="1" applyFill="1" applyAlignment="1">
      <alignment horizontal="right" vertical="center" wrapText="1"/>
    </xf>
    <xf numFmtId="166" fontId="5" fillId="0" borderId="0" xfId="0" applyNumberFormat="1" applyFont="1" applyAlignment="1">
      <alignment horizontal="right" vertical="center" wrapText="1"/>
    </xf>
    <xf numFmtId="3" fontId="29" fillId="0" borderId="0" xfId="0" applyNumberFormat="1" applyFont="1" applyAlignment="1">
      <alignment horizontal="right" vertical="center" wrapText="1"/>
    </xf>
    <xf numFmtId="167" fontId="30" fillId="9" borderId="0" xfId="0" applyNumberFormat="1" applyFont="1" applyFill="1" applyAlignment="1">
      <alignment horizontal="right" vertical="center" wrapText="1"/>
    </xf>
    <xf numFmtId="167" fontId="6" fillId="0" borderId="0" xfId="0" applyNumberFormat="1" applyFont="1" applyAlignment="1">
      <alignment horizontal="right" vertical="center" wrapText="1"/>
    </xf>
    <xf numFmtId="0" fontId="13" fillId="0" borderId="3" xfId="0" applyFont="1" applyBorder="1" applyAlignment="1">
      <alignment horizontal="center" vertical="top"/>
    </xf>
    <xf numFmtId="0" fontId="13" fillId="0" borderId="3" xfId="0" applyFont="1" applyBorder="1" applyAlignment="1">
      <alignment horizontal="left" vertical="top"/>
    </xf>
    <xf numFmtId="165" fontId="13" fillId="0" borderId="3" xfId="0" applyNumberFormat="1" applyFont="1" applyBorder="1" applyAlignment="1">
      <alignment horizontal="center" vertical="top"/>
    </xf>
    <xf numFmtId="167" fontId="14" fillId="0" borderId="3" xfId="0" applyNumberFormat="1" applyFont="1" applyBorder="1" applyAlignment="1">
      <alignment horizontal="right" vertical="top"/>
    </xf>
    <xf numFmtId="167" fontId="15" fillId="0" borderId="3" xfId="0" applyNumberFormat="1" applyFont="1" applyBorder="1" applyAlignment="1">
      <alignment horizontal="right" vertical="top"/>
    </xf>
    <xf numFmtId="0" fontId="17" fillId="0" borderId="3" xfId="0" applyFont="1" applyBorder="1" applyAlignment="1">
      <alignment horizontal="left" vertical="top" wrapText="1"/>
    </xf>
    <xf numFmtId="0" fontId="13" fillId="6" borderId="3" xfId="0" applyFont="1" applyFill="1" applyBorder="1" applyAlignment="1">
      <alignment horizontal="center" vertical="top"/>
    </xf>
    <xf numFmtId="0" fontId="13" fillId="6" borderId="3" xfId="0" applyFont="1" applyFill="1" applyBorder="1" applyAlignment="1">
      <alignment horizontal="left" vertical="top"/>
    </xf>
    <xf numFmtId="165" fontId="13" fillId="6" borderId="3" xfId="0" applyNumberFormat="1" applyFont="1" applyFill="1" applyBorder="1" applyAlignment="1">
      <alignment horizontal="center" vertical="top"/>
    </xf>
    <xf numFmtId="167" fontId="14" fillId="6" borderId="3" xfId="0" applyNumberFormat="1" applyFont="1" applyFill="1" applyBorder="1" applyAlignment="1">
      <alignment horizontal="right" vertical="top"/>
    </xf>
    <xf numFmtId="167" fontId="15" fillId="6" borderId="3" xfId="0" applyNumberFormat="1" applyFont="1" applyFill="1" applyBorder="1" applyAlignment="1">
      <alignment horizontal="right" vertical="top"/>
    </xf>
    <xf numFmtId="0" fontId="17" fillId="6" borderId="3" xfId="0" applyFont="1" applyFill="1" applyBorder="1" applyAlignment="1">
      <alignment horizontal="left" vertical="top" wrapText="1"/>
    </xf>
    <xf numFmtId="0" fontId="18" fillId="4" borderId="3" xfId="0" applyFont="1" applyFill="1" applyBorder="1" applyAlignment="1">
      <alignment horizontal="center" vertical="top"/>
    </xf>
    <xf numFmtId="0" fontId="18" fillId="6" borderId="3" xfId="0" applyFont="1" applyFill="1" applyBorder="1" applyAlignment="1">
      <alignment horizontal="center" vertical="top"/>
    </xf>
    <xf numFmtId="167" fontId="19" fillId="0" borderId="0" xfId="0" applyNumberFormat="1" applyFont="1" applyAlignment="1">
      <alignment vertical="top"/>
    </xf>
    <xf numFmtId="0" fontId="17" fillId="0" borderId="0" xfId="0" applyFont="1" applyAlignment="1">
      <alignment horizontal="left" vertical="top" wrapText="1"/>
    </xf>
    <xf numFmtId="0" fontId="39" fillId="0" borderId="0" xfId="0" applyFont="1" applyAlignment="1">
      <alignment vertical="top"/>
    </xf>
    <xf numFmtId="0" fontId="39" fillId="0" borderId="0" xfId="0" applyFont="1" applyAlignment="1">
      <alignment vertical="top" wrapText="1"/>
    </xf>
    <xf numFmtId="0" fontId="41" fillId="0" borderId="3" xfId="0" applyFont="1" applyBorder="1" applyAlignment="1">
      <alignment horizontal="center" vertical="top"/>
    </xf>
    <xf numFmtId="0" fontId="41" fillId="0" borderId="3" xfId="0" applyFont="1" applyBorder="1" applyAlignment="1">
      <alignment horizontal="left" vertical="top"/>
    </xf>
    <xf numFmtId="165" fontId="41" fillId="0" borderId="3" xfId="0" applyNumberFormat="1" applyFont="1" applyBorder="1" applyAlignment="1">
      <alignment horizontal="center" vertical="top"/>
    </xf>
    <xf numFmtId="167" fontId="42" fillId="0" borderId="3" xfId="0" applyNumberFormat="1" applyFont="1" applyBorder="1" applyAlignment="1">
      <alignment horizontal="right" vertical="top"/>
    </xf>
    <xf numFmtId="167" fontId="43" fillId="0" borderId="3" xfId="0" applyNumberFormat="1" applyFont="1" applyBorder="1" applyAlignment="1">
      <alignment horizontal="right" vertical="top"/>
    </xf>
    <xf numFmtId="0" fontId="44" fillId="0" borderId="3" xfId="0" applyFont="1" applyBorder="1" applyAlignment="1">
      <alignment horizontal="center" vertical="top"/>
    </xf>
    <xf numFmtId="0" fontId="45" fillId="0" borderId="3" xfId="0" applyFont="1" applyBorder="1" applyAlignment="1">
      <alignment horizontal="left" vertical="top" wrapText="1"/>
    </xf>
    <xf numFmtId="0" fontId="41" fillId="6" borderId="3" xfId="0" applyFont="1" applyFill="1" applyBorder="1" applyAlignment="1">
      <alignment horizontal="center" vertical="top"/>
    </xf>
    <xf numFmtId="0" fontId="41" fillId="6" borderId="3" xfId="0" applyFont="1" applyFill="1" applyBorder="1" applyAlignment="1">
      <alignment horizontal="left" vertical="top"/>
    </xf>
    <xf numFmtId="165" fontId="41" fillId="6" borderId="3" xfId="0" applyNumberFormat="1" applyFont="1" applyFill="1" applyBorder="1" applyAlignment="1">
      <alignment horizontal="center" vertical="top"/>
    </xf>
    <xf numFmtId="167" fontId="42" fillId="6" borderId="3" xfId="0" applyNumberFormat="1" applyFont="1" applyFill="1" applyBorder="1" applyAlignment="1">
      <alignment horizontal="right" vertical="top"/>
    </xf>
    <xf numFmtId="167" fontId="43" fillId="6" borderId="3" xfId="0" applyNumberFormat="1" applyFont="1" applyFill="1" applyBorder="1" applyAlignment="1">
      <alignment horizontal="right" vertical="top"/>
    </xf>
    <xf numFmtId="0" fontId="44" fillId="6" borderId="3" xfId="0" applyFont="1" applyFill="1" applyBorder="1" applyAlignment="1">
      <alignment horizontal="center" vertical="top"/>
    </xf>
    <xf numFmtId="0" fontId="45" fillId="6" borderId="3" xfId="0" applyFont="1" applyFill="1" applyBorder="1" applyAlignment="1">
      <alignment horizontal="left" vertical="top" wrapText="1"/>
    </xf>
    <xf numFmtId="0" fontId="46" fillId="4" borderId="3" xfId="0" applyFont="1" applyFill="1" applyBorder="1" applyAlignment="1">
      <alignment horizontal="center" vertical="top"/>
    </xf>
    <xf numFmtId="0" fontId="46" fillId="6" borderId="3" xfId="0" applyFont="1" applyFill="1" applyBorder="1" applyAlignment="1">
      <alignment horizontal="center" vertical="top"/>
    </xf>
    <xf numFmtId="0" fontId="47" fillId="0" borderId="0" xfId="0" applyFont="1" applyAlignment="1">
      <alignment vertical="top"/>
    </xf>
    <xf numFmtId="167" fontId="48" fillId="0" borderId="0" xfId="0" applyNumberFormat="1" applyFont="1" applyAlignment="1">
      <alignment vertical="top"/>
    </xf>
    <xf numFmtId="0" fontId="45" fillId="0" borderId="0" xfId="0" applyFont="1" applyAlignment="1">
      <alignment horizontal="left" vertical="top" wrapText="1"/>
    </xf>
    <xf numFmtId="0" fontId="50" fillId="14" borderId="3" xfId="0" applyFont="1" applyFill="1" applyBorder="1" applyAlignment="1">
      <alignment horizontal="center" vertical="top" wrapText="1"/>
    </xf>
    <xf numFmtId="0" fontId="51" fillId="14" borderId="3" xfId="0" applyFont="1" applyFill="1" applyBorder="1" applyAlignment="1">
      <alignment horizontal="center" vertical="center" wrapText="1"/>
    </xf>
    <xf numFmtId="0" fontId="51" fillId="14" borderId="3" xfId="0" applyFont="1" applyFill="1" applyBorder="1" applyAlignment="1">
      <alignment horizontal="center" vertical="top" wrapText="1"/>
    </xf>
    <xf numFmtId="0" fontId="20" fillId="0" borderId="3" xfId="0" applyFont="1" applyBorder="1" applyAlignment="1">
      <alignment horizontal="center" vertical="top"/>
    </xf>
    <xf numFmtId="0" fontId="21" fillId="0" borderId="3" xfId="0" applyFont="1" applyBorder="1" applyAlignment="1">
      <alignment horizontal="center" vertical="top"/>
    </xf>
    <xf numFmtId="0" fontId="20" fillId="6" borderId="3" xfId="0" applyFont="1" applyFill="1" applyBorder="1" applyAlignment="1">
      <alignment horizontal="center" vertical="top"/>
    </xf>
    <xf numFmtId="0" fontId="21" fillId="6" borderId="3" xfId="0" applyFont="1" applyFill="1" applyBorder="1" applyAlignment="1">
      <alignment horizontal="center" vertical="top"/>
    </xf>
    <xf numFmtId="0" fontId="18" fillId="0" borderId="3" xfId="0" applyFont="1" applyBorder="1" applyAlignment="1">
      <alignment horizontal="center" vertical="top"/>
    </xf>
    <xf numFmtId="0" fontId="51" fillId="14" borderId="3" xfId="0" applyFont="1" applyFill="1" applyBorder="1" applyAlignment="1">
      <alignment horizontal="center" vertical="center"/>
    </xf>
    <xf numFmtId="0" fontId="51" fillId="14" borderId="3" xfId="0" applyFont="1" applyFill="1" applyBorder="1" applyAlignment="1">
      <alignment horizontal="center"/>
    </xf>
    <xf numFmtId="0" fontId="12" fillId="5" borderId="9" xfId="0" applyFont="1" applyFill="1" applyBorder="1"/>
    <xf numFmtId="1" fontId="12" fillId="5" borderId="9" xfId="0" applyNumberFormat="1" applyFont="1" applyFill="1" applyBorder="1" applyAlignment="1">
      <alignment horizontal="center" vertical="center"/>
    </xf>
    <xf numFmtId="0" fontId="12" fillId="5" borderId="9" xfId="0" applyFont="1" applyFill="1" applyBorder="1" applyAlignment="1">
      <alignment horizontal="center" vertical="center"/>
    </xf>
    <xf numFmtId="0" fontId="22" fillId="0" borderId="8" xfId="0" applyFont="1" applyBorder="1" applyAlignment="1">
      <alignment horizontal="left" vertical="center"/>
    </xf>
    <xf numFmtId="165" fontId="23" fillId="0" borderId="8" xfId="0" applyNumberFormat="1" applyFont="1" applyBorder="1" applyAlignment="1">
      <alignment horizontal="center" vertical="center"/>
    </xf>
    <xf numFmtId="165" fontId="24" fillId="0" borderId="8" xfId="0" applyNumberFormat="1" applyFont="1" applyBorder="1" applyAlignment="1">
      <alignment horizontal="center" vertical="center"/>
    </xf>
    <xf numFmtId="0" fontId="0" fillId="0" borderId="8" xfId="0" applyBorder="1"/>
    <xf numFmtId="165" fontId="25" fillId="0" borderId="8" xfId="0" applyNumberFormat="1" applyFont="1" applyBorder="1" applyAlignment="1">
      <alignment horizontal="center" vertical="center"/>
    </xf>
    <xf numFmtId="0" fontId="13" fillId="0" borderId="8" xfId="0" applyFont="1" applyBorder="1" applyAlignment="1">
      <alignment horizontal="left" vertical="center"/>
    </xf>
    <xf numFmtId="167" fontId="15" fillId="0" borderId="8" xfId="0" applyNumberFormat="1" applyFont="1" applyBorder="1" applyAlignment="1">
      <alignment horizontal="right" vertical="center"/>
    </xf>
    <xf numFmtId="167" fontId="13" fillId="0" borderId="8" xfId="0" applyNumberFormat="1" applyFont="1" applyBorder="1" applyAlignment="1">
      <alignment horizontal="right" vertical="center"/>
    </xf>
    <xf numFmtId="167" fontId="22" fillId="7" borderId="8" xfId="0" applyNumberFormat="1" applyFont="1" applyFill="1" applyBorder="1" applyAlignment="1">
      <alignment horizontal="right" vertical="center"/>
    </xf>
    <xf numFmtId="167" fontId="22" fillId="0" borderId="8" xfId="0" applyNumberFormat="1" applyFont="1" applyBorder="1" applyAlignment="1">
      <alignment horizontal="right" vertical="center"/>
    </xf>
    <xf numFmtId="0" fontId="8" fillId="2" borderId="8" xfId="0" applyFont="1" applyFill="1" applyBorder="1" applyAlignment="1">
      <alignment horizontal="left" vertical="center"/>
    </xf>
    <xf numFmtId="0" fontId="5" fillId="2" borderId="8" xfId="0" applyFont="1" applyFill="1" applyBorder="1"/>
    <xf numFmtId="0" fontId="12" fillId="5" borderId="8" xfId="0" applyFont="1" applyFill="1" applyBorder="1" applyAlignment="1">
      <alignment horizontal="left" vertical="center"/>
    </xf>
    <xf numFmtId="167" fontId="12" fillId="5" borderId="8" xfId="0" applyNumberFormat="1" applyFont="1" applyFill="1" applyBorder="1" applyAlignment="1">
      <alignment horizontal="right" vertical="center"/>
    </xf>
    <xf numFmtId="0" fontId="22" fillId="8" borderId="8" xfId="0" applyFont="1" applyFill="1" applyBorder="1" applyAlignment="1">
      <alignment horizontal="left" vertical="center"/>
    </xf>
    <xf numFmtId="167" fontId="22" fillId="8" borderId="8" xfId="0" applyNumberFormat="1" applyFont="1" applyFill="1" applyBorder="1" applyAlignment="1">
      <alignment horizontal="right" vertical="center"/>
    </xf>
    <xf numFmtId="0" fontId="22" fillId="8" borderId="8" xfId="0" applyFont="1" applyFill="1" applyBorder="1" applyAlignment="1">
      <alignment horizontal="center" vertical="center"/>
    </xf>
    <xf numFmtId="0" fontId="22" fillId="0" borderId="10" xfId="0" applyFont="1" applyBorder="1" applyAlignment="1">
      <alignment horizontal="left" vertical="center"/>
    </xf>
    <xf numFmtId="167" fontId="26" fillId="0" borderId="10" xfId="0" applyNumberFormat="1" applyFont="1" applyBorder="1" applyAlignment="1">
      <alignment horizontal="right" vertical="center"/>
    </xf>
    <xf numFmtId="167" fontId="22" fillId="0" borderId="10" xfId="0" applyNumberFormat="1" applyFont="1" applyBorder="1" applyAlignment="1">
      <alignment horizontal="right" vertical="center"/>
    </xf>
    <xf numFmtId="0" fontId="53" fillId="15" borderId="8" xfId="0" applyFont="1" applyFill="1" applyBorder="1" applyAlignment="1">
      <alignment vertical="top"/>
    </xf>
    <xf numFmtId="0" fontId="0" fillId="0" borderId="8" xfId="0" applyBorder="1" applyAlignment="1">
      <alignment vertical="top" wrapText="1"/>
    </xf>
    <xf numFmtId="0" fontId="53" fillId="15" borderId="8" xfId="0" applyFont="1" applyFill="1" applyBorder="1" applyAlignment="1">
      <alignment vertical="top" wrapText="1"/>
    </xf>
    <xf numFmtId="0" fontId="54" fillId="0" borderId="8" xfId="0" applyFont="1" applyBorder="1" applyAlignment="1">
      <alignment vertical="top" wrapText="1"/>
    </xf>
    <xf numFmtId="0" fontId="0" fillId="0" borderId="0" xfId="0" applyAlignment="1">
      <alignment horizontal="center" vertical="top"/>
    </xf>
    <xf numFmtId="0" fontId="0" fillId="0" borderId="2"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55" fillId="16" borderId="1" xfId="0" applyFont="1" applyFill="1" applyBorder="1" applyAlignment="1">
      <alignment horizontal="center" vertical="top"/>
    </xf>
    <xf numFmtId="0" fontId="0" fillId="0" borderId="19"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17" borderId="1" xfId="0" applyFill="1" applyBorder="1" applyAlignment="1">
      <alignment vertical="top"/>
    </xf>
    <xf numFmtId="0" fontId="0" fillId="17" borderId="1" xfId="0" applyFill="1" applyBorder="1" applyAlignment="1">
      <alignment vertical="top" wrapText="1"/>
    </xf>
    <xf numFmtId="0" fontId="0" fillId="0" borderId="2" xfId="0" applyBorder="1" applyAlignment="1">
      <alignment vertical="top"/>
    </xf>
    <xf numFmtId="0" fontId="0" fillId="0" borderId="6" xfId="0" applyBorder="1" applyAlignment="1">
      <alignment vertical="top"/>
    </xf>
    <xf numFmtId="0" fontId="0" fillId="0" borderId="7" xfId="0" applyBorder="1" applyAlignment="1">
      <alignment vertical="top" wrapText="1"/>
    </xf>
    <xf numFmtId="0" fontId="0" fillId="0" borderId="15" xfId="0" applyBorder="1" applyAlignment="1">
      <alignment vertical="top" wrapText="1"/>
    </xf>
    <xf numFmtId="0" fontId="0" fillId="0" borderId="20" xfId="0" applyBorder="1" applyAlignment="1">
      <alignment vertical="top" wrapText="1"/>
    </xf>
    <xf numFmtId="0" fontId="0" fillId="0" borderId="0" xfId="0" quotePrefix="1" applyAlignment="1">
      <alignment vertical="top"/>
    </xf>
    <xf numFmtId="0" fontId="53" fillId="0" borderId="0" xfId="0" applyFont="1" applyAlignment="1">
      <alignment vertical="top"/>
    </xf>
    <xf numFmtId="0" fontId="53" fillId="0" borderId="2" xfId="0" applyFont="1" applyBorder="1" applyAlignment="1">
      <alignment vertical="top"/>
    </xf>
    <xf numFmtId="0" fontId="57" fillId="0" borderId="0" xfId="0" applyFont="1" applyAlignment="1">
      <alignment vertical="top"/>
    </xf>
    <xf numFmtId="0" fontId="56" fillId="0" borderId="0" xfId="0" applyFont="1" applyAlignment="1">
      <alignment horizontal="left" vertical="top"/>
    </xf>
    <xf numFmtId="0" fontId="58" fillId="0" borderId="0" xfId="0" applyFont="1" applyAlignment="1">
      <alignment vertical="top"/>
    </xf>
    <xf numFmtId="0" fontId="56" fillId="0" borderId="0" xfId="0" applyFont="1" applyAlignment="1">
      <alignment vertical="top"/>
    </xf>
    <xf numFmtId="0" fontId="0" fillId="0" borderId="7" xfId="0" applyBorder="1" applyAlignment="1">
      <alignment vertical="top"/>
    </xf>
    <xf numFmtId="0" fontId="0" fillId="0" borderId="0" xfId="0" applyAlignment="1">
      <alignment horizontal="left" vertical="top"/>
    </xf>
    <xf numFmtId="0" fontId="59" fillId="0" borderId="0" xfId="0" applyFont="1" applyAlignment="1">
      <alignment vertical="center"/>
    </xf>
    <xf numFmtId="0" fontId="54" fillId="0" borderId="0" xfId="0" applyFont="1" applyAlignment="1">
      <alignment vertical="top" wrapText="1"/>
    </xf>
    <xf numFmtId="0" fontId="49" fillId="13" borderId="8" xfId="0" applyFont="1" applyFill="1" applyBorder="1" applyAlignment="1">
      <alignment horizontal="center" vertical="top"/>
    </xf>
    <xf numFmtId="0" fontId="37" fillId="11" borderId="4" xfId="0" applyFont="1" applyFill="1" applyBorder="1" applyAlignment="1">
      <alignment horizontal="left" vertical="top"/>
    </xf>
    <xf numFmtId="0" fontId="37" fillId="11" borderId="5" xfId="0" applyFont="1" applyFill="1" applyBorder="1" applyAlignment="1">
      <alignment horizontal="left" vertical="top"/>
    </xf>
    <xf numFmtId="0" fontId="37" fillId="11" borderId="2" xfId="0" applyFont="1" applyFill="1" applyBorder="1" applyAlignment="1">
      <alignment horizontal="center" vertical="top"/>
    </xf>
    <xf numFmtId="0" fontId="37" fillId="11" borderId="6" xfId="0" applyFont="1" applyFill="1" applyBorder="1" applyAlignment="1">
      <alignment horizontal="center" vertical="top"/>
    </xf>
    <xf numFmtId="0" fontId="37" fillId="11" borderId="7" xfId="0" applyFont="1" applyFill="1" applyBorder="1" applyAlignment="1">
      <alignment horizontal="center" vertical="top"/>
    </xf>
    <xf numFmtId="0" fontId="37" fillId="11" borderId="1" xfId="0" applyFont="1" applyFill="1" applyBorder="1" applyAlignment="1">
      <alignment horizontal="left" vertical="top"/>
    </xf>
    <xf numFmtId="0" fontId="0" fillId="0" borderId="1" xfId="0" applyBorder="1" applyAlignment="1">
      <alignment horizontal="left" vertical="top" wrapText="1"/>
    </xf>
    <xf numFmtId="0" fontId="37" fillId="11" borderId="2" xfId="0" applyFont="1" applyFill="1" applyBorder="1" applyAlignment="1">
      <alignment horizontal="left" vertical="top"/>
    </xf>
    <xf numFmtId="0" fontId="37" fillId="11" borderId="6" xfId="0" applyFont="1" applyFill="1" applyBorder="1" applyAlignment="1">
      <alignment horizontal="left" vertical="top"/>
    </xf>
    <xf numFmtId="0" fontId="37" fillId="11" borderId="7" xfId="0" applyFont="1" applyFill="1" applyBorder="1" applyAlignment="1">
      <alignment horizontal="left" vertical="top"/>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7" fillId="11" borderId="2" xfId="0" applyFont="1" applyFill="1" applyBorder="1" applyAlignment="1">
      <alignment horizontal="left" vertical="top" wrapText="1"/>
    </xf>
    <xf numFmtId="0" fontId="37" fillId="11" borderId="6" xfId="0" applyFont="1" applyFill="1" applyBorder="1" applyAlignment="1">
      <alignment horizontal="left" vertical="top" wrapText="1"/>
    </xf>
    <xf numFmtId="0" fontId="37" fillId="11" borderId="7" xfId="0" applyFont="1" applyFill="1"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53" fillId="0" borderId="12" xfId="0" applyFont="1" applyBorder="1" applyAlignment="1">
      <alignment horizontal="center" vertical="top"/>
    </xf>
    <xf numFmtId="0" fontId="53" fillId="0" borderId="13" xfId="0" applyFont="1" applyBorder="1" applyAlignment="1">
      <alignment horizontal="center" vertical="top"/>
    </xf>
    <xf numFmtId="0" fontId="53" fillId="0" borderId="14" xfId="0" applyFont="1" applyBorder="1" applyAlignment="1">
      <alignment horizontal="center" vertical="top"/>
    </xf>
    <xf numFmtId="0" fontId="55" fillId="16" borderId="16" xfId="0" applyFont="1" applyFill="1" applyBorder="1" applyAlignment="1">
      <alignment horizontal="center" vertical="top"/>
    </xf>
    <xf numFmtId="0" fontId="55" fillId="16" borderId="17" xfId="0" applyFont="1" applyFill="1" applyBorder="1" applyAlignment="1">
      <alignment horizontal="center" vertical="top"/>
    </xf>
    <xf numFmtId="0" fontId="55" fillId="16" borderId="18" xfId="0" applyFont="1" applyFill="1" applyBorder="1" applyAlignment="1">
      <alignment horizontal="center" vertical="top"/>
    </xf>
    <xf numFmtId="0" fontId="55" fillId="16" borderId="15" xfId="0" applyFont="1" applyFill="1" applyBorder="1" applyAlignment="1">
      <alignment horizontal="center" vertical="top"/>
    </xf>
    <xf numFmtId="0" fontId="55" fillId="16" borderId="0" xfId="0" applyFont="1" applyFill="1" applyAlignment="1">
      <alignment horizontal="center" vertical="top"/>
    </xf>
    <xf numFmtId="0" fontId="0" fillId="0" borderId="16" xfId="0" applyBorder="1" applyAlignment="1">
      <alignment horizontal="left" vertical="top" wrapText="1"/>
    </xf>
    <xf numFmtId="0" fontId="0" fillId="0" borderId="18" xfId="0" applyBorder="1" applyAlignment="1">
      <alignment horizontal="left" vertical="top" wrapText="1"/>
    </xf>
    <xf numFmtId="0" fontId="0" fillId="0" borderId="15"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2" xfId="0" applyBorder="1" applyAlignment="1">
      <alignment horizontal="left" vertical="top" wrapText="1"/>
    </xf>
    <xf numFmtId="0" fontId="49" fillId="13" borderId="0" xfId="0" applyFont="1" applyFill="1" applyAlignment="1">
      <alignment horizontal="center" vertical="top"/>
    </xf>
    <xf numFmtId="0" fontId="38" fillId="0" borderId="0" xfId="0" applyFont="1" applyAlignment="1">
      <alignment horizontal="center" vertical="center"/>
    </xf>
    <xf numFmtId="0" fontId="40" fillId="0" borderId="0" xfId="0" applyFont="1" applyAlignment="1">
      <alignment horizontal="center" vertical="center"/>
    </xf>
    <xf numFmtId="0" fontId="7" fillId="0" borderId="0" xfId="0" applyFont="1" applyAlignment="1">
      <alignment horizontal="center"/>
    </xf>
    <xf numFmtId="0" fontId="17" fillId="0" borderId="0" xfId="0" applyFont="1" applyAlignment="1">
      <alignment horizontal="left" vertical="center"/>
    </xf>
    <xf numFmtId="0" fontId="28" fillId="0" borderId="0" xfId="0" applyFont="1" applyAlignment="1">
      <alignment horizontal="left" vertical="center" wrapText="1"/>
    </xf>
    <xf numFmtId="0" fontId="3" fillId="0" borderId="0" xfId="0" applyFont="1" applyAlignment="1">
      <alignment horizontal="center"/>
    </xf>
    <xf numFmtId="0" fontId="7" fillId="0" borderId="0" xfId="0" applyFont="1" applyAlignment="1">
      <alignment horizontal="center" vertical="center"/>
    </xf>
    <xf numFmtId="0" fontId="3" fillId="0" borderId="0" xfId="0" applyFont="1" applyAlignment="1">
      <alignment horizontal="center" vertical="center"/>
    </xf>
    <xf numFmtId="0" fontId="49" fillId="13" borderId="0" xfId="0" applyFont="1" applyFill="1" applyAlignment="1">
      <alignment horizontal="center" vertical="center"/>
    </xf>
    <xf numFmtId="0" fontId="49" fillId="13" borderId="11" xfId="0" applyFont="1" applyFill="1" applyBorder="1" applyAlignment="1">
      <alignment horizontal="center" vertical="center"/>
    </xf>
    <xf numFmtId="0" fontId="32" fillId="0" borderId="0" xfId="0" applyFont="1" applyAlignment="1">
      <alignment horizontal="left" vertical="center"/>
    </xf>
    <xf numFmtId="0" fontId="13" fillId="0" borderId="0" xfId="0" applyFont="1" applyAlignment="1">
      <alignment horizontal="left" vertical="center" wrapText="1"/>
    </xf>
    <xf numFmtId="0" fontId="34" fillId="0" borderId="0" xfId="0" applyFont="1" applyAlignment="1">
      <alignment horizontal="left" vertical="center" wrapText="1"/>
    </xf>
    <xf numFmtId="0" fontId="22" fillId="0" borderId="0" xfId="0" applyFont="1" applyAlignment="1">
      <alignment horizontal="left" vertical="center"/>
    </xf>
    <xf numFmtId="0" fontId="13" fillId="0" borderId="0" xfId="0" applyFont="1" applyAlignment="1">
      <alignment horizontal="left" vertical="center"/>
    </xf>
    <xf numFmtId="0" fontId="28" fillId="0" borderId="0" xfId="0" applyFont="1" applyAlignment="1">
      <alignment horizontal="left" vertical="center"/>
    </xf>
    <xf numFmtId="0" fontId="32" fillId="0" borderId="0" xfId="0" applyFont="1" applyAlignment="1">
      <alignment horizontal="left" vertical="center" wrapText="1"/>
    </xf>
    <xf numFmtId="0" fontId="35" fillId="8" borderId="0" xfId="0" applyFont="1" applyFill="1" applyAlignment="1">
      <alignment horizontal="left" vertical="center"/>
    </xf>
  </cellXfs>
  <cellStyles count="1">
    <cellStyle name="Normal" xfId="0" builtinId="0"/>
  </cellStyles>
  <dxfs count="3">
    <dxf>
      <font>
        <b/>
        <sz val="9"/>
        <color rgb="FFC00000"/>
        <name val="Arial"/>
        <charset val="1"/>
      </font>
      <fill>
        <patternFill>
          <bgColor rgb="FFF8CBAD"/>
        </patternFill>
      </fill>
    </dxf>
    <dxf>
      <fill>
        <patternFill>
          <bgColor rgb="FFF8CBAD"/>
        </patternFill>
      </fill>
    </dxf>
    <dxf>
      <font>
        <b/>
        <sz val="9"/>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6FC"/>
      <rgbColor rgb="FFE2EFDA"/>
      <rgbColor rgb="FFFFFF99"/>
      <rgbColor rgb="FFD9D9D9"/>
      <rgbColor rgb="FFFF99CC"/>
      <rgbColor rgb="FFCC99FF"/>
      <rgbColor rgb="FFF8CBAD"/>
      <rgbColor rgb="FF3366FF"/>
      <rgbColor rgb="FF33CCCC"/>
      <rgbColor rgb="FF99CC00"/>
      <rgbColor rgb="FFFFCC00"/>
      <rgbColor rgb="FFFF9900"/>
      <rgbColor rgb="FFFF6600"/>
      <rgbColor rgb="FF595959"/>
      <rgbColor rgb="FFB3B3B3"/>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Aptos Narrow"/>
              </a:defRPr>
            </a:pPr>
            <a:r>
              <a:rPr lang="en-ID" sz="1800" b="1" strike="noStrike" spc="-1">
                <a:solidFill>
                  <a:srgbClr val="000000"/>
                </a:solidFill>
                <a:latin typeface="Aptos Narrow"/>
              </a:rPr>
              <a:t>Projected Closing Cash vs Minimum Buffer (IDR mn)</a:t>
            </a:r>
          </a:p>
        </c:rich>
      </c:tx>
      <c:overlay val="0"/>
      <c:spPr>
        <a:noFill/>
        <a:ln w="0">
          <a:noFill/>
        </a:ln>
      </c:spPr>
    </c:title>
    <c:autoTitleDeleted val="0"/>
    <c:plotArea>
      <c:layout/>
      <c:lineChart>
        <c:grouping val="standard"/>
        <c:varyColors val="0"/>
        <c:ser>
          <c:idx val="0"/>
          <c:order val="0"/>
          <c:tx>
            <c:strRef>
              <c:f>'06 Cash Forecast 13W'!$A$21</c:f>
              <c:strCache>
                <c:ptCount val="1"/>
                <c:pt idx="0">
                  <c:v>Closing cash</c:v>
                </c:pt>
              </c:strCache>
            </c:strRef>
          </c:tx>
          <c:spPr>
            <a:ln w="2808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'06 Cash Forecast 13W'!$B$4:$N$4</c:f>
              <c:numCache>
                <c:formatCode>0</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'06 Cash Forecast 13W'!$B$21:$N$21</c:f>
              <c:numCache>
                <c:formatCode>#,##0;\(#,##0\);\-</c:formatCode>
                <c:ptCount val="13"/>
                <c:pt idx="0">
                  <c:v>24400</c:v>
                </c:pt>
                <c:pt idx="1">
                  <c:v>26915</c:v>
                </c:pt>
                <c:pt idx="2">
                  <c:v>25630</c:v>
                </c:pt>
                <c:pt idx="3">
                  <c:v>18560</c:v>
                </c:pt>
                <c:pt idx="4">
                  <c:v>6997.5</c:v>
                </c:pt>
                <c:pt idx="5">
                  <c:v>9012.5</c:v>
                </c:pt>
                <c:pt idx="6">
                  <c:v>21112.5</c:v>
                </c:pt>
                <c:pt idx="7">
                  <c:v>22230</c:v>
                </c:pt>
                <c:pt idx="8">
                  <c:v>22045</c:v>
                </c:pt>
                <c:pt idx="9">
                  <c:v>20457.5</c:v>
                </c:pt>
                <c:pt idx="10">
                  <c:v>25557.5</c:v>
                </c:pt>
                <c:pt idx="11">
                  <c:v>28175</c:v>
                </c:pt>
                <c:pt idx="12">
                  <c:v>23400</c:v>
                </c:pt>
              </c:numCache>
            </c:numRef>
          </c:val>
          <c:smooth val="1"/>
          <c:extLst>
            <c:ext xmlns:c16="http://schemas.microsoft.com/office/drawing/2014/chart" uri="{C3380CC4-5D6E-409C-BE32-E72D297353CC}">
              <c16:uniqueId val="{00000000-43AE-469B-B122-47EB1A86DBFF}"/>
            </c:ext>
          </c:extLst>
        </c:ser>
        <c:ser>
          <c:idx val="1"/>
          <c:order val="1"/>
          <c:tx>
            <c:strRef>
              <c:f>'06 Cash Forecast 13W'!$A$22</c:f>
              <c:strCache>
                <c:ptCount val="1"/>
                <c:pt idx="0">
                  <c:v>Minimum cash buffer (policy)</c:v>
                </c:pt>
              </c:strCache>
            </c:strRef>
          </c:tx>
          <c:spPr>
            <a:ln w="1800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'06 Cash Forecast 13W'!$B$4:$N$4</c:f>
              <c:numCache>
                <c:formatCode>0</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'06 Cash Forecast 13W'!$B$22:$N$22</c:f>
              <c:numCache>
                <c:formatCode>#,##0;\(#,##0\);\-</c:formatCode>
                <c:ptCount val="13"/>
                <c:pt idx="0">
                  <c:v>8000</c:v>
                </c:pt>
                <c:pt idx="1">
                  <c:v>8000</c:v>
                </c:pt>
                <c:pt idx="2">
                  <c:v>8000</c:v>
                </c:pt>
                <c:pt idx="3">
                  <c:v>8000</c:v>
                </c:pt>
                <c:pt idx="4">
                  <c:v>8000</c:v>
                </c:pt>
                <c:pt idx="5">
                  <c:v>8000</c:v>
                </c:pt>
                <c:pt idx="6">
                  <c:v>8000</c:v>
                </c:pt>
                <c:pt idx="7">
                  <c:v>8000</c:v>
                </c:pt>
                <c:pt idx="8">
                  <c:v>8000</c:v>
                </c:pt>
                <c:pt idx="9">
                  <c:v>8000</c:v>
                </c:pt>
                <c:pt idx="10">
                  <c:v>8000</c:v>
                </c:pt>
                <c:pt idx="11">
                  <c:v>8000</c:v>
                </c:pt>
                <c:pt idx="12">
                  <c:v>8000</c:v>
                </c:pt>
              </c:numCache>
            </c:numRef>
          </c:val>
          <c:smooth val="1"/>
          <c:extLst>
            <c:ext xmlns:c16="http://schemas.microsoft.com/office/drawing/2014/chart" uri="{C3380CC4-5D6E-409C-BE32-E72D297353CC}">
              <c16:uniqueId val="{00000001-43AE-469B-B122-47EB1A86DBFF}"/>
            </c:ext>
          </c:extLst>
        </c:ser>
        <c:dLbls>
          <c:showLegendKey val="0"/>
          <c:showVal val="0"/>
          <c:showCatName val="0"/>
          <c:showSerName val="0"/>
          <c:showPercent val="0"/>
          <c:showBubbleSize val="0"/>
        </c:dLbls>
        <c:hiLowLines>
          <c:spPr>
            <a:ln w="0">
              <a:noFill/>
            </a:ln>
          </c:spPr>
        </c:hiLowLines>
        <c:smooth val="0"/>
        <c:axId val="3998519"/>
        <c:axId val="13233240"/>
      </c:lineChart>
      <c:catAx>
        <c:axId val="3998519"/>
        <c:scaling>
          <c:orientation val="minMax"/>
        </c:scaling>
        <c:delete val="0"/>
        <c:axPos val="b"/>
        <c:title>
          <c:tx>
            <c:rich>
              <a:bodyPr rot="0"/>
              <a:lstStyle/>
              <a:p>
                <a:pPr>
                  <a:defRPr sz="1000" b="1" strike="noStrike" spc="-1">
                    <a:solidFill>
                      <a:srgbClr val="000000"/>
                    </a:solidFill>
                    <a:latin typeface="Aptos Narrow"/>
                  </a:defRPr>
                </a:pPr>
                <a:r>
                  <a:rPr lang="en-ID" sz="1000" b="1" strike="noStrike" spc="-1">
                    <a:solidFill>
                      <a:srgbClr val="000000"/>
                    </a:solidFill>
                    <a:latin typeface="Aptos Narrow"/>
                  </a:rPr>
                  <a:t>Week</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13233240"/>
        <c:crosses val="autoZero"/>
        <c:auto val="1"/>
        <c:lblAlgn val="ctr"/>
        <c:lblOffset val="100"/>
        <c:noMultiLvlLbl val="0"/>
      </c:catAx>
      <c:valAx>
        <c:axId val="1323324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ptos Narrow"/>
                  </a:defRPr>
                </a:pPr>
                <a:r>
                  <a:rPr lang="en-ID" sz="1000" b="1" strike="noStrike" spc="-1">
                    <a:solidFill>
                      <a:srgbClr val="000000"/>
                    </a:solidFill>
                    <a:latin typeface="Aptos Narrow"/>
                  </a:rPr>
                  <a:t>IDR million</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39985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D" sz="1800" b="1" strike="noStrike" spc="-1">
                <a:solidFill>
                  <a:srgbClr val="000000"/>
                </a:solidFill>
                <a:latin typeface="Aptos Narrow"/>
              </a:rPr>
              <a:t>Projected Closing Cash vs Minimum Buffer (IDR mn)</a:t>
            </a:r>
          </a:p>
        </c:rich>
      </c:tx>
      <c:overlay val="0"/>
      <c:spPr>
        <a:noFill/>
        <a:ln w="0">
          <a:noFill/>
        </a:ln>
      </c:spPr>
    </c:title>
    <c:autoTitleDeleted val="0"/>
    <c:plotArea>
      <c:layout/>
      <c:lineChart>
        <c:grouping val="standard"/>
        <c:varyColors val="0"/>
        <c:ser>
          <c:idx val="0"/>
          <c:order val="0"/>
          <c:tx>
            <c:strRef>
              <c:f>'06 Cash Forecast 13W'!$A$21</c:f>
              <c:strCache>
                <c:ptCount val="1"/>
                <c:pt idx="0">
                  <c:v>Closing cash</c:v>
                </c:pt>
              </c:strCache>
            </c:strRef>
          </c:tx>
          <c:spPr>
            <a:ln w="2808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'06 Cash Forecast 13W'!$B$4:$N$4</c:f>
              <c:numCache>
                <c:formatCode>0</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'06 Cash Forecast 13W'!$B$21:$N$21</c:f>
              <c:numCache>
                <c:formatCode>#,##0;\(#,##0\);\-</c:formatCode>
                <c:ptCount val="13"/>
                <c:pt idx="0">
                  <c:v>24400</c:v>
                </c:pt>
                <c:pt idx="1">
                  <c:v>26915</c:v>
                </c:pt>
                <c:pt idx="2">
                  <c:v>25630</c:v>
                </c:pt>
                <c:pt idx="3">
                  <c:v>18560</c:v>
                </c:pt>
                <c:pt idx="4">
                  <c:v>6997.5</c:v>
                </c:pt>
                <c:pt idx="5">
                  <c:v>9012.5</c:v>
                </c:pt>
                <c:pt idx="6">
                  <c:v>21112.5</c:v>
                </c:pt>
                <c:pt idx="7">
                  <c:v>22230</c:v>
                </c:pt>
                <c:pt idx="8">
                  <c:v>22045</c:v>
                </c:pt>
                <c:pt idx="9">
                  <c:v>20457.5</c:v>
                </c:pt>
                <c:pt idx="10">
                  <c:v>25557.5</c:v>
                </c:pt>
                <c:pt idx="11">
                  <c:v>28175</c:v>
                </c:pt>
                <c:pt idx="12">
                  <c:v>23400</c:v>
                </c:pt>
              </c:numCache>
            </c:numRef>
          </c:val>
          <c:smooth val="1"/>
          <c:extLst>
            <c:ext xmlns:c16="http://schemas.microsoft.com/office/drawing/2014/chart" uri="{C3380CC4-5D6E-409C-BE32-E72D297353CC}">
              <c16:uniqueId val="{00000000-5745-4432-89E4-BF36DBE6522D}"/>
            </c:ext>
          </c:extLst>
        </c:ser>
        <c:ser>
          <c:idx val="1"/>
          <c:order val="1"/>
          <c:tx>
            <c:strRef>
              <c:f>'06 Cash Forecast 13W'!$A$22</c:f>
              <c:strCache>
                <c:ptCount val="1"/>
                <c:pt idx="0">
                  <c:v>Minimum cash buffer (policy)</c:v>
                </c:pt>
              </c:strCache>
            </c:strRef>
          </c:tx>
          <c:spPr>
            <a:ln w="1800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'06 Cash Forecast 13W'!$B$4:$N$4</c:f>
              <c:numCache>
                <c:formatCode>0</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'06 Cash Forecast 13W'!$B$22:$N$22</c:f>
              <c:numCache>
                <c:formatCode>#,##0;\(#,##0\);\-</c:formatCode>
                <c:ptCount val="13"/>
                <c:pt idx="0">
                  <c:v>8000</c:v>
                </c:pt>
                <c:pt idx="1">
                  <c:v>8000</c:v>
                </c:pt>
                <c:pt idx="2">
                  <c:v>8000</c:v>
                </c:pt>
                <c:pt idx="3">
                  <c:v>8000</c:v>
                </c:pt>
                <c:pt idx="4">
                  <c:v>8000</c:v>
                </c:pt>
                <c:pt idx="5">
                  <c:v>8000</c:v>
                </c:pt>
                <c:pt idx="6">
                  <c:v>8000</c:v>
                </c:pt>
                <c:pt idx="7">
                  <c:v>8000</c:v>
                </c:pt>
                <c:pt idx="8">
                  <c:v>8000</c:v>
                </c:pt>
                <c:pt idx="9">
                  <c:v>8000</c:v>
                </c:pt>
                <c:pt idx="10">
                  <c:v>8000</c:v>
                </c:pt>
                <c:pt idx="11">
                  <c:v>8000</c:v>
                </c:pt>
                <c:pt idx="12">
                  <c:v>8000</c:v>
                </c:pt>
              </c:numCache>
            </c:numRef>
          </c:val>
          <c:smooth val="1"/>
          <c:extLst>
            <c:ext xmlns:c16="http://schemas.microsoft.com/office/drawing/2014/chart" uri="{C3380CC4-5D6E-409C-BE32-E72D297353CC}">
              <c16:uniqueId val="{00000001-5745-4432-89E4-BF36DBE6522D}"/>
            </c:ext>
          </c:extLst>
        </c:ser>
        <c:dLbls>
          <c:showLegendKey val="0"/>
          <c:showVal val="0"/>
          <c:showCatName val="0"/>
          <c:showSerName val="0"/>
          <c:showPercent val="0"/>
          <c:showBubbleSize val="0"/>
        </c:dLbls>
        <c:hiLowLines>
          <c:spPr>
            <a:ln w="0">
              <a:noFill/>
            </a:ln>
          </c:spPr>
        </c:hiLowLines>
        <c:smooth val="0"/>
        <c:axId val="3998519"/>
        <c:axId val="13233240"/>
      </c:lineChart>
      <c:catAx>
        <c:axId val="3998519"/>
        <c:scaling>
          <c:orientation val="minMax"/>
        </c:scaling>
        <c:delete val="0"/>
        <c:axPos val="b"/>
        <c:title>
          <c:tx>
            <c:rich>
              <a:bodyPr rot="0"/>
              <a:lstStyle/>
              <a:p>
                <a:pPr>
                  <a:defRPr sz="1000" b="1" strike="noStrike" spc="-1">
                    <a:solidFill>
                      <a:srgbClr val="000000"/>
                    </a:solidFill>
                    <a:latin typeface="Aptos Narrow"/>
                  </a:defRPr>
                </a:pPr>
                <a:r>
                  <a:rPr lang="en-ID" sz="1000" b="1" strike="noStrike" spc="-1">
                    <a:solidFill>
                      <a:srgbClr val="000000"/>
                    </a:solidFill>
                    <a:latin typeface="Aptos Narrow"/>
                  </a:rPr>
                  <a:t>Week</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13233240"/>
        <c:crosses val="autoZero"/>
        <c:auto val="1"/>
        <c:lblAlgn val="ctr"/>
        <c:lblOffset val="100"/>
        <c:noMultiLvlLbl val="0"/>
      </c:catAx>
      <c:valAx>
        <c:axId val="1323324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ptos Narrow"/>
                  </a:defRPr>
                </a:pPr>
                <a:r>
                  <a:rPr lang="en-ID" sz="1000" b="1" strike="noStrike" spc="-1">
                    <a:solidFill>
                      <a:srgbClr val="000000"/>
                    </a:solidFill>
                    <a:latin typeface="Aptos Narrow"/>
                  </a:rPr>
                  <a:t>IDR million</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39985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chart" Target="../charts/chart1.xml"/><Relationship Id="rId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114300</xdr:colOff>
      <xdr:row>9</xdr:row>
      <xdr:rowOff>19050</xdr:rowOff>
    </xdr:from>
    <xdr:to>
      <xdr:col>3</xdr:col>
      <xdr:colOff>457200</xdr:colOff>
      <xdr:row>11</xdr:row>
      <xdr:rowOff>142875</xdr:rowOff>
    </xdr:to>
    <xdr:sp macro="" textlink="">
      <xdr:nvSpPr>
        <xdr:cNvPr id="2" name="Arrow: Right 1">
          <a:extLst>
            <a:ext uri="{FF2B5EF4-FFF2-40B4-BE49-F238E27FC236}">
              <a16:creationId xmlns:a16="http://schemas.microsoft.com/office/drawing/2014/main" id="{F3A00080-11DD-E662-C9EF-8EF27AF75FDA}"/>
            </a:ext>
          </a:extLst>
        </xdr:cNvPr>
        <xdr:cNvSpPr/>
      </xdr:nvSpPr>
      <xdr:spPr>
        <a:xfrm>
          <a:off x="3248025" y="1543050"/>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2</xdr:col>
      <xdr:colOff>1085850</xdr:colOff>
      <xdr:row>29</xdr:row>
      <xdr:rowOff>95250</xdr:rowOff>
    </xdr:from>
    <xdr:to>
      <xdr:col>6</xdr:col>
      <xdr:colOff>1038690</xdr:colOff>
      <xdr:row>36</xdr:row>
      <xdr:rowOff>12435</xdr:rowOff>
    </xdr:to>
    <xdr:graphicFrame macro="">
      <xdr:nvGraphicFramePr>
        <xdr:cNvPr id="3" name="Chart 2">
          <a:extLst>
            <a:ext uri="{FF2B5EF4-FFF2-40B4-BE49-F238E27FC236}">
              <a16:creationId xmlns:a16="http://schemas.microsoft.com/office/drawing/2014/main" id="{07EED64C-6519-4459-AF0D-714DEF1F7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1638300</xdr:colOff>
      <xdr:row>26</xdr:row>
      <xdr:rowOff>180975</xdr:rowOff>
    </xdr:from>
    <xdr:to>
      <xdr:col>4</xdr:col>
      <xdr:colOff>2266950</xdr:colOff>
      <xdr:row>28</xdr:row>
      <xdr:rowOff>161925</xdr:rowOff>
    </xdr:to>
    <xdr:sp macro="" textlink="">
      <xdr:nvSpPr>
        <xdr:cNvPr id="4" name="Arrow: Down 3">
          <a:extLst>
            <a:ext uri="{FF2B5EF4-FFF2-40B4-BE49-F238E27FC236}">
              <a16:creationId xmlns:a16="http://schemas.microsoft.com/office/drawing/2014/main" id="{B7BE48AF-35E0-890F-2A46-F1E8CB50F476}"/>
            </a:ext>
          </a:extLst>
        </xdr:cNvPr>
        <xdr:cNvSpPr/>
      </xdr:nvSpPr>
      <xdr:spPr>
        <a:xfrm>
          <a:off x="5448300" y="5172075"/>
          <a:ext cx="628650" cy="361950"/>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133350</xdr:colOff>
      <xdr:row>9</xdr:row>
      <xdr:rowOff>28575</xdr:rowOff>
    </xdr:from>
    <xdr:to>
      <xdr:col>5</xdr:col>
      <xdr:colOff>476250</xdr:colOff>
      <xdr:row>11</xdr:row>
      <xdr:rowOff>152400</xdr:rowOff>
    </xdr:to>
    <xdr:sp macro="" textlink="">
      <xdr:nvSpPr>
        <xdr:cNvPr id="5" name="Arrow: Right 4">
          <a:extLst>
            <a:ext uri="{FF2B5EF4-FFF2-40B4-BE49-F238E27FC236}">
              <a16:creationId xmlns:a16="http://schemas.microsoft.com/office/drawing/2014/main" id="{53ACB52A-F171-4B96-B69F-C38BE92A617B}"/>
            </a:ext>
          </a:extLst>
        </xdr:cNvPr>
        <xdr:cNvSpPr/>
      </xdr:nvSpPr>
      <xdr:spPr>
        <a:xfrm>
          <a:off x="7886700" y="1762125"/>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133350</xdr:colOff>
      <xdr:row>9</xdr:row>
      <xdr:rowOff>28575</xdr:rowOff>
    </xdr:from>
    <xdr:to>
      <xdr:col>7</xdr:col>
      <xdr:colOff>476250</xdr:colOff>
      <xdr:row>11</xdr:row>
      <xdr:rowOff>152400</xdr:rowOff>
    </xdr:to>
    <xdr:sp macro="" textlink="">
      <xdr:nvSpPr>
        <xdr:cNvPr id="6" name="Arrow: Right 5">
          <a:extLst>
            <a:ext uri="{FF2B5EF4-FFF2-40B4-BE49-F238E27FC236}">
              <a16:creationId xmlns:a16="http://schemas.microsoft.com/office/drawing/2014/main" id="{D8B616EC-C519-4F87-BE3A-F9327F30ECA1}"/>
            </a:ext>
          </a:extLst>
        </xdr:cNvPr>
        <xdr:cNvSpPr/>
      </xdr:nvSpPr>
      <xdr:spPr>
        <a:xfrm>
          <a:off x="7886700" y="1762125"/>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1419225</xdr:colOff>
      <xdr:row>26</xdr:row>
      <xdr:rowOff>85725</xdr:rowOff>
    </xdr:from>
    <xdr:to>
      <xdr:col>8</xdr:col>
      <xdr:colOff>2047875</xdr:colOff>
      <xdr:row>28</xdr:row>
      <xdr:rowOff>66675</xdr:rowOff>
    </xdr:to>
    <xdr:sp macro="" textlink="">
      <xdr:nvSpPr>
        <xdr:cNvPr id="7" name="Arrow: Down 6">
          <a:extLst>
            <a:ext uri="{FF2B5EF4-FFF2-40B4-BE49-F238E27FC236}">
              <a16:creationId xmlns:a16="http://schemas.microsoft.com/office/drawing/2014/main" id="{FA9A2312-9221-4027-91A7-6B5A7FA5CACD}"/>
            </a:ext>
          </a:extLst>
        </xdr:cNvPr>
        <xdr:cNvSpPr/>
      </xdr:nvSpPr>
      <xdr:spPr>
        <a:xfrm>
          <a:off x="12172950" y="6286500"/>
          <a:ext cx="628650" cy="361950"/>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133350</xdr:colOff>
      <xdr:row>9</xdr:row>
      <xdr:rowOff>28575</xdr:rowOff>
    </xdr:from>
    <xdr:to>
      <xdr:col>9</xdr:col>
      <xdr:colOff>476250</xdr:colOff>
      <xdr:row>11</xdr:row>
      <xdr:rowOff>152400</xdr:rowOff>
    </xdr:to>
    <xdr:sp macro="" textlink="">
      <xdr:nvSpPr>
        <xdr:cNvPr id="8" name="Arrow: Right 7">
          <a:extLst>
            <a:ext uri="{FF2B5EF4-FFF2-40B4-BE49-F238E27FC236}">
              <a16:creationId xmlns:a16="http://schemas.microsoft.com/office/drawing/2014/main" id="{386C45EE-7025-4B5F-9B0E-CB032C5B8BBB}"/>
            </a:ext>
          </a:extLst>
        </xdr:cNvPr>
        <xdr:cNvSpPr/>
      </xdr:nvSpPr>
      <xdr:spPr>
        <a:xfrm>
          <a:off x="7886700" y="1762125"/>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590550</xdr:colOff>
      <xdr:row>26</xdr:row>
      <xdr:rowOff>57150</xdr:rowOff>
    </xdr:from>
    <xdr:to>
      <xdr:col>10</xdr:col>
      <xdr:colOff>1219200</xdr:colOff>
      <xdr:row>28</xdr:row>
      <xdr:rowOff>38100</xdr:rowOff>
    </xdr:to>
    <xdr:sp macro="" textlink="">
      <xdr:nvSpPr>
        <xdr:cNvPr id="9" name="Arrow: Down 8">
          <a:extLst>
            <a:ext uri="{FF2B5EF4-FFF2-40B4-BE49-F238E27FC236}">
              <a16:creationId xmlns:a16="http://schemas.microsoft.com/office/drawing/2014/main" id="{7949AED8-394D-44C0-AE3C-6A7E705A9C55}"/>
            </a:ext>
          </a:extLst>
        </xdr:cNvPr>
        <xdr:cNvSpPr/>
      </xdr:nvSpPr>
      <xdr:spPr>
        <a:xfrm>
          <a:off x="15468600" y="6257925"/>
          <a:ext cx="628650" cy="361950"/>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590550</xdr:colOff>
      <xdr:row>46</xdr:row>
      <xdr:rowOff>66675</xdr:rowOff>
    </xdr:from>
    <xdr:to>
      <xdr:col>10</xdr:col>
      <xdr:colOff>1219200</xdr:colOff>
      <xdr:row>48</xdr:row>
      <xdr:rowOff>47625</xdr:rowOff>
    </xdr:to>
    <xdr:sp macro="" textlink="">
      <xdr:nvSpPr>
        <xdr:cNvPr id="10" name="Arrow: Down 9">
          <a:extLst>
            <a:ext uri="{FF2B5EF4-FFF2-40B4-BE49-F238E27FC236}">
              <a16:creationId xmlns:a16="http://schemas.microsoft.com/office/drawing/2014/main" id="{0E72869E-CB25-4575-8187-CD6E5D4EBA6E}"/>
            </a:ext>
          </a:extLst>
        </xdr:cNvPr>
        <xdr:cNvSpPr/>
      </xdr:nvSpPr>
      <xdr:spPr>
        <a:xfrm>
          <a:off x="15468600" y="10106025"/>
          <a:ext cx="628650" cy="361950"/>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6</xdr:col>
      <xdr:colOff>1457325</xdr:colOff>
      <xdr:row>49</xdr:row>
      <xdr:rowOff>19050</xdr:rowOff>
    </xdr:from>
    <xdr:to>
      <xdr:col>13</xdr:col>
      <xdr:colOff>1850868</xdr:colOff>
      <xdr:row>71</xdr:row>
      <xdr:rowOff>150328</xdr:rowOff>
    </xdr:to>
    <xdr:pic>
      <xdr:nvPicPr>
        <xdr:cNvPr id="11" name="Picture 10">
          <a:extLst>
            <a:ext uri="{FF2B5EF4-FFF2-40B4-BE49-F238E27FC236}">
              <a16:creationId xmlns:a16="http://schemas.microsoft.com/office/drawing/2014/main" id="{0A129E3C-0C91-7C2D-E73C-2B6AFE45BAC2}"/>
            </a:ext>
          </a:extLst>
        </xdr:cNvPr>
        <xdr:cNvPicPr>
          <a:picLocks noChangeAspect="1"/>
        </xdr:cNvPicPr>
      </xdr:nvPicPr>
      <xdr:blipFill>
        <a:blip xmlns:r="http://schemas.openxmlformats.org/officeDocument/2006/relationships" r:embed="rId2"/>
        <a:stretch>
          <a:fillRect/>
        </a:stretch>
      </xdr:blipFill>
      <xdr:spPr>
        <a:xfrm>
          <a:off x="9820275" y="10629900"/>
          <a:ext cx="11879333" cy="4648849"/>
        </a:xfrm>
        <a:prstGeom prst="rect">
          <a:avLst/>
        </a:prstGeom>
      </xdr:spPr>
    </xdr:pic>
    <xdr:clientData/>
  </xdr:twoCellAnchor>
  <xdr:twoCellAnchor>
    <xdr:from>
      <xdr:col>11</xdr:col>
      <xdr:colOff>133350</xdr:colOff>
      <xdr:row>9</xdr:row>
      <xdr:rowOff>28575</xdr:rowOff>
    </xdr:from>
    <xdr:to>
      <xdr:col>11</xdr:col>
      <xdr:colOff>476250</xdr:colOff>
      <xdr:row>11</xdr:row>
      <xdr:rowOff>152400</xdr:rowOff>
    </xdr:to>
    <xdr:sp macro="" textlink="">
      <xdr:nvSpPr>
        <xdr:cNvPr id="12" name="Arrow: Right 11">
          <a:extLst>
            <a:ext uri="{FF2B5EF4-FFF2-40B4-BE49-F238E27FC236}">
              <a16:creationId xmlns:a16="http://schemas.microsoft.com/office/drawing/2014/main" id="{D821514F-5DF4-438D-9DDF-B3408C4FA4D7}"/>
            </a:ext>
          </a:extLst>
        </xdr:cNvPr>
        <xdr:cNvSpPr/>
      </xdr:nvSpPr>
      <xdr:spPr>
        <a:xfrm>
          <a:off x="7889421" y="1770289"/>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133350</xdr:colOff>
      <xdr:row>9</xdr:row>
      <xdr:rowOff>28575</xdr:rowOff>
    </xdr:from>
    <xdr:to>
      <xdr:col>15</xdr:col>
      <xdr:colOff>476250</xdr:colOff>
      <xdr:row>11</xdr:row>
      <xdr:rowOff>152400</xdr:rowOff>
    </xdr:to>
    <xdr:sp macro="" textlink="">
      <xdr:nvSpPr>
        <xdr:cNvPr id="13" name="Arrow: Right 12">
          <a:extLst>
            <a:ext uri="{FF2B5EF4-FFF2-40B4-BE49-F238E27FC236}">
              <a16:creationId xmlns:a16="http://schemas.microsoft.com/office/drawing/2014/main" id="{6440FF78-A0EE-42AD-86AA-E4664E09FB1E}"/>
            </a:ext>
          </a:extLst>
        </xdr:cNvPr>
        <xdr:cNvSpPr/>
      </xdr:nvSpPr>
      <xdr:spPr>
        <a:xfrm>
          <a:off x="7889421" y="1770289"/>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133350</xdr:colOff>
      <xdr:row>9</xdr:row>
      <xdr:rowOff>28575</xdr:rowOff>
    </xdr:from>
    <xdr:to>
      <xdr:col>18</xdr:col>
      <xdr:colOff>476250</xdr:colOff>
      <xdr:row>11</xdr:row>
      <xdr:rowOff>152400</xdr:rowOff>
    </xdr:to>
    <xdr:sp macro="" textlink="">
      <xdr:nvSpPr>
        <xdr:cNvPr id="14" name="Arrow: Right 13">
          <a:extLst>
            <a:ext uri="{FF2B5EF4-FFF2-40B4-BE49-F238E27FC236}">
              <a16:creationId xmlns:a16="http://schemas.microsoft.com/office/drawing/2014/main" id="{8F1B2DD2-E0D2-4665-8D97-77DC915908BD}"/>
            </a:ext>
          </a:extLst>
        </xdr:cNvPr>
        <xdr:cNvSpPr/>
      </xdr:nvSpPr>
      <xdr:spPr>
        <a:xfrm>
          <a:off x="7889421" y="1770289"/>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133350</xdr:colOff>
      <xdr:row>9</xdr:row>
      <xdr:rowOff>28575</xdr:rowOff>
    </xdr:from>
    <xdr:to>
      <xdr:col>20</xdr:col>
      <xdr:colOff>476250</xdr:colOff>
      <xdr:row>11</xdr:row>
      <xdr:rowOff>152400</xdr:rowOff>
    </xdr:to>
    <xdr:sp macro="" textlink="">
      <xdr:nvSpPr>
        <xdr:cNvPr id="15" name="Arrow: Right 14">
          <a:extLst>
            <a:ext uri="{FF2B5EF4-FFF2-40B4-BE49-F238E27FC236}">
              <a16:creationId xmlns:a16="http://schemas.microsoft.com/office/drawing/2014/main" id="{41746F22-4D39-43B8-BAC0-29FAD5D68B0F}"/>
            </a:ext>
          </a:extLst>
        </xdr:cNvPr>
        <xdr:cNvSpPr/>
      </xdr:nvSpPr>
      <xdr:spPr>
        <a:xfrm>
          <a:off x="7889421" y="1770289"/>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1306285</xdr:colOff>
      <xdr:row>40</xdr:row>
      <xdr:rowOff>108857</xdr:rowOff>
    </xdr:from>
    <xdr:to>
      <xdr:col>21</xdr:col>
      <xdr:colOff>1934935</xdr:colOff>
      <xdr:row>41</xdr:row>
      <xdr:rowOff>280307</xdr:rowOff>
    </xdr:to>
    <xdr:sp macro="" textlink="">
      <xdr:nvSpPr>
        <xdr:cNvPr id="16" name="Arrow: Down 15">
          <a:extLst>
            <a:ext uri="{FF2B5EF4-FFF2-40B4-BE49-F238E27FC236}">
              <a16:creationId xmlns:a16="http://schemas.microsoft.com/office/drawing/2014/main" id="{D138212C-3DAE-4CFD-B9B3-10B9082C1781}"/>
            </a:ext>
          </a:extLst>
        </xdr:cNvPr>
        <xdr:cNvSpPr/>
      </xdr:nvSpPr>
      <xdr:spPr>
        <a:xfrm>
          <a:off x="34072285" y="10681607"/>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14</xdr:col>
      <xdr:colOff>149679</xdr:colOff>
      <xdr:row>59</xdr:row>
      <xdr:rowOff>149677</xdr:rowOff>
    </xdr:from>
    <xdr:to>
      <xdr:col>19</xdr:col>
      <xdr:colOff>2653398</xdr:colOff>
      <xdr:row>95</xdr:row>
      <xdr:rowOff>22751</xdr:rowOff>
    </xdr:to>
    <xdr:pic>
      <xdr:nvPicPr>
        <xdr:cNvPr id="17" name="Picture 16">
          <a:extLst>
            <a:ext uri="{FF2B5EF4-FFF2-40B4-BE49-F238E27FC236}">
              <a16:creationId xmlns:a16="http://schemas.microsoft.com/office/drawing/2014/main" id="{F68A709F-0428-3566-0E49-E45C46AA0286}"/>
            </a:ext>
          </a:extLst>
        </xdr:cNvPr>
        <xdr:cNvPicPr>
          <a:picLocks noChangeAspect="1"/>
        </xdr:cNvPicPr>
      </xdr:nvPicPr>
      <xdr:blipFill>
        <a:blip xmlns:r="http://schemas.openxmlformats.org/officeDocument/2006/relationships" r:embed="rId3"/>
        <a:stretch>
          <a:fillRect/>
        </a:stretch>
      </xdr:blipFill>
      <xdr:spPr>
        <a:xfrm>
          <a:off x="21921108" y="14940641"/>
          <a:ext cx="9783540" cy="7030431"/>
        </a:xfrm>
        <a:prstGeom prst="rect">
          <a:avLst/>
        </a:prstGeom>
      </xdr:spPr>
    </xdr:pic>
    <xdr:clientData/>
  </xdr:twoCellAnchor>
  <xdr:twoCellAnchor>
    <xdr:from>
      <xdr:col>16</xdr:col>
      <xdr:colOff>2177143</xdr:colOff>
      <xdr:row>56</xdr:row>
      <xdr:rowOff>149678</xdr:rowOff>
    </xdr:from>
    <xdr:to>
      <xdr:col>17</xdr:col>
      <xdr:colOff>506186</xdr:colOff>
      <xdr:row>58</xdr:row>
      <xdr:rowOff>144235</xdr:rowOff>
    </xdr:to>
    <xdr:sp macro="" textlink="">
      <xdr:nvSpPr>
        <xdr:cNvPr id="18" name="Arrow: Down 17">
          <a:extLst>
            <a:ext uri="{FF2B5EF4-FFF2-40B4-BE49-F238E27FC236}">
              <a16:creationId xmlns:a16="http://schemas.microsoft.com/office/drawing/2014/main" id="{A7889FCD-C158-468B-AEE5-3E9D87F2796E}"/>
            </a:ext>
          </a:extLst>
        </xdr:cNvPr>
        <xdr:cNvSpPr/>
      </xdr:nvSpPr>
      <xdr:spPr>
        <a:xfrm>
          <a:off x="26452286" y="14369142"/>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19</xdr:col>
      <xdr:colOff>2639786</xdr:colOff>
      <xdr:row>43</xdr:row>
      <xdr:rowOff>136071</xdr:rowOff>
    </xdr:from>
    <xdr:to>
      <xdr:col>24</xdr:col>
      <xdr:colOff>582356</xdr:colOff>
      <xdr:row>80</xdr:row>
      <xdr:rowOff>184740</xdr:rowOff>
    </xdr:to>
    <xdr:pic>
      <xdr:nvPicPr>
        <xdr:cNvPr id="19" name="Picture 18">
          <a:extLst>
            <a:ext uri="{FF2B5EF4-FFF2-40B4-BE49-F238E27FC236}">
              <a16:creationId xmlns:a16="http://schemas.microsoft.com/office/drawing/2014/main" id="{D3B53D18-B636-4FBD-8D75-10CBF389489B}"/>
            </a:ext>
          </a:extLst>
        </xdr:cNvPr>
        <xdr:cNvPicPr>
          <a:picLocks noChangeAspect="1"/>
        </xdr:cNvPicPr>
      </xdr:nvPicPr>
      <xdr:blipFill>
        <a:blip xmlns:r="http://schemas.openxmlformats.org/officeDocument/2006/relationships" r:embed="rId4"/>
        <a:stretch>
          <a:fillRect/>
        </a:stretch>
      </xdr:blipFill>
      <xdr:spPr>
        <a:xfrm>
          <a:off x="31691036" y="11498035"/>
          <a:ext cx="9535856" cy="7478169"/>
        </a:xfrm>
        <a:prstGeom prst="rect">
          <a:avLst/>
        </a:prstGeom>
      </xdr:spPr>
    </xdr:pic>
    <xdr:clientData/>
  </xdr:twoCellAnchor>
  <xdr:twoCellAnchor>
    <xdr:from>
      <xdr:col>21</xdr:col>
      <xdr:colOff>1088572</xdr:colOff>
      <xdr:row>82</xdr:row>
      <xdr:rowOff>40822</xdr:rowOff>
    </xdr:from>
    <xdr:to>
      <xdr:col>21</xdr:col>
      <xdr:colOff>1717222</xdr:colOff>
      <xdr:row>84</xdr:row>
      <xdr:rowOff>35379</xdr:rowOff>
    </xdr:to>
    <xdr:sp macro="" textlink="">
      <xdr:nvSpPr>
        <xdr:cNvPr id="20" name="Arrow: Down 19">
          <a:extLst>
            <a:ext uri="{FF2B5EF4-FFF2-40B4-BE49-F238E27FC236}">
              <a16:creationId xmlns:a16="http://schemas.microsoft.com/office/drawing/2014/main" id="{3B047F51-A2F4-424B-B678-6A8B71BC271A}"/>
            </a:ext>
          </a:extLst>
        </xdr:cNvPr>
        <xdr:cNvSpPr/>
      </xdr:nvSpPr>
      <xdr:spPr>
        <a:xfrm>
          <a:off x="33854572" y="19213286"/>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1172936</xdr:colOff>
      <xdr:row>98</xdr:row>
      <xdr:rowOff>166007</xdr:rowOff>
    </xdr:from>
    <xdr:to>
      <xdr:col>21</xdr:col>
      <xdr:colOff>1801586</xdr:colOff>
      <xdr:row>100</xdr:row>
      <xdr:rowOff>160564</xdr:rowOff>
    </xdr:to>
    <xdr:sp macro="" textlink="">
      <xdr:nvSpPr>
        <xdr:cNvPr id="21" name="Arrow: Down 20">
          <a:extLst>
            <a:ext uri="{FF2B5EF4-FFF2-40B4-BE49-F238E27FC236}">
              <a16:creationId xmlns:a16="http://schemas.microsoft.com/office/drawing/2014/main" id="{170599B8-30C0-4B16-AC47-97CFAD444082}"/>
            </a:ext>
          </a:extLst>
        </xdr:cNvPr>
        <xdr:cNvSpPr/>
      </xdr:nvSpPr>
      <xdr:spPr>
        <a:xfrm>
          <a:off x="33938936" y="22685828"/>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1216479</xdr:colOff>
      <xdr:row>113</xdr:row>
      <xdr:rowOff>141513</xdr:rowOff>
    </xdr:from>
    <xdr:to>
      <xdr:col>21</xdr:col>
      <xdr:colOff>1845129</xdr:colOff>
      <xdr:row>115</xdr:row>
      <xdr:rowOff>136070</xdr:rowOff>
    </xdr:to>
    <xdr:sp macro="" textlink="">
      <xdr:nvSpPr>
        <xdr:cNvPr id="22" name="Arrow: Down 21">
          <a:extLst>
            <a:ext uri="{FF2B5EF4-FFF2-40B4-BE49-F238E27FC236}">
              <a16:creationId xmlns:a16="http://schemas.microsoft.com/office/drawing/2014/main" id="{DFD67939-7A5B-4325-90DB-1E899EEA902C}"/>
            </a:ext>
          </a:extLst>
        </xdr:cNvPr>
        <xdr:cNvSpPr/>
      </xdr:nvSpPr>
      <xdr:spPr>
        <a:xfrm>
          <a:off x="33982479" y="25532442"/>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1197429</xdr:colOff>
      <xdr:row>125</xdr:row>
      <xdr:rowOff>108857</xdr:rowOff>
    </xdr:from>
    <xdr:to>
      <xdr:col>21</xdr:col>
      <xdr:colOff>1826079</xdr:colOff>
      <xdr:row>127</xdr:row>
      <xdr:rowOff>103414</xdr:rowOff>
    </xdr:to>
    <xdr:sp macro="" textlink="">
      <xdr:nvSpPr>
        <xdr:cNvPr id="23" name="Arrow: Down 22">
          <a:extLst>
            <a:ext uri="{FF2B5EF4-FFF2-40B4-BE49-F238E27FC236}">
              <a16:creationId xmlns:a16="http://schemas.microsoft.com/office/drawing/2014/main" id="{6B2D825E-D089-4B41-9CFD-F6F32D34C7B0}"/>
            </a:ext>
          </a:extLst>
        </xdr:cNvPr>
        <xdr:cNvSpPr/>
      </xdr:nvSpPr>
      <xdr:spPr>
        <a:xfrm>
          <a:off x="33963429" y="27785786"/>
          <a:ext cx="628650" cy="375557"/>
        </a:xfrm>
        <a:prstGeom prst="down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133350</xdr:colOff>
      <xdr:row>9</xdr:row>
      <xdr:rowOff>28575</xdr:rowOff>
    </xdr:from>
    <xdr:to>
      <xdr:col>22</xdr:col>
      <xdr:colOff>476250</xdr:colOff>
      <xdr:row>11</xdr:row>
      <xdr:rowOff>152400</xdr:rowOff>
    </xdr:to>
    <xdr:sp macro="" textlink="">
      <xdr:nvSpPr>
        <xdr:cNvPr id="24" name="Arrow: Right 23">
          <a:extLst>
            <a:ext uri="{FF2B5EF4-FFF2-40B4-BE49-F238E27FC236}">
              <a16:creationId xmlns:a16="http://schemas.microsoft.com/office/drawing/2014/main" id="{A0EBBED4-AD9B-4541-BF0A-F38157EEB33F}"/>
            </a:ext>
          </a:extLst>
        </xdr:cNvPr>
        <xdr:cNvSpPr/>
      </xdr:nvSpPr>
      <xdr:spPr>
        <a:xfrm>
          <a:off x="7889421" y="1770289"/>
          <a:ext cx="342900" cy="504825"/>
        </a:xfrm>
        <a:prstGeom prst="rightArrow">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7</xdr:col>
      <xdr:colOff>190965</xdr:colOff>
      <xdr:row>47</xdr:row>
      <xdr:rowOff>21960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8"/>
  <sheetViews>
    <sheetView showGridLines="0" topLeftCell="A11" zoomScaleNormal="100" workbookViewId="0">
      <selection activeCell="B15" sqref="B15"/>
    </sheetView>
  </sheetViews>
  <sheetFormatPr defaultColWidth="8.5703125" defaultRowHeight="15"/>
  <cols>
    <col min="1" max="1" width="4" customWidth="1"/>
    <col min="2" max="2" width="118" customWidth="1"/>
  </cols>
  <sheetData>
    <row r="1" spans="2:2" ht="23.25">
      <c r="B1" s="3" t="s">
        <v>0</v>
      </c>
    </row>
    <row r="2" spans="2:2" ht="25.5">
      <c r="B2" s="4" t="s">
        <v>1</v>
      </c>
    </row>
    <row r="4" spans="2:2" ht="15.75">
      <c r="B4" s="5" t="s">
        <v>2</v>
      </c>
    </row>
    <row r="5" spans="2:2">
      <c r="B5" s="6" t="s">
        <v>3</v>
      </c>
    </row>
    <row r="6" spans="2:2">
      <c r="B6" s="6" t="s">
        <v>4</v>
      </c>
    </row>
    <row r="7" spans="2:2">
      <c r="B7" s="6" t="s">
        <v>5</v>
      </c>
    </row>
    <row r="8" spans="2:2">
      <c r="B8" s="6" t="s">
        <v>6</v>
      </c>
    </row>
    <row r="9" spans="2:2">
      <c r="B9" s="6" t="s">
        <v>7</v>
      </c>
    </row>
    <row r="10" spans="2:2">
      <c r="B10" s="6" t="s">
        <v>8</v>
      </c>
    </row>
    <row r="11" spans="2:2">
      <c r="B11" s="6" t="s">
        <v>9</v>
      </c>
    </row>
    <row r="12" spans="2:2">
      <c r="B12" s="6" t="s">
        <v>10</v>
      </c>
    </row>
    <row r="14" spans="2:2" ht="15.75">
      <c r="B14" s="5" t="s">
        <v>11</v>
      </c>
    </row>
    <row r="15" spans="2:2" ht="25.5">
      <c r="B15" s="7" t="s">
        <v>12</v>
      </c>
    </row>
    <row r="16" spans="2:2" ht="38.25">
      <c r="B16" s="7" t="s">
        <v>13</v>
      </c>
    </row>
    <row r="17" spans="2:2" ht="38.25">
      <c r="B17" s="7" t="s">
        <v>14</v>
      </c>
    </row>
    <row r="18" spans="2:2">
      <c r="B18" s="8" t="s">
        <v>15</v>
      </c>
    </row>
    <row r="19" spans="2:2">
      <c r="B19" s="8" t="s">
        <v>16</v>
      </c>
    </row>
    <row r="21" spans="2:2" ht="15.75">
      <c r="B21" s="9" t="s">
        <v>17</v>
      </c>
    </row>
    <row r="22" spans="2:2">
      <c r="B22" s="7" t="s">
        <v>18</v>
      </c>
    </row>
    <row r="23" spans="2:2">
      <c r="B23" s="7" t="s">
        <v>19</v>
      </c>
    </row>
    <row r="24" spans="2:2">
      <c r="B24" s="7" t="s">
        <v>20</v>
      </c>
    </row>
    <row r="25" spans="2:2">
      <c r="B25" s="7" t="s">
        <v>21</v>
      </c>
    </row>
    <row r="26" spans="2:2">
      <c r="B26" s="7" t="s">
        <v>22</v>
      </c>
    </row>
    <row r="27" spans="2:2">
      <c r="B27" s="7" t="s">
        <v>23</v>
      </c>
    </row>
    <row r="29" spans="2:2" ht="15.75">
      <c r="B29" s="5" t="s">
        <v>24</v>
      </c>
    </row>
    <row r="30" spans="2:2">
      <c r="B30" s="6" t="s">
        <v>25</v>
      </c>
    </row>
    <row r="31" spans="2:2">
      <c r="B31" s="6" t="s">
        <v>26</v>
      </c>
    </row>
    <row r="32" spans="2:2" ht="25.5">
      <c r="B32" s="6" t="s">
        <v>27</v>
      </c>
    </row>
    <row r="33" spans="2:2" ht="25.5">
      <c r="B33" s="6" t="s">
        <v>28</v>
      </c>
    </row>
    <row r="34" spans="2:2">
      <c r="B34" s="6" t="s">
        <v>29</v>
      </c>
    </row>
    <row r="36" spans="2:2" ht="15.75">
      <c r="B36" s="5" t="s">
        <v>30</v>
      </c>
    </row>
    <row r="37" spans="2:2">
      <c r="B37" s="6" t="s">
        <v>31</v>
      </c>
    </row>
    <row r="38" spans="2:2">
      <c r="B38" s="6" t="s">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388A-573F-495C-9E8D-82FB9A634F97}">
  <sheetPr>
    <tabColor rgb="FFFFFF00"/>
  </sheetPr>
  <dimension ref="A3:B17"/>
  <sheetViews>
    <sheetView showGridLines="0" workbookViewId="0">
      <pane xSplit="1" ySplit="9" topLeftCell="B10" activePane="bottomRight" state="frozen"/>
      <selection pane="bottomRight" activeCell="B18" sqref="B18"/>
      <selection pane="bottomLeft" activeCell="A10" sqref="A10"/>
      <selection pane="topRight" activeCell="B1" sqref="B1"/>
    </sheetView>
  </sheetViews>
  <sheetFormatPr defaultRowHeight="15"/>
  <cols>
    <col min="1" max="1" width="15" style="10" bestFit="1" customWidth="1"/>
    <col min="2" max="2" width="94.140625" style="11" customWidth="1"/>
    <col min="3" max="16384" width="9.140625" style="10"/>
  </cols>
  <sheetData>
    <row r="3" spans="1:2">
      <c r="A3" s="203" t="s">
        <v>33</v>
      </c>
      <c r="B3" s="203"/>
    </row>
    <row r="4" spans="1:2">
      <c r="A4" s="173" t="s">
        <v>34</v>
      </c>
      <c r="B4" s="174" t="s">
        <v>35</v>
      </c>
    </row>
    <row r="5" spans="1:2">
      <c r="A5" s="173" t="s">
        <v>36</v>
      </c>
      <c r="B5" s="174" t="s">
        <v>37</v>
      </c>
    </row>
    <row r="6" spans="1:2">
      <c r="A6" s="173" t="s">
        <v>38</v>
      </c>
      <c r="B6" s="174" t="s">
        <v>39</v>
      </c>
    </row>
    <row r="7" spans="1:2">
      <c r="A7" s="173" t="s">
        <v>40</v>
      </c>
      <c r="B7" s="174" t="s">
        <v>41</v>
      </c>
    </row>
    <row r="9" spans="1:2">
      <c r="A9" s="203" t="s">
        <v>42</v>
      </c>
      <c r="B9" s="203"/>
    </row>
    <row r="10" spans="1:2" ht="180">
      <c r="A10" s="173" t="s">
        <v>43</v>
      </c>
      <c r="B10" s="174" t="s">
        <v>44</v>
      </c>
    </row>
    <row r="11" spans="1:2" ht="180">
      <c r="A11" s="173" t="s">
        <v>34</v>
      </c>
      <c r="B11" s="176" t="s">
        <v>45</v>
      </c>
    </row>
    <row r="12" spans="1:2" ht="150">
      <c r="A12" s="173" t="s">
        <v>36</v>
      </c>
      <c r="B12" s="176" t="s">
        <v>46</v>
      </c>
    </row>
    <row r="13" spans="1:2" ht="153.75" customHeight="1">
      <c r="A13" s="173" t="s">
        <v>38</v>
      </c>
      <c r="B13" s="176" t="s">
        <v>47</v>
      </c>
    </row>
    <row r="14" spans="1:2" ht="135">
      <c r="A14" s="173" t="s">
        <v>40</v>
      </c>
      <c r="B14" s="176" t="s">
        <v>48</v>
      </c>
    </row>
    <row r="15" spans="1:2" ht="90">
      <c r="A15" s="173" t="s">
        <v>49</v>
      </c>
      <c r="B15" s="174" t="s">
        <v>50</v>
      </c>
    </row>
    <row r="16" spans="1:2" ht="135">
      <c r="A16" s="173" t="s">
        <v>51</v>
      </c>
      <c r="B16" s="174" t="s">
        <v>52</v>
      </c>
    </row>
    <row r="17" spans="1:2" ht="195" hidden="1">
      <c r="A17" s="175" t="s">
        <v>53</v>
      </c>
      <c r="B17" s="174" t="s">
        <v>54</v>
      </c>
    </row>
  </sheetData>
  <mergeCells count="2">
    <mergeCell ref="A3:B3"/>
    <mergeCell ref="A9:B9"/>
  </mergeCells>
  <phoneticPr fontId="5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98"/>
  <sheetViews>
    <sheetView showGridLines="0" topLeftCell="A7" zoomScale="90" zoomScaleNormal="90" workbookViewId="0">
      <selection activeCell="D9" sqref="D9"/>
    </sheetView>
  </sheetViews>
  <sheetFormatPr defaultRowHeight="15"/>
  <cols>
    <col min="1" max="1" width="20.140625" style="10" bestFit="1" customWidth="1"/>
    <col min="2" max="2" width="21.42578125" style="10" customWidth="1"/>
    <col min="3" max="3" width="48.42578125" style="11" customWidth="1"/>
    <col min="4" max="4" width="27.140625" style="10" bestFit="1" customWidth="1"/>
    <col min="5" max="5" width="56.85546875" style="10" bestFit="1" customWidth="1"/>
    <col min="6" max="6" width="37" style="10" bestFit="1" customWidth="1"/>
    <col min="7" max="7" width="43.85546875" style="10" bestFit="1" customWidth="1"/>
    <col min="8" max="9" width="18" style="10" bestFit="1" customWidth="1"/>
    <col min="10" max="16384" width="9.140625" style="10"/>
  </cols>
  <sheetData>
    <row r="1" spans="1:6" ht="15.75" thickBot="1">
      <c r="A1" s="204" t="s">
        <v>55</v>
      </c>
      <c r="B1" s="205"/>
      <c r="C1" s="12" t="s">
        <v>56</v>
      </c>
    </row>
    <row r="2" spans="1:6" ht="17.25" customHeight="1" thickBot="1">
      <c r="A2" s="204" t="s">
        <v>57</v>
      </c>
      <c r="B2" s="205"/>
      <c r="C2" s="12" t="s">
        <v>58</v>
      </c>
    </row>
    <row r="3" spans="1:6" ht="91.5" customHeight="1" thickBot="1">
      <c r="A3" s="204" t="s">
        <v>59</v>
      </c>
      <c r="B3" s="205"/>
      <c r="C3" s="12" t="s">
        <v>60</v>
      </c>
    </row>
    <row r="4" spans="1:6" ht="30.75" thickBot="1">
      <c r="A4" s="204" t="s">
        <v>61</v>
      </c>
      <c r="B4" s="205"/>
      <c r="C4" s="12" t="s">
        <v>62</v>
      </c>
    </row>
    <row r="5" spans="1:6" ht="17.25" customHeight="1" thickBot="1">
      <c r="A5" s="204" t="s">
        <v>63</v>
      </c>
      <c r="B5" s="205"/>
      <c r="C5" s="12" t="s">
        <v>58</v>
      </c>
    </row>
    <row r="6" spans="1:6" ht="135.75" thickBot="1">
      <c r="A6" s="204" t="s">
        <v>64</v>
      </c>
      <c r="B6" s="205"/>
      <c r="C6" s="12" t="s">
        <v>65</v>
      </c>
    </row>
    <row r="7" spans="1:6" ht="30.75" thickBot="1">
      <c r="A7" s="204" t="s">
        <v>66</v>
      </c>
      <c r="B7" s="205"/>
      <c r="C7" s="12" t="s">
        <v>67</v>
      </c>
    </row>
    <row r="8" spans="1:6" ht="75.75" thickBot="1">
      <c r="A8" s="204" t="s">
        <v>68</v>
      </c>
      <c r="B8" s="205"/>
      <c r="C8" s="61" t="s">
        <v>69</v>
      </c>
    </row>
    <row r="9" spans="1:6" ht="135.75" thickBot="1">
      <c r="A9" s="204" t="s">
        <v>70</v>
      </c>
      <c r="B9" s="205"/>
      <c r="C9" s="12" t="s">
        <v>71</v>
      </c>
    </row>
    <row r="10" spans="1:6" ht="195.75" thickBot="1">
      <c r="A10" s="204" t="s">
        <v>72</v>
      </c>
      <c r="B10" s="205"/>
      <c r="C10" s="12" t="s">
        <v>73</v>
      </c>
    </row>
    <row r="11" spans="1:6" ht="30.75" thickBot="1">
      <c r="A11" s="204" t="s">
        <v>74</v>
      </c>
      <c r="B11" s="205"/>
      <c r="C11" s="12" t="s">
        <v>75</v>
      </c>
    </row>
    <row r="12" spans="1:6" ht="15.75" thickBot="1">
      <c r="A12" s="62" t="s">
        <v>76</v>
      </c>
      <c r="B12" s="62" t="s">
        <v>77</v>
      </c>
      <c r="C12" s="62" t="s">
        <v>78</v>
      </c>
      <c r="D12" s="62" t="s">
        <v>79</v>
      </c>
      <c r="E12" s="62" t="s">
        <v>80</v>
      </c>
      <c r="F12" s="62" t="s">
        <v>81</v>
      </c>
    </row>
    <row r="13" spans="1:6" ht="77.25" customHeight="1" thickBot="1">
      <c r="A13" s="63" t="s">
        <v>82</v>
      </c>
      <c r="B13" s="63" t="s">
        <v>83</v>
      </c>
      <c r="C13" s="12" t="s">
        <v>84</v>
      </c>
      <c r="D13" s="12" t="s">
        <v>85</v>
      </c>
      <c r="E13" s="12" t="s">
        <v>86</v>
      </c>
      <c r="F13" s="12" t="s">
        <v>87</v>
      </c>
    </row>
    <row r="14" spans="1:6" ht="120.75" thickBot="1">
      <c r="A14" s="63" t="s">
        <v>88</v>
      </c>
      <c r="B14" s="63" t="s">
        <v>89</v>
      </c>
      <c r="C14" s="12" t="s">
        <v>90</v>
      </c>
      <c r="D14" s="12" t="s">
        <v>91</v>
      </c>
      <c r="E14" s="12" t="s">
        <v>92</v>
      </c>
      <c r="F14" s="12" t="s">
        <v>93</v>
      </c>
    </row>
    <row r="15" spans="1:6" ht="45.75" thickBot="1">
      <c r="A15" s="63" t="s">
        <v>94</v>
      </c>
      <c r="B15" s="63" t="s">
        <v>95</v>
      </c>
      <c r="C15" s="12" t="s">
        <v>96</v>
      </c>
      <c r="D15" s="12" t="s">
        <v>97</v>
      </c>
      <c r="E15" s="12" t="s">
        <v>98</v>
      </c>
      <c r="F15" s="12" t="s">
        <v>99</v>
      </c>
    </row>
    <row r="16" spans="1:6" ht="45.75" thickBot="1">
      <c r="A16" s="63" t="s">
        <v>100</v>
      </c>
      <c r="B16" s="63" t="s">
        <v>101</v>
      </c>
      <c r="C16" s="12" t="s">
        <v>102</v>
      </c>
      <c r="D16" s="12" t="s">
        <v>103</v>
      </c>
      <c r="E16" s="12" t="s">
        <v>104</v>
      </c>
      <c r="F16" s="12" t="s">
        <v>105</v>
      </c>
    </row>
    <row r="17" spans="1:7" ht="45.75" thickBot="1">
      <c r="A17" s="63" t="s">
        <v>106</v>
      </c>
      <c r="B17" s="63" t="s">
        <v>107</v>
      </c>
      <c r="C17" s="12" t="s">
        <v>108</v>
      </c>
      <c r="D17" s="12" t="s">
        <v>109</v>
      </c>
      <c r="E17" s="12" t="s">
        <v>110</v>
      </c>
      <c r="F17" s="12" t="s">
        <v>111</v>
      </c>
    </row>
    <row r="18" spans="1:7" ht="45.75" thickBot="1">
      <c r="A18" s="63" t="s">
        <v>112</v>
      </c>
      <c r="B18" s="63" t="s">
        <v>113</v>
      </c>
      <c r="C18" s="12" t="s">
        <v>114</v>
      </c>
      <c r="D18" s="12" t="s">
        <v>115</v>
      </c>
      <c r="E18" s="12" t="s">
        <v>116</v>
      </c>
      <c r="F18" s="12" t="s">
        <v>117</v>
      </c>
    </row>
    <row r="19" spans="1:7" ht="30.75" thickBot="1">
      <c r="A19" s="63" t="s">
        <v>118</v>
      </c>
      <c r="B19" s="63" t="s">
        <v>119</v>
      </c>
      <c r="C19" s="12" t="s">
        <v>120</v>
      </c>
      <c r="D19" s="12" t="s">
        <v>121</v>
      </c>
      <c r="E19" s="12" t="s">
        <v>122</v>
      </c>
      <c r="F19" s="12" t="s">
        <v>123</v>
      </c>
    </row>
    <row r="20" spans="1:7" ht="15.75" thickBot="1">
      <c r="A20" s="206" t="s">
        <v>124</v>
      </c>
      <c r="B20" s="209" t="s">
        <v>125</v>
      </c>
      <c r="C20" s="210" t="s">
        <v>126</v>
      </c>
      <c r="D20" s="64" t="s">
        <v>127</v>
      </c>
      <c r="E20" s="64" t="s">
        <v>128</v>
      </c>
      <c r="F20" s="64" t="s">
        <v>129</v>
      </c>
      <c r="G20" s="64" t="s">
        <v>130</v>
      </c>
    </row>
    <row r="21" spans="1:7" ht="135.75" thickBot="1">
      <c r="A21" s="207"/>
      <c r="B21" s="209"/>
      <c r="C21" s="210"/>
      <c r="D21" s="65" t="s">
        <v>131</v>
      </c>
      <c r="E21" s="12" t="s">
        <v>132</v>
      </c>
      <c r="F21" s="12" t="s">
        <v>133</v>
      </c>
      <c r="G21" s="12" t="s">
        <v>134</v>
      </c>
    </row>
    <row r="22" spans="1:7" ht="60.75" thickBot="1">
      <c r="A22" s="207"/>
      <c r="B22" s="209"/>
      <c r="C22" s="210"/>
      <c r="D22" s="65" t="s">
        <v>135</v>
      </c>
      <c r="E22" s="12" t="s">
        <v>136</v>
      </c>
      <c r="F22" s="12" t="s">
        <v>137</v>
      </c>
      <c r="G22" s="12" t="s">
        <v>138</v>
      </c>
    </row>
    <row r="23" spans="1:7" ht="15.75" thickBot="1">
      <c r="A23" s="207"/>
      <c r="B23" s="209"/>
      <c r="C23" s="210"/>
      <c r="D23" s="65" t="s">
        <v>139</v>
      </c>
      <c r="E23" s="12" t="s">
        <v>140</v>
      </c>
      <c r="F23" s="12" t="s">
        <v>141</v>
      </c>
      <c r="G23" s="13">
        <v>8000000000</v>
      </c>
    </row>
    <row r="24" spans="1:7" ht="15.75" thickBot="1">
      <c r="A24" s="207"/>
      <c r="B24" s="209"/>
      <c r="C24" s="210"/>
      <c r="D24" s="65" t="s">
        <v>142</v>
      </c>
      <c r="E24" s="12" t="s">
        <v>143</v>
      </c>
      <c r="F24" s="12" t="s">
        <v>144</v>
      </c>
      <c r="G24" s="12"/>
    </row>
    <row r="25" spans="1:7" ht="15.75" thickBot="1">
      <c r="A25" s="207"/>
      <c r="B25" s="209"/>
      <c r="C25" s="210"/>
      <c r="D25" s="65" t="s">
        <v>145</v>
      </c>
      <c r="E25" s="12" t="s">
        <v>146</v>
      </c>
      <c r="F25" s="12" t="s">
        <v>147</v>
      </c>
      <c r="G25" s="12"/>
    </row>
    <row r="26" spans="1:7" ht="15.75" thickBot="1">
      <c r="A26" s="207"/>
      <c r="B26" s="209"/>
      <c r="C26" s="210"/>
      <c r="D26" s="65" t="s">
        <v>148</v>
      </c>
      <c r="E26" s="12" t="s">
        <v>149</v>
      </c>
      <c r="F26" s="12" t="s">
        <v>150</v>
      </c>
      <c r="G26" s="12"/>
    </row>
    <row r="27" spans="1:7" ht="15.75" thickBot="1">
      <c r="A27" s="207"/>
      <c r="B27" s="209" t="s">
        <v>151</v>
      </c>
      <c r="C27" s="210" t="s">
        <v>152</v>
      </c>
      <c r="D27" s="66" t="s">
        <v>153</v>
      </c>
      <c r="E27" s="66" t="s">
        <v>154</v>
      </c>
      <c r="F27" s="66" t="s">
        <v>155</v>
      </c>
      <c r="G27" s="64" t="s">
        <v>130</v>
      </c>
    </row>
    <row r="28" spans="1:7" ht="15.75" thickBot="1">
      <c r="A28" s="207"/>
      <c r="B28" s="209"/>
      <c r="C28" s="210"/>
      <c r="D28" s="67" t="s">
        <v>156</v>
      </c>
      <c r="E28" s="14" t="s">
        <v>157</v>
      </c>
      <c r="F28" s="14" t="s">
        <v>158</v>
      </c>
      <c r="G28" s="14"/>
    </row>
    <row r="29" spans="1:7" ht="15.75" thickBot="1">
      <c r="A29" s="207"/>
      <c r="B29" s="209"/>
      <c r="C29" s="210"/>
      <c r="D29" s="67" t="s">
        <v>159</v>
      </c>
      <c r="E29" s="14" t="s">
        <v>160</v>
      </c>
      <c r="F29" s="14" t="s">
        <v>158</v>
      </c>
      <c r="G29" s="14"/>
    </row>
    <row r="30" spans="1:7" ht="15.75" thickBot="1">
      <c r="A30" s="207"/>
      <c r="B30" s="209"/>
      <c r="C30" s="210"/>
      <c r="D30" s="67" t="s">
        <v>161</v>
      </c>
      <c r="E30" s="14" t="s">
        <v>162</v>
      </c>
      <c r="F30" s="14" t="s">
        <v>158</v>
      </c>
      <c r="G30" s="14"/>
    </row>
    <row r="31" spans="1:7" ht="15.75" thickBot="1">
      <c r="A31" s="207"/>
      <c r="B31" s="209"/>
      <c r="C31" s="210"/>
      <c r="D31" s="67" t="s">
        <v>163</v>
      </c>
      <c r="E31" s="14" t="s">
        <v>164</v>
      </c>
      <c r="F31" s="14" t="s">
        <v>165</v>
      </c>
      <c r="G31" s="14"/>
    </row>
    <row r="32" spans="1:7" ht="15.75" thickBot="1">
      <c r="A32" s="207"/>
      <c r="B32" s="209"/>
      <c r="C32" s="210"/>
      <c r="D32" s="67" t="s">
        <v>166</v>
      </c>
      <c r="E32" s="14" t="s">
        <v>167</v>
      </c>
      <c r="F32" s="14" t="s">
        <v>165</v>
      </c>
      <c r="G32" s="14"/>
    </row>
    <row r="33" spans="1:7" ht="15.75" thickBot="1">
      <c r="A33" s="207"/>
      <c r="B33" s="209"/>
      <c r="C33" s="210"/>
      <c r="D33" s="67" t="s">
        <v>168</v>
      </c>
      <c r="E33" s="14" t="s">
        <v>169</v>
      </c>
      <c r="F33" s="14" t="s">
        <v>158</v>
      </c>
      <c r="G33" s="14"/>
    </row>
    <row r="34" spans="1:7" ht="15.75" thickBot="1">
      <c r="A34" s="207"/>
      <c r="B34" s="209"/>
      <c r="C34" s="210"/>
      <c r="D34" s="67" t="s">
        <v>170</v>
      </c>
      <c r="E34" s="14" t="s">
        <v>171</v>
      </c>
      <c r="F34" s="14" t="s">
        <v>172</v>
      </c>
      <c r="G34" s="14"/>
    </row>
    <row r="35" spans="1:7" ht="15.75" thickBot="1">
      <c r="A35" s="207"/>
      <c r="B35" s="209"/>
      <c r="C35" s="210"/>
      <c r="D35" s="67" t="s">
        <v>173</v>
      </c>
      <c r="E35" s="14" t="s">
        <v>174</v>
      </c>
      <c r="F35" s="14" t="s">
        <v>175</v>
      </c>
      <c r="G35" s="14"/>
    </row>
    <row r="36" spans="1:7" ht="15.75" customHeight="1" thickBot="1">
      <c r="A36" s="207"/>
      <c r="B36" s="211" t="s">
        <v>176</v>
      </c>
      <c r="C36" s="214" t="s">
        <v>177</v>
      </c>
      <c r="D36" s="66" t="s">
        <v>178</v>
      </c>
      <c r="E36" s="66" t="s">
        <v>179</v>
      </c>
    </row>
    <row r="37" spans="1:7" ht="120.75" thickBot="1">
      <c r="A37" s="207"/>
      <c r="B37" s="212"/>
      <c r="C37" s="215"/>
      <c r="D37" s="67" t="s">
        <v>180</v>
      </c>
      <c r="E37" s="12" t="s">
        <v>181</v>
      </c>
    </row>
    <row r="38" spans="1:7" ht="30.75" thickBot="1">
      <c r="A38" s="207"/>
      <c r="B38" s="212"/>
      <c r="C38" s="215"/>
      <c r="D38" s="67" t="s">
        <v>182</v>
      </c>
      <c r="E38" s="15" t="s">
        <v>183</v>
      </c>
    </row>
    <row r="39" spans="1:7" ht="30.75" thickBot="1">
      <c r="A39" s="207"/>
      <c r="B39" s="212"/>
      <c r="C39" s="215"/>
      <c r="D39" s="67" t="s">
        <v>184</v>
      </c>
      <c r="E39" s="12" t="s">
        <v>185</v>
      </c>
    </row>
    <row r="40" spans="1:7" ht="30.75" thickBot="1">
      <c r="A40" s="207"/>
      <c r="B40" s="212"/>
      <c r="C40" s="215"/>
      <c r="D40" s="68" t="s">
        <v>186</v>
      </c>
      <c r="E40" s="16" t="s">
        <v>187</v>
      </c>
    </row>
    <row r="41" spans="1:7" ht="45.75" thickBot="1">
      <c r="A41" s="207"/>
      <c r="B41" s="212"/>
      <c r="C41" s="215"/>
      <c r="D41" s="67" t="s">
        <v>188</v>
      </c>
      <c r="E41" s="12" t="s">
        <v>189</v>
      </c>
    </row>
    <row r="42" spans="1:7" ht="45.75" thickBot="1">
      <c r="A42" s="207"/>
      <c r="B42" s="212"/>
      <c r="C42" s="215"/>
      <c r="D42" s="67" t="s">
        <v>190</v>
      </c>
      <c r="E42" s="12" t="s">
        <v>191</v>
      </c>
    </row>
    <row r="43" spans="1:7" ht="45.75" thickBot="1">
      <c r="A43" s="207"/>
      <c r="B43" s="212"/>
      <c r="C43" s="215"/>
      <c r="D43" s="67" t="s">
        <v>192</v>
      </c>
      <c r="E43" s="12" t="s">
        <v>193</v>
      </c>
    </row>
    <row r="44" spans="1:7" ht="15.75" thickBot="1">
      <c r="A44" s="207"/>
      <c r="B44" s="212"/>
      <c r="C44" s="215"/>
      <c r="D44" s="62" t="s">
        <v>194</v>
      </c>
      <c r="E44" s="62" t="s">
        <v>195</v>
      </c>
      <c r="F44" s="62" t="s">
        <v>196</v>
      </c>
    </row>
    <row r="45" spans="1:7" ht="15.75" thickBot="1">
      <c r="A45" s="207"/>
      <c r="B45" s="212"/>
      <c r="C45" s="215"/>
      <c r="D45" s="65" t="s">
        <v>197</v>
      </c>
      <c r="E45" s="12" t="s">
        <v>198</v>
      </c>
      <c r="F45" s="12" t="s">
        <v>199</v>
      </c>
    </row>
    <row r="46" spans="1:7" ht="15.75" thickBot="1">
      <c r="A46" s="207"/>
      <c r="B46" s="212"/>
      <c r="C46" s="215"/>
      <c r="D46" s="65" t="s">
        <v>200</v>
      </c>
      <c r="E46" s="12" t="s">
        <v>201</v>
      </c>
      <c r="F46" s="12" t="s">
        <v>202</v>
      </c>
    </row>
    <row r="47" spans="1:7" ht="15.75" thickBot="1">
      <c r="A47" s="207"/>
      <c r="B47" s="212"/>
      <c r="C47" s="215"/>
      <c r="D47" s="65" t="s">
        <v>203</v>
      </c>
      <c r="E47" s="12" t="s">
        <v>204</v>
      </c>
      <c r="F47" s="12" t="s">
        <v>205</v>
      </c>
    </row>
    <row r="48" spans="1:7" ht="30.75" thickBot="1">
      <c r="A48" s="207"/>
      <c r="B48" s="212"/>
      <c r="C48" s="215"/>
      <c r="D48" s="65" t="s">
        <v>206</v>
      </c>
      <c r="E48" s="12" t="s">
        <v>207</v>
      </c>
      <c r="F48" s="12" t="s">
        <v>208</v>
      </c>
    </row>
    <row r="49" spans="1:9" ht="15.75" thickBot="1">
      <c r="A49" s="207"/>
      <c r="B49" s="212"/>
      <c r="C49" s="215"/>
      <c r="D49" s="65" t="s">
        <v>209</v>
      </c>
      <c r="E49" s="12" t="s">
        <v>210</v>
      </c>
      <c r="F49" s="12" t="s">
        <v>211</v>
      </c>
    </row>
    <row r="50" spans="1:9" ht="15.75" thickBot="1">
      <c r="A50" s="207"/>
      <c r="B50" s="212"/>
      <c r="C50" s="215"/>
      <c r="D50" s="65" t="s">
        <v>212</v>
      </c>
      <c r="E50" s="12" t="s">
        <v>213</v>
      </c>
      <c r="F50" s="12" t="s">
        <v>214</v>
      </c>
    </row>
    <row r="51" spans="1:9" ht="15.75" thickBot="1">
      <c r="A51" s="207"/>
      <c r="B51" s="213"/>
      <c r="C51" s="216"/>
      <c r="D51" s="69" t="s">
        <v>215</v>
      </c>
      <c r="E51" s="16" t="s">
        <v>216</v>
      </c>
      <c r="F51" s="16" t="s">
        <v>217</v>
      </c>
    </row>
    <row r="52" spans="1:9" ht="15.75" thickBot="1">
      <c r="A52" s="207"/>
      <c r="B52" s="217" t="s">
        <v>218</v>
      </c>
      <c r="C52" s="214" t="s">
        <v>219</v>
      </c>
      <c r="D52" s="66" t="s">
        <v>220</v>
      </c>
      <c r="E52" s="66" t="s">
        <v>221</v>
      </c>
      <c r="F52" s="66" t="s">
        <v>222</v>
      </c>
      <c r="G52" s="66" t="s">
        <v>223</v>
      </c>
      <c r="H52" s="66" t="s">
        <v>224</v>
      </c>
      <c r="I52" s="66" t="s">
        <v>225</v>
      </c>
    </row>
    <row r="53" spans="1:9" ht="15.75" thickBot="1">
      <c r="A53" s="207"/>
      <c r="B53" s="218"/>
      <c r="C53" s="215"/>
      <c r="D53" s="67" t="s">
        <v>212</v>
      </c>
      <c r="E53" s="14" t="s">
        <v>226</v>
      </c>
      <c r="F53" s="14" t="s">
        <v>227</v>
      </c>
      <c r="G53" s="14" t="s">
        <v>228</v>
      </c>
      <c r="H53" s="17">
        <v>0.88</v>
      </c>
      <c r="I53" s="14" t="s">
        <v>229</v>
      </c>
    </row>
    <row r="54" spans="1:9" ht="15.75" thickBot="1">
      <c r="A54" s="207"/>
      <c r="B54" s="218"/>
      <c r="C54" s="215"/>
      <c r="D54" s="67" t="s">
        <v>230</v>
      </c>
      <c r="E54" s="14" t="s">
        <v>231</v>
      </c>
      <c r="F54" s="14" t="s">
        <v>232</v>
      </c>
      <c r="G54" s="14" t="s">
        <v>233</v>
      </c>
      <c r="H54" s="17">
        <v>0.84</v>
      </c>
      <c r="I54" s="14" t="s">
        <v>234</v>
      </c>
    </row>
    <row r="55" spans="1:9" ht="15.75" thickBot="1">
      <c r="A55" s="207"/>
      <c r="B55" s="218"/>
      <c r="C55" s="215"/>
      <c r="D55" s="67" t="s">
        <v>235</v>
      </c>
      <c r="E55" s="14" t="s">
        <v>236</v>
      </c>
      <c r="F55" s="14" t="s">
        <v>237</v>
      </c>
      <c r="G55" s="14" t="s">
        <v>238</v>
      </c>
      <c r="H55" s="17">
        <v>0.76</v>
      </c>
      <c r="I55" s="14" t="s">
        <v>239</v>
      </c>
    </row>
    <row r="56" spans="1:9" ht="15.75" thickBot="1">
      <c r="A56" s="207"/>
      <c r="B56" s="218"/>
      <c r="C56" s="215"/>
      <c r="D56" s="67" t="s">
        <v>240</v>
      </c>
      <c r="E56" s="14" t="s">
        <v>241</v>
      </c>
      <c r="F56" s="14" t="s">
        <v>232</v>
      </c>
      <c r="G56" s="14" t="s">
        <v>232</v>
      </c>
      <c r="H56" s="17">
        <v>0.6</v>
      </c>
      <c r="I56" s="14" t="s">
        <v>242</v>
      </c>
    </row>
    <row r="57" spans="1:9" ht="15.75" thickBot="1">
      <c r="A57" s="207"/>
      <c r="B57" s="218"/>
      <c r="C57" s="215"/>
      <c r="D57" s="70" t="s">
        <v>243</v>
      </c>
      <c r="E57" s="70" t="s">
        <v>244</v>
      </c>
      <c r="F57" s="214" t="s">
        <v>245</v>
      </c>
      <c r="G57" s="214" t="s">
        <v>246</v>
      </c>
    </row>
    <row r="58" spans="1:9" ht="15.75" thickBot="1">
      <c r="A58" s="207"/>
      <c r="B58" s="218"/>
      <c r="C58" s="215"/>
      <c r="D58" s="67" t="s">
        <v>247</v>
      </c>
      <c r="E58" s="14" t="s">
        <v>248</v>
      </c>
      <c r="F58" s="220"/>
      <c r="G58" s="220"/>
    </row>
    <row r="59" spans="1:9" ht="15.75" thickBot="1">
      <c r="A59" s="207"/>
      <c r="B59" s="218"/>
      <c r="C59" s="215"/>
      <c r="D59" s="67" t="s">
        <v>249</v>
      </c>
      <c r="E59" s="14" t="s">
        <v>250</v>
      </c>
      <c r="F59" s="220"/>
      <c r="G59" s="220"/>
    </row>
    <row r="60" spans="1:9" ht="15.75" thickBot="1">
      <c r="A60" s="207"/>
      <c r="B60" s="218"/>
      <c r="C60" s="215"/>
      <c r="D60" s="67" t="s">
        <v>251</v>
      </c>
      <c r="E60" s="14" t="s">
        <v>252</v>
      </c>
      <c r="F60" s="220"/>
      <c r="G60" s="220"/>
    </row>
    <row r="61" spans="1:9" ht="15.75" thickBot="1">
      <c r="A61" s="207"/>
      <c r="B61" s="218"/>
      <c r="C61" s="215"/>
      <c r="D61" s="67" t="s">
        <v>253</v>
      </c>
      <c r="E61" s="14" t="s">
        <v>254</v>
      </c>
      <c r="F61" s="220"/>
      <c r="G61" s="220"/>
    </row>
    <row r="62" spans="1:9" ht="15.75" thickBot="1">
      <c r="A62" s="207"/>
      <c r="B62" s="218"/>
      <c r="C62" s="215"/>
      <c r="D62" s="67" t="s">
        <v>255</v>
      </c>
      <c r="E62" s="14" t="s">
        <v>256</v>
      </c>
      <c r="F62" s="220"/>
      <c r="G62" s="220"/>
    </row>
    <row r="63" spans="1:9" ht="189" customHeight="1" thickBot="1">
      <c r="A63" s="207"/>
      <c r="B63" s="219"/>
      <c r="C63" s="216"/>
      <c r="D63" s="67" t="s">
        <v>257</v>
      </c>
      <c r="E63" s="14" t="s">
        <v>258</v>
      </c>
      <c r="F63" s="221"/>
      <c r="G63" s="221"/>
    </row>
    <row r="64" spans="1:9" ht="15.75" thickBot="1">
      <c r="A64" s="207"/>
      <c r="B64" s="211" t="s">
        <v>259</v>
      </c>
      <c r="C64" s="214" t="s">
        <v>260</v>
      </c>
      <c r="D64" s="66" t="s">
        <v>261</v>
      </c>
      <c r="E64" s="66" t="s">
        <v>178</v>
      </c>
    </row>
    <row r="65" spans="1:5" ht="165.75" thickBot="1">
      <c r="A65" s="207"/>
      <c r="B65" s="212"/>
      <c r="C65" s="215"/>
      <c r="D65" s="67" t="s">
        <v>262</v>
      </c>
      <c r="E65" s="12" t="s">
        <v>263</v>
      </c>
    </row>
    <row r="66" spans="1:5" ht="409.5" customHeight="1" thickBot="1">
      <c r="A66" s="207"/>
      <c r="B66" s="212"/>
      <c r="C66" s="215"/>
      <c r="D66" s="67" t="s">
        <v>264</v>
      </c>
      <c r="E66" s="12" t="s">
        <v>265</v>
      </c>
    </row>
    <row r="67" spans="1:5" ht="15.75" thickBot="1">
      <c r="A67" s="207"/>
      <c r="B67" s="212"/>
      <c r="C67" s="215"/>
      <c r="D67" s="66" t="s">
        <v>266</v>
      </c>
      <c r="E67" s="66" t="s">
        <v>267</v>
      </c>
    </row>
    <row r="68" spans="1:5" ht="15.75" thickBot="1">
      <c r="A68" s="207"/>
      <c r="B68" s="212"/>
      <c r="C68" s="215"/>
      <c r="D68" s="67" t="s">
        <v>268</v>
      </c>
      <c r="E68" s="14" t="s">
        <v>269</v>
      </c>
    </row>
    <row r="69" spans="1:5" ht="15.75" thickBot="1">
      <c r="A69" s="207"/>
      <c r="B69" s="212"/>
      <c r="C69" s="215"/>
      <c r="D69" s="67" t="s">
        <v>270</v>
      </c>
      <c r="E69" s="14" t="s">
        <v>271</v>
      </c>
    </row>
    <row r="70" spans="1:5" ht="15.75" thickBot="1">
      <c r="A70" s="207"/>
      <c r="B70" s="212"/>
      <c r="C70" s="215"/>
      <c r="D70" s="67" t="s">
        <v>272</v>
      </c>
      <c r="E70" s="14" t="s">
        <v>273</v>
      </c>
    </row>
    <row r="71" spans="1:5" ht="15.75" thickBot="1">
      <c r="A71" s="207"/>
      <c r="B71" s="212"/>
      <c r="C71" s="215"/>
      <c r="D71" s="67" t="s">
        <v>274</v>
      </c>
      <c r="E71" s="14" t="s">
        <v>275</v>
      </c>
    </row>
    <row r="72" spans="1:5" ht="15.75" thickBot="1">
      <c r="A72" s="207"/>
      <c r="B72" s="213"/>
      <c r="C72" s="216"/>
      <c r="D72" s="67" t="s">
        <v>276</v>
      </c>
      <c r="E72" s="14" t="s">
        <v>277</v>
      </c>
    </row>
    <row r="73" spans="1:5" ht="30.75" customHeight="1" thickBot="1">
      <c r="A73" s="207"/>
      <c r="B73" s="209" t="s">
        <v>278</v>
      </c>
      <c r="C73" s="210" t="s">
        <v>279</v>
      </c>
      <c r="D73" s="66" t="s">
        <v>261</v>
      </c>
      <c r="E73" s="66" t="s">
        <v>178</v>
      </c>
    </row>
    <row r="74" spans="1:5" ht="210.75" thickBot="1">
      <c r="A74" s="207"/>
      <c r="B74" s="209"/>
      <c r="C74" s="210"/>
      <c r="D74" s="67" t="s">
        <v>280</v>
      </c>
      <c r="E74" s="12" t="s">
        <v>281</v>
      </c>
    </row>
    <row r="75" spans="1:5" ht="15.75" thickBot="1">
      <c r="A75" s="207"/>
      <c r="B75" s="209"/>
      <c r="C75" s="210"/>
      <c r="D75" s="62" t="s">
        <v>282</v>
      </c>
      <c r="E75" s="62" t="s">
        <v>283</v>
      </c>
    </row>
    <row r="76" spans="1:5" ht="30.75" thickBot="1">
      <c r="A76" s="207"/>
      <c r="B76" s="209"/>
      <c r="C76" s="210"/>
      <c r="D76" s="65" t="s">
        <v>284</v>
      </c>
      <c r="E76" s="12" t="s">
        <v>285</v>
      </c>
    </row>
    <row r="77" spans="1:5" ht="15.75" thickBot="1">
      <c r="A77" s="207"/>
      <c r="B77" s="209"/>
      <c r="C77" s="210"/>
      <c r="D77" s="65" t="s">
        <v>286</v>
      </c>
      <c r="E77" s="12" t="s">
        <v>287</v>
      </c>
    </row>
    <row r="78" spans="1:5" ht="30.75" thickBot="1">
      <c r="A78" s="207"/>
      <c r="B78" s="209"/>
      <c r="C78" s="210"/>
      <c r="D78" s="65" t="s">
        <v>288</v>
      </c>
      <c r="E78" s="12" t="s">
        <v>289</v>
      </c>
    </row>
    <row r="79" spans="1:5" ht="15.75" thickBot="1">
      <c r="A79" s="207"/>
      <c r="B79" s="209"/>
      <c r="C79" s="210"/>
      <c r="D79" s="65" t="s">
        <v>290</v>
      </c>
      <c r="E79" s="12" t="s">
        <v>291</v>
      </c>
    </row>
    <row r="80" spans="1:5" ht="15.75" thickBot="1">
      <c r="A80" s="207"/>
      <c r="B80" s="209"/>
      <c r="C80" s="210"/>
      <c r="D80" s="65" t="s">
        <v>292</v>
      </c>
      <c r="E80" s="12" t="s">
        <v>293</v>
      </c>
    </row>
    <row r="81" spans="1:5" ht="15.75" thickBot="1">
      <c r="A81" s="207"/>
      <c r="B81" s="209"/>
      <c r="C81" s="210"/>
      <c r="D81" s="65" t="s">
        <v>294</v>
      </c>
      <c r="E81" s="12" t="s">
        <v>295</v>
      </c>
    </row>
    <row r="82" spans="1:5" ht="15.75" thickBot="1">
      <c r="A82" s="207"/>
      <c r="B82" s="209"/>
      <c r="C82" s="210"/>
      <c r="D82" s="65" t="s">
        <v>296</v>
      </c>
      <c r="E82" s="12" t="s">
        <v>297</v>
      </c>
    </row>
    <row r="83" spans="1:5" ht="15.75" thickBot="1">
      <c r="A83" s="207"/>
      <c r="B83" s="209"/>
      <c r="C83" s="210"/>
      <c r="D83" s="65" t="s">
        <v>298</v>
      </c>
      <c r="E83" s="12" t="s">
        <v>299</v>
      </c>
    </row>
    <row r="84" spans="1:5" ht="15.75" thickBot="1">
      <c r="A84" s="207"/>
      <c r="B84" s="209"/>
      <c r="C84" s="210"/>
      <c r="D84" s="65" t="s">
        <v>300</v>
      </c>
      <c r="E84" s="12" t="s">
        <v>301</v>
      </c>
    </row>
    <row r="85" spans="1:5" ht="30.75" thickBot="1">
      <c r="A85" s="207"/>
      <c r="B85" s="209"/>
      <c r="C85" s="210"/>
      <c r="D85" s="65" t="s">
        <v>302</v>
      </c>
      <c r="E85" s="12" t="s">
        <v>303</v>
      </c>
    </row>
    <row r="86" spans="1:5" ht="90.75" thickBot="1">
      <c r="A86" s="207"/>
      <c r="B86" s="209"/>
      <c r="C86" s="210"/>
      <c r="D86" s="65" t="s">
        <v>304</v>
      </c>
      <c r="E86" s="12" t="s">
        <v>305</v>
      </c>
    </row>
    <row r="87" spans="1:5" ht="105.75" thickBot="1">
      <c r="A87" s="207"/>
      <c r="B87" s="209"/>
      <c r="C87" s="210"/>
      <c r="D87" s="67" t="s">
        <v>306</v>
      </c>
      <c r="E87" s="12" t="s">
        <v>307</v>
      </c>
    </row>
    <row r="88" spans="1:5" ht="120.75" thickBot="1">
      <c r="A88" s="207"/>
      <c r="B88" s="209"/>
      <c r="C88" s="210"/>
      <c r="D88" s="67" t="s">
        <v>308</v>
      </c>
      <c r="E88" s="12" t="s">
        <v>309</v>
      </c>
    </row>
    <row r="89" spans="1:5" ht="285.75" thickBot="1">
      <c r="A89" s="207"/>
      <c r="B89" s="209"/>
      <c r="C89" s="210"/>
      <c r="D89" s="67" t="s">
        <v>310</v>
      </c>
      <c r="E89" s="12" t="s">
        <v>311</v>
      </c>
    </row>
    <row r="90" spans="1:5" ht="15.75" thickBot="1">
      <c r="A90" s="207"/>
      <c r="B90" s="211" t="s">
        <v>312</v>
      </c>
      <c r="C90" s="214" t="s">
        <v>313</v>
      </c>
      <c r="D90" s="66" t="s">
        <v>314</v>
      </c>
      <c r="E90" s="66" t="s">
        <v>315</v>
      </c>
    </row>
    <row r="91" spans="1:5" ht="15.75" thickBot="1">
      <c r="A91" s="207"/>
      <c r="B91" s="212"/>
      <c r="C91" s="215"/>
      <c r="D91" s="67" t="s">
        <v>316</v>
      </c>
      <c r="E91" s="14" t="s">
        <v>317</v>
      </c>
    </row>
    <row r="92" spans="1:5" ht="15.75" thickBot="1">
      <c r="A92" s="207"/>
      <c r="B92" s="212"/>
      <c r="C92" s="215"/>
      <c r="D92" s="67" t="s">
        <v>318</v>
      </c>
      <c r="E92" s="14" t="s">
        <v>319</v>
      </c>
    </row>
    <row r="93" spans="1:5" ht="15.75" thickBot="1">
      <c r="A93" s="207"/>
      <c r="B93" s="212"/>
      <c r="C93" s="215"/>
      <c r="D93" s="67" t="s">
        <v>320</v>
      </c>
      <c r="E93" s="14" t="s">
        <v>321</v>
      </c>
    </row>
    <row r="94" spans="1:5" ht="15.75" thickBot="1">
      <c r="A94" s="207"/>
      <c r="B94" s="212"/>
      <c r="C94" s="215"/>
      <c r="D94" s="67" t="s">
        <v>322</v>
      </c>
      <c r="E94" s="14" t="s">
        <v>323</v>
      </c>
    </row>
    <row r="95" spans="1:5" ht="15.75" thickBot="1">
      <c r="A95" s="207"/>
      <c r="B95" s="212"/>
      <c r="C95" s="215"/>
      <c r="D95" s="67" t="s">
        <v>324</v>
      </c>
      <c r="E95" s="14" t="s">
        <v>325</v>
      </c>
    </row>
    <row r="96" spans="1:5" ht="15.75" thickBot="1">
      <c r="A96" s="207"/>
      <c r="B96" s="212"/>
      <c r="C96" s="215"/>
      <c r="D96" s="67" t="s">
        <v>326</v>
      </c>
      <c r="E96" s="14" t="s">
        <v>327</v>
      </c>
    </row>
    <row r="97" spans="1:5" ht="285.75" thickBot="1">
      <c r="A97" s="207"/>
      <c r="B97" s="212"/>
      <c r="C97" s="215"/>
      <c r="D97" s="67" t="s">
        <v>328</v>
      </c>
      <c r="E97" s="12" t="s">
        <v>329</v>
      </c>
    </row>
    <row r="98" spans="1:5" ht="165.75" thickBot="1">
      <c r="A98" s="208"/>
      <c r="B98" s="213"/>
      <c r="C98" s="216"/>
      <c r="D98" s="67" t="s">
        <v>330</v>
      </c>
      <c r="E98" s="12" t="s">
        <v>331</v>
      </c>
    </row>
  </sheetData>
  <mergeCells count="28">
    <mergeCell ref="F57:F63"/>
    <mergeCell ref="G57:G63"/>
    <mergeCell ref="B64:B72"/>
    <mergeCell ref="C64:C72"/>
    <mergeCell ref="B73:B89"/>
    <mergeCell ref="C73:C89"/>
    <mergeCell ref="A11:B11"/>
    <mergeCell ref="A20:A98"/>
    <mergeCell ref="B20:B26"/>
    <mergeCell ref="C20:C26"/>
    <mergeCell ref="B27:B35"/>
    <mergeCell ref="C27:C35"/>
    <mergeCell ref="B36:B51"/>
    <mergeCell ref="C36:C51"/>
    <mergeCell ref="B52:B63"/>
    <mergeCell ref="C52:C63"/>
    <mergeCell ref="B90:B98"/>
    <mergeCell ref="C90:C98"/>
    <mergeCell ref="A6:B6"/>
    <mergeCell ref="A7:B7"/>
    <mergeCell ref="A8:B8"/>
    <mergeCell ref="A9:B9"/>
    <mergeCell ref="A10:B10"/>
    <mergeCell ref="A1:B1"/>
    <mergeCell ref="A2:B2"/>
    <mergeCell ref="A3:B3"/>
    <mergeCell ref="A4:B4"/>
    <mergeCell ref="A5:B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3C6B-B6D4-4B97-9FF2-3CD39B9DFBB3}">
  <sheetPr>
    <tabColor rgb="FF7030A0"/>
  </sheetPr>
  <dimension ref="A1:C13"/>
  <sheetViews>
    <sheetView showGridLines="0" tabSelected="1" workbookViewId="0">
      <selection activeCell="C1" sqref="C1"/>
    </sheetView>
  </sheetViews>
  <sheetFormatPr defaultRowHeight="15"/>
  <cols>
    <col min="1" max="1" width="128.42578125" style="10" customWidth="1"/>
    <col min="2" max="2" width="9.140625" style="10"/>
    <col min="3" max="3" width="88" style="10" customWidth="1"/>
    <col min="4" max="16384" width="9.140625" style="10"/>
  </cols>
  <sheetData>
    <row r="1" spans="1:3" ht="377.25" customHeight="1">
      <c r="A1" s="10" t="e" vm="1">
        <v>#VALUE!</v>
      </c>
      <c r="C1" s="202" t="s">
        <v>332</v>
      </c>
    </row>
    <row r="3" spans="1:3" ht="409.5" customHeight="1">
      <c r="A3" s="10" t="e" vm="2">
        <v>#VALUE!</v>
      </c>
      <c r="C3" s="202" t="s">
        <v>333</v>
      </c>
    </row>
    <row r="5" spans="1:3" ht="409.5" customHeight="1">
      <c r="A5" s="10" t="e" vm="3">
        <v>#VALUE!</v>
      </c>
      <c r="C5" s="202" t="s">
        <v>334</v>
      </c>
    </row>
    <row r="7" spans="1:3" ht="409.5" customHeight="1">
      <c r="A7" s="10" t="e" vm="4">
        <v>#VALUE!</v>
      </c>
      <c r="C7" s="202" t="s">
        <v>335</v>
      </c>
    </row>
    <row r="9" spans="1:3" ht="409.5" customHeight="1">
      <c r="A9" s="10" t="e" vm="5">
        <v>#VALUE!</v>
      </c>
      <c r="C9" s="202" t="s">
        <v>336</v>
      </c>
    </row>
    <row r="11" spans="1:3" ht="409.5" customHeight="1">
      <c r="A11" s="10" t="e" vm="6">
        <v>#VALUE!</v>
      </c>
      <c r="C11" s="202" t="s">
        <v>337</v>
      </c>
    </row>
    <row r="13" spans="1:3" ht="409.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3CAB-7E9C-4CFA-B1C1-D085C145E477}">
  <dimension ref="B1:Z134"/>
  <sheetViews>
    <sheetView showGridLines="0" zoomScale="70" zoomScaleNormal="70" workbookViewId="0">
      <selection activeCell="Z31" sqref="Z31"/>
    </sheetView>
  </sheetViews>
  <sheetFormatPr defaultRowHeight="15"/>
  <cols>
    <col min="1" max="1" width="1" style="10" customWidth="1"/>
    <col min="2" max="2" width="24.140625" style="10" bestFit="1" customWidth="1"/>
    <col min="3" max="3" width="22.85546875" style="177" customWidth="1"/>
    <col min="4" max="4" width="9.140625" style="10"/>
    <col min="5" max="5" width="59.140625" style="10" customWidth="1"/>
    <col min="6" max="6" width="9.140625" style="10"/>
    <col min="7" max="7" width="31.7109375" style="10" bestFit="1" customWidth="1"/>
    <col min="8" max="8" width="9.140625" style="10"/>
    <col min="9" max="9" width="52.7109375" style="10" customWidth="1"/>
    <col min="10" max="10" width="9.140625" style="10"/>
    <col min="11" max="11" width="32.42578125" style="10" bestFit="1" customWidth="1"/>
    <col min="12" max="12" width="9.140625" style="10"/>
    <col min="13" max="15" width="28.42578125" style="10" customWidth="1"/>
    <col min="16" max="16" width="9.140625" style="10"/>
    <col min="17" max="17" width="34.5703125" style="10" bestFit="1" customWidth="1"/>
    <col min="18" max="18" width="28" style="10" bestFit="1" customWidth="1"/>
    <col min="19" max="19" width="9.140625" style="10"/>
    <col min="20" max="20" width="46.42578125" style="10" bestFit="1" customWidth="1"/>
    <col min="21" max="21" width="9.140625" style="10"/>
    <col min="22" max="22" width="44.5703125" style="10" bestFit="1" customWidth="1"/>
    <col min="23" max="23" width="9.140625" style="10"/>
    <col min="24" max="24" width="64.42578125" style="10" bestFit="1" customWidth="1"/>
    <col min="25" max="25" width="9.140625" style="10"/>
    <col min="26" max="26" width="49" style="10" customWidth="1"/>
    <col min="27" max="16384" width="9.140625" style="10"/>
  </cols>
  <sheetData>
    <row r="1" spans="2:26" ht="15.75" thickBot="1"/>
    <row r="2" spans="2:26" ht="15.75" thickBot="1">
      <c r="B2" s="222" t="s">
        <v>338</v>
      </c>
      <c r="C2" s="178" t="s">
        <v>339</v>
      </c>
      <c r="E2" s="181" t="s">
        <v>340</v>
      </c>
      <c r="G2" s="181" t="s">
        <v>341</v>
      </c>
      <c r="I2" s="181" t="s">
        <v>342</v>
      </c>
      <c r="K2" s="181" t="s">
        <v>343</v>
      </c>
      <c r="M2" s="225" t="s">
        <v>344</v>
      </c>
      <c r="N2" s="226"/>
      <c r="O2" s="227"/>
      <c r="Q2" s="228" t="s">
        <v>345</v>
      </c>
      <c r="R2" s="229"/>
      <c r="T2" s="181" t="str">
        <f>Q2</f>
        <v>STEP 06 - CFO SIMULATION</v>
      </c>
      <c r="V2" s="181" t="s">
        <v>346</v>
      </c>
      <c r="X2" s="181" t="s">
        <v>347</v>
      </c>
      <c r="Z2" s="10" t="s">
        <v>348</v>
      </c>
    </row>
    <row r="3" spans="2:26" ht="15" customHeight="1">
      <c r="B3" s="223"/>
      <c r="C3" s="179" t="s">
        <v>349</v>
      </c>
      <c r="E3" s="214" t="s">
        <v>350</v>
      </c>
      <c r="G3" s="214" t="s">
        <v>351</v>
      </c>
      <c r="I3" s="214" t="s">
        <v>352</v>
      </c>
      <c r="K3" s="214" t="s">
        <v>353</v>
      </c>
      <c r="M3" s="190" t="s">
        <v>354</v>
      </c>
      <c r="O3" s="182"/>
      <c r="Q3" s="230" t="s">
        <v>355</v>
      </c>
      <c r="R3" s="231"/>
      <c r="T3" s="214" t="s">
        <v>356</v>
      </c>
      <c r="V3" s="214" t="s">
        <v>357</v>
      </c>
      <c r="X3" s="214" t="s">
        <v>358</v>
      </c>
      <c r="Z3" s="10" t="s">
        <v>359</v>
      </c>
    </row>
    <row r="4" spans="2:26">
      <c r="B4" s="223"/>
      <c r="C4" s="179" t="s">
        <v>360</v>
      </c>
      <c r="E4" s="215"/>
      <c r="G4" s="215"/>
      <c r="I4" s="215"/>
      <c r="K4" s="215"/>
      <c r="M4" s="190"/>
      <c r="O4" s="182"/>
      <c r="Q4" s="232"/>
      <c r="R4" s="233"/>
      <c r="T4" s="215"/>
      <c r="V4" s="215"/>
      <c r="X4" s="215"/>
      <c r="Z4" s="10" t="s">
        <v>361</v>
      </c>
    </row>
    <row r="5" spans="2:26">
      <c r="B5" s="223"/>
      <c r="C5" s="179" t="s">
        <v>362</v>
      </c>
      <c r="E5" s="215"/>
      <c r="G5" s="215"/>
      <c r="I5" s="215"/>
      <c r="K5" s="215"/>
      <c r="M5" s="190"/>
      <c r="O5" s="182"/>
      <c r="Q5" s="232"/>
      <c r="R5" s="233"/>
      <c r="T5" s="215"/>
      <c r="V5" s="215"/>
      <c r="X5" s="215"/>
      <c r="Z5" s="10" t="s">
        <v>363</v>
      </c>
    </row>
    <row r="6" spans="2:26">
      <c r="B6" s="223"/>
      <c r="C6" s="179" t="s">
        <v>349</v>
      </c>
      <c r="E6" s="215"/>
      <c r="G6" s="215"/>
      <c r="I6" s="215"/>
      <c r="K6" s="215"/>
      <c r="M6" s="190"/>
      <c r="O6" s="182"/>
      <c r="Q6" s="232"/>
      <c r="R6" s="233"/>
      <c r="T6" s="215"/>
      <c r="V6" s="215"/>
      <c r="X6" s="215"/>
      <c r="Z6" s="10" t="s">
        <v>359</v>
      </c>
    </row>
    <row r="7" spans="2:26">
      <c r="B7" s="223"/>
      <c r="C7" s="179" t="s">
        <v>360</v>
      </c>
      <c r="E7" s="215"/>
      <c r="G7" s="215"/>
      <c r="I7" s="215"/>
      <c r="K7" s="215"/>
      <c r="M7" s="190"/>
      <c r="O7" s="182"/>
      <c r="Q7" s="232"/>
      <c r="R7" s="233"/>
      <c r="T7" s="215"/>
      <c r="V7" s="215"/>
      <c r="X7" s="215"/>
      <c r="Z7" s="10" t="s">
        <v>364</v>
      </c>
    </row>
    <row r="8" spans="2:26">
      <c r="B8" s="223"/>
      <c r="C8" s="179" t="s">
        <v>365</v>
      </c>
      <c r="E8" s="215"/>
      <c r="G8" s="215"/>
      <c r="I8" s="215"/>
      <c r="K8" s="215"/>
      <c r="M8" s="190"/>
      <c r="O8" s="182"/>
      <c r="Q8" s="232"/>
      <c r="R8" s="233"/>
      <c r="T8" s="215"/>
      <c r="V8" s="215"/>
      <c r="X8" s="215"/>
      <c r="Z8" s="10" t="s">
        <v>366</v>
      </c>
    </row>
    <row r="9" spans="2:26">
      <c r="B9" s="223"/>
      <c r="C9" s="179" t="s">
        <v>349</v>
      </c>
      <c r="E9" s="215"/>
      <c r="G9" s="215"/>
      <c r="I9" s="215"/>
      <c r="K9" s="215"/>
      <c r="M9" s="190"/>
      <c r="O9" s="182"/>
      <c r="Q9" s="232"/>
      <c r="R9" s="233"/>
      <c r="T9" s="215"/>
      <c r="V9" s="215"/>
      <c r="X9" s="215"/>
      <c r="Z9" s="10" t="s">
        <v>364</v>
      </c>
    </row>
    <row r="10" spans="2:26">
      <c r="B10" s="223"/>
      <c r="C10" s="179" t="s">
        <v>367</v>
      </c>
      <c r="E10" s="215"/>
      <c r="G10" s="215"/>
      <c r="I10" s="215"/>
      <c r="K10" s="215"/>
      <c r="M10" s="190"/>
      <c r="O10" s="182"/>
      <c r="Q10" s="232"/>
      <c r="R10" s="233"/>
      <c r="T10" s="215"/>
      <c r="V10" s="215"/>
      <c r="X10" s="215"/>
    </row>
    <row r="11" spans="2:26">
      <c r="B11" s="223"/>
      <c r="C11" s="179" t="s">
        <v>368</v>
      </c>
      <c r="E11" s="215"/>
      <c r="G11" s="215"/>
      <c r="I11" s="215"/>
      <c r="K11" s="215"/>
      <c r="M11" s="190"/>
      <c r="O11" s="182"/>
      <c r="Q11" s="232"/>
      <c r="R11" s="233"/>
      <c r="T11" s="215"/>
      <c r="V11" s="215"/>
      <c r="X11" s="215"/>
      <c r="Z11" s="10" t="s">
        <v>369</v>
      </c>
    </row>
    <row r="12" spans="2:26">
      <c r="B12" s="223"/>
      <c r="C12" s="179" t="s">
        <v>370</v>
      </c>
      <c r="E12" s="215"/>
      <c r="G12" s="215"/>
      <c r="I12" s="215"/>
      <c r="K12" s="215"/>
      <c r="M12" s="190"/>
      <c r="O12" s="182"/>
      <c r="Q12" s="232"/>
      <c r="R12" s="233"/>
      <c r="T12" s="215"/>
      <c r="V12" s="215"/>
      <c r="X12" s="215"/>
      <c r="Z12" s="10" t="s">
        <v>371</v>
      </c>
    </row>
    <row r="13" spans="2:26">
      <c r="B13" s="223"/>
      <c r="C13" s="179" t="s">
        <v>372</v>
      </c>
      <c r="E13" s="215"/>
      <c r="G13" s="215"/>
      <c r="I13" s="215"/>
      <c r="K13" s="215"/>
      <c r="M13" s="190"/>
      <c r="O13" s="182"/>
      <c r="Q13" s="232"/>
      <c r="R13" s="233"/>
      <c r="T13" s="215"/>
      <c r="V13" s="215"/>
      <c r="X13" s="215"/>
    </row>
    <row r="14" spans="2:26">
      <c r="B14" s="223"/>
      <c r="C14" s="179" t="s">
        <v>373</v>
      </c>
      <c r="E14" s="215"/>
      <c r="G14" s="215"/>
      <c r="I14" s="215"/>
      <c r="K14" s="215"/>
      <c r="M14" s="190"/>
      <c r="O14" s="182"/>
      <c r="Q14" s="232"/>
      <c r="R14" s="233"/>
      <c r="T14" s="215"/>
      <c r="V14" s="215"/>
      <c r="X14" s="215"/>
      <c r="Z14" s="10" t="s">
        <v>374</v>
      </c>
    </row>
    <row r="15" spans="2:26">
      <c r="B15" s="223"/>
      <c r="C15" s="179" t="s">
        <v>375</v>
      </c>
      <c r="E15" s="215"/>
      <c r="G15" s="215"/>
      <c r="I15" s="215"/>
      <c r="K15" s="215"/>
      <c r="M15" s="190"/>
      <c r="O15" s="182"/>
      <c r="Q15" s="232"/>
      <c r="R15" s="233"/>
      <c r="T15" s="215"/>
      <c r="V15" s="215"/>
      <c r="X15" s="215"/>
      <c r="Z15" s="10" t="s">
        <v>376</v>
      </c>
    </row>
    <row r="16" spans="2:26">
      <c r="B16" s="223"/>
      <c r="C16" s="179" t="s">
        <v>360</v>
      </c>
      <c r="E16" s="215"/>
      <c r="G16" s="215"/>
      <c r="I16" s="215"/>
      <c r="K16" s="215"/>
      <c r="M16" s="190"/>
      <c r="O16" s="182"/>
      <c r="Q16" s="232"/>
      <c r="R16" s="233"/>
      <c r="T16" s="215"/>
      <c r="V16" s="215"/>
      <c r="X16" s="215"/>
    </row>
    <row r="17" spans="2:26">
      <c r="B17" s="223"/>
      <c r="C17" s="179" t="s">
        <v>377</v>
      </c>
      <c r="E17" s="215"/>
      <c r="G17" s="215"/>
      <c r="I17" s="215"/>
      <c r="K17" s="215"/>
      <c r="M17" s="190"/>
      <c r="O17" s="182"/>
      <c r="Q17" s="232"/>
      <c r="R17" s="233"/>
      <c r="T17" s="215"/>
      <c r="V17" s="215"/>
      <c r="X17" s="215"/>
      <c r="Z17" s="10" t="s">
        <v>378</v>
      </c>
    </row>
    <row r="18" spans="2:26">
      <c r="B18" s="223"/>
      <c r="C18" s="179" t="s">
        <v>360</v>
      </c>
      <c r="E18" s="215"/>
      <c r="G18" s="215"/>
      <c r="I18" s="215"/>
      <c r="K18" s="215"/>
      <c r="M18" s="190"/>
      <c r="O18" s="182"/>
      <c r="Q18" s="232"/>
      <c r="R18" s="233"/>
      <c r="T18" s="215"/>
      <c r="V18" s="215"/>
      <c r="X18" s="215"/>
      <c r="Z18" s="10" t="s">
        <v>379</v>
      </c>
    </row>
    <row r="19" spans="2:26">
      <c r="B19" s="223"/>
      <c r="C19" s="179" t="s">
        <v>380</v>
      </c>
      <c r="E19" s="215"/>
      <c r="G19" s="215"/>
      <c r="I19" s="215"/>
      <c r="K19" s="215"/>
      <c r="M19" s="190"/>
      <c r="O19" s="182"/>
      <c r="Q19" s="232"/>
      <c r="R19" s="233"/>
      <c r="T19" s="215"/>
      <c r="V19" s="215"/>
      <c r="X19" s="215"/>
    </row>
    <row r="20" spans="2:26">
      <c r="B20" s="223"/>
      <c r="C20" s="179" t="s">
        <v>360</v>
      </c>
      <c r="E20" s="215"/>
      <c r="G20" s="215"/>
      <c r="I20" s="215"/>
      <c r="K20" s="215"/>
      <c r="M20" s="190"/>
      <c r="O20" s="182"/>
      <c r="Q20" s="232"/>
      <c r="R20" s="233"/>
      <c r="T20" s="215"/>
      <c r="V20" s="215"/>
      <c r="X20" s="215"/>
      <c r="Z20" s="10" t="s">
        <v>364</v>
      </c>
    </row>
    <row r="21" spans="2:26" ht="15.75" thickBot="1">
      <c r="B21" s="224"/>
      <c r="C21" s="180" t="s">
        <v>381</v>
      </c>
      <c r="E21" s="215"/>
      <c r="G21" s="215"/>
      <c r="I21" s="215"/>
      <c r="K21" s="215"/>
      <c r="M21" s="190"/>
      <c r="O21" s="182"/>
      <c r="Q21" s="232"/>
      <c r="R21" s="233"/>
      <c r="T21" s="215"/>
      <c r="V21" s="215"/>
      <c r="X21" s="215"/>
      <c r="Z21" s="10" t="s">
        <v>382</v>
      </c>
    </row>
    <row r="22" spans="2:26">
      <c r="E22" s="215"/>
      <c r="G22" s="215"/>
      <c r="I22" s="215"/>
      <c r="K22" s="215"/>
      <c r="M22" s="190"/>
      <c r="O22" s="182"/>
      <c r="Q22" s="232"/>
      <c r="R22" s="233"/>
      <c r="T22" s="215"/>
      <c r="V22" s="215"/>
      <c r="X22" s="215"/>
      <c r="Z22" s="10" t="s">
        <v>364</v>
      </c>
    </row>
    <row r="23" spans="2:26">
      <c r="E23" s="215"/>
      <c r="G23" s="215"/>
      <c r="I23" s="215"/>
      <c r="K23" s="215"/>
      <c r="M23" s="190"/>
      <c r="O23" s="182"/>
      <c r="Q23" s="232"/>
      <c r="R23" s="233"/>
      <c r="T23" s="215"/>
      <c r="V23" s="215"/>
      <c r="X23" s="215"/>
    </row>
    <row r="24" spans="2:26">
      <c r="E24" s="215"/>
      <c r="G24" s="215"/>
      <c r="I24" s="215"/>
      <c r="K24" s="215"/>
      <c r="M24" s="190"/>
      <c r="O24" s="182"/>
      <c r="Q24" s="232"/>
      <c r="R24" s="233"/>
      <c r="T24" s="215"/>
      <c r="V24" s="215"/>
      <c r="X24" s="215"/>
      <c r="Z24" s="10" t="s">
        <v>383</v>
      </c>
    </row>
    <row r="25" spans="2:26">
      <c r="E25" s="215"/>
      <c r="G25" s="215"/>
      <c r="I25" s="215"/>
      <c r="K25" s="215"/>
      <c r="M25" s="190"/>
      <c r="O25" s="182"/>
      <c r="Q25" s="232"/>
      <c r="R25" s="233"/>
      <c r="T25" s="215"/>
      <c r="V25" s="215"/>
      <c r="X25" s="215"/>
      <c r="Z25" s="10" t="s">
        <v>384</v>
      </c>
    </row>
    <row r="26" spans="2:26" ht="111" customHeight="1" thickBot="1">
      <c r="E26" s="216"/>
      <c r="G26" s="216"/>
      <c r="I26" s="216"/>
      <c r="K26" s="216"/>
      <c r="M26" s="191"/>
      <c r="N26" s="183"/>
      <c r="O26" s="184"/>
      <c r="Q26" s="234"/>
      <c r="R26" s="235"/>
      <c r="T26" s="216"/>
      <c r="V26" s="216"/>
      <c r="X26" s="216"/>
      <c r="Z26" s="10" t="s">
        <v>385</v>
      </c>
    </row>
    <row r="27" spans="2:26">
      <c r="Z27" s="10" t="s">
        <v>386</v>
      </c>
    </row>
    <row r="29" spans="2:26" ht="15.75" thickBot="1">
      <c r="Z29" s="10" t="s">
        <v>387</v>
      </c>
    </row>
    <row r="30" spans="2:26" ht="38.25" thickBot="1">
      <c r="I30" s="194" t="s">
        <v>388</v>
      </c>
      <c r="K30" s="194" t="s">
        <v>389</v>
      </c>
      <c r="M30" s="181" t="s">
        <v>390</v>
      </c>
      <c r="N30" s="181" t="s">
        <v>391</v>
      </c>
      <c r="O30" s="181" t="s">
        <v>392</v>
      </c>
      <c r="Q30" s="195" t="s">
        <v>393</v>
      </c>
      <c r="T30" s="195" t="s">
        <v>393</v>
      </c>
      <c r="V30" s="195" t="s">
        <v>394</v>
      </c>
      <c r="X30" s="195" t="s">
        <v>395</v>
      </c>
    </row>
    <row r="31" spans="2:26" ht="105.75" thickBot="1">
      <c r="I31" s="188"/>
      <c r="K31" s="188"/>
      <c r="M31" s="185" t="s">
        <v>396</v>
      </c>
      <c r="N31" s="186" t="s">
        <v>397</v>
      </c>
      <c r="O31" s="185" t="s">
        <v>398</v>
      </c>
      <c r="Q31" s="196" t="s">
        <v>399</v>
      </c>
      <c r="T31" s="10" t="s">
        <v>400</v>
      </c>
      <c r="V31" s="10" t="s">
        <v>401</v>
      </c>
      <c r="Z31" s="10" t="s">
        <v>402</v>
      </c>
    </row>
    <row r="32" spans="2:26" ht="16.5">
      <c r="I32" s="188" t="s">
        <v>403</v>
      </c>
      <c r="K32" s="188" t="s">
        <v>404</v>
      </c>
      <c r="M32" s="187"/>
      <c r="N32" s="187"/>
      <c r="O32" s="187"/>
      <c r="Q32" s="196" t="s">
        <v>405</v>
      </c>
    </row>
    <row r="33" spans="9:26">
      <c r="I33" s="188" t="s">
        <v>406</v>
      </c>
      <c r="K33" s="188" t="s">
        <v>407</v>
      </c>
      <c r="M33" s="188" t="s">
        <v>408</v>
      </c>
      <c r="N33" s="188" t="s">
        <v>409</v>
      </c>
      <c r="O33" s="188" t="s">
        <v>410</v>
      </c>
      <c r="T33" s="10" t="s">
        <v>379</v>
      </c>
      <c r="V33" s="10" t="s">
        <v>411</v>
      </c>
      <c r="Z33" s="10" t="s">
        <v>364</v>
      </c>
    </row>
    <row r="34" spans="9:26" ht="26.25">
      <c r="I34" s="188" t="s">
        <v>412</v>
      </c>
      <c r="K34" s="188" t="s">
        <v>413</v>
      </c>
      <c r="M34" s="188"/>
      <c r="N34" s="188"/>
      <c r="O34" s="188" t="s">
        <v>232</v>
      </c>
      <c r="Q34" s="197" t="s">
        <v>414</v>
      </c>
      <c r="R34" s="197" t="s">
        <v>415</v>
      </c>
      <c r="V34" s="10" t="s">
        <v>416</v>
      </c>
      <c r="Z34" s="10" t="s">
        <v>417</v>
      </c>
    </row>
    <row r="35" spans="9:26">
      <c r="I35" s="188" t="s">
        <v>418</v>
      </c>
      <c r="K35" s="188"/>
      <c r="M35" s="188" t="s">
        <v>419</v>
      </c>
      <c r="N35" s="188" t="s">
        <v>420</v>
      </c>
      <c r="O35" s="188"/>
      <c r="T35" s="10" t="s">
        <v>421</v>
      </c>
      <c r="Z35" s="10" t="s">
        <v>364</v>
      </c>
    </row>
    <row r="36" spans="9:26" ht="16.5">
      <c r="I36" s="188" t="s">
        <v>422</v>
      </c>
      <c r="K36" s="188" t="s">
        <v>423</v>
      </c>
      <c r="M36" s="188"/>
      <c r="N36" s="188" t="s">
        <v>424</v>
      </c>
      <c r="O36" s="188" t="s">
        <v>425</v>
      </c>
      <c r="Q36" s="198" t="s">
        <v>426</v>
      </c>
      <c r="R36" s="198" t="s">
        <v>426</v>
      </c>
      <c r="V36" s="10" t="s">
        <v>427</v>
      </c>
    </row>
    <row r="37" spans="9:26" ht="17.25" thickBot="1">
      <c r="I37" s="199" t="s">
        <v>428</v>
      </c>
      <c r="K37" s="188" t="s">
        <v>407</v>
      </c>
      <c r="M37" s="188" t="s">
        <v>429</v>
      </c>
      <c r="N37" s="188"/>
      <c r="O37" s="188" t="s">
        <v>237</v>
      </c>
      <c r="Q37" s="196" t="s">
        <v>430</v>
      </c>
      <c r="R37" s="196" t="s">
        <v>430</v>
      </c>
      <c r="T37" s="10" t="s">
        <v>431</v>
      </c>
      <c r="V37" s="10" t="s">
        <v>432</v>
      </c>
      <c r="Z37" s="10" t="s">
        <v>433</v>
      </c>
    </row>
    <row r="38" spans="9:26">
      <c r="K38" s="188" t="s">
        <v>379</v>
      </c>
      <c r="M38" s="188" t="s">
        <v>434</v>
      </c>
      <c r="N38" s="188" t="s">
        <v>435</v>
      </c>
      <c r="O38" s="188"/>
      <c r="Q38" s="200"/>
      <c r="R38" s="200"/>
      <c r="T38" s="192" t="s">
        <v>436</v>
      </c>
    </row>
    <row r="39" spans="9:26" ht="16.5">
      <c r="K39" s="188"/>
      <c r="M39" s="188"/>
      <c r="N39" s="188" t="s">
        <v>437</v>
      </c>
      <c r="O39" s="188" t="s">
        <v>438</v>
      </c>
      <c r="Q39" s="196" t="s">
        <v>439</v>
      </c>
      <c r="R39" s="196" t="s">
        <v>440</v>
      </c>
      <c r="T39" s="192" t="s">
        <v>441</v>
      </c>
      <c r="V39" s="10" t="s">
        <v>442</v>
      </c>
      <c r="Z39" s="10" t="s">
        <v>443</v>
      </c>
    </row>
    <row r="40" spans="9:26">
      <c r="K40" s="188" t="s">
        <v>444</v>
      </c>
      <c r="M40" s="188"/>
      <c r="N40" s="188"/>
      <c r="O40" s="188" t="s">
        <v>445</v>
      </c>
      <c r="T40" s="10" t="s">
        <v>446</v>
      </c>
      <c r="V40" s="10" t="s">
        <v>447</v>
      </c>
    </row>
    <row r="41" spans="9:26" ht="16.5">
      <c r="K41" s="188" t="s">
        <v>407</v>
      </c>
      <c r="M41" s="188"/>
      <c r="N41" s="188"/>
      <c r="O41" s="188"/>
      <c r="Q41" s="198"/>
      <c r="Z41" s="10" t="s">
        <v>448</v>
      </c>
    </row>
    <row r="42" spans="9:26" ht="30.75" thickBot="1">
      <c r="K42" s="188" t="s">
        <v>449</v>
      </c>
      <c r="M42" s="189" t="s">
        <v>450</v>
      </c>
      <c r="N42" s="189" t="s">
        <v>451</v>
      </c>
      <c r="O42" s="189"/>
      <c r="Q42" s="197" t="s">
        <v>452</v>
      </c>
    </row>
    <row r="43" spans="9:26">
      <c r="K43" s="188"/>
      <c r="Z43" s="10" t="s">
        <v>453</v>
      </c>
    </row>
    <row r="44" spans="9:26" ht="16.5">
      <c r="K44" s="188" t="s">
        <v>454</v>
      </c>
      <c r="Q44" s="198" t="s">
        <v>426</v>
      </c>
    </row>
    <row r="45" spans="9:26" ht="16.5">
      <c r="K45" s="188" t="s">
        <v>407</v>
      </c>
      <c r="Q45" s="196" t="s">
        <v>455</v>
      </c>
      <c r="Z45" s="10" t="s">
        <v>456</v>
      </c>
    </row>
    <row r="46" spans="9:26" ht="15.75" thickBot="1">
      <c r="K46" s="199" t="s">
        <v>457</v>
      </c>
      <c r="Q46" s="200"/>
    </row>
    <row r="47" spans="9:26" ht="16.5">
      <c r="Q47" s="196" t="s">
        <v>458</v>
      </c>
      <c r="Z47" s="10" t="s">
        <v>364</v>
      </c>
    </row>
    <row r="48" spans="9:26">
      <c r="Z48" s="10" t="s">
        <v>459</v>
      </c>
    </row>
    <row r="49" spans="17:26">
      <c r="Z49" s="10" t="s">
        <v>364</v>
      </c>
    </row>
    <row r="50" spans="17:26" ht="37.5">
      <c r="Q50" s="195" t="s">
        <v>460</v>
      </c>
    </row>
    <row r="51" spans="17:26">
      <c r="Z51" s="10" t="s">
        <v>374</v>
      </c>
    </row>
    <row r="52" spans="17:26" ht="16.5">
      <c r="Q52" s="198"/>
      <c r="Z52" s="10" t="s">
        <v>424</v>
      </c>
    </row>
    <row r="53" spans="17:26" ht="16.5">
      <c r="Q53" s="196" t="s">
        <v>414</v>
      </c>
      <c r="R53" s="196" t="s">
        <v>415</v>
      </c>
    </row>
    <row r="54" spans="17:26">
      <c r="Q54" s="200"/>
      <c r="R54" s="200"/>
      <c r="Z54" s="10" t="s">
        <v>461</v>
      </c>
    </row>
    <row r="55" spans="17:26" ht="16.5">
      <c r="Q55" s="196" t="s">
        <v>462</v>
      </c>
      <c r="R55" s="196" t="s">
        <v>463</v>
      </c>
      <c r="Z55" s="10" t="s">
        <v>458</v>
      </c>
    </row>
    <row r="56" spans="17:26">
      <c r="Q56" s="200"/>
      <c r="R56" s="200"/>
    </row>
    <row r="57" spans="17:26">
      <c r="Q57" s="200"/>
      <c r="Z57" s="10" t="s">
        <v>464</v>
      </c>
    </row>
    <row r="58" spans="17:26">
      <c r="Z58" s="10" t="s">
        <v>465</v>
      </c>
    </row>
    <row r="86" spans="17:22">
      <c r="V86" s="193" t="s">
        <v>466</v>
      </c>
    </row>
    <row r="88" spans="17:22" ht="16.5">
      <c r="Q88" s="198" t="s">
        <v>467</v>
      </c>
      <c r="V88" s="10" t="s">
        <v>468</v>
      </c>
    </row>
    <row r="89" spans="17:22">
      <c r="V89" s="10" t="s">
        <v>469</v>
      </c>
    </row>
    <row r="91" spans="17:22" ht="37.5">
      <c r="Q91" s="195"/>
      <c r="V91" s="10" t="s">
        <v>470</v>
      </c>
    </row>
    <row r="92" spans="17:22">
      <c r="V92" s="10" t="s">
        <v>471</v>
      </c>
    </row>
    <row r="94" spans="17:22">
      <c r="V94" s="10" t="s">
        <v>472</v>
      </c>
    </row>
    <row r="95" spans="17:22">
      <c r="V95" s="10">
        <v>18120</v>
      </c>
    </row>
    <row r="97" spans="22:22">
      <c r="V97" s="10" t="s">
        <v>473</v>
      </c>
    </row>
    <row r="98" spans="22:22">
      <c r="V98" s="10" t="s">
        <v>474</v>
      </c>
    </row>
    <row r="103" spans="22:22" ht="16.5">
      <c r="V103" s="201" t="s">
        <v>475</v>
      </c>
    </row>
    <row r="104" spans="22:22">
      <c r="V104" t="s">
        <v>476</v>
      </c>
    </row>
    <row r="105" spans="22:22">
      <c r="V105"/>
    </row>
    <row r="106" spans="22:22">
      <c r="V106" t="s">
        <v>477</v>
      </c>
    </row>
    <row r="107" spans="22:22">
      <c r="V107" t="s">
        <v>478</v>
      </c>
    </row>
    <row r="108" spans="22:22">
      <c r="V108"/>
    </row>
    <row r="109" spans="22:22">
      <c r="V109" t="s">
        <v>470</v>
      </c>
    </row>
    <row r="110" spans="22:22">
      <c r="V110" t="s">
        <v>479</v>
      </c>
    </row>
    <row r="111" spans="22:22">
      <c r="V111"/>
    </row>
    <row r="112" spans="22:22">
      <c r="V112" t="s">
        <v>480</v>
      </c>
    </row>
    <row r="118" spans="22:22">
      <c r="V118" s="10" t="s">
        <v>481</v>
      </c>
    </row>
    <row r="119" spans="22:22">
      <c r="V119" t="s">
        <v>482</v>
      </c>
    </row>
    <row r="120" spans="22:22">
      <c r="V120"/>
    </row>
    <row r="121" spans="22:22">
      <c r="V121" t="s">
        <v>483</v>
      </c>
    </row>
    <row r="122" spans="22:22">
      <c r="V122" t="s">
        <v>484</v>
      </c>
    </row>
    <row r="123" spans="22:22">
      <c r="V123"/>
    </row>
    <row r="124" spans="22:22">
      <c r="V124" t="s">
        <v>485</v>
      </c>
    </row>
    <row r="125" spans="22:22">
      <c r="V125" t="s">
        <v>413</v>
      </c>
    </row>
    <row r="130" spans="22:22">
      <c r="V130" s="10" t="s">
        <v>377</v>
      </c>
    </row>
    <row r="131" spans="22:22">
      <c r="V131" t="s">
        <v>486</v>
      </c>
    </row>
    <row r="132" spans="22:22">
      <c r="V132" t="s">
        <v>487</v>
      </c>
    </row>
    <row r="133" spans="22:22">
      <c r="V133" t="s">
        <v>488</v>
      </c>
    </row>
    <row r="134" spans="22:22">
      <c r="V134"/>
    </row>
  </sheetData>
  <mergeCells count="11">
    <mergeCell ref="T3:T26"/>
    <mergeCell ref="V3:V26"/>
    <mergeCell ref="X3:X26"/>
    <mergeCell ref="M2:O2"/>
    <mergeCell ref="Q2:R2"/>
    <mergeCell ref="Q3:R26"/>
    <mergeCell ref="B2:B21"/>
    <mergeCell ref="E3:E26"/>
    <mergeCell ref="G3:G26"/>
    <mergeCell ref="I3:I26"/>
    <mergeCell ref="K3:K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showGridLines="0" zoomScaleNormal="100" workbookViewId="0">
      <selection activeCell="A4" sqref="A4:B4"/>
    </sheetView>
  </sheetViews>
  <sheetFormatPr defaultColWidth="8.5703125" defaultRowHeight="15"/>
  <cols>
    <col min="1" max="1" width="40" style="10" customWidth="1"/>
    <col min="2" max="2" width="43.7109375" style="10" bestFit="1" customWidth="1"/>
    <col min="3" max="3" width="6" style="10" customWidth="1"/>
    <col min="4" max="4" width="70" style="10" customWidth="1"/>
    <col min="5" max="16384" width="8.5703125" style="10"/>
  </cols>
  <sheetData>
    <row r="1" spans="1:4" ht="20.25">
      <c r="A1" s="71" t="s">
        <v>489</v>
      </c>
    </row>
    <row r="2" spans="1:4">
      <c r="A2" s="72" t="s">
        <v>490</v>
      </c>
    </row>
    <row r="4" spans="1:4">
      <c r="A4" s="236" t="s">
        <v>491</v>
      </c>
      <c r="B4" s="236"/>
    </row>
    <row r="5" spans="1:4">
      <c r="A5" s="73" t="s">
        <v>492</v>
      </c>
      <c r="B5" s="74" t="s">
        <v>493</v>
      </c>
      <c r="D5" s="75"/>
    </row>
    <row r="6" spans="1:4">
      <c r="A6" s="73" t="s">
        <v>494</v>
      </c>
      <c r="B6" s="74" t="s">
        <v>495</v>
      </c>
      <c r="D6" s="75" t="s">
        <v>496</v>
      </c>
    </row>
    <row r="7" spans="1:4">
      <c r="A7" s="73" t="s">
        <v>497</v>
      </c>
      <c r="B7" s="74" t="s">
        <v>498</v>
      </c>
      <c r="D7" s="75"/>
    </row>
    <row r="8" spans="1:4">
      <c r="A8" s="73" t="s">
        <v>499</v>
      </c>
      <c r="B8" s="74" t="s">
        <v>500</v>
      </c>
      <c r="D8" s="75"/>
    </row>
    <row r="10" spans="1:4">
      <c r="A10" s="236" t="s">
        <v>501</v>
      </c>
      <c r="B10" s="236"/>
    </row>
    <row r="11" spans="1:4">
      <c r="A11" s="73" t="s">
        <v>502</v>
      </c>
      <c r="B11" s="76">
        <v>46237</v>
      </c>
      <c r="D11" s="77" t="s">
        <v>503</v>
      </c>
    </row>
    <row r="12" spans="1:4">
      <c r="A12" s="73" t="s">
        <v>504</v>
      </c>
      <c r="B12" s="78">
        <v>13</v>
      </c>
      <c r="D12" s="77" t="s">
        <v>505</v>
      </c>
    </row>
    <row r="13" spans="1:4">
      <c r="A13" s="73" t="s">
        <v>506</v>
      </c>
      <c r="B13" s="79" t="s">
        <v>507</v>
      </c>
      <c r="D13" s="77" t="s">
        <v>508</v>
      </c>
    </row>
    <row r="15" spans="1:4">
      <c r="A15" s="236" t="s">
        <v>509</v>
      </c>
      <c r="B15" s="236"/>
    </row>
    <row r="16" spans="1:4" ht="25.5">
      <c r="A16" s="73" t="s">
        <v>510</v>
      </c>
      <c r="B16" s="80">
        <v>17950</v>
      </c>
      <c r="D16" s="81" t="s">
        <v>511</v>
      </c>
    </row>
    <row r="17" spans="1:4" ht="25.5">
      <c r="A17" s="73" t="s">
        <v>512</v>
      </c>
      <c r="B17" s="82">
        <v>18120</v>
      </c>
      <c r="D17" s="75" t="s">
        <v>513</v>
      </c>
    </row>
    <row r="18" spans="1:4">
      <c r="A18" s="73" t="s">
        <v>514</v>
      </c>
      <c r="B18" s="83">
        <v>0.03</v>
      </c>
    </row>
    <row r="19" spans="1:4">
      <c r="A19" s="73" t="s">
        <v>515</v>
      </c>
      <c r="B19" s="84">
        <v>0.06</v>
      </c>
    </row>
    <row r="20" spans="1:4">
      <c r="A20" s="73" t="s">
        <v>516</v>
      </c>
      <c r="B20" s="85">
        <f>B16*(1+B18)</f>
        <v>18488.5</v>
      </c>
    </row>
    <row r="21" spans="1:4">
      <c r="A21" s="73" t="s">
        <v>517</v>
      </c>
      <c r="B21" s="85">
        <f>B16*(1+B19)</f>
        <v>19027</v>
      </c>
    </row>
    <row r="23" spans="1:4">
      <c r="A23" s="236" t="s">
        <v>518</v>
      </c>
      <c r="B23" s="236"/>
    </row>
    <row r="24" spans="1:4">
      <c r="A24" s="73" t="s">
        <v>519</v>
      </c>
      <c r="B24" s="86">
        <v>8000</v>
      </c>
    </row>
    <row r="25" spans="1:4">
      <c r="A25" s="73" t="s">
        <v>520</v>
      </c>
      <c r="B25" s="87">
        <v>17000</v>
      </c>
      <c r="D25" s="77" t="s">
        <v>521</v>
      </c>
    </row>
    <row r="26" spans="1:4">
      <c r="A26" s="73" t="s">
        <v>522</v>
      </c>
      <c r="B26" s="74" t="s">
        <v>523</v>
      </c>
    </row>
    <row r="27" spans="1:4">
      <c r="A27" s="73" t="s">
        <v>524</v>
      </c>
      <c r="B27" s="74" t="s">
        <v>525</v>
      </c>
    </row>
  </sheetData>
  <mergeCells count="4">
    <mergeCell ref="A4:B4"/>
    <mergeCell ref="A10:B10"/>
    <mergeCell ref="A15:B15"/>
    <mergeCell ref="A23:B23"/>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2"/>
  <sheetViews>
    <sheetView showGridLines="0" zoomScaleNormal="100" workbookViewId="0">
      <pane xSplit="4" ySplit="4" topLeftCell="E5" activePane="bottomRight" state="frozen"/>
      <selection pane="bottomRight" activeCell="L33" sqref="L33"/>
      <selection pane="bottomLeft" activeCell="A5" sqref="A5"/>
      <selection pane="topRight" activeCell="E1" sqref="E1"/>
    </sheetView>
  </sheetViews>
  <sheetFormatPr defaultColWidth="8.5703125" defaultRowHeight="15"/>
  <cols>
    <col min="1" max="1" width="8" style="119" customWidth="1"/>
    <col min="2" max="2" width="34" style="119" customWidth="1"/>
    <col min="3" max="3" width="12" style="119" customWidth="1"/>
    <col min="4" max="4" width="14" style="119" customWidth="1"/>
    <col min="5" max="5" width="10" style="119" customWidth="1"/>
    <col min="6" max="6" width="14" style="119" customWidth="1"/>
    <col min="7" max="7" width="9" style="119" customWidth="1"/>
    <col min="8" max="8" width="11" style="119" customWidth="1"/>
    <col min="9" max="9" width="10" style="119" customWidth="1"/>
    <col min="10" max="10" width="16.85546875" style="119" bestFit="1" customWidth="1"/>
    <col min="11" max="11" width="13" style="119" customWidth="1"/>
    <col min="12" max="13" width="15" style="119" customWidth="1"/>
    <col min="14" max="14" width="44" style="120" customWidth="1"/>
    <col min="15" max="16384" width="8.5703125" style="119"/>
  </cols>
  <sheetData>
    <row r="1" spans="1:14" ht="21">
      <c r="A1" s="237" t="s">
        <v>526</v>
      </c>
      <c r="B1" s="237"/>
      <c r="C1" s="237"/>
      <c r="D1" s="237"/>
      <c r="E1" s="237"/>
      <c r="F1" s="237"/>
      <c r="G1" s="237"/>
      <c r="H1" s="237"/>
      <c r="I1" s="237"/>
      <c r="J1" s="237"/>
      <c r="K1" s="237"/>
      <c r="L1" s="237"/>
      <c r="M1" s="237"/>
      <c r="N1" s="237"/>
    </row>
    <row r="2" spans="1:14">
      <c r="A2" s="238" t="s">
        <v>527</v>
      </c>
      <c r="B2" s="238"/>
      <c r="C2" s="238"/>
      <c r="D2" s="238"/>
      <c r="E2" s="238"/>
      <c r="F2" s="238"/>
      <c r="G2" s="238"/>
      <c r="H2" s="238"/>
      <c r="I2" s="238"/>
      <c r="J2" s="238"/>
      <c r="K2" s="238"/>
      <c r="L2" s="238"/>
      <c r="M2" s="238"/>
      <c r="N2" s="238"/>
    </row>
    <row r="4" spans="1:14">
      <c r="A4" s="140" t="s">
        <v>528</v>
      </c>
      <c r="B4" s="140" t="s">
        <v>529</v>
      </c>
      <c r="C4" s="140" t="s">
        <v>530</v>
      </c>
      <c r="D4" s="140" t="s">
        <v>531</v>
      </c>
      <c r="E4" s="140" t="s">
        <v>532</v>
      </c>
      <c r="F4" s="140" t="s">
        <v>533</v>
      </c>
      <c r="G4" s="140" t="s">
        <v>534</v>
      </c>
      <c r="H4" s="140" t="s">
        <v>535</v>
      </c>
      <c r="I4" s="140" t="s">
        <v>536</v>
      </c>
      <c r="J4" s="140" t="s">
        <v>537</v>
      </c>
      <c r="K4" s="140" t="s">
        <v>538</v>
      </c>
      <c r="L4" s="140" t="s">
        <v>539</v>
      </c>
      <c r="M4" s="140" t="s">
        <v>540</v>
      </c>
      <c r="N4" s="140" t="s">
        <v>541</v>
      </c>
    </row>
    <row r="5" spans="1:14">
      <c r="A5" s="121" t="s">
        <v>542</v>
      </c>
      <c r="B5" s="122" t="s">
        <v>543</v>
      </c>
      <c r="C5" s="121" t="s">
        <v>544</v>
      </c>
      <c r="D5" s="123">
        <v>46209</v>
      </c>
      <c r="E5" s="121">
        <v>30</v>
      </c>
      <c r="F5" s="123">
        <v>46239</v>
      </c>
      <c r="G5" s="121">
        <v>1</v>
      </c>
      <c r="H5" s="121">
        <v>1</v>
      </c>
      <c r="I5" s="121" t="s">
        <v>498</v>
      </c>
      <c r="J5" s="124">
        <v>7000</v>
      </c>
      <c r="K5" s="124"/>
      <c r="L5" s="125">
        <f>IF(I5="USD",K5*'02 Assumptions'!$B$16/1000000,J5)</f>
        <v>7000</v>
      </c>
      <c r="M5" s="126"/>
      <c r="N5" s="127"/>
    </row>
    <row r="6" spans="1:14">
      <c r="A6" s="128" t="s">
        <v>545</v>
      </c>
      <c r="B6" s="129" t="s">
        <v>546</v>
      </c>
      <c r="C6" s="128" t="s">
        <v>544</v>
      </c>
      <c r="D6" s="130">
        <v>46194</v>
      </c>
      <c r="E6" s="128">
        <v>45</v>
      </c>
      <c r="F6" s="130">
        <v>46239</v>
      </c>
      <c r="G6" s="128">
        <v>1</v>
      </c>
      <c r="H6" s="128">
        <v>1</v>
      </c>
      <c r="I6" s="128" t="s">
        <v>498</v>
      </c>
      <c r="J6" s="131">
        <v>6000</v>
      </c>
      <c r="K6" s="131"/>
      <c r="L6" s="132">
        <f>IF(I6="USD",K6*'02 Assumptions'!$B$16/1000000,J6)</f>
        <v>6000</v>
      </c>
      <c r="M6" s="133"/>
      <c r="N6" s="134"/>
    </row>
    <row r="7" spans="1:14">
      <c r="A7" s="121" t="s">
        <v>547</v>
      </c>
      <c r="B7" s="122" t="s">
        <v>548</v>
      </c>
      <c r="C7" s="121" t="s">
        <v>544</v>
      </c>
      <c r="D7" s="123">
        <v>46216</v>
      </c>
      <c r="E7" s="121">
        <v>30</v>
      </c>
      <c r="F7" s="123">
        <v>46246</v>
      </c>
      <c r="G7" s="121">
        <v>2</v>
      </c>
      <c r="H7" s="121">
        <v>2</v>
      </c>
      <c r="I7" s="121" t="s">
        <v>498</v>
      </c>
      <c r="J7" s="124">
        <v>8000</v>
      </c>
      <c r="K7" s="124"/>
      <c r="L7" s="125">
        <f>IF(I7="USD",K7*'02 Assumptions'!$B$16/1000000,J7)</f>
        <v>8000</v>
      </c>
      <c r="M7" s="126"/>
      <c r="N7" s="127"/>
    </row>
    <row r="8" spans="1:14">
      <c r="A8" s="128" t="s">
        <v>549</v>
      </c>
      <c r="B8" s="129" t="s">
        <v>550</v>
      </c>
      <c r="C8" s="128" t="s">
        <v>544</v>
      </c>
      <c r="D8" s="130">
        <v>46201</v>
      </c>
      <c r="E8" s="128">
        <v>45</v>
      </c>
      <c r="F8" s="130">
        <v>46246</v>
      </c>
      <c r="G8" s="128">
        <v>2</v>
      </c>
      <c r="H8" s="128">
        <v>2</v>
      </c>
      <c r="I8" s="128" t="s">
        <v>498</v>
      </c>
      <c r="J8" s="131">
        <v>6000</v>
      </c>
      <c r="K8" s="131"/>
      <c r="L8" s="132">
        <f>IF(I8="USD",K8*'02 Assumptions'!$B$16/1000000,J8)</f>
        <v>6000</v>
      </c>
      <c r="M8" s="133"/>
      <c r="N8" s="134"/>
    </row>
    <row r="9" spans="1:14">
      <c r="A9" s="121" t="s">
        <v>551</v>
      </c>
      <c r="B9" s="122" t="s">
        <v>552</v>
      </c>
      <c r="C9" s="121" t="s">
        <v>544</v>
      </c>
      <c r="D9" s="123">
        <v>46223</v>
      </c>
      <c r="E9" s="121">
        <v>30</v>
      </c>
      <c r="F9" s="123">
        <v>46253</v>
      </c>
      <c r="G9" s="121">
        <v>3</v>
      </c>
      <c r="H9" s="121">
        <v>3</v>
      </c>
      <c r="I9" s="121" t="s">
        <v>498</v>
      </c>
      <c r="J9" s="124">
        <v>6500</v>
      </c>
      <c r="K9" s="124"/>
      <c r="L9" s="125">
        <f>IF(I9="USD",K9*'02 Assumptions'!$B$16/1000000,J9)</f>
        <v>6500</v>
      </c>
      <c r="M9" s="126"/>
      <c r="N9" s="127"/>
    </row>
    <row r="10" spans="1:14">
      <c r="A10" s="128" t="s">
        <v>553</v>
      </c>
      <c r="B10" s="129" t="s">
        <v>554</v>
      </c>
      <c r="C10" s="128" t="s">
        <v>544</v>
      </c>
      <c r="D10" s="130">
        <v>46208</v>
      </c>
      <c r="E10" s="128">
        <v>45</v>
      </c>
      <c r="F10" s="130">
        <v>46253</v>
      </c>
      <c r="G10" s="128">
        <v>3</v>
      </c>
      <c r="H10" s="128">
        <v>3</v>
      </c>
      <c r="I10" s="128" t="s">
        <v>498</v>
      </c>
      <c r="J10" s="131">
        <v>6000</v>
      </c>
      <c r="K10" s="131"/>
      <c r="L10" s="132">
        <f>IF(I10="USD",K10*'02 Assumptions'!$B$16/1000000,J10)</f>
        <v>6000</v>
      </c>
      <c r="M10" s="133"/>
      <c r="N10" s="134"/>
    </row>
    <row r="11" spans="1:14">
      <c r="A11" s="121" t="s">
        <v>555</v>
      </c>
      <c r="B11" s="122" t="s">
        <v>556</v>
      </c>
      <c r="C11" s="121" t="s">
        <v>544</v>
      </c>
      <c r="D11" s="123">
        <v>46230</v>
      </c>
      <c r="E11" s="121">
        <v>30</v>
      </c>
      <c r="F11" s="123">
        <v>46260</v>
      </c>
      <c r="G11" s="121">
        <v>4</v>
      </c>
      <c r="H11" s="121">
        <v>4</v>
      </c>
      <c r="I11" s="121" t="s">
        <v>498</v>
      </c>
      <c r="J11" s="124">
        <v>7000</v>
      </c>
      <c r="K11" s="124"/>
      <c r="L11" s="125">
        <f>IF(I11="USD",K11*'02 Assumptions'!$B$16/1000000,J11)</f>
        <v>7000</v>
      </c>
      <c r="M11" s="126"/>
      <c r="N11" s="127"/>
    </row>
    <row r="12" spans="1:14">
      <c r="A12" s="128" t="s">
        <v>557</v>
      </c>
      <c r="B12" s="129" t="s">
        <v>558</v>
      </c>
      <c r="C12" s="128" t="s">
        <v>544</v>
      </c>
      <c r="D12" s="130">
        <v>46215</v>
      </c>
      <c r="E12" s="128">
        <v>45</v>
      </c>
      <c r="F12" s="130">
        <v>46260</v>
      </c>
      <c r="G12" s="128">
        <v>4</v>
      </c>
      <c r="H12" s="128">
        <v>4</v>
      </c>
      <c r="I12" s="128" t="s">
        <v>498</v>
      </c>
      <c r="J12" s="131">
        <v>6000</v>
      </c>
      <c r="K12" s="131"/>
      <c r="L12" s="132">
        <f>IF(I12="USD",K12*'02 Assumptions'!$B$16/1000000,J12)</f>
        <v>6000</v>
      </c>
      <c r="M12" s="133"/>
      <c r="N12" s="134"/>
    </row>
    <row r="13" spans="1:14">
      <c r="A13" s="121" t="s">
        <v>559</v>
      </c>
      <c r="B13" s="122" t="s">
        <v>560</v>
      </c>
      <c r="C13" s="121" t="s">
        <v>544</v>
      </c>
      <c r="D13" s="123">
        <v>46237</v>
      </c>
      <c r="E13" s="121">
        <v>30</v>
      </c>
      <c r="F13" s="123">
        <v>46267</v>
      </c>
      <c r="G13" s="121">
        <v>5</v>
      </c>
      <c r="H13" s="121">
        <v>5</v>
      </c>
      <c r="I13" s="121" t="s">
        <v>498</v>
      </c>
      <c r="J13" s="124">
        <v>6000</v>
      </c>
      <c r="K13" s="124"/>
      <c r="L13" s="125">
        <f>IF(I13="USD",K13*'02 Assumptions'!$B$16/1000000,J13)</f>
        <v>6000</v>
      </c>
      <c r="M13" s="126"/>
      <c r="N13" s="127"/>
    </row>
    <row r="14" spans="1:14">
      <c r="A14" s="128" t="s">
        <v>561</v>
      </c>
      <c r="B14" s="129" t="s">
        <v>562</v>
      </c>
      <c r="C14" s="128" t="s">
        <v>544</v>
      </c>
      <c r="D14" s="130">
        <v>46244</v>
      </c>
      <c r="E14" s="128">
        <v>30</v>
      </c>
      <c r="F14" s="130">
        <v>46274</v>
      </c>
      <c r="G14" s="128">
        <v>6</v>
      </c>
      <c r="H14" s="128">
        <v>6</v>
      </c>
      <c r="I14" s="128" t="s">
        <v>498</v>
      </c>
      <c r="J14" s="131">
        <v>7500</v>
      </c>
      <c r="K14" s="131"/>
      <c r="L14" s="132">
        <f>IF(I14="USD",K14*'02 Assumptions'!$B$16/1000000,J14)</f>
        <v>7500</v>
      </c>
      <c r="M14" s="133"/>
      <c r="N14" s="134"/>
    </row>
    <row r="15" spans="1:14">
      <c r="A15" s="121" t="s">
        <v>563</v>
      </c>
      <c r="B15" s="122" t="s">
        <v>564</v>
      </c>
      <c r="C15" s="121" t="s">
        <v>544</v>
      </c>
      <c r="D15" s="123">
        <v>46229</v>
      </c>
      <c r="E15" s="121">
        <v>45</v>
      </c>
      <c r="F15" s="123">
        <v>46274</v>
      </c>
      <c r="G15" s="121">
        <v>6</v>
      </c>
      <c r="H15" s="121">
        <v>6</v>
      </c>
      <c r="I15" s="121" t="s">
        <v>498</v>
      </c>
      <c r="J15" s="124">
        <v>6000</v>
      </c>
      <c r="K15" s="124"/>
      <c r="L15" s="125">
        <f>IF(I15="USD",K15*'02 Assumptions'!$B$16/1000000,J15)</f>
        <v>6000</v>
      </c>
      <c r="M15" s="126"/>
      <c r="N15" s="127"/>
    </row>
    <row r="16" spans="1:14" ht="33.75">
      <c r="A16" s="128" t="s">
        <v>565</v>
      </c>
      <c r="B16" s="129" t="s">
        <v>566</v>
      </c>
      <c r="C16" s="128" t="s">
        <v>544</v>
      </c>
      <c r="D16" s="130">
        <v>46221</v>
      </c>
      <c r="E16" s="128">
        <v>60</v>
      </c>
      <c r="F16" s="130">
        <v>46281</v>
      </c>
      <c r="G16" s="128">
        <v>5</v>
      </c>
      <c r="H16" s="135">
        <v>7</v>
      </c>
      <c r="I16" s="128" t="s">
        <v>498</v>
      </c>
      <c r="J16" s="131">
        <v>8000</v>
      </c>
      <c r="K16" s="131"/>
      <c r="L16" s="132">
        <f>IF(I16="USD",K16*'02 Assumptions'!$B$16/1000000,J16)</f>
        <v>8000</v>
      </c>
      <c r="M16" s="136" t="s">
        <v>567</v>
      </c>
      <c r="N16" s="134" t="s">
        <v>568</v>
      </c>
    </row>
    <row r="17" spans="1:14" ht="22.5">
      <c r="A17" s="121" t="s">
        <v>569</v>
      </c>
      <c r="B17" s="122" t="s">
        <v>570</v>
      </c>
      <c r="C17" s="121" t="s">
        <v>571</v>
      </c>
      <c r="D17" s="123">
        <v>46236</v>
      </c>
      <c r="E17" s="121">
        <v>45</v>
      </c>
      <c r="F17" s="123">
        <v>46281</v>
      </c>
      <c r="G17" s="121">
        <v>7</v>
      </c>
      <c r="H17" s="121">
        <v>7</v>
      </c>
      <c r="I17" s="121" t="s">
        <v>572</v>
      </c>
      <c r="J17" s="124"/>
      <c r="K17" s="124">
        <v>400000</v>
      </c>
      <c r="L17" s="125">
        <f>IF(I17="USD",K17*'02 Assumptions'!$B$16/1000000,J17)</f>
        <v>7180</v>
      </c>
      <c r="M17" s="126"/>
      <c r="N17" s="127" t="s">
        <v>573</v>
      </c>
    </row>
    <row r="18" spans="1:14">
      <c r="A18" s="128" t="s">
        <v>574</v>
      </c>
      <c r="B18" s="129" t="s">
        <v>575</v>
      </c>
      <c r="C18" s="128" t="s">
        <v>544</v>
      </c>
      <c r="D18" s="130">
        <v>46251</v>
      </c>
      <c r="E18" s="128">
        <v>30</v>
      </c>
      <c r="F18" s="130">
        <v>46281</v>
      </c>
      <c r="G18" s="128">
        <v>7</v>
      </c>
      <c r="H18" s="128">
        <v>7</v>
      </c>
      <c r="I18" s="128" t="s">
        <v>498</v>
      </c>
      <c r="J18" s="131">
        <v>6320</v>
      </c>
      <c r="K18" s="131"/>
      <c r="L18" s="132">
        <f>IF(I18="USD",K18*'02 Assumptions'!$B$16/1000000,J18)</f>
        <v>6320</v>
      </c>
      <c r="M18" s="133"/>
      <c r="N18" s="134"/>
    </row>
    <row r="19" spans="1:14">
      <c r="A19" s="121" t="s">
        <v>576</v>
      </c>
      <c r="B19" s="122" t="s">
        <v>577</v>
      </c>
      <c r="C19" s="121" t="s">
        <v>571</v>
      </c>
      <c r="D19" s="123">
        <v>46243</v>
      </c>
      <c r="E19" s="121">
        <v>45</v>
      </c>
      <c r="F19" s="123">
        <v>46288</v>
      </c>
      <c r="G19" s="121">
        <v>8</v>
      </c>
      <c r="H19" s="121">
        <v>8</v>
      </c>
      <c r="I19" s="121" t="s">
        <v>572</v>
      </c>
      <c r="J19" s="124"/>
      <c r="K19" s="124">
        <v>300000</v>
      </c>
      <c r="L19" s="125">
        <f>IF(I19="USD",K19*'02 Assumptions'!$B$16/1000000,J19)</f>
        <v>5385</v>
      </c>
      <c r="M19" s="126"/>
      <c r="N19" s="127" t="s">
        <v>578</v>
      </c>
    </row>
    <row r="20" spans="1:14">
      <c r="A20" s="128" t="s">
        <v>579</v>
      </c>
      <c r="B20" s="129" t="s">
        <v>580</v>
      </c>
      <c r="C20" s="128" t="s">
        <v>544</v>
      </c>
      <c r="D20" s="130">
        <v>46258</v>
      </c>
      <c r="E20" s="128">
        <v>30</v>
      </c>
      <c r="F20" s="130">
        <v>46288</v>
      </c>
      <c r="G20" s="128">
        <v>8</v>
      </c>
      <c r="H20" s="128">
        <v>8</v>
      </c>
      <c r="I20" s="128" t="s">
        <v>498</v>
      </c>
      <c r="J20" s="131">
        <v>7615</v>
      </c>
      <c r="K20" s="131"/>
      <c r="L20" s="132">
        <f>IF(I20="USD",K20*'02 Assumptions'!$B$16/1000000,J20)</f>
        <v>7615</v>
      </c>
      <c r="M20" s="133"/>
      <c r="N20" s="134"/>
    </row>
    <row r="21" spans="1:14">
      <c r="A21" s="121" t="s">
        <v>581</v>
      </c>
      <c r="B21" s="122" t="s">
        <v>546</v>
      </c>
      <c r="C21" s="121" t="s">
        <v>544</v>
      </c>
      <c r="D21" s="123">
        <v>46265</v>
      </c>
      <c r="E21" s="121">
        <v>30</v>
      </c>
      <c r="F21" s="123">
        <v>46295</v>
      </c>
      <c r="G21" s="121">
        <v>9</v>
      </c>
      <c r="H21" s="121">
        <v>9</v>
      </c>
      <c r="I21" s="121" t="s">
        <v>498</v>
      </c>
      <c r="J21" s="124">
        <v>8500</v>
      </c>
      <c r="K21" s="124"/>
      <c r="L21" s="125">
        <f>IF(I21="USD",K21*'02 Assumptions'!$B$16/1000000,J21)</f>
        <v>8500</v>
      </c>
      <c r="M21" s="126"/>
      <c r="N21" s="127"/>
    </row>
    <row r="22" spans="1:14">
      <c r="A22" s="128" t="s">
        <v>582</v>
      </c>
      <c r="B22" s="129" t="s">
        <v>583</v>
      </c>
      <c r="C22" s="128" t="s">
        <v>544</v>
      </c>
      <c r="D22" s="130">
        <v>46250</v>
      </c>
      <c r="E22" s="128">
        <v>45</v>
      </c>
      <c r="F22" s="130">
        <v>46295</v>
      </c>
      <c r="G22" s="128">
        <v>9</v>
      </c>
      <c r="H22" s="128">
        <v>9</v>
      </c>
      <c r="I22" s="128" t="s">
        <v>498</v>
      </c>
      <c r="J22" s="131">
        <v>6000</v>
      </c>
      <c r="K22" s="131"/>
      <c r="L22" s="132">
        <f>IF(I22="USD",K22*'02 Assumptions'!$B$16/1000000,J22)</f>
        <v>6000</v>
      </c>
      <c r="M22" s="133"/>
      <c r="N22" s="134"/>
    </row>
    <row r="23" spans="1:14">
      <c r="A23" s="121" t="s">
        <v>584</v>
      </c>
      <c r="B23" s="122" t="s">
        <v>548</v>
      </c>
      <c r="C23" s="121" t="s">
        <v>544</v>
      </c>
      <c r="D23" s="123">
        <v>46272</v>
      </c>
      <c r="E23" s="121">
        <v>30</v>
      </c>
      <c r="F23" s="123">
        <v>46302</v>
      </c>
      <c r="G23" s="121">
        <v>10</v>
      </c>
      <c r="H23" s="121">
        <v>10</v>
      </c>
      <c r="I23" s="121" t="s">
        <v>498</v>
      </c>
      <c r="J23" s="124">
        <v>7000</v>
      </c>
      <c r="K23" s="124"/>
      <c r="L23" s="125">
        <f>IF(I23="USD",K23*'02 Assumptions'!$B$16/1000000,J23)</f>
        <v>7000</v>
      </c>
      <c r="M23" s="126"/>
      <c r="N23" s="127"/>
    </row>
    <row r="24" spans="1:14">
      <c r="A24" s="128" t="s">
        <v>585</v>
      </c>
      <c r="B24" s="129" t="s">
        <v>586</v>
      </c>
      <c r="C24" s="128" t="s">
        <v>544</v>
      </c>
      <c r="D24" s="130">
        <v>46257</v>
      </c>
      <c r="E24" s="128">
        <v>45</v>
      </c>
      <c r="F24" s="130">
        <v>46302</v>
      </c>
      <c r="G24" s="128">
        <v>10</v>
      </c>
      <c r="H24" s="128">
        <v>10</v>
      </c>
      <c r="I24" s="128" t="s">
        <v>498</v>
      </c>
      <c r="J24" s="131">
        <v>6000</v>
      </c>
      <c r="K24" s="131"/>
      <c r="L24" s="132">
        <f>IF(I24="USD",K24*'02 Assumptions'!$B$16/1000000,J24)</f>
        <v>6000</v>
      </c>
      <c r="M24" s="133"/>
      <c r="N24" s="134"/>
    </row>
    <row r="25" spans="1:14">
      <c r="A25" s="121" t="s">
        <v>587</v>
      </c>
      <c r="B25" s="122" t="s">
        <v>550</v>
      </c>
      <c r="C25" s="121" t="s">
        <v>544</v>
      </c>
      <c r="D25" s="123">
        <v>46279</v>
      </c>
      <c r="E25" s="121">
        <v>30</v>
      </c>
      <c r="F25" s="123">
        <v>46309</v>
      </c>
      <c r="G25" s="121">
        <v>11</v>
      </c>
      <c r="H25" s="121">
        <v>11</v>
      </c>
      <c r="I25" s="121" t="s">
        <v>498</v>
      </c>
      <c r="J25" s="124">
        <v>8000</v>
      </c>
      <c r="K25" s="124"/>
      <c r="L25" s="125">
        <f>IF(I25="USD",K25*'02 Assumptions'!$B$16/1000000,J25)</f>
        <v>8000</v>
      </c>
      <c r="M25" s="126"/>
      <c r="N25" s="127"/>
    </row>
    <row r="26" spans="1:14">
      <c r="A26" s="128" t="s">
        <v>588</v>
      </c>
      <c r="B26" s="129" t="s">
        <v>552</v>
      </c>
      <c r="C26" s="128" t="s">
        <v>544</v>
      </c>
      <c r="D26" s="130">
        <v>46264</v>
      </c>
      <c r="E26" s="128">
        <v>45</v>
      </c>
      <c r="F26" s="130">
        <v>46309</v>
      </c>
      <c r="G26" s="128">
        <v>11</v>
      </c>
      <c r="H26" s="128">
        <v>11</v>
      </c>
      <c r="I26" s="128" t="s">
        <v>498</v>
      </c>
      <c r="J26" s="131">
        <v>6000</v>
      </c>
      <c r="K26" s="131"/>
      <c r="L26" s="132">
        <f>IF(I26="USD",K26*'02 Assumptions'!$B$16/1000000,J26)</f>
        <v>6000</v>
      </c>
      <c r="M26" s="133"/>
      <c r="N26" s="134"/>
    </row>
    <row r="27" spans="1:14">
      <c r="A27" s="121" t="s">
        <v>589</v>
      </c>
      <c r="B27" s="122" t="s">
        <v>554</v>
      </c>
      <c r="C27" s="121" t="s">
        <v>544</v>
      </c>
      <c r="D27" s="123">
        <v>46286</v>
      </c>
      <c r="E27" s="121">
        <v>30</v>
      </c>
      <c r="F27" s="123">
        <v>46316</v>
      </c>
      <c r="G27" s="121">
        <v>12</v>
      </c>
      <c r="H27" s="121">
        <v>12</v>
      </c>
      <c r="I27" s="121" t="s">
        <v>498</v>
      </c>
      <c r="J27" s="124">
        <v>8500</v>
      </c>
      <c r="K27" s="124"/>
      <c r="L27" s="125">
        <f>IF(I27="USD",K27*'02 Assumptions'!$B$16/1000000,J27)</f>
        <v>8500</v>
      </c>
      <c r="M27" s="126"/>
      <c r="N27" s="127"/>
    </row>
    <row r="28" spans="1:14">
      <c r="A28" s="128" t="s">
        <v>590</v>
      </c>
      <c r="B28" s="129" t="s">
        <v>556</v>
      </c>
      <c r="C28" s="128" t="s">
        <v>544</v>
      </c>
      <c r="D28" s="130">
        <v>46271</v>
      </c>
      <c r="E28" s="128">
        <v>45</v>
      </c>
      <c r="F28" s="130">
        <v>46316</v>
      </c>
      <c r="G28" s="128">
        <v>12</v>
      </c>
      <c r="H28" s="128">
        <v>12</v>
      </c>
      <c r="I28" s="128" t="s">
        <v>498</v>
      </c>
      <c r="J28" s="131">
        <v>6000</v>
      </c>
      <c r="K28" s="131"/>
      <c r="L28" s="132">
        <f>IF(I28="USD",K28*'02 Assumptions'!$B$16/1000000,J28)</f>
        <v>6000</v>
      </c>
      <c r="M28" s="133"/>
      <c r="N28" s="134"/>
    </row>
    <row r="29" spans="1:14">
      <c r="A29" s="121" t="s">
        <v>591</v>
      </c>
      <c r="B29" s="122" t="s">
        <v>558</v>
      </c>
      <c r="C29" s="121" t="s">
        <v>544</v>
      </c>
      <c r="D29" s="123">
        <v>46293</v>
      </c>
      <c r="E29" s="121">
        <v>30</v>
      </c>
      <c r="F29" s="123">
        <v>46323</v>
      </c>
      <c r="G29" s="121">
        <v>13</v>
      </c>
      <c r="H29" s="121">
        <v>13</v>
      </c>
      <c r="I29" s="121" t="s">
        <v>498</v>
      </c>
      <c r="J29" s="124">
        <v>7500</v>
      </c>
      <c r="K29" s="124"/>
      <c r="L29" s="125">
        <f>IF(I29="USD",K29*'02 Assumptions'!$B$16/1000000,J29)</f>
        <v>7500</v>
      </c>
      <c r="M29" s="126"/>
      <c r="N29" s="127"/>
    </row>
    <row r="30" spans="1:14">
      <c r="A30" s="128" t="s">
        <v>592</v>
      </c>
      <c r="B30" s="129" t="s">
        <v>560</v>
      </c>
      <c r="C30" s="128" t="s">
        <v>544</v>
      </c>
      <c r="D30" s="130">
        <v>46278</v>
      </c>
      <c r="E30" s="128">
        <v>45</v>
      </c>
      <c r="F30" s="130">
        <v>46323</v>
      </c>
      <c r="G30" s="128">
        <v>13</v>
      </c>
      <c r="H30" s="128">
        <v>13</v>
      </c>
      <c r="I30" s="128" t="s">
        <v>498</v>
      </c>
      <c r="J30" s="131">
        <v>6000</v>
      </c>
      <c r="K30" s="131"/>
      <c r="L30" s="132">
        <f>IF(I30="USD",K30*'02 Assumptions'!$B$16/1000000,J30)</f>
        <v>6000</v>
      </c>
      <c r="M30" s="133"/>
      <c r="N30" s="134"/>
    </row>
    <row r="32" spans="1:14" ht="22.5">
      <c r="A32" s="137" t="s">
        <v>593</v>
      </c>
      <c r="K32" s="138">
        <f>SUMIF(I5:I30,"USD",K5:K30)</f>
        <v>700000</v>
      </c>
      <c r="L32" s="138">
        <f>SUM(L5:L30)</f>
        <v>176000</v>
      </c>
      <c r="N32" s="139" t="s">
        <v>594</v>
      </c>
    </row>
  </sheetData>
  <autoFilter ref="A4:N4" xr:uid="{00000000-0001-0000-0300-000000000000}"/>
  <mergeCells count="2">
    <mergeCell ref="A1:N1"/>
    <mergeCell ref="A2:N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
  <sheetViews>
    <sheetView showGridLines="0" zoomScaleNormal="100" workbookViewId="0">
      <pane xSplit="1" ySplit="4" topLeftCell="B5" activePane="bottomRight" state="frozen"/>
      <selection pane="bottomRight" activeCell="M26" sqref="M26"/>
      <selection pane="bottomLeft" activeCell="A5" sqref="A5"/>
      <selection pane="topRight" activeCell="B1" sqref="B1"/>
    </sheetView>
  </sheetViews>
  <sheetFormatPr defaultColWidth="8.5703125" defaultRowHeight="15"/>
  <cols>
    <col min="1" max="1" width="30" customWidth="1"/>
    <col min="2" max="14" width="9" customWidth="1"/>
    <col min="15" max="15" width="11" customWidth="1"/>
  </cols>
  <sheetData>
    <row r="1" spans="1:15" ht="20.25">
      <c r="A1" s="239" t="s">
        <v>595</v>
      </c>
      <c r="B1" s="239"/>
      <c r="C1" s="239"/>
      <c r="D1" s="239"/>
      <c r="E1" s="239"/>
      <c r="F1" s="239"/>
      <c r="G1" s="239"/>
      <c r="H1" s="239"/>
      <c r="I1" s="239"/>
      <c r="J1" s="239"/>
      <c r="K1" s="239"/>
      <c r="L1" s="239"/>
      <c r="M1" s="239"/>
      <c r="N1" s="239"/>
      <c r="O1" s="239"/>
    </row>
    <row r="2" spans="1:15">
      <c r="A2" s="18" t="s">
        <v>596</v>
      </c>
    </row>
    <row r="4" spans="1:15">
      <c r="A4" s="149" t="s">
        <v>597</v>
      </c>
      <c r="B4" s="148" t="s">
        <v>598</v>
      </c>
      <c r="C4" s="148" t="s">
        <v>599</v>
      </c>
      <c r="D4" s="148" t="s">
        <v>600</v>
      </c>
      <c r="E4" s="148" t="s">
        <v>601</v>
      </c>
      <c r="F4" s="148" t="s">
        <v>602</v>
      </c>
      <c r="G4" s="148" t="s">
        <v>603</v>
      </c>
      <c r="H4" s="148" t="s">
        <v>604</v>
      </c>
      <c r="I4" s="148" t="s">
        <v>605</v>
      </c>
      <c r="J4" s="148" t="s">
        <v>606</v>
      </c>
      <c r="K4" s="148" t="s">
        <v>607</v>
      </c>
      <c r="L4" s="148" t="s">
        <v>608</v>
      </c>
      <c r="M4" s="148" t="s">
        <v>609</v>
      </c>
      <c r="N4" s="148" t="s">
        <v>610</v>
      </c>
      <c r="O4" s="148" t="s">
        <v>611</v>
      </c>
    </row>
    <row r="5" spans="1:15">
      <c r="A5" s="28" t="s">
        <v>612</v>
      </c>
      <c r="B5" s="22">
        <v>0</v>
      </c>
      <c r="C5" s="22">
        <v>0</v>
      </c>
      <c r="D5" s="22">
        <v>0</v>
      </c>
      <c r="E5" s="22">
        <v>3200</v>
      </c>
      <c r="F5" s="22">
        <v>0</v>
      </c>
      <c r="G5" s="22">
        <v>0</v>
      </c>
      <c r="H5" s="22">
        <v>0</v>
      </c>
      <c r="I5" s="22">
        <v>0</v>
      </c>
      <c r="J5" s="22">
        <v>3200</v>
      </c>
      <c r="K5" s="22">
        <v>0</v>
      </c>
      <c r="L5" s="22">
        <v>0</v>
      </c>
      <c r="M5" s="22">
        <v>0</v>
      </c>
      <c r="N5" s="22">
        <v>3200</v>
      </c>
      <c r="O5" s="29">
        <f t="shared" ref="O5:O10" si="0">SUM(B5:N5)</f>
        <v>9600</v>
      </c>
    </row>
    <row r="6" spans="1:15">
      <c r="A6" s="30" t="s">
        <v>613</v>
      </c>
      <c r="B6" s="24">
        <v>700</v>
      </c>
      <c r="C6" s="24">
        <v>700</v>
      </c>
      <c r="D6" s="24">
        <v>700</v>
      </c>
      <c r="E6" s="24">
        <v>700</v>
      </c>
      <c r="F6" s="24">
        <v>700</v>
      </c>
      <c r="G6" s="24">
        <v>700</v>
      </c>
      <c r="H6" s="24">
        <v>700</v>
      </c>
      <c r="I6" s="24">
        <v>700</v>
      </c>
      <c r="J6" s="24">
        <v>700</v>
      </c>
      <c r="K6" s="24">
        <v>700</v>
      </c>
      <c r="L6" s="24">
        <v>700</v>
      </c>
      <c r="M6" s="24">
        <v>700</v>
      </c>
      <c r="N6" s="24">
        <v>700</v>
      </c>
      <c r="O6" s="31">
        <f t="shared" si="0"/>
        <v>9100</v>
      </c>
    </row>
    <row r="7" spans="1:15">
      <c r="A7" s="28" t="s">
        <v>614</v>
      </c>
      <c r="B7" s="22">
        <v>400</v>
      </c>
      <c r="C7" s="22">
        <v>400</v>
      </c>
      <c r="D7" s="22">
        <v>400</v>
      </c>
      <c r="E7" s="22">
        <v>400</v>
      </c>
      <c r="F7" s="22">
        <v>400</v>
      </c>
      <c r="G7" s="22">
        <v>400</v>
      </c>
      <c r="H7" s="22">
        <v>400</v>
      </c>
      <c r="I7" s="22">
        <v>400</v>
      </c>
      <c r="J7" s="22">
        <v>400</v>
      </c>
      <c r="K7" s="22">
        <v>400</v>
      </c>
      <c r="L7" s="22">
        <v>400</v>
      </c>
      <c r="M7" s="22">
        <v>400</v>
      </c>
      <c r="N7" s="22">
        <v>400</v>
      </c>
      <c r="O7" s="29">
        <f t="shared" si="0"/>
        <v>5200</v>
      </c>
    </row>
    <row r="8" spans="1:15">
      <c r="A8" s="30" t="s">
        <v>615</v>
      </c>
      <c r="B8" s="24">
        <v>0</v>
      </c>
      <c r="C8" s="24">
        <v>0</v>
      </c>
      <c r="D8" s="24">
        <v>2800</v>
      </c>
      <c r="E8" s="24">
        <v>0</v>
      </c>
      <c r="F8" s="24">
        <v>0</v>
      </c>
      <c r="G8" s="24">
        <v>0</v>
      </c>
      <c r="H8" s="24">
        <v>2800</v>
      </c>
      <c r="I8" s="24">
        <v>0</v>
      </c>
      <c r="J8" s="24">
        <v>0</v>
      </c>
      <c r="K8" s="24">
        <v>0</v>
      </c>
      <c r="L8" s="24">
        <v>2800</v>
      </c>
      <c r="M8" s="24">
        <v>0</v>
      </c>
      <c r="N8" s="24">
        <v>0</v>
      </c>
      <c r="O8" s="31">
        <f t="shared" si="0"/>
        <v>8400</v>
      </c>
    </row>
    <row r="9" spans="1:15">
      <c r="A9" s="28" t="s">
        <v>616</v>
      </c>
      <c r="B9" s="22">
        <v>0</v>
      </c>
      <c r="C9" s="22">
        <v>0</v>
      </c>
      <c r="D9" s="22">
        <v>0</v>
      </c>
      <c r="E9" s="22">
        <v>0</v>
      </c>
      <c r="F9" s="22">
        <v>0</v>
      </c>
      <c r="G9" s="22">
        <v>0</v>
      </c>
      <c r="H9" s="22">
        <v>0</v>
      </c>
      <c r="I9" s="22">
        <v>0</v>
      </c>
      <c r="J9" s="22">
        <v>0</v>
      </c>
      <c r="K9" s="22">
        <v>4500</v>
      </c>
      <c r="L9" s="22">
        <v>0</v>
      </c>
      <c r="M9" s="22">
        <v>0</v>
      </c>
      <c r="N9" s="22">
        <v>0</v>
      </c>
      <c r="O9" s="29">
        <f t="shared" si="0"/>
        <v>4500</v>
      </c>
    </row>
    <row r="10" spans="1:15">
      <c r="A10" s="32" t="s">
        <v>617</v>
      </c>
      <c r="B10" s="33">
        <f t="shared" ref="B10:N10" si="1">SUM(B5:B9)</f>
        <v>1100</v>
      </c>
      <c r="C10" s="33">
        <f t="shared" si="1"/>
        <v>1100</v>
      </c>
      <c r="D10" s="33">
        <f t="shared" si="1"/>
        <v>3900</v>
      </c>
      <c r="E10" s="33">
        <f t="shared" si="1"/>
        <v>4300</v>
      </c>
      <c r="F10" s="33">
        <f t="shared" si="1"/>
        <v>1100</v>
      </c>
      <c r="G10" s="33">
        <f t="shared" si="1"/>
        <v>1100</v>
      </c>
      <c r="H10" s="33">
        <f t="shared" si="1"/>
        <v>3900</v>
      </c>
      <c r="I10" s="33">
        <f t="shared" si="1"/>
        <v>1100</v>
      </c>
      <c r="J10" s="33">
        <f t="shared" si="1"/>
        <v>4300</v>
      </c>
      <c r="K10" s="33">
        <f t="shared" si="1"/>
        <v>5600</v>
      </c>
      <c r="L10" s="33">
        <f t="shared" si="1"/>
        <v>3900</v>
      </c>
      <c r="M10" s="33">
        <f t="shared" si="1"/>
        <v>1100</v>
      </c>
      <c r="N10" s="33">
        <f t="shared" si="1"/>
        <v>4300</v>
      </c>
      <c r="O10" s="33">
        <f t="shared" si="0"/>
        <v>36800</v>
      </c>
    </row>
    <row r="12" spans="1:15">
      <c r="A12" s="240" t="s">
        <v>618</v>
      </c>
      <c r="B12" s="240"/>
      <c r="C12" s="240"/>
      <c r="D12" s="240"/>
      <c r="E12" s="240"/>
      <c r="F12" s="240"/>
      <c r="G12" s="240"/>
      <c r="H12" s="240"/>
      <c r="I12" s="240"/>
      <c r="J12" s="240"/>
      <c r="K12" s="240"/>
      <c r="L12" s="240"/>
      <c r="M12" s="240"/>
      <c r="N12" s="240"/>
      <c r="O12" s="240"/>
    </row>
  </sheetData>
  <mergeCells count="2">
    <mergeCell ref="A1:O1"/>
    <mergeCell ref="A12:O1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1"/>
  <sheetViews>
    <sheetView showGridLines="0" zoomScaleNormal="100" workbookViewId="0">
      <pane xSplit="1" ySplit="4" topLeftCell="B5" activePane="bottomRight" state="frozen"/>
      <selection pane="bottomRight" activeCell="N28" sqref="N28"/>
      <selection pane="bottomLeft" activeCell="A5" sqref="A5"/>
      <selection pane="topRight" activeCell="B1" sqref="B1"/>
    </sheetView>
  </sheetViews>
  <sheetFormatPr defaultColWidth="8.5703125" defaultRowHeight="15"/>
  <cols>
    <col min="1" max="1" width="36.7109375" customWidth="1"/>
    <col min="2" max="14" width="10" customWidth="1"/>
    <col min="15" max="15" width="11" customWidth="1"/>
  </cols>
  <sheetData>
    <row r="1" spans="1:15" ht="19.5" customHeight="1">
      <c r="A1" s="239" t="s">
        <v>619</v>
      </c>
      <c r="B1" s="239"/>
      <c r="C1" s="239"/>
      <c r="D1" s="239"/>
      <c r="E1" s="239"/>
      <c r="F1" s="239"/>
      <c r="G1" s="239"/>
      <c r="H1" s="239"/>
      <c r="I1" s="239"/>
      <c r="J1" s="239"/>
      <c r="K1" s="239"/>
      <c r="L1" s="239"/>
      <c r="M1" s="239"/>
      <c r="N1" s="239"/>
      <c r="O1" s="239"/>
    </row>
    <row r="2" spans="1:15" ht="15" customHeight="1">
      <c r="A2" s="242" t="s">
        <v>620</v>
      </c>
      <c r="B2" s="242"/>
      <c r="C2" s="242"/>
      <c r="D2" s="242"/>
      <c r="E2" s="242"/>
      <c r="F2" s="242"/>
      <c r="G2" s="242"/>
      <c r="H2" s="242"/>
      <c r="I2" s="242"/>
      <c r="J2" s="242"/>
      <c r="K2" s="242"/>
      <c r="L2" s="242"/>
      <c r="M2" s="242"/>
      <c r="N2" s="242"/>
      <c r="O2" s="242"/>
    </row>
    <row r="4" spans="1:15" ht="15" customHeight="1">
      <c r="A4" s="150" t="s">
        <v>621</v>
      </c>
      <c r="B4" s="151">
        <v>1</v>
      </c>
      <c r="C4" s="151">
        <v>2</v>
      </c>
      <c r="D4" s="151">
        <v>3</v>
      </c>
      <c r="E4" s="151">
        <v>4</v>
      </c>
      <c r="F4" s="151">
        <v>5</v>
      </c>
      <c r="G4" s="151">
        <v>6</v>
      </c>
      <c r="H4" s="151">
        <v>7</v>
      </c>
      <c r="I4" s="151">
        <v>8</v>
      </c>
      <c r="J4" s="151">
        <v>9</v>
      </c>
      <c r="K4" s="151">
        <v>10</v>
      </c>
      <c r="L4" s="151">
        <v>11</v>
      </c>
      <c r="M4" s="151">
        <v>12</v>
      </c>
      <c r="N4" s="151">
        <v>13</v>
      </c>
      <c r="O4" s="152" t="s">
        <v>611</v>
      </c>
    </row>
    <row r="5" spans="1:15" ht="15" customHeight="1">
      <c r="A5" s="153" t="s">
        <v>622</v>
      </c>
      <c r="B5" s="154">
        <f>'02 Assumptions'!$B$11</f>
        <v>46237</v>
      </c>
      <c r="C5" s="155">
        <f t="shared" ref="C5:N5" si="0">B5+7</f>
        <v>46244</v>
      </c>
      <c r="D5" s="155">
        <f t="shared" si="0"/>
        <v>46251</v>
      </c>
      <c r="E5" s="155">
        <f t="shared" si="0"/>
        <v>46258</v>
      </c>
      <c r="F5" s="155">
        <f t="shared" si="0"/>
        <v>46265</v>
      </c>
      <c r="G5" s="155">
        <f t="shared" si="0"/>
        <v>46272</v>
      </c>
      <c r="H5" s="155">
        <f t="shared" si="0"/>
        <v>46279</v>
      </c>
      <c r="I5" s="155">
        <f t="shared" si="0"/>
        <v>46286</v>
      </c>
      <c r="J5" s="155">
        <f t="shared" si="0"/>
        <v>46293</v>
      </c>
      <c r="K5" s="155">
        <f t="shared" si="0"/>
        <v>46300</v>
      </c>
      <c r="L5" s="155">
        <f t="shared" si="0"/>
        <v>46307</v>
      </c>
      <c r="M5" s="155">
        <f t="shared" si="0"/>
        <v>46314</v>
      </c>
      <c r="N5" s="155">
        <f t="shared" si="0"/>
        <v>46321</v>
      </c>
      <c r="O5" s="156"/>
    </row>
    <row r="6" spans="1:15" ht="15" customHeight="1">
      <c r="A6" s="153" t="s">
        <v>623</v>
      </c>
      <c r="B6" s="157">
        <f t="shared" ref="B6:N6" si="1">B5+6</f>
        <v>46243</v>
      </c>
      <c r="C6" s="157">
        <f t="shared" si="1"/>
        <v>46250</v>
      </c>
      <c r="D6" s="157">
        <f t="shared" si="1"/>
        <v>46257</v>
      </c>
      <c r="E6" s="157">
        <f t="shared" si="1"/>
        <v>46264</v>
      </c>
      <c r="F6" s="157">
        <f t="shared" si="1"/>
        <v>46271</v>
      </c>
      <c r="G6" s="157">
        <f t="shared" si="1"/>
        <v>46278</v>
      </c>
      <c r="H6" s="157">
        <f t="shared" si="1"/>
        <v>46285</v>
      </c>
      <c r="I6" s="157">
        <f t="shared" si="1"/>
        <v>46292</v>
      </c>
      <c r="J6" s="157">
        <f t="shared" si="1"/>
        <v>46299</v>
      </c>
      <c r="K6" s="157">
        <f t="shared" si="1"/>
        <v>46306</v>
      </c>
      <c r="L6" s="157">
        <f t="shared" si="1"/>
        <v>46313</v>
      </c>
      <c r="M6" s="157">
        <f t="shared" si="1"/>
        <v>46320</v>
      </c>
      <c r="N6" s="157">
        <f t="shared" si="1"/>
        <v>46327</v>
      </c>
      <c r="O6" s="156"/>
    </row>
    <row r="7" spans="1:15" ht="15" customHeight="1">
      <c r="A7" s="19" t="s">
        <v>624</v>
      </c>
      <c r="B7" s="20"/>
      <c r="C7" s="20"/>
      <c r="D7" s="20"/>
      <c r="E7" s="20"/>
      <c r="F7" s="20"/>
      <c r="G7" s="20"/>
      <c r="H7" s="20"/>
      <c r="I7" s="20"/>
      <c r="J7" s="20"/>
      <c r="K7" s="20"/>
      <c r="L7" s="20"/>
      <c r="M7" s="20"/>
      <c r="N7" s="20"/>
      <c r="O7" s="20"/>
    </row>
    <row r="8" spans="1:15" ht="15" customHeight="1">
      <c r="A8" s="158" t="s">
        <v>625</v>
      </c>
      <c r="B8" s="159">
        <f>SUMIF('03 AR Collections'!$H:$H,B$4,'03 AR Collections'!$L:$L)</f>
        <v>13000</v>
      </c>
      <c r="C8" s="159">
        <f>SUMIF('03 AR Collections'!$H:$H,C$4,'03 AR Collections'!$L:$L)</f>
        <v>14000</v>
      </c>
      <c r="D8" s="159">
        <f>SUMIF('03 AR Collections'!$H:$H,D$4,'03 AR Collections'!$L:$L)</f>
        <v>12500</v>
      </c>
      <c r="E8" s="159">
        <f>SUMIF('03 AR Collections'!$H:$H,E$4,'03 AR Collections'!$L:$L)</f>
        <v>13000</v>
      </c>
      <c r="F8" s="159">
        <f>SUMIF('03 AR Collections'!$H:$H,F$4,'03 AR Collections'!$L:$L)</f>
        <v>6000</v>
      </c>
      <c r="G8" s="159">
        <f>SUMIF('03 AR Collections'!$H:$H,G$4,'03 AR Collections'!$L:$L)</f>
        <v>13500</v>
      </c>
      <c r="H8" s="159">
        <f>SUMIF('03 AR Collections'!$H:$H,H$4,'03 AR Collections'!$L:$L)</f>
        <v>21500</v>
      </c>
      <c r="I8" s="159">
        <f>SUMIF('03 AR Collections'!$H:$H,I$4,'03 AR Collections'!$L:$L)</f>
        <v>13000</v>
      </c>
      <c r="J8" s="159">
        <f>SUMIF('03 AR Collections'!$H:$H,J$4,'03 AR Collections'!$L:$L)</f>
        <v>14500</v>
      </c>
      <c r="K8" s="159">
        <f>SUMIF('03 AR Collections'!$H:$H,K$4,'03 AR Collections'!$L:$L)</f>
        <v>13000</v>
      </c>
      <c r="L8" s="159">
        <f>SUMIF('03 AR Collections'!$H:$H,L$4,'03 AR Collections'!$L:$L)</f>
        <v>14000</v>
      </c>
      <c r="M8" s="159">
        <f>SUMIF('03 AR Collections'!$H:$H,M$4,'03 AR Collections'!$L:$L)</f>
        <v>14500</v>
      </c>
      <c r="N8" s="159">
        <f>SUMIF('03 AR Collections'!$H:$H,N$4,'03 AR Collections'!$L:$L)</f>
        <v>13500</v>
      </c>
      <c r="O8" s="160">
        <f>SUM(B8:N8)</f>
        <v>176000</v>
      </c>
    </row>
    <row r="9" spans="1:15" ht="15" customHeight="1">
      <c r="A9" s="153" t="s">
        <v>626</v>
      </c>
      <c r="B9" s="161">
        <f t="shared" ref="B9:N9" si="2">B8</f>
        <v>13000</v>
      </c>
      <c r="C9" s="161">
        <f t="shared" si="2"/>
        <v>14000</v>
      </c>
      <c r="D9" s="161">
        <f t="shared" si="2"/>
        <v>12500</v>
      </c>
      <c r="E9" s="161">
        <f t="shared" si="2"/>
        <v>13000</v>
      </c>
      <c r="F9" s="161">
        <f t="shared" si="2"/>
        <v>6000</v>
      </c>
      <c r="G9" s="161">
        <f t="shared" si="2"/>
        <v>13500</v>
      </c>
      <c r="H9" s="161">
        <f t="shared" si="2"/>
        <v>21500</v>
      </c>
      <c r="I9" s="161">
        <f t="shared" si="2"/>
        <v>13000</v>
      </c>
      <c r="J9" s="161">
        <f t="shared" si="2"/>
        <v>14500</v>
      </c>
      <c r="K9" s="161">
        <f t="shared" si="2"/>
        <v>13000</v>
      </c>
      <c r="L9" s="161">
        <f t="shared" si="2"/>
        <v>14000</v>
      </c>
      <c r="M9" s="161">
        <f t="shared" si="2"/>
        <v>14500</v>
      </c>
      <c r="N9" s="161">
        <f t="shared" si="2"/>
        <v>13500</v>
      </c>
      <c r="O9" s="162">
        <f>SUM(B9:N9)</f>
        <v>176000</v>
      </c>
    </row>
    <row r="10" spans="1:15" ht="15" customHeight="1">
      <c r="A10" s="163" t="s">
        <v>627</v>
      </c>
      <c r="B10" s="164"/>
      <c r="C10" s="164"/>
      <c r="D10" s="164"/>
      <c r="E10" s="164"/>
      <c r="F10" s="164"/>
      <c r="G10" s="164"/>
      <c r="H10" s="164"/>
      <c r="I10" s="164"/>
      <c r="J10" s="164"/>
      <c r="K10" s="164"/>
      <c r="L10" s="164"/>
      <c r="M10" s="164"/>
      <c r="N10" s="164"/>
      <c r="O10" s="164"/>
    </row>
    <row r="11" spans="1:15" ht="15" customHeight="1">
      <c r="A11" s="158" t="s">
        <v>628</v>
      </c>
      <c r="B11" s="159">
        <f>SUMIFS('04 AP USD Payables'!$J:$J,'04 AP USD Payables'!$F:$F,B$4,'04 AP USD Payables'!$G:$G,"IDR")</f>
        <v>4500</v>
      </c>
      <c r="C11" s="159">
        <f>SUMIFS('04 AP USD Payables'!$J:$J,'04 AP USD Payables'!$F:$F,C$4,'04 AP USD Payables'!$G:$G,"IDR")</f>
        <v>5000</v>
      </c>
      <c r="D11" s="159">
        <f>SUMIFS('04 AP USD Payables'!$J:$J,'04 AP USD Payables'!$F:$F,D$4,'04 AP USD Payables'!$G:$G,"IDR")</f>
        <v>4500</v>
      </c>
      <c r="E11" s="159">
        <f>SUMIFS('04 AP USD Payables'!$J:$J,'04 AP USD Payables'!$F:$F,E$4,'04 AP USD Payables'!$G:$G,"IDR")</f>
        <v>5000</v>
      </c>
      <c r="F11" s="159">
        <f>SUMIFS('04 AP USD Payables'!$J:$J,'04 AP USD Payables'!$F:$F,F$4,'04 AP USD Payables'!$G:$G,"IDR")</f>
        <v>3000</v>
      </c>
      <c r="G11" s="159">
        <f>SUMIFS('04 AP USD Payables'!$J:$J,'04 AP USD Payables'!$F:$F,G$4,'04 AP USD Payables'!$G:$G,"IDR")</f>
        <v>5000</v>
      </c>
      <c r="H11" s="159">
        <f>SUMIFS('04 AP USD Payables'!$J:$J,'04 AP USD Payables'!$F:$F,H$4,'04 AP USD Payables'!$G:$G,"IDR")</f>
        <v>5500</v>
      </c>
      <c r="I11" s="159">
        <f>SUMIFS('04 AP USD Payables'!$J:$J,'04 AP USD Payables'!$F:$F,I$4,'04 AP USD Payables'!$G:$G,"IDR")</f>
        <v>4500</v>
      </c>
      <c r="J11" s="159">
        <f>SUMIFS('04 AP USD Payables'!$J:$J,'04 AP USD Payables'!$F:$F,J$4,'04 AP USD Payables'!$G:$G,"IDR")</f>
        <v>5000</v>
      </c>
      <c r="K11" s="159">
        <f>SUMIFS('04 AP USD Payables'!$J:$J,'04 AP USD Payables'!$F:$F,K$4,'04 AP USD Payables'!$G:$G,"IDR")</f>
        <v>4500</v>
      </c>
      <c r="L11" s="159">
        <f>SUMIFS('04 AP USD Payables'!$J:$J,'04 AP USD Payables'!$F:$F,L$4,'04 AP USD Payables'!$G:$G,"IDR")</f>
        <v>5000</v>
      </c>
      <c r="M11" s="159">
        <f>SUMIFS('04 AP USD Payables'!$J:$J,'04 AP USD Payables'!$F:$F,M$4,'04 AP USD Payables'!$G:$G,"IDR")</f>
        <v>4500</v>
      </c>
      <c r="N11" s="159">
        <f>SUMIFS('04 AP USD Payables'!$J:$J,'04 AP USD Payables'!$F:$F,N$4,'04 AP USD Payables'!$G:$G,"IDR")</f>
        <v>5000</v>
      </c>
      <c r="O11" s="160">
        <f t="shared" ref="O11:O17" si="3">SUM(B11:N11)</f>
        <v>61000</v>
      </c>
    </row>
    <row r="12" spans="1:15" ht="15" customHeight="1">
      <c r="A12" s="158" t="s">
        <v>629</v>
      </c>
      <c r="B12" s="159">
        <f>SUMIFS('04 AP USD Payables'!$J:$J,'04 AP USD Payables'!$F:$F,B$4,'04 AP USD Payables'!$G:$G,"USD")</f>
        <v>0</v>
      </c>
      <c r="C12" s="159">
        <f>SUMIFS('04 AP USD Payables'!$J:$J,'04 AP USD Payables'!$F:$F,C$4,'04 AP USD Payables'!$G:$G,"USD")</f>
        <v>5385</v>
      </c>
      <c r="D12" s="159">
        <f>SUMIFS('04 AP USD Payables'!$J:$J,'04 AP USD Payables'!$F:$F,D$4,'04 AP USD Payables'!$G:$G,"USD")</f>
        <v>5385</v>
      </c>
      <c r="E12" s="159">
        <f>SUMIFS('04 AP USD Payables'!$J:$J,'04 AP USD Payables'!$F:$F,E$4,'04 AP USD Payables'!$G:$G,"USD")</f>
        <v>10770</v>
      </c>
      <c r="F12" s="159">
        <f>SUMIFS('04 AP USD Payables'!$J:$J,'04 AP USD Payables'!$F:$F,F$4,'04 AP USD Payables'!$G:$G,"USD")</f>
        <v>13462.5</v>
      </c>
      <c r="G12" s="159">
        <f>SUMIFS('04 AP USD Payables'!$J:$J,'04 AP USD Payables'!$F:$F,G$4,'04 AP USD Payables'!$G:$G,"USD")</f>
        <v>5385</v>
      </c>
      <c r="H12" s="159">
        <f>SUMIFS('04 AP USD Payables'!$J:$J,'04 AP USD Payables'!$F:$F,H$4,'04 AP USD Payables'!$G:$G,"USD")</f>
        <v>0</v>
      </c>
      <c r="I12" s="159">
        <f>SUMIFS('04 AP USD Payables'!$J:$J,'04 AP USD Payables'!$F:$F,I$4,'04 AP USD Payables'!$G:$G,"USD")</f>
        <v>6282.5</v>
      </c>
      <c r="J12" s="159">
        <f>SUMIFS('04 AP USD Payables'!$J:$J,'04 AP USD Payables'!$F:$F,J$4,'04 AP USD Payables'!$G:$G,"USD")</f>
        <v>5385</v>
      </c>
      <c r="K12" s="159">
        <f>SUMIFS('04 AP USD Payables'!$J:$J,'04 AP USD Payables'!$F:$F,K$4,'04 AP USD Payables'!$G:$G,"USD")</f>
        <v>4487.5</v>
      </c>
      <c r="L12" s="159">
        <f>SUMIFS('04 AP USD Payables'!$J:$J,'04 AP USD Payables'!$F:$F,L$4,'04 AP USD Payables'!$G:$G,"USD")</f>
        <v>0</v>
      </c>
      <c r="M12" s="159">
        <f>SUMIFS('04 AP USD Payables'!$J:$J,'04 AP USD Payables'!$F:$F,M$4,'04 AP USD Payables'!$G:$G,"USD")</f>
        <v>6282.5</v>
      </c>
      <c r="N12" s="159">
        <f>SUMIFS('04 AP USD Payables'!$J:$J,'04 AP USD Payables'!$F:$F,N$4,'04 AP USD Payables'!$G:$G,"USD")</f>
        <v>8975</v>
      </c>
      <c r="O12" s="160">
        <f t="shared" si="3"/>
        <v>71800</v>
      </c>
    </row>
    <row r="13" spans="1:15" ht="15" customHeight="1">
      <c r="A13" s="158" t="s">
        <v>612</v>
      </c>
      <c r="B13" s="159">
        <f>'05 Other Outflows'!B5</f>
        <v>0</v>
      </c>
      <c r="C13" s="159">
        <f>'05 Other Outflows'!C5</f>
        <v>0</v>
      </c>
      <c r="D13" s="159">
        <f>'05 Other Outflows'!D5</f>
        <v>0</v>
      </c>
      <c r="E13" s="159">
        <f>'05 Other Outflows'!E5</f>
        <v>3200</v>
      </c>
      <c r="F13" s="159">
        <f>'05 Other Outflows'!F5</f>
        <v>0</v>
      </c>
      <c r="G13" s="159">
        <f>'05 Other Outflows'!G5</f>
        <v>0</v>
      </c>
      <c r="H13" s="159">
        <f>'05 Other Outflows'!H5</f>
        <v>0</v>
      </c>
      <c r="I13" s="159">
        <f>'05 Other Outflows'!I5</f>
        <v>0</v>
      </c>
      <c r="J13" s="159">
        <f>'05 Other Outflows'!J5</f>
        <v>3200</v>
      </c>
      <c r="K13" s="159">
        <f>'05 Other Outflows'!K5</f>
        <v>0</v>
      </c>
      <c r="L13" s="159">
        <f>'05 Other Outflows'!L5</f>
        <v>0</v>
      </c>
      <c r="M13" s="159">
        <f>'05 Other Outflows'!M5</f>
        <v>0</v>
      </c>
      <c r="N13" s="159">
        <f>'05 Other Outflows'!N5</f>
        <v>3200</v>
      </c>
      <c r="O13" s="160">
        <f>SUM(B13:N13)</f>
        <v>9600</v>
      </c>
    </row>
    <row r="14" spans="1:15" ht="15" customHeight="1">
      <c r="A14" s="158" t="s">
        <v>630</v>
      </c>
      <c r="B14" s="159">
        <f>'05 Other Outflows'!B6+'05 Other Outflows'!B7</f>
        <v>1100</v>
      </c>
      <c r="C14" s="159">
        <f>'05 Other Outflows'!C6+'05 Other Outflows'!C7</f>
        <v>1100</v>
      </c>
      <c r="D14" s="159">
        <f>'05 Other Outflows'!D6+'05 Other Outflows'!D7</f>
        <v>1100</v>
      </c>
      <c r="E14" s="159">
        <f>'05 Other Outflows'!E6+'05 Other Outflows'!E7</f>
        <v>1100</v>
      </c>
      <c r="F14" s="159">
        <f>'05 Other Outflows'!F6+'05 Other Outflows'!F7</f>
        <v>1100</v>
      </c>
      <c r="G14" s="159">
        <f>'05 Other Outflows'!G6+'05 Other Outflows'!G7</f>
        <v>1100</v>
      </c>
      <c r="H14" s="159">
        <f>'05 Other Outflows'!H6+'05 Other Outflows'!H7</f>
        <v>1100</v>
      </c>
      <c r="I14" s="159">
        <f>'05 Other Outflows'!I6+'05 Other Outflows'!I7</f>
        <v>1100</v>
      </c>
      <c r="J14" s="159">
        <f>'05 Other Outflows'!J6+'05 Other Outflows'!J7</f>
        <v>1100</v>
      </c>
      <c r="K14" s="159">
        <f>'05 Other Outflows'!K6+'05 Other Outflows'!K7</f>
        <v>1100</v>
      </c>
      <c r="L14" s="159">
        <f>'05 Other Outflows'!L6+'05 Other Outflows'!L7</f>
        <v>1100</v>
      </c>
      <c r="M14" s="159">
        <f>'05 Other Outflows'!M6+'05 Other Outflows'!M7</f>
        <v>1100</v>
      </c>
      <c r="N14" s="159">
        <f>'05 Other Outflows'!N6+'05 Other Outflows'!N7</f>
        <v>1100</v>
      </c>
      <c r="O14" s="160">
        <f t="shared" si="3"/>
        <v>14300</v>
      </c>
    </row>
    <row r="15" spans="1:15" ht="15" customHeight="1">
      <c r="A15" s="158" t="s">
        <v>615</v>
      </c>
      <c r="B15" s="159">
        <f>'05 Other Outflows'!B8</f>
        <v>0</v>
      </c>
      <c r="C15" s="159">
        <f>'05 Other Outflows'!C8</f>
        <v>0</v>
      </c>
      <c r="D15" s="159">
        <f>'05 Other Outflows'!D8</f>
        <v>2800</v>
      </c>
      <c r="E15" s="159">
        <f>'05 Other Outflows'!E8</f>
        <v>0</v>
      </c>
      <c r="F15" s="159">
        <f>'05 Other Outflows'!F8</f>
        <v>0</v>
      </c>
      <c r="G15" s="159">
        <f>'05 Other Outflows'!G8</f>
        <v>0</v>
      </c>
      <c r="H15" s="159">
        <f>'05 Other Outflows'!H8</f>
        <v>2800</v>
      </c>
      <c r="I15" s="159">
        <f>'05 Other Outflows'!I8</f>
        <v>0</v>
      </c>
      <c r="J15" s="159">
        <f>'05 Other Outflows'!J8</f>
        <v>0</v>
      </c>
      <c r="K15" s="159">
        <f>'05 Other Outflows'!K8</f>
        <v>0</v>
      </c>
      <c r="L15" s="159">
        <f>'05 Other Outflows'!L8</f>
        <v>2800</v>
      </c>
      <c r="M15" s="159">
        <f>'05 Other Outflows'!M8</f>
        <v>0</v>
      </c>
      <c r="N15" s="159">
        <f>'05 Other Outflows'!N8</f>
        <v>0</v>
      </c>
      <c r="O15" s="160">
        <f t="shared" si="3"/>
        <v>8400</v>
      </c>
    </row>
    <row r="16" spans="1:15" ht="15" customHeight="1">
      <c r="A16" s="158" t="s">
        <v>616</v>
      </c>
      <c r="B16" s="159">
        <f>'05 Other Outflows'!B9</f>
        <v>0</v>
      </c>
      <c r="C16" s="159">
        <f>'05 Other Outflows'!C9</f>
        <v>0</v>
      </c>
      <c r="D16" s="159">
        <f>'05 Other Outflows'!D9</f>
        <v>0</v>
      </c>
      <c r="E16" s="159">
        <f>'05 Other Outflows'!E9</f>
        <v>0</v>
      </c>
      <c r="F16" s="159">
        <f>'05 Other Outflows'!F9</f>
        <v>0</v>
      </c>
      <c r="G16" s="159">
        <f>'05 Other Outflows'!G9</f>
        <v>0</v>
      </c>
      <c r="H16" s="159">
        <f>'05 Other Outflows'!H9</f>
        <v>0</v>
      </c>
      <c r="I16" s="159">
        <f>'05 Other Outflows'!I9</f>
        <v>0</v>
      </c>
      <c r="J16" s="159">
        <f>'05 Other Outflows'!J9</f>
        <v>0</v>
      </c>
      <c r="K16" s="159">
        <f>'05 Other Outflows'!K9</f>
        <v>4500</v>
      </c>
      <c r="L16" s="159">
        <f>'05 Other Outflows'!L9</f>
        <v>0</v>
      </c>
      <c r="M16" s="159">
        <f>'05 Other Outflows'!M9</f>
        <v>0</v>
      </c>
      <c r="N16" s="159">
        <f>'05 Other Outflows'!N9</f>
        <v>0</v>
      </c>
      <c r="O16" s="160">
        <f t="shared" si="3"/>
        <v>4500</v>
      </c>
    </row>
    <row r="17" spans="1:15" ht="15" customHeight="1">
      <c r="A17" s="153" t="s">
        <v>631</v>
      </c>
      <c r="B17" s="161">
        <f t="shared" ref="B17:N17" si="4">SUM(B11:B16)</f>
        <v>5600</v>
      </c>
      <c r="C17" s="161">
        <f t="shared" si="4"/>
        <v>11485</v>
      </c>
      <c r="D17" s="161">
        <f t="shared" si="4"/>
        <v>13785</v>
      </c>
      <c r="E17" s="161">
        <f t="shared" si="4"/>
        <v>20070</v>
      </c>
      <c r="F17" s="161">
        <f t="shared" si="4"/>
        <v>17562.5</v>
      </c>
      <c r="G17" s="161">
        <f t="shared" si="4"/>
        <v>11485</v>
      </c>
      <c r="H17" s="161">
        <f t="shared" si="4"/>
        <v>9400</v>
      </c>
      <c r="I17" s="161">
        <f t="shared" si="4"/>
        <v>11882.5</v>
      </c>
      <c r="J17" s="161">
        <f t="shared" si="4"/>
        <v>14685</v>
      </c>
      <c r="K17" s="161">
        <f t="shared" si="4"/>
        <v>14587.5</v>
      </c>
      <c r="L17" s="161">
        <f t="shared" si="4"/>
        <v>8900</v>
      </c>
      <c r="M17" s="161">
        <f t="shared" si="4"/>
        <v>11882.5</v>
      </c>
      <c r="N17" s="161">
        <f t="shared" si="4"/>
        <v>18275</v>
      </c>
      <c r="O17" s="162">
        <f t="shared" si="3"/>
        <v>169600</v>
      </c>
    </row>
    <row r="19" spans="1:15" ht="15" customHeight="1">
      <c r="A19" s="153" t="s">
        <v>632</v>
      </c>
      <c r="B19" s="162">
        <f>B9-B17</f>
        <v>7400</v>
      </c>
      <c r="C19" s="162">
        <f t="shared" ref="C19:N19" si="5">C9-C17</f>
        <v>2515</v>
      </c>
      <c r="D19" s="162">
        <f t="shared" si="5"/>
        <v>-1285</v>
      </c>
      <c r="E19" s="162">
        <f t="shared" si="5"/>
        <v>-7070</v>
      </c>
      <c r="F19" s="162">
        <f t="shared" si="5"/>
        <v>-11562.5</v>
      </c>
      <c r="G19" s="162">
        <f t="shared" si="5"/>
        <v>2015</v>
      </c>
      <c r="H19" s="162">
        <f t="shared" si="5"/>
        <v>12100</v>
      </c>
      <c r="I19" s="162">
        <f t="shared" si="5"/>
        <v>1117.5</v>
      </c>
      <c r="J19" s="162">
        <f t="shared" si="5"/>
        <v>-185</v>
      </c>
      <c r="K19" s="162">
        <f t="shared" si="5"/>
        <v>-1587.5</v>
      </c>
      <c r="L19" s="162">
        <f t="shared" si="5"/>
        <v>5100</v>
      </c>
      <c r="M19" s="162">
        <f t="shared" si="5"/>
        <v>2617.5</v>
      </c>
      <c r="N19" s="162">
        <f t="shared" si="5"/>
        <v>-4775</v>
      </c>
      <c r="O19" s="162">
        <f>SUM(B19:N19)</f>
        <v>6400</v>
      </c>
    </row>
    <row r="20" spans="1:15" ht="15" customHeight="1">
      <c r="A20" s="170" t="s">
        <v>633</v>
      </c>
      <c r="B20" s="171">
        <f>'02 Assumptions'!$B$25</f>
        <v>17000</v>
      </c>
      <c r="C20" s="172">
        <f t="shared" ref="C20:N20" si="6">B21</f>
        <v>24400</v>
      </c>
      <c r="D20" s="172">
        <f t="shared" si="6"/>
        <v>26915</v>
      </c>
      <c r="E20" s="172">
        <f t="shared" si="6"/>
        <v>25630</v>
      </c>
      <c r="F20" s="172">
        <f t="shared" si="6"/>
        <v>18560</v>
      </c>
      <c r="G20" s="172">
        <f t="shared" si="6"/>
        <v>6997.5</v>
      </c>
      <c r="H20" s="172">
        <f t="shared" si="6"/>
        <v>9012.5</v>
      </c>
      <c r="I20" s="172">
        <f t="shared" si="6"/>
        <v>21112.5</v>
      </c>
      <c r="J20" s="172">
        <f t="shared" si="6"/>
        <v>22230</v>
      </c>
      <c r="K20" s="172">
        <f t="shared" si="6"/>
        <v>22045</v>
      </c>
      <c r="L20" s="172">
        <f t="shared" si="6"/>
        <v>20457.5</v>
      </c>
      <c r="M20" s="172">
        <f t="shared" si="6"/>
        <v>25557.5</v>
      </c>
      <c r="N20" s="172">
        <f t="shared" si="6"/>
        <v>28175</v>
      </c>
    </row>
    <row r="21" spans="1:15" ht="15" customHeight="1">
      <c r="A21" s="165" t="s">
        <v>634</v>
      </c>
      <c r="B21" s="166">
        <f>B20+B19</f>
        <v>24400</v>
      </c>
      <c r="C21" s="166">
        <f>C20+C19</f>
        <v>26915</v>
      </c>
      <c r="D21" s="166">
        <f t="shared" ref="D21:N21" si="7">D20+D19</f>
        <v>25630</v>
      </c>
      <c r="E21" s="166">
        <f t="shared" si="7"/>
        <v>18560</v>
      </c>
      <c r="F21" s="166">
        <f t="shared" si="7"/>
        <v>6997.5</v>
      </c>
      <c r="G21" s="166">
        <f t="shared" si="7"/>
        <v>9012.5</v>
      </c>
      <c r="H21" s="166">
        <f t="shared" si="7"/>
        <v>21112.5</v>
      </c>
      <c r="I21" s="166">
        <f t="shared" si="7"/>
        <v>22230</v>
      </c>
      <c r="J21" s="166">
        <f t="shared" si="7"/>
        <v>22045</v>
      </c>
      <c r="K21" s="166">
        <f t="shared" si="7"/>
        <v>20457.5</v>
      </c>
      <c r="L21" s="166">
        <f t="shared" si="7"/>
        <v>25557.5</v>
      </c>
      <c r="M21" s="166">
        <f t="shared" si="7"/>
        <v>28175</v>
      </c>
      <c r="N21" s="166">
        <f t="shared" si="7"/>
        <v>23400</v>
      </c>
    </row>
    <row r="22" spans="1:15" ht="15" customHeight="1">
      <c r="A22" s="158" t="s">
        <v>635</v>
      </c>
      <c r="B22" s="159">
        <f>'02 Assumptions'!$B$24</f>
        <v>8000</v>
      </c>
      <c r="C22" s="159">
        <f>'02 Assumptions'!$B$24</f>
        <v>8000</v>
      </c>
      <c r="D22" s="159">
        <f>'02 Assumptions'!$B$24</f>
        <v>8000</v>
      </c>
      <c r="E22" s="159">
        <f>'02 Assumptions'!$B$24</f>
        <v>8000</v>
      </c>
      <c r="F22" s="159">
        <f>'02 Assumptions'!$B$24</f>
        <v>8000</v>
      </c>
      <c r="G22" s="159">
        <f>'02 Assumptions'!$B$24</f>
        <v>8000</v>
      </c>
      <c r="H22" s="159">
        <f>'02 Assumptions'!$B$24</f>
        <v>8000</v>
      </c>
      <c r="I22" s="159">
        <f>'02 Assumptions'!$B$24</f>
        <v>8000</v>
      </c>
      <c r="J22" s="159">
        <f>'02 Assumptions'!$B$24</f>
        <v>8000</v>
      </c>
      <c r="K22" s="159">
        <f>'02 Assumptions'!$B$24</f>
        <v>8000</v>
      </c>
      <c r="L22" s="159">
        <f>'02 Assumptions'!$B$24</f>
        <v>8000</v>
      </c>
      <c r="M22" s="159">
        <f>'02 Assumptions'!$B$24</f>
        <v>8000</v>
      </c>
      <c r="N22" s="159">
        <f>'02 Assumptions'!$B$24</f>
        <v>8000</v>
      </c>
    </row>
    <row r="23" spans="1:15" ht="15" customHeight="1">
      <c r="A23" s="167" t="s">
        <v>636</v>
      </c>
      <c r="B23" s="168">
        <f t="shared" ref="B23:N23" si="8">B21-B22</f>
        <v>16400</v>
      </c>
      <c r="C23" s="168">
        <f t="shared" si="8"/>
        <v>18915</v>
      </c>
      <c r="D23" s="168">
        <f t="shared" si="8"/>
        <v>17630</v>
      </c>
      <c r="E23" s="168">
        <f t="shared" si="8"/>
        <v>10560</v>
      </c>
      <c r="F23" s="168">
        <f t="shared" si="8"/>
        <v>-1002.5</v>
      </c>
      <c r="G23" s="168">
        <f t="shared" si="8"/>
        <v>1012.5</v>
      </c>
      <c r="H23" s="168">
        <f t="shared" si="8"/>
        <v>13112.5</v>
      </c>
      <c r="I23" s="168">
        <f t="shared" si="8"/>
        <v>14230</v>
      </c>
      <c r="J23" s="168">
        <f t="shared" si="8"/>
        <v>14045</v>
      </c>
      <c r="K23" s="168">
        <f t="shared" si="8"/>
        <v>12457.5</v>
      </c>
      <c r="L23" s="168">
        <f t="shared" si="8"/>
        <v>17557.5</v>
      </c>
      <c r="M23" s="168">
        <f t="shared" si="8"/>
        <v>20175</v>
      </c>
      <c r="N23" s="168">
        <f t="shared" si="8"/>
        <v>15400</v>
      </c>
    </row>
    <row r="24" spans="1:15" ht="15" customHeight="1">
      <c r="A24" s="167" t="s">
        <v>464</v>
      </c>
      <c r="B24" s="169" t="str">
        <f t="shared" ref="B24:N24" si="9">IF(B21&lt;B22,"SHORTAGE","OK")</f>
        <v>OK</v>
      </c>
      <c r="C24" s="169" t="str">
        <f t="shared" si="9"/>
        <v>OK</v>
      </c>
      <c r="D24" s="169" t="str">
        <f t="shared" si="9"/>
        <v>OK</v>
      </c>
      <c r="E24" s="169" t="str">
        <f t="shared" si="9"/>
        <v>OK</v>
      </c>
      <c r="F24" s="169" t="str">
        <f t="shared" si="9"/>
        <v>SHORTAGE</v>
      </c>
      <c r="G24" s="169" t="str">
        <f t="shared" si="9"/>
        <v>OK</v>
      </c>
      <c r="H24" s="169" t="str">
        <f t="shared" si="9"/>
        <v>OK</v>
      </c>
      <c r="I24" s="169" t="str">
        <f t="shared" si="9"/>
        <v>OK</v>
      </c>
      <c r="J24" s="169" t="str">
        <f t="shared" si="9"/>
        <v>OK</v>
      </c>
      <c r="K24" s="169" t="str">
        <f t="shared" si="9"/>
        <v>OK</v>
      </c>
      <c r="L24" s="169" t="str">
        <f t="shared" si="9"/>
        <v>OK</v>
      </c>
      <c r="M24" s="169" t="str">
        <f t="shared" si="9"/>
        <v>OK</v>
      </c>
      <c r="N24" s="169" t="str">
        <f t="shared" si="9"/>
        <v>OK</v>
      </c>
    </row>
    <row r="26" spans="1:15" ht="15" customHeight="1">
      <c r="A26" s="36" t="s">
        <v>637</v>
      </c>
    </row>
    <row r="27" spans="1:15" ht="15" customHeight="1">
      <c r="A27" s="241" t="s">
        <v>638</v>
      </c>
      <c r="B27" s="241"/>
      <c r="C27" s="241"/>
      <c r="D27" s="241"/>
      <c r="E27" s="241"/>
      <c r="F27" s="241"/>
      <c r="G27" s="241"/>
      <c r="H27" s="241"/>
    </row>
    <row r="28" spans="1:15" ht="15" customHeight="1">
      <c r="A28" s="241"/>
      <c r="B28" s="241"/>
      <c r="C28" s="241"/>
      <c r="D28" s="241"/>
      <c r="E28" s="241"/>
      <c r="F28" s="241"/>
      <c r="G28" s="241"/>
      <c r="H28" s="241"/>
    </row>
    <row r="29" spans="1:15" ht="15" customHeight="1">
      <c r="A29" s="241"/>
      <c r="B29" s="241"/>
      <c r="C29" s="241"/>
      <c r="D29" s="241"/>
      <c r="E29" s="241"/>
      <c r="F29" s="241"/>
      <c r="G29" s="241"/>
      <c r="H29" s="241"/>
    </row>
    <row r="30" spans="1:15" ht="15" customHeight="1">
      <c r="A30" s="241"/>
      <c r="B30" s="241"/>
      <c r="C30" s="241"/>
      <c r="D30" s="241"/>
      <c r="E30" s="241"/>
      <c r="F30" s="241"/>
      <c r="G30" s="241"/>
      <c r="H30" s="241"/>
    </row>
    <row r="31" spans="1:15" ht="15" customHeight="1">
      <c r="A31" s="241"/>
      <c r="B31" s="241"/>
      <c r="C31" s="241"/>
      <c r="D31" s="241"/>
      <c r="E31" s="241"/>
      <c r="F31" s="241"/>
      <c r="G31" s="241"/>
      <c r="H31" s="241"/>
    </row>
  </sheetData>
  <mergeCells count="3">
    <mergeCell ref="A27:H31"/>
    <mergeCell ref="A1:O1"/>
    <mergeCell ref="A2:O2"/>
  </mergeCells>
  <conditionalFormatting sqref="B21:N21">
    <cfRule type="expression" dxfId="2" priority="2">
      <formula>B21&lt;B22</formula>
    </cfRule>
  </conditionalFormatting>
  <conditionalFormatting sqref="B23:N23">
    <cfRule type="expression" dxfId="1" priority="3">
      <formula>B21&lt;B22</formula>
    </cfRule>
  </conditionalFormatting>
  <conditionalFormatting sqref="B24:N24">
    <cfRule type="expression" dxfId="0" priority="4">
      <formula>B21&lt;B22</formula>
    </cfRule>
  </conditionalFormatting>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9"/>
  <sheetViews>
    <sheetView showGridLines="0" zoomScaleNormal="100" workbookViewId="0">
      <pane xSplit="5" ySplit="4" topLeftCell="F5" activePane="bottomRight" state="frozen"/>
      <selection pane="bottomRight" activeCell="O23" sqref="O23"/>
      <selection pane="bottomLeft" activeCell="A5" sqref="A5"/>
      <selection pane="topRight" activeCell="F1" sqref="F1"/>
    </sheetView>
  </sheetViews>
  <sheetFormatPr defaultColWidth="8.5703125" defaultRowHeight="15"/>
  <cols>
    <col min="1" max="1" width="8" style="10" customWidth="1"/>
    <col min="2" max="2" width="30" style="10" customWidth="1"/>
    <col min="3" max="3" width="32" style="10" customWidth="1"/>
    <col min="4" max="4" width="10" style="10" customWidth="1"/>
    <col min="5" max="5" width="14" style="10" customWidth="1"/>
    <col min="6" max="6" width="9" style="10" customWidth="1"/>
    <col min="7" max="7" width="10" style="10" customWidth="1"/>
    <col min="8" max="8" width="14" style="10" customWidth="1"/>
    <col min="9" max="9" width="13" style="10" customWidth="1"/>
    <col min="10" max="10" width="15" style="10" customWidth="1"/>
    <col min="11" max="11" width="13" style="10" customWidth="1"/>
    <col min="12" max="12" width="42" style="11" customWidth="1"/>
    <col min="13" max="16384" width="8.5703125" style="10"/>
  </cols>
  <sheetData>
    <row r="1" spans="1:12" ht="20.25">
      <c r="A1" s="243" t="s">
        <v>639</v>
      </c>
      <c r="B1" s="243"/>
      <c r="C1" s="243"/>
      <c r="D1" s="243"/>
      <c r="E1" s="243"/>
      <c r="F1" s="243"/>
      <c r="G1" s="243"/>
      <c r="H1" s="243"/>
      <c r="I1" s="243"/>
      <c r="J1" s="243"/>
      <c r="K1" s="243"/>
      <c r="L1" s="243"/>
    </row>
    <row r="2" spans="1:12">
      <c r="A2" s="244" t="s">
        <v>640</v>
      </c>
      <c r="B2" s="244"/>
      <c r="C2" s="244"/>
      <c r="D2" s="244"/>
      <c r="E2" s="244"/>
      <c r="F2" s="244"/>
      <c r="G2" s="244"/>
      <c r="H2" s="244"/>
      <c r="I2" s="244"/>
      <c r="J2" s="244"/>
      <c r="K2" s="244"/>
      <c r="L2" s="244"/>
    </row>
    <row r="4" spans="1:12">
      <c r="A4" s="142" t="s">
        <v>641</v>
      </c>
      <c r="B4" s="142" t="s">
        <v>642</v>
      </c>
      <c r="C4" s="142" t="s">
        <v>597</v>
      </c>
      <c r="D4" s="142" t="s">
        <v>532</v>
      </c>
      <c r="E4" s="142" t="s">
        <v>533</v>
      </c>
      <c r="F4" s="142" t="s">
        <v>643</v>
      </c>
      <c r="G4" s="142" t="s">
        <v>536</v>
      </c>
      <c r="H4" s="142" t="s">
        <v>537</v>
      </c>
      <c r="I4" s="142" t="s">
        <v>538</v>
      </c>
      <c r="J4" s="142" t="s">
        <v>539</v>
      </c>
      <c r="K4" s="142" t="s">
        <v>644</v>
      </c>
      <c r="L4" s="142" t="s">
        <v>541</v>
      </c>
    </row>
    <row r="5" spans="1:12">
      <c r="A5" s="103" t="s">
        <v>645</v>
      </c>
      <c r="B5" s="104" t="s">
        <v>646</v>
      </c>
      <c r="C5" s="104" t="s">
        <v>647</v>
      </c>
      <c r="D5" s="103">
        <v>30</v>
      </c>
      <c r="E5" s="105">
        <v>46246</v>
      </c>
      <c r="F5" s="103">
        <v>2</v>
      </c>
      <c r="G5" s="143" t="s">
        <v>572</v>
      </c>
      <c r="H5" s="106"/>
      <c r="I5" s="106">
        <v>300000</v>
      </c>
      <c r="J5" s="107">
        <f>IF(G5="USD",I5*'02 Assumptions'!$B$16/1000000,H5)</f>
        <v>5385</v>
      </c>
      <c r="K5" s="144" t="s">
        <v>648</v>
      </c>
      <c r="L5" s="108" t="s">
        <v>649</v>
      </c>
    </row>
    <row r="6" spans="1:12">
      <c r="A6" s="109" t="s">
        <v>650</v>
      </c>
      <c r="B6" s="110" t="s">
        <v>651</v>
      </c>
      <c r="C6" s="110" t="s">
        <v>647</v>
      </c>
      <c r="D6" s="109">
        <v>30</v>
      </c>
      <c r="E6" s="111">
        <v>46253</v>
      </c>
      <c r="F6" s="109">
        <v>3</v>
      </c>
      <c r="G6" s="145" t="s">
        <v>572</v>
      </c>
      <c r="H6" s="112"/>
      <c r="I6" s="112">
        <v>300000</v>
      </c>
      <c r="J6" s="113">
        <f>IF(G6="USD",I6*'02 Assumptions'!$B$16/1000000,H6)</f>
        <v>5385</v>
      </c>
      <c r="K6" s="146" t="s">
        <v>648</v>
      </c>
      <c r="L6" s="114"/>
    </row>
    <row r="7" spans="1:12">
      <c r="A7" s="103" t="s">
        <v>652</v>
      </c>
      <c r="B7" s="104" t="s">
        <v>653</v>
      </c>
      <c r="C7" s="104" t="s">
        <v>654</v>
      </c>
      <c r="D7" s="103">
        <v>45</v>
      </c>
      <c r="E7" s="105">
        <v>46260</v>
      </c>
      <c r="F7" s="103">
        <v>4</v>
      </c>
      <c r="G7" s="143" t="s">
        <v>572</v>
      </c>
      <c r="H7" s="106"/>
      <c r="I7" s="106">
        <v>600000</v>
      </c>
      <c r="J7" s="107">
        <f>IF(G7="USD",I7*'02 Assumptions'!$B$16/1000000,H7)</f>
        <v>10770</v>
      </c>
      <c r="K7" s="144" t="s">
        <v>648</v>
      </c>
      <c r="L7" s="108"/>
    </row>
    <row r="8" spans="1:12" ht="22.5">
      <c r="A8" s="109" t="s">
        <v>655</v>
      </c>
      <c r="B8" s="110" t="s">
        <v>646</v>
      </c>
      <c r="C8" s="110" t="s">
        <v>656</v>
      </c>
      <c r="D8" s="109">
        <v>30</v>
      </c>
      <c r="E8" s="111">
        <v>46267</v>
      </c>
      <c r="F8" s="115">
        <v>5</v>
      </c>
      <c r="G8" s="145" t="s">
        <v>572</v>
      </c>
      <c r="H8" s="112"/>
      <c r="I8" s="112">
        <v>750000</v>
      </c>
      <c r="J8" s="113">
        <f>IF(G8="USD",I8*'02 Assumptions'!$B$16/1000000,H8)</f>
        <v>13462.5</v>
      </c>
      <c r="K8" s="146" t="s">
        <v>648</v>
      </c>
      <c r="L8" s="114" t="s">
        <v>657</v>
      </c>
    </row>
    <row r="9" spans="1:12">
      <c r="A9" s="103" t="s">
        <v>658</v>
      </c>
      <c r="B9" s="104" t="s">
        <v>651</v>
      </c>
      <c r="C9" s="104" t="s">
        <v>647</v>
      </c>
      <c r="D9" s="103">
        <v>30</v>
      </c>
      <c r="E9" s="105">
        <v>46274</v>
      </c>
      <c r="F9" s="103">
        <v>6</v>
      </c>
      <c r="G9" s="143" t="s">
        <v>572</v>
      </c>
      <c r="H9" s="106"/>
      <c r="I9" s="106">
        <v>300000</v>
      </c>
      <c r="J9" s="107">
        <f>IF(G9="USD",I9*'02 Assumptions'!$B$16/1000000,H9)</f>
        <v>5385</v>
      </c>
      <c r="K9" s="144" t="s">
        <v>648</v>
      </c>
      <c r="L9" s="108"/>
    </row>
    <row r="10" spans="1:12">
      <c r="A10" s="109" t="s">
        <v>659</v>
      </c>
      <c r="B10" s="110" t="s">
        <v>653</v>
      </c>
      <c r="C10" s="110" t="s">
        <v>647</v>
      </c>
      <c r="D10" s="109">
        <v>45</v>
      </c>
      <c r="E10" s="111">
        <v>46288</v>
      </c>
      <c r="F10" s="109">
        <v>8</v>
      </c>
      <c r="G10" s="145" t="s">
        <v>572</v>
      </c>
      <c r="H10" s="112"/>
      <c r="I10" s="112">
        <v>350000</v>
      </c>
      <c r="J10" s="113">
        <f>IF(G10="USD",I10*'02 Assumptions'!$B$16/1000000,H10)</f>
        <v>6282.5</v>
      </c>
      <c r="K10" s="146" t="s">
        <v>648</v>
      </c>
      <c r="L10" s="114"/>
    </row>
    <row r="11" spans="1:12">
      <c r="A11" s="103" t="s">
        <v>660</v>
      </c>
      <c r="B11" s="104" t="s">
        <v>646</v>
      </c>
      <c r="C11" s="104" t="s">
        <v>647</v>
      </c>
      <c r="D11" s="103">
        <v>30</v>
      </c>
      <c r="E11" s="105">
        <v>46295</v>
      </c>
      <c r="F11" s="103">
        <v>9</v>
      </c>
      <c r="G11" s="143" t="s">
        <v>572</v>
      </c>
      <c r="H11" s="106"/>
      <c r="I11" s="106">
        <v>300000</v>
      </c>
      <c r="J11" s="107">
        <f>IF(G11="USD",I11*'02 Assumptions'!$B$16/1000000,H11)</f>
        <v>5385</v>
      </c>
      <c r="K11" s="144" t="s">
        <v>648</v>
      </c>
      <c r="L11" s="108"/>
    </row>
    <row r="12" spans="1:12">
      <c r="A12" s="109" t="s">
        <v>661</v>
      </c>
      <c r="B12" s="110" t="s">
        <v>651</v>
      </c>
      <c r="C12" s="110" t="s">
        <v>647</v>
      </c>
      <c r="D12" s="109">
        <v>30</v>
      </c>
      <c r="E12" s="111">
        <v>46302</v>
      </c>
      <c r="F12" s="109">
        <v>10</v>
      </c>
      <c r="G12" s="145" t="s">
        <v>572</v>
      </c>
      <c r="H12" s="112"/>
      <c r="I12" s="112">
        <v>250000</v>
      </c>
      <c r="J12" s="113">
        <f>IF(G12="USD",I12*'02 Assumptions'!$B$16/1000000,H12)</f>
        <v>4487.5</v>
      </c>
      <c r="K12" s="146" t="s">
        <v>648</v>
      </c>
      <c r="L12" s="114"/>
    </row>
    <row r="13" spans="1:12">
      <c r="A13" s="103" t="s">
        <v>662</v>
      </c>
      <c r="B13" s="104" t="s">
        <v>653</v>
      </c>
      <c r="C13" s="104" t="s">
        <v>647</v>
      </c>
      <c r="D13" s="103">
        <v>45</v>
      </c>
      <c r="E13" s="105">
        <v>46316</v>
      </c>
      <c r="F13" s="103">
        <v>12</v>
      </c>
      <c r="G13" s="143" t="s">
        <v>572</v>
      </c>
      <c r="H13" s="106"/>
      <c r="I13" s="106">
        <v>350000</v>
      </c>
      <c r="J13" s="107">
        <f>IF(G13="USD",I13*'02 Assumptions'!$B$16/1000000,H13)</f>
        <v>6282.5</v>
      </c>
      <c r="K13" s="144" t="s">
        <v>648</v>
      </c>
      <c r="L13" s="108"/>
    </row>
    <row r="14" spans="1:12">
      <c r="A14" s="109" t="s">
        <v>663</v>
      </c>
      <c r="B14" s="110" t="s">
        <v>646</v>
      </c>
      <c r="C14" s="110" t="s">
        <v>654</v>
      </c>
      <c r="D14" s="109">
        <v>30</v>
      </c>
      <c r="E14" s="111">
        <v>46323</v>
      </c>
      <c r="F14" s="109">
        <v>13</v>
      </c>
      <c r="G14" s="145" t="s">
        <v>572</v>
      </c>
      <c r="H14" s="112"/>
      <c r="I14" s="112">
        <v>500000</v>
      </c>
      <c r="J14" s="113">
        <f>IF(G14="USD",I14*'02 Assumptions'!$B$16/1000000,H14)</f>
        <v>8975</v>
      </c>
      <c r="K14" s="146" t="s">
        <v>648</v>
      </c>
      <c r="L14" s="114"/>
    </row>
    <row r="15" spans="1:12">
      <c r="A15" s="103" t="s">
        <v>664</v>
      </c>
      <c r="B15" s="104" t="s">
        <v>665</v>
      </c>
      <c r="C15" s="104" t="s">
        <v>666</v>
      </c>
      <c r="D15" s="103">
        <v>30</v>
      </c>
      <c r="E15" s="105">
        <v>46239</v>
      </c>
      <c r="F15" s="103">
        <v>1</v>
      </c>
      <c r="G15" s="103" t="s">
        <v>498</v>
      </c>
      <c r="H15" s="106">
        <v>4500</v>
      </c>
      <c r="I15" s="106"/>
      <c r="J15" s="107">
        <f>IF(G15="USD",I15*'02 Assumptions'!$B$16/1000000,H15)</f>
        <v>4500</v>
      </c>
      <c r="K15" s="144" t="s">
        <v>648</v>
      </c>
      <c r="L15" s="108"/>
    </row>
    <row r="16" spans="1:12">
      <c r="A16" s="109" t="s">
        <v>667</v>
      </c>
      <c r="B16" s="110" t="s">
        <v>478</v>
      </c>
      <c r="C16" s="110" t="s">
        <v>668</v>
      </c>
      <c r="D16" s="109">
        <v>30</v>
      </c>
      <c r="E16" s="111">
        <v>46246</v>
      </c>
      <c r="F16" s="109">
        <v>2</v>
      </c>
      <c r="G16" s="109" t="s">
        <v>498</v>
      </c>
      <c r="H16" s="112">
        <v>5000</v>
      </c>
      <c r="I16" s="112"/>
      <c r="J16" s="113">
        <f>IF(G16="USD",I16*'02 Assumptions'!$B$16/1000000,H16)</f>
        <v>5000</v>
      </c>
      <c r="K16" s="116" t="s">
        <v>669</v>
      </c>
      <c r="L16" s="114" t="s">
        <v>670</v>
      </c>
    </row>
    <row r="17" spans="1:12">
      <c r="A17" s="103" t="s">
        <v>671</v>
      </c>
      <c r="B17" s="104" t="s">
        <v>672</v>
      </c>
      <c r="C17" s="104" t="s">
        <v>673</v>
      </c>
      <c r="D17" s="103">
        <v>30</v>
      </c>
      <c r="E17" s="105">
        <v>46253</v>
      </c>
      <c r="F17" s="103">
        <v>3</v>
      </c>
      <c r="G17" s="103" t="s">
        <v>498</v>
      </c>
      <c r="H17" s="106">
        <v>4500</v>
      </c>
      <c r="I17" s="106"/>
      <c r="J17" s="107">
        <f>IF(G17="USD",I17*'02 Assumptions'!$B$16/1000000,H17)</f>
        <v>4500</v>
      </c>
      <c r="K17" s="144" t="s">
        <v>648</v>
      </c>
      <c r="L17" s="108"/>
    </row>
    <row r="18" spans="1:12">
      <c r="A18" s="109" t="s">
        <v>674</v>
      </c>
      <c r="B18" s="110" t="s">
        <v>665</v>
      </c>
      <c r="C18" s="110" t="s">
        <v>666</v>
      </c>
      <c r="D18" s="109">
        <v>30</v>
      </c>
      <c r="E18" s="111">
        <v>46260</v>
      </c>
      <c r="F18" s="109">
        <v>4</v>
      </c>
      <c r="G18" s="109" t="s">
        <v>498</v>
      </c>
      <c r="H18" s="112">
        <v>5000</v>
      </c>
      <c r="I18" s="112"/>
      <c r="J18" s="113">
        <f>IF(G18="USD",I18*'02 Assumptions'!$B$16/1000000,H18)</f>
        <v>5000</v>
      </c>
      <c r="K18" s="146" t="s">
        <v>648</v>
      </c>
      <c r="L18" s="114"/>
    </row>
    <row r="19" spans="1:12" ht="33.75">
      <c r="A19" s="103" t="s">
        <v>675</v>
      </c>
      <c r="B19" s="104" t="s">
        <v>478</v>
      </c>
      <c r="C19" s="104" t="s">
        <v>668</v>
      </c>
      <c r="D19" s="103">
        <v>45</v>
      </c>
      <c r="E19" s="105">
        <v>46267</v>
      </c>
      <c r="F19" s="103">
        <v>5</v>
      </c>
      <c r="G19" s="103" t="s">
        <v>498</v>
      </c>
      <c r="H19" s="106">
        <v>3000</v>
      </c>
      <c r="I19" s="106"/>
      <c r="J19" s="107">
        <f>IF(G19="USD",I19*'02 Assumptions'!$B$16/1000000,H19)</f>
        <v>3000</v>
      </c>
      <c r="K19" s="147" t="s">
        <v>669</v>
      </c>
      <c r="L19" s="108" t="s">
        <v>676</v>
      </c>
    </row>
    <row r="20" spans="1:12">
      <c r="A20" s="109" t="s">
        <v>677</v>
      </c>
      <c r="B20" s="110" t="s">
        <v>672</v>
      </c>
      <c r="C20" s="110" t="s">
        <v>673</v>
      </c>
      <c r="D20" s="109">
        <v>30</v>
      </c>
      <c r="E20" s="111">
        <v>46274</v>
      </c>
      <c r="F20" s="109">
        <v>6</v>
      </c>
      <c r="G20" s="109" t="s">
        <v>498</v>
      </c>
      <c r="H20" s="112">
        <v>5000</v>
      </c>
      <c r="I20" s="112"/>
      <c r="J20" s="113">
        <f>IF(G20="USD",I20*'02 Assumptions'!$B$16/1000000,H20)</f>
        <v>5000</v>
      </c>
      <c r="K20" s="146" t="s">
        <v>648</v>
      </c>
      <c r="L20" s="114"/>
    </row>
    <row r="21" spans="1:12">
      <c r="A21" s="103" t="s">
        <v>678</v>
      </c>
      <c r="B21" s="104" t="s">
        <v>665</v>
      </c>
      <c r="C21" s="104" t="s">
        <v>666</v>
      </c>
      <c r="D21" s="103">
        <v>30</v>
      </c>
      <c r="E21" s="105">
        <v>46281</v>
      </c>
      <c r="F21" s="103">
        <v>7</v>
      </c>
      <c r="G21" s="103" t="s">
        <v>498</v>
      </c>
      <c r="H21" s="106">
        <v>5500</v>
      </c>
      <c r="I21" s="106"/>
      <c r="J21" s="107">
        <f>IF(G21="USD",I21*'02 Assumptions'!$B$16/1000000,H21)</f>
        <v>5500</v>
      </c>
      <c r="K21" s="144" t="s">
        <v>648</v>
      </c>
      <c r="L21" s="108"/>
    </row>
    <row r="22" spans="1:12">
      <c r="A22" s="109" t="s">
        <v>679</v>
      </c>
      <c r="B22" s="110" t="s">
        <v>478</v>
      </c>
      <c r="C22" s="110" t="s">
        <v>668</v>
      </c>
      <c r="D22" s="109">
        <v>30</v>
      </c>
      <c r="E22" s="111">
        <v>46288</v>
      </c>
      <c r="F22" s="109">
        <v>8</v>
      </c>
      <c r="G22" s="109" t="s">
        <v>498</v>
      </c>
      <c r="H22" s="112">
        <v>4500</v>
      </c>
      <c r="I22" s="112"/>
      <c r="J22" s="113">
        <f>IF(G22="USD",I22*'02 Assumptions'!$B$16/1000000,H22)</f>
        <v>4500</v>
      </c>
      <c r="K22" s="146" t="s">
        <v>648</v>
      </c>
      <c r="L22" s="114"/>
    </row>
    <row r="23" spans="1:12">
      <c r="A23" s="103" t="s">
        <v>680</v>
      </c>
      <c r="B23" s="104" t="s">
        <v>672</v>
      </c>
      <c r="C23" s="104" t="s">
        <v>673</v>
      </c>
      <c r="D23" s="103">
        <v>30</v>
      </c>
      <c r="E23" s="105">
        <v>46295</v>
      </c>
      <c r="F23" s="103">
        <v>9</v>
      </c>
      <c r="G23" s="103" t="s">
        <v>498</v>
      </c>
      <c r="H23" s="106">
        <v>5000</v>
      </c>
      <c r="I23" s="106"/>
      <c r="J23" s="107">
        <f>IF(G23="USD",I23*'02 Assumptions'!$B$16/1000000,H23)</f>
        <v>5000</v>
      </c>
      <c r="K23" s="144" t="s">
        <v>648</v>
      </c>
      <c r="L23" s="108"/>
    </row>
    <row r="24" spans="1:12">
      <c r="A24" s="109" t="s">
        <v>681</v>
      </c>
      <c r="B24" s="110" t="s">
        <v>665</v>
      </c>
      <c r="C24" s="110" t="s">
        <v>666</v>
      </c>
      <c r="D24" s="109">
        <v>30</v>
      </c>
      <c r="E24" s="111">
        <v>46302</v>
      </c>
      <c r="F24" s="109">
        <v>10</v>
      </c>
      <c r="G24" s="109" t="s">
        <v>498</v>
      </c>
      <c r="H24" s="112">
        <v>4500</v>
      </c>
      <c r="I24" s="112"/>
      <c r="J24" s="113">
        <f>IF(G24="USD",I24*'02 Assumptions'!$B$16/1000000,H24)</f>
        <v>4500</v>
      </c>
      <c r="K24" s="146" t="s">
        <v>648</v>
      </c>
      <c r="L24" s="114"/>
    </row>
    <row r="25" spans="1:12">
      <c r="A25" s="103" t="s">
        <v>682</v>
      </c>
      <c r="B25" s="104" t="s">
        <v>478</v>
      </c>
      <c r="C25" s="104" t="s">
        <v>668</v>
      </c>
      <c r="D25" s="103">
        <v>30</v>
      </c>
      <c r="E25" s="105">
        <v>46309</v>
      </c>
      <c r="F25" s="103">
        <v>11</v>
      </c>
      <c r="G25" s="103" t="s">
        <v>498</v>
      </c>
      <c r="H25" s="106">
        <v>5000</v>
      </c>
      <c r="I25" s="106"/>
      <c r="J25" s="107">
        <f>IF(G25="USD",I25*'02 Assumptions'!$B$16/1000000,H25)</f>
        <v>5000</v>
      </c>
      <c r="K25" s="144" t="s">
        <v>648</v>
      </c>
      <c r="L25" s="108"/>
    </row>
    <row r="26" spans="1:12">
      <c r="A26" s="109" t="s">
        <v>683</v>
      </c>
      <c r="B26" s="110" t="s">
        <v>672</v>
      </c>
      <c r="C26" s="110" t="s">
        <v>673</v>
      </c>
      <c r="D26" s="109">
        <v>30</v>
      </c>
      <c r="E26" s="111">
        <v>46316</v>
      </c>
      <c r="F26" s="109">
        <v>12</v>
      </c>
      <c r="G26" s="109" t="s">
        <v>498</v>
      </c>
      <c r="H26" s="112">
        <v>4500</v>
      </c>
      <c r="I26" s="112"/>
      <c r="J26" s="113">
        <f>IF(G26="USD",I26*'02 Assumptions'!$B$16/1000000,H26)</f>
        <v>4500</v>
      </c>
      <c r="K26" s="146" t="s">
        <v>648</v>
      </c>
      <c r="L26" s="114"/>
    </row>
    <row r="27" spans="1:12">
      <c r="A27" s="103" t="s">
        <v>684</v>
      </c>
      <c r="B27" s="104" t="s">
        <v>665</v>
      </c>
      <c r="C27" s="104" t="s">
        <v>666</v>
      </c>
      <c r="D27" s="103">
        <v>30</v>
      </c>
      <c r="E27" s="105">
        <v>46323</v>
      </c>
      <c r="F27" s="103">
        <v>13</v>
      </c>
      <c r="G27" s="103" t="s">
        <v>498</v>
      </c>
      <c r="H27" s="106">
        <v>5000</v>
      </c>
      <c r="I27" s="106"/>
      <c r="J27" s="107">
        <f>IF(G27="USD",I27*'02 Assumptions'!$B$16/1000000,H27)</f>
        <v>5000</v>
      </c>
      <c r="K27" s="144" t="s">
        <v>648</v>
      </c>
      <c r="L27" s="108"/>
    </row>
    <row r="29" spans="1:12" ht="22.5">
      <c r="A29" s="73" t="s">
        <v>593</v>
      </c>
      <c r="H29" s="117">
        <f>SUMIF(G5:G27,"IDR",H5:H27)</f>
        <v>61000</v>
      </c>
      <c r="I29" s="117">
        <f>SUMIF(G5:G27,"USD",I5:I27)</f>
        <v>4000000</v>
      </c>
      <c r="J29" s="117">
        <f>SUM(J5:J27)</f>
        <v>132800</v>
      </c>
      <c r="L29" s="118" t="s">
        <v>685</v>
      </c>
    </row>
  </sheetData>
  <autoFilter ref="A4:L4" xr:uid="{00000000-0001-0000-0400-000000000000}"/>
  <mergeCells count="2">
    <mergeCell ref="A1:L1"/>
    <mergeCell ref="A2:L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7"/>
  <sheetViews>
    <sheetView showGridLines="0" zoomScaleNormal="100" workbookViewId="0">
      <selection activeCell="K25" sqref="K25"/>
    </sheetView>
  </sheetViews>
  <sheetFormatPr defaultColWidth="8.5703125" defaultRowHeight="15"/>
  <cols>
    <col min="1" max="1" width="42" customWidth="1"/>
    <col min="2" max="2" width="18" style="88" customWidth="1"/>
    <col min="3" max="3" width="16" customWidth="1"/>
    <col min="4" max="4" width="20" customWidth="1"/>
    <col min="5" max="5" width="20" style="88" customWidth="1"/>
    <col min="6" max="6" width="30" customWidth="1"/>
  </cols>
  <sheetData>
    <row r="1" spans="1:6" ht="20.25">
      <c r="A1" s="239" t="s">
        <v>686</v>
      </c>
      <c r="B1" s="239"/>
      <c r="C1" s="239"/>
      <c r="D1" s="239"/>
      <c r="E1" s="239"/>
      <c r="F1" s="239"/>
    </row>
    <row r="2" spans="1:6">
      <c r="A2" s="242" t="s">
        <v>687</v>
      </c>
      <c r="B2" s="242"/>
      <c r="C2" s="242"/>
      <c r="D2" s="242"/>
      <c r="E2" s="242"/>
      <c r="F2" s="242"/>
    </row>
    <row r="4" spans="1:6">
      <c r="A4" s="245" t="s">
        <v>688</v>
      </c>
      <c r="B4" s="245"/>
      <c r="C4" s="245"/>
      <c r="D4" s="245"/>
      <c r="E4" s="245"/>
      <c r="F4" s="245"/>
    </row>
    <row r="5" spans="1:6">
      <c r="A5" s="37" t="s">
        <v>689</v>
      </c>
      <c r="B5" s="93">
        <f>'04 AP USD Payables'!I29</f>
        <v>4000000</v>
      </c>
      <c r="C5" s="39" t="s">
        <v>572</v>
      </c>
    </row>
    <row r="6" spans="1:6">
      <c r="A6" s="37" t="s">
        <v>690</v>
      </c>
      <c r="B6" s="93">
        <f>'03 AR Collections'!K32</f>
        <v>700000</v>
      </c>
      <c r="C6" s="39" t="s">
        <v>572</v>
      </c>
    </row>
    <row r="7" spans="1:6">
      <c r="A7" s="40" t="s">
        <v>691</v>
      </c>
      <c r="B7" s="94">
        <f>B5-B6</f>
        <v>3300000</v>
      </c>
      <c r="C7" s="41" t="s">
        <v>572</v>
      </c>
    </row>
    <row r="8" spans="1:6">
      <c r="A8" s="37" t="s">
        <v>692</v>
      </c>
      <c r="B8" s="95">
        <f>B7*'02 Assumptions'!$B$16/1000000</f>
        <v>59235</v>
      </c>
      <c r="C8" s="39" t="s">
        <v>693</v>
      </c>
    </row>
    <row r="10" spans="1:6">
      <c r="A10" s="245" t="s">
        <v>694</v>
      </c>
      <c r="B10" s="245"/>
      <c r="C10" s="245"/>
      <c r="D10" s="245"/>
      <c r="E10" s="245"/>
      <c r="F10" s="245"/>
    </row>
    <row r="11" spans="1:6" ht="24">
      <c r="A11" s="141" t="s">
        <v>194</v>
      </c>
      <c r="B11" s="141" t="s">
        <v>695</v>
      </c>
      <c r="C11" s="141" t="s">
        <v>696</v>
      </c>
      <c r="D11" s="141" t="s">
        <v>697</v>
      </c>
      <c r="E11" s="141" t="s">
        <v>698</v>
      </c>
    </row>
    <row r="12" spans="1:6">
      <c r="A12" s="30" t="s">
        <v>699</v>
      </c>
      <c r="B12" s="96">
        <f>'02 Assumptions'!$B$16</f>
        <v>17950</v>
      </c>
      <c r="C12" s="43">
        <f>B12-'02 Assumptions'!$B$16</f>
        <v>0</v>
      </c>
      <c r="D12" s="44">
        <v>0</v>
      </c>
      <c r="E12" s="25" t="s">
        <v>700</v>
      </c>
    </row>
    <row r="13" spans="1:6">
      <c r="A13" s="28" t="s">
        <v>701</v>
      </c>
      <c r="B13" s="97">
        <f>'02 Assumptions'!$B$20</f>
        <v>18488.5</v>
      </c>
      <c r="C13" s="45">
        <f>B13-'02 Assumptions'!$B$16</f>
        <v>538.5</v>
      </c>
      <c r="D13" s="46">
        <f>$B$7*('02 Assumptions'!$B$16-B13)/1000000</f>
        <v>-1777.05</v>
      </c>
      <c r="E13" s="23" t="s">
        <v>702</v>
      </c>
    </row>
    <row r="14" spans="1:6">
      <c r="A14" s="30" t="s">
        <v>703</v>
      </c>
      <c r="B14" s="96">
        <f>'02 Assumptions'!$B$21</f>
        <v>19027</v>
      </c>
      <c r="C14" s="43">
        <f>B14-'02 Assumptions'!$B$16</f>
        <v>1077</v>
      </c>
      <c r="D14" s="47">
        <f>$B$7*('02 Assumptions'!$B$16-B14)/1000000</f>
        <v>-3554.1</v>
      </c>
      <c r="E14" s="25" t="s">
        <v>704</v>
      </c>
    </row>
    <row r="15" spans="1:6" ht="22.5">
      <c r="A15" s="28" t="s">
        <v>705</v>
      </c>
      <c r="B15" s="97">
        <f>'02 Assumptions'!$B$17</f>
        <v>18120</v>
      </c>
      <c r="C15" s="45">
        <f>B15-'02 Assumptions'!$B$16</f>
        <v>170</v>
      </c>
      <c r="D15" s="35">
        <f>$B$7*('02 Assumptions'!$B$16-B15)/1000000</f>
        <v>-561</v>
      </c>
      <c r="E15" s="23" t="s">
        <v>706</v>
      </c>
    </row>
    <row r="16" spans="1:6">
      <c r="A16" s="2" t="s">
        <v>707</v>
      </c>
    </row>
    <row r="18" spans="1:6">
      <c r="A18" s="245" t="s">
        <v>708</v>
      </c>
      <c r="B18" s="245"/>
      <c r="C18" s="245"/>
      <c r="D18" s="245"/>
      <c r="E18" s="245"/>
      <c r="F18" s="245"/>
    </row>
    <row r="19" spans="1:6">
      <c r="A19" s="37" t="s">
        <v>709</v>
      </c>
      <c r="B19" s="98">
        <v>2000000</v>
      </c>
      <c r="C19" s="39" t="s">
        <v>572</v>
      </c>
    </row>
    <row r="20" spans="1:6">
      <c r="A20" s="37" t="s">
        <v>710</v>
      </c>
      <c r="B20" s="99">
        <f>B19/B7</f>
        <v>0.60606060606060608</v>
      </c>
    </row>
    <row r="21" spans="1:6">
      <c r="A21" s="37" t="s">
        <v>711</v>
      </c>
      <c r="B21" s="100">
        <f>'02 Assumptions'!$B$17</f>
        <v>18120</v>
      </c>
    </row>
    <row r="22" spans="1:6">
      <c r="A22" s="48" t="s">
        <v>712</v>
      </c>
      <c r="B22" s="101">
        <f>B19*('02 Assumptions'!$B$20-'02 Assumptions'!$B$16)/1000000</f>
        <v>1077</v>
      </c>
    </row>
    <row r="23" spans="1:6">
      <c r="A23" s="37" t="s">
        <v>713</v>
      </c>
      <c r="B23" s="95">
        <f>B19*('02 Assumptions'!$B$17-'02 Assumptions'!$B$16)/1000000</f>
        <v>340</v>
      </c>
    </row>
    <row r="24" spans="1:6">
      <c r="A24" s="37" t="s">
        <v>714</v>
      </c>
      <c r="B24" s="95">
        <f>B7-B19</f>
        <v>1300000</v>
      </c>
    </row>
    <row r="25" spans="1:6">
      <c r="A25" s="37" t="s">
        <v>715</v>
      </c>
      <c r="B25" s="102">
        <f>(B7-B19)*('02 Assumptions'!$B$16-'02 Assumptions'!$B$20)/1000000</f>
        <v>-700.05</v>
      </c>
    </row>
    <row r="27" spans="1:6">
      <c r="A27" s="246" t="s">
        <v>716</v>
      </c>
      <c r="B27" s="246"/>
      <c r="C27" s="246"/>
      <c r="D27" s="246"/>
      <c r="E27" s="246"/>
      <c r="F27" s="246"/>
    </row>
    <row r="28" spans="1:6" ht="24">
      <c r="A28" s="141" t="s">
        <v>220</v>
      </c>
      <c r="B28" s="141" t="s">
        <v>717</v>
      </c>
      <c r="C28" s="141" t="s">
        <v>718</v>
      </c>
      <c r="D28" s="141" t="s">
        <v>719</v>
      </c>
      <c r="E28" s="141" t="s">
        <v>720</v>
      </c>
      <c r="F28" s="141" t="s">
        <v>721</v>
      </c>
    </row>
    <row r="29" spans="1:6" ht="24">
      <c r="A29" s="28" t="s">
        <v>722</v>
      </c>
      <c r="B29" s="89" t="s">
        <v>723</v>
      </c>
      <c r="C29" s="51" t="s">
        <v>724</v>
      </c>
      <c r="D29" s="34" t="s">
        <v>724</v>
      </c>
      <c r="E29" s="89" t="s">
        <v>725</v>
      </c>
      <c r="F29" s="26" t="s">
        <v>726</v>
      </c>
    </row>
    <row r="30" spans="1:6" ht="24">
      <c r="A30" s="52" t="s">
        <v>727</v>
      </c>
      <c r="B30" s="90" t="s">
        <v>728</v>
      </c>
      <c r="C30" s="53">
        <f>B22</f>
        <v>1077</v>
      </c>
      <c r="D30" s="54">
        <f>B23</f>
        <v>340</v>
      </c>
      <c r="E30" s="90" t="s">
        <v>729</v>
      </c>
      <c r="F30" s="55" t="s">
        <v>730</v>
      </c>
    </row>
    <row r="31" spans="1:6" ht="24">
      <c r="A31" s="28" t="s">
        <v>731</v>
      </c>
      <c r="B31" s="89" t="s">
        <v>732</v>
      </c>
      <c r="C31" s="51">
        <f>B22</f>
        <v>1077</v>
      </c>
      <c r="D31" s="34" t="s">
        <v>724</v>
      </c>
      <c r="E31" s="91" t="s">
        <v>733</v>
      </c>
      <c r="F31" s="26" t="s">
        <v>734</v>
      </c>
    </row>
    <row r="32" spans="1:6" ht="24">
      <c r="A32" s="30" t="s">
        <v>735</v>
      </c>
      <c r="B32" s="92" t="s">
        <v>736</v>
      </c>
      <c r="C32" s="56">
        <f>B7*0.5*('02 Assumptions'!$B$20-'02 Assumptions'!$B$16)/1000000</f>
        <v>888.52499999999998</v>
      </c>
      <c r="D32" s="44">
        <f>B7*0.5*('02 Assumptions'!$B$17-'02 Assumptions'!$B$16)/1000000</f>
        <v>280.5</v>
      </c>
      <c r="E32" s="92" t="s">
        <v>729</v>
      </c>
      <c r="F32" s="27" t="s">
        <v>734</v>
      </c>
    </row>
    <row r="34" spans="1:6">
      <c r="A34" s="247" t="s">
        <v>737</v>
      </c>
      <c r="B34" s="247"/>
      <c r="C34" s="247"/>
      <c r="D34" s="247"/>
      <c r="E34" s="247"/>
      <c r="F34" s="247"/>
    </row>
    <row r="35" spans="1:6">
      <c r="A35" s="241" t="s">
        <v>738</v>
      </c>
      <c r="B35" s="241"/>
      <c r="C35" s="241"/>
      <c r="D35" s="241"/>
      <c r="E35" s="241"/>
      <c r="F35" s="241"/>
    </row>
    <row r="36" spans="1:6">
      <c r="A36" s="241"/>
      <c r="B36" s="241"/>
      <c r="C36" s="241"/>
      <c r="D36" s="241"/>
      <c r="E36" s="241"/>
      <c r="F36" s="241"/>
    </row>
    <row r="37" spans="1:6">
      <c r="A37" s="241"/>
      <c r="B37" s="241"/>
      <c r="C37" s="241"/>
      <c r="D37" s="241"/>
      <c r="E37" s="241"/>
      <c r="F37" s="241"/>
    </row>
  </sheetData>
  <mergeCells count="8">
    <mergeCell ref="A35:F37"/>
    <mergeCell ref="A1:F1"/>
    <mergeCell ref="A2:F2"/>
    <mergeCell ref="A4:F4"/>
    <mergeCell ref="A10:F10"/>
    <mergeCell ref="A18:F18"/>
    <mergeCell ref="A27:F27"/>
    <mergeCell ref="A34:F34"/>
  </mergeCell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showGridLines="0" zoomScaleNormal="100" workbookViewId="0">
      <selection activeCell="N33" sqref="N33"/>
    </sheetView>
  </sheetViews>
  <sheetFormatPr defaultColWidth="8.5703125" defaultRowHeight="15"/>
  <cols>
    <col min="1" max="1" width="40" customWidth="1"/>
    <col min="2" max="2" width="26" customWidth="1"/>
    <col min="3" max="3" width="20" customWidth="1"/>
    <col min="4" max="5" width="18" customWidth="1"/>
    <col min="6" max="6" width="20" customWidth="1"/>
  </cols>
  <sheetData>
    <row r="1" spans="1:6" ht="20.25">
      <c r="A1" s="239" t="s">
        <v>739</v>
      </c>
      <c r="B1" s="239"/>
      <c r="C1" s="239"/>
      <c r="D1" s="239"/>
      <c r="E1" s="239"/>
      <c r="F1" s="239"/>
    </row>
    <row r="2" spans="1:6">
      <c r="A2" s="242" t="s">
        <v>740</v>
      </c>
      <c r="B2" s="242"/>
      <c r="C2" s="242"/>
      <c r="D2" s="242"/>
      <c r="E2" s="242"/>
      <c r="F2" s="242"/>
    </row>
    <row r="4" spans="1:6">
      <c r="A4" s="245" t="s">
        <v>741</v>
      </c>
      <c r="B4" s="245"/>
      <c r="C4" s="245"/>
      <c r="D4" s="245"/>
      <c r="E4" s="245"/>
      <c r="F4" s="245"/>
    </row>
    <row r="5" spans="1:6">
      <c r="A5" s="37" t="s">
        <v>742</v>
      </c>
      <c r="B5" s="57">
        <f>MIN('06 Cash Forecast 13W'!B21:N21)</f>
        <v>6997.5</v>
      </c>
    </row>
    <row r="6" spans="1:6">
      <c r="A6" s="37" t="s">
        <v>743</v>
      </c>
      <c r="B6" s="21" t="s">
        <v>744</v>
      </c>
    </row>
    <row r="7" spans="1:6">
      <c r="A7" s="37" t="s">
        <v>745</v>
      </c>
      <c r="B7" s="38">
        <f>'02 Assumptions'!$B$24</f>
        <v>8000</v>
      </c>
    </row>
    <row r="8" spans="1:6">
      <c r="A8" s="58" t="s">
        <v>746</v>
      </c>
      <c r="B8" s="59">
        <f>'06 Cash Forecast 13W'!F23</f>
        <v>-1002.5</v>
      </c>
    </row>
    <row r="9" spans="1:6">
      <c r="A9" s="37" t="s">
        <v>747</v>
      </c>
      <c r="B9" s="38">
        <f>'07 FX Scenarios'!B7</f>
        <v>3300000</v>
      </c>
    </row>
    <row r="10" spans="1:6">
      <c r="A10" s="37" t="s">
        <v>748</v>
      </c>
      <c r="B10" s="50">
        <f>'07 FX Scenarios'!D13</f>
        <v>-1777.05</v>
      </c>
    </row>
    <row r="12" spans="1:6">
      <c r="A12" s="245" t="s">
        <v>749</v>
      </c>
      <c r="B12" s="245"/>
      <c r="C12" s="245"/>
      <c r="D12" s="245"/>
      <c r="E12" s="245"/>
      <c r="F12" s="245"/>
    </row>
    <row r="13" spans="1:6">
      <c r="A13" s="60" t="s">
        <v>750</v>
      </c>
    </row>
    <row r="14" spans="1:6" ht="24.75" customHeight="1">
      <c r="A14" s="248" t="s">
        <v>751</v>
      </c>
      <c r="B14" s="248"/>
      <c r="C14" s="241" t="s">
        <v>752</v>
      </c>
      <c r="D14" s="241"/>
      <c r="E14" s="249" t="s">
        <v>753</v>
      </c>
      <c r="F14" s="249"/>
    </row>
    <row r="15" spans="1:6" ht="24.75" customHeight="1">
      <c r="A15" s="248" t="s">
        <v>754</v>
      </c>
      <c r="B15" s="248"/>
      <c r="C15" s="241" t="s">
        <v>755</v>
      </c>
      <c r="D15" s="241"/>
      <c r="E15" s="249" t="s">
        <v>756</v>
      </c>
      <c r="F15" s="249"/>
    </row>
    <row r="16" spans="1:6">
      <c r="A16" s="248" t="s">
        <v>757</v>
      </c>
      <c r="B16" s="248"/>
      <c r="C16" s="241" t="s">
        <v>758</v>
      </c>
      <c r="D16" s="241"/>
      <c r="E16" s="249" t="s">
        <v>759</v>
      </c>
      <c r="F16" s="249"/>
    </row>
    <row r="18" spans="1:6">
      <c r="A18" s="60" t="s">
        <v>760</v>
      </c>
    </row>
    <row r="19" spans="1:6">
      <c r="A19" s="248" t="s">
        <v>761</v>
      </c>
      <c r="B19" s="248"/>
      <c r="C19" s="241" t="s">
        <v>762</v>
      </c>
      <c r="D19" s="241"/>
      <c r="E19" s="249" t="s">
        <v>763</v>
      </c>
      <c r="F19" s="249"/>
    </row>
    <row r="20" spans="1:6">
      <c r="A20" s="248" t="s">
        <v>764</v>
      </c>
      <c r="B20" s="248"/>
      <c r="C20" s="241" t="s">
        <v>765</v>
      </c>
      <c r="D20" s="241"/>
      <c r="E20" s="249" t="s">
        <v>766</v>
      </c>
      <c r="F20" s="249"/>
    </row>
    <row r="21" spans="1:6">
      <c r="A21" s="248" t="s">
        <v>767</v>
      </c>
      <c r="B21" s="248"/>
      <c r="C21" s="241" t="s">
        <v>768</v>
      </c>
      <c r="D21" s="241"/>
      <c r="E21" s="249" t="s">
        <v>769</v>
      </c>
      <c r="F21" s="249"/>
    </row>
    <row r="23" spans="1:6">
      <c r="A23" s="19" t="s">
        <v>770</v>
      </c>
      <c r="B23" s="20"/>
      <c r="C23" s="20"/>
      <c r="D23" s="20"/>
      <c r="E23" s="20"/>
      <c r="F23" s="20"/>
    </row>
    <row r="24" spans="1:6">
      <c r="A24" s="48" t="s">
        <v>771</v>
      </c>
      <c r="B24" s="49">
        <f>'07 FX Scenarios'!B22</f>
        <v>1077</v>
      </c>
    </row>
    <row r="25" spans="1:6">
      <c r="A25" s="37" t="s">
        <v>713</v>
      </c>
      <c r="B25" s="42">
        <f>'07 FX Scenarios'!B23</f>
        <v>340</v>
      </c>
    </row>
    <row r="26" spans="1:6">
      <c r="A26" s="48" t="s">
        <v>772</v>
      </c>
      <c r="B26" s="49">
        <f>'06 Cash Forecast 13W'!F21+3000</f>
        <v>9997.5</v>
      </c>
      <c r="C26" s="240" t="s">
        <v>773</v>
      </c>
      <c r="D26" s="240"/>
      <c r="E26" s="240"/>
      <c r="F26" s="240"/>
    </row>
    <row r="28" spans="1:6">
      <c r="A28" s="19" t="s">
        <v>774</v>
      </c>
      <c r="B28" s="20"/>
      <c r="C28" s="20"/>
      <c r="D28" s="20"/>
      <c r="E28" s="20"/>
      <c r="F28" s="20"/>
    </row>
    <row r="29" spans="1:6">
      <c r="A29" s="250" t="s">
        <v>775</v>
      </c>
      <c r="B29" s="250"/>
      <c r="C29" s="250"/>
      <c r="D29" s="250"/>
      <c r="E29" s="250"/>
      <c r="F29" s="250"/>
    </row>
    <row r="30" spans="1:6">
      <c r="A30" s="254" t="s">
        <v>776</v>
      </c>
      <c r="B30" s="254"/>
      <c r="C30" s="254"/>
      <c r="D30" s="254"/>
      <c r="E30" s="254"/>
      <c r="F30" s="254"/>
    </row>
    <row r="32" spans="1:6">
      <c r="A32" s="19" t="s">
        <v>777</v>
      </c>
      <c r="B32" s="20"/>
      <c r="C32" s="20"/>
      <c r="D32" s="20"/>
      <c r="E32" s="20"/>
      <c r="F32" s="20"/>
    </row>
    <row r="33" spans="1:6">
      <c r="A33" s="252" t="s">
        <v>778</v>
      </c>
      <c r="B33" s="252"/>
      <c r="C33" s="252"/>
      <c r="D33" s="252"/>
      <c r="E33" s="252"/>
      <c r="F33" s="252"/>
    </row>
    <row r="34" spans="1:6">
      <c r="A34" s="1" t="s">
        <v>779</v>
      </c>
      <c r="B34" s="251" t="s">
        <v>780</v>
      </c>
      <c r="C34" s="251"/>
      <c r="D34" s="251"/>
      <c r="E34" s="252" t="s">
        <v>781</v>
      </c>
      <c r="F34" s="252"/>
    </row>
    <row r="35" spans="1:6">
      <c r="A35" s="1" t="s">
        <v>782</v>
      </c>
      <c r="B35" s="251" t="s">
        <v>783</v>
      </c>
      <c r="C35" s="251"/>
      <c r="D35" s="251"/>
      <c r="E35" s="252" t="s">
        <v>784</v>
      </c>
      <c r="F35" s="252"/>
    </row>
    <row r="36" spans="1:6">
      <c r="A36" s="1" t="s">
        <v>785</v>
      </c>
      <c r="B36" s="251" t="s">
        <v>786</v>
      </c>
      <c r="C36" s="251"/>
      <c r="D36" s="251"/>
      <c r="E36" s="252" t="s">
        <v>787</v>
      </c>
      <c r="F36" s="252"/>
    </row>
    <row r="37" spans="1:6">
      <c r="A37" s="253" t="s">
        <v>788</v>
      </c>
      <c r="B37" s="253"/>
      <c r="C37" s="253"/>
      <c r="D37" s="253"/>
      <c r="E37" s="253"/>
      <c r="F37" s="253"/>
    </row>
    <row r="38" spans="1:6">
      <c r="A38" s="253"/>
      <c r="B38" s="253"/>
      <c r="C38" s="253"/>
      <c r="D38" s="253"/>
      <c r="E38" s="253"/>
      <c r="F38" s="253"/>
    </row>
  </sheetData>
  <mergeCells count="33">
    <mergeCell ref="B36:D36"/>
    <mergeCell ref="E36:F36"/>
    <mergeCell ref="A37:F38"/>
    <mergeCell ref="A30:F30"/>
    <mergeCell ref="A33:F33"/>
    <mergeCell ref="B34:D34"/>
    <mergeCell ref="E34:F34"/>
    <mergeCell ref="B35:D35"/>
    <mergeCell ref="E35:F35"/>
    <mergeCell ref="A21:B21"/>
    <mergeCell ref="C21:D21"/>
    <mergeCell ref="E21:F21"/>
    <mergeCell ref="C26:F26"/>
    <mergeCell ref="A29:F29"/>
    <mergeCell ref="A19:B19"/>
    <mergeCell ref="C19:D19"/>
    <mergeCell ref="E19:F19"/>
    <mergeCell ref="A20:B20"/>
    <mergeCell ref="C20:D20"/>
    <mergeCell ref="E20:F20"/>
    <mergeCell ref="A15:B15"/>
    <mergeCell ref="C15:D15"/>
    <mergeCell ref="E15:F15"/>
    <mergeCell ref="A16:B16"/>
    <mergeCell ref="C16:D16"/>
    <mergeCell ref="E16:F16"/>
    <mergeCell ref="A4:F4"/>
    <mergeCell ref="A12:F12"/>
    <mergeCell ref="A1:F1"/>
    <mergeCell ref="A2:F2"/>
    <mergeCell ref="A14:B14"/>
    <mergeCell ref="C14:D14"/>
    <mergeCell ref="E14:F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Susan</dc:creator>
  <cp:keywords/>
  <dc:description/>
  <cp:lastModifiedBy/>
  <cp:revision>1</cp:revision>
  <dcterms:created xsi:type="dcterms:W3CDTF">2026-07-06T22:24:34Z</dcterms:created>
  <dcterms:modified xsi:type="dcterms:W3CDTF">2026-07-09T07:21:15Z</dcterms:modified>
  <cp:category/>
  <cp:contentStatus/>
</cp:coreProperties>
</file>