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people.ey.com/personal/rebecca_susan_id_ey_com/Documents/02 EY/09 PRESALES/05 AI/03 FUTURE OF FINANCE AI/"/>
    </mc:Choice>
  </mc:AlternateContent>
  <xr:revisionPtr revIDLastSave="169" documentId="11_CCD6D5EAF509DA05D952FEEE9C3B6C435DA2F71D" xr6:coauthVersionLast="47" xr6:coauthVersionMax="47" xr10:uidLastSave="{BF0AF27B-52CF-46BC-90F3-9B990D0B6A9F}"/>
  <bookViews>
    <workbookView xWindow="-120" yWindow="-120" windowWidth="29040" windowHeight="17520" tabRatio="500" firstSheet="2" activeTab="2" xr2:uid="{00000000-000D-0000-FFFF-FFFF00000000}"/>
  </bookViews>
  <sheets>
    <sheet name="00 Read Me First" sheetId="1" state="hidden" r:id="rId1"/>
    <sheet name="STORYLINE COLLECTIONS" sheetId="2" r:id="rId2"/>
    <sheet name="00 Mock Up" sheetId="9" r:id="rId3"/>
    <sheet name="01 Assumptions" sheetId="3" r:id="rId4"/>
    <sheet name="02 Customer Credit &amp; Aging" sheetId="4" r:id="rId5"/>
    <sheet name="03 Risk Scoring" sheetId="5" r:id="rId6"/>
    <sheet name="04 DSO &amp; Cash Impact" sheetId="6" r:id="rId7"/>
    <sheet name="05 Collections Worklist" sheetId="7" r:id="rId8"/>
    <sheet name="06 Recommendation" sheetId="8" r:id="rId9"/>
  </sheets>
  <definedNames>
    <definedName name="_xlnm._FilterDatabase" localSheetId="4" hidden="1">'02 Customer Credit &amp; Aging'!$A$4:$S$4</definedName>
    <definedName name="_xlnm._FilterDatabase" localSheetId="5" hidden="1">'03 Risk Scoring'!$A$4:$Q$4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5" i="6" l="1"/>
  <c r="B16" i="6"/>
  <c r="K5" i="5"/>
  <c r="J5" i="5"/>
  <c r="F5" i="5"/>
  <c r="R5" i="4"/>
  <c r="S5" i="4"/>
  <c r="E14" i="7"/>
  <c r="C14" i="7"/>
  <c r="B14" i="7"/>
  <c r="E13" i="7"/>
  <c r="D13" i="7"/>
  <c r="C13" i="7"/>
  <c r="B13" i="7"/>
  <c r="E12" i="7"/>
  <c r="C12" i="7"/>
  <c r="B12" i="7"/>
  <c r="E11" i="7"/>
  <c r="C11" i="7"/>
  <c r="B11" i="7"/>
  <c r="E10" i="7"/>
  <c r="C10" i="7"/>
  <c r="B10" i="7"/>
  <c r="E9" i="7"/>
  <c r="C9" i="7"/>
  <c r="B9" i="7"/>
  <c r="E8" i="7"/>
  <c r="D8" i="7"/>
  <c r="C8" i="7"/>
  <c r="B8" i="7"/>
  <c r="E7" i="7"/>
  <c r="C7" i="7"/>
  <c r="B7" i="7"/>
  <c r="E6" i="7"/>
  <c r="D6" i="7"/>
  <c r="C6" i="7"/>
  <c r="B6" i="7"/>
  <c r="E5" i="7"/>
  <c r="C5" i="7"/>
  <c r="B5" i="7"/>
  <c r="B14" i="6"/>
  <c r="B8" i="8" s="1"/>
  <c r="B12" i="6"/>
  <c r="B11" i="6"/>
  <c r="J16" i="5"/>
  <c r="I16" i="5"/>
  <c r="N16" i="5" s="1"/>
  <c r="H16" i="5"/>
  <c r="M16" i="5" s="1"/>
  <c r="G16" i="5"/>
  <c r="E16" i="5"/>
  <c r="B16" i="5"/>
  <c r="A16" i="5"/>
  <c r="N15" i="5"/>
  <c r="M15" i="5"/>
  <c r="J15" i="5"/>
  <c r="I15" i="5"/>
  <c r="H15" i="5"/>
  <c r="G15" i="5"/>
  <c r="E15" i="5"/>
  <c r="B15" i="5"/>
  <c r="A15" i="5"/>
  <c r="N14" i="5"/>
  <c r="M14" i="5"/>
  <c r="I14" i="5"/>
  <c r="H14" i="5"/>
  <c r="G14" i="5"/>
  <c r="J14" i="5" s="1"/>
  <c r="E14" i="5"/>
  <c r="C14" i="5"/>
  <c r="F14" i="5" s="1"/>
  <c r="K14" i="5" s="1"/>
  <c r="B14" i="5"/>
  <c r="A14" i="5"/>
  <c r="I13" i="5"/>
  <c r="N13" i="5" s="1"/>
  <c r="H13" i="5"/>
  <c r="M13" i="5" s="1"/>
  <c r="G13" i="5"/>
  <c r="J13" i="5" s="1"/>
  <c r="E13" i="5"/>
  <c r="C13" i="5"/>
  <c r="F13" i="5" s="1"/>
  <c r="K13" i="5" s="1"/>
  <c r="B13" i="5"/>
  <c r="A13" i="5"/>
  <c r="I12" i="5"/>
  <c r="N12" i="5" s="1"/>
  <c r="H12" i="5"/>
  <c r="M12" i="5" s="1"/>
  <c r="G12" i="5"/>
  <c r="J12" i="5" s="1"/>
  <c r="E12" i="5"/>
  <c r="B12" i="5"/>
  <c r="A12" i="5"/>
  <c r="J11" i="5"/>
  <c r="I11" i="5"/>
  <c r="N11" i="5" s="1"/>
  <c r="H11" i="5"/>
  <c r="M11" i="5" s="1"/>
  <c r="G11" i="5"/>
  <c r="E11" i="5"/>
  <c r="B11" i="5"/>
  <c r="A11" i="5"/>
  <c r="N10" i="5"/>
  <c r="M10" i="5"/>
  <c r="J10" i="5"/>
  <c r="I10" i="5"/>
  <c r="H10" i="5"/>
  <c r="G10" i="5"/>
  <c r="E10" i="5"/>
  <c r="C10" i="5"/>
  <c r="F10" i="5" s="1"/>
  <c r="K10" i="5" s="1"/>
  <c r="B10" i="5"/>
  <c r="A10" i="5"/>
  <c r="N9" i="5"/>
  <c r="M9" i="5"/>
  <c r="I9" i="5"/>
  <c r="H9" i="5"/>
  <c r="G9" i="5"/>
  <c r="J9" i="5" s="1"/>
  <c r="E9" i="5"/>
  <c r="C9" i="5"/>
  <c r="F9" i="5" s="1"/>
  <c r="K9" i="5" s="1"/>
  <c r="B9" i="5"/>
  <c r="A9" i="5"/>
  <c r="I8" i="5"/>
  <c r="N8" i="5" s="1"/>
  <c r="H8" i="5"/>
  <c r="M8" i="5" s="1"/>
  <c r="G8" i="5"/>
  <c r="J8" i="5" s="1"/>
  <c r="E8" i="5"/>
  <c r="B8" i="5"/>
  <c r="A8" i="5"/>
  <c r="I7" i="5"/>
  <c r="N7" i="5" s="1"/>
  <c r="H7" i="5"/>
  <c r="M7" i="5" s="1"/>
  <c r="G7" i="5"/>
  <c r="J7" i="5" s="1"/>
  <c r="O7" i="5" s="1"/>
  <c r="E7" i="5"/>
  <c r="B7" i="5"/>
  <c r="A7" i="5"/>
  <c r="M6" i="5"/>
  <c r="J6" i="5"/>
  <c r="I6" i="5"/>
  <c r="N6" i="5" s="1"/>
  <c r="H6" i="5"/>
  <c r="G6" i="5"/>
  <c r="E6" i="5"/>
  <c r="B6" i="5"/>
  <c r="A6" i="5"/>
  <c r="N5" i="5"/>
  <c r="M5" i="5"/>
  <c r="I5" i="5"/>
  <c r="H5" i="5"/>
  <c r="G5" i="5"/>
  <c r="E5" i="5"/>
  <c r="B5" i="5"/>
  <c r="A5" i="5"/>
  <c r="Q18" i="4"/>
  <c r="O18" i="4"/>
  <c r="N18" i="4"/>
  <c r="M18" i="4"/>
  <c r="L18" i="4"/>
  <c r="K18" i="4"/>
  <c r="B6" i="6" s="1"/>
  <c r="Q16" i="4"/>
  <c r="D14" i="7" s="1"/>
  <c r="P16" i="4"/>
  <c r="R16" i="4" s="1"/>
  <c r="Q15" i="4"/>
  <c r="D7" i="7" s="1"/>
  <c r="P15" i="4"/>
  <c r="C15" i="5" s="1"/>
  <c r="F15" i="5" s="1"/>
  <c r="K15" i="5" s="1"/>
  <c r="S14" i="4"/>
  <c r="D14" i="5" s="1"/>
  <c r="L14" i="5" s="1"/>
  <c r="R14" i="4"/>
  <c r="Q14" i="4"/>
  <c r="P14" i="4"/>
  <c r="Q13" i="4"/>
  <c r="P13" i="4"/>
  <c r="S13" i="4" s="1"/>
  <c r="D13" i="5" s="1"/>
  <c r="L13" i="5" s="1"/>
  <c r="Q12" i="4"/>
  <c r="P12" i="4"/>
  <c r="C12" i="5" s="1"/>
  <c r="F12" i="5" s="1"/>
  <c r="K12" i="5" s="1"/>
  <c r="S11" i="4"/>
  <c r="D11" i="5" s="1"/>
  <c r="L11" i="5" s="1"/>
  <c r="R11" i="4"/>
  <c r="Q11" i="4"/>
  <c r="P11" i="4"/>
  <c r="C11" i="5" s="1"/>
  <c r="F11" i="5" s="1"/>
  <c r="K11" i="5" s="1"/>
  <c r="S10" i="4"/>
  <c r="D10" i="5" s="1"/>
  <c r="L10" i="5" s="1"/>
  <c r="Q10" i="4"/>
  <c r="R10" i="4" s="1"/>
  <c r="P10" i="4"/>
  <c r="Q9" i="4"/>
  <c r="D9" i="7" s="1"/>
  <c r="P9" i="4"/>
  <c r="S9" i="4" s="1"/>
  <c r="D9" i="5" s="1"/>
  <c r="L9" i="5" s="1"/>
  <c r="Q8" i="4"/>
  <c r="D12" i="7" s="1"/>
  <c r="P8" i="4"/>
  <c r="R8" i="4" s="1"/>
  <c r="S7" i="4"/>
  <c r="D7" i="5" s="1"/>
  <c r="L7" i="5" s="1"/>
  <c r="R7" i="4"/>
  <c r="Q7" i="4"/>
  <c r="D10" i="7" s="1"/>
  <c r="P7" i="4"/>
  <c r="C7" i="5" s="1"/>
  <c r="F7" i="5" s="1"/>
  <c r="K7" i="5" s="1"/>
  <c r="Q6" i="4"/>
  <c r="D11" i="7" s="1"/>
  <c r="P6" i="4"/>
  <c r="S6" i="4" s="1"/>
  <c r="D6" i="5" s="1"/>
  <c r="L6" i="5" s="1"/>
  <c r="Q5" i="4"/>
  <c r="D5" i="7" s="1"/>
  <c r="P5" i="4"/>
  <c r="D5" i="5" s="1"/>
  <c r="L5" i="5" s="1"/>
  <c r="O9" i="5" l="1"/>
  <c r="D15" i="7"/>
  <c r="O13" i="5"/>
  <c r="O10" i="5"/>
  <c r="O11" i="5"/>
  <c r="O15" i="5"/>
  <c r="P7" i="5"/>
  <c r="F10" i="7" s="1"/>
  <c r="I10" i="7" s="1"/>
  <c r="G10" i="7"/>
  <c r="J10" i="7"/>
  <c r="O14" i="5"/>
  <c r="B7" i="6"/>
  <c r="P18" i="4"/>
  <c r="B5" i="6" s="1"/>
  <c r="C8" i="5"/>
  <c r="F8" i="5" s="1"/>
  <c r="K8" i="5" s="1"/>
  <c r="O8" i="5" s="1"/>
  <c r="R15" i="4"/>
  <c r="S8" i="4"/>
  <c r="D8" i="5" s="1"/>
  <c r="L8" i="5" s="1"/>
  <c r="S15" i="4"/>
  <c r="D15" i="5" s="1"/>
  <c r="L15" i="5" s="1"/>
  <c r="R9" i="4"/>
  <c r="R12" i="4"/>
  <c r="S16" i="4"/>
  <c r="D16" i="5" s="1"/>
  <c r="L16" i="5" s="1"/>
  <c r="C6" i="5"/>
  <c r="F6" i="5" s="1"/>
  <c r="K6" i="5" s="1"/>
  <c r="O6" i="5" s="1"/>
  <c r="C5" i="5"/>
  <c r="O5" i="5" s="1"/>
  <c r="Q5" i="5" s="1"/>
  <c r="R6" i="4"/>
  <c r="R13" i="4"/>
  <c r="C16" i="5"/>
  <c r="F16" i="5" s="1"/>
  <c r="K16" i="5" s="1"/>
  <c r="O16" i="5" s="1"/>
  <c r="S12" i="4"/>
  <c r="D12" i="5" s="1"/>
  <c r="L12" i="5" s="1"/>
  <c r="O12" i="5" s="1"/>
  <c r="G12" i="7" l="1"/>
  <c r="Q8" i="5"/>
  <c r="P8" i="5"/>
  <c r="F12" i="7" s="1"/>
  <c r="I12" i="7" s="1"/>
  <c r="J12" i="7" s="1"/>
  <c r="Q12" i="5"/>
  <c r="P12" i="5"/>
  <c r="Q16" i="5"/>
  <c r="P16" i="5"/>
  <c r="F14" i="7" s="1"/>
  <c r="I14" i="7" s="1"/>
  <c r="J14" i="7" s="1"/>
  <c r="G14" i="7"/>
  <c r="G11" i="7"/>
  <c r="Q6" i="5"/>
  <c r="P6" i="5"/>
  <c r="F11" i="7" s="1"/>
  <c r="I11" i="7" s="1"/>
  <c r="J11" i="7" s="1"/>
  <c r="Q7" i="5"/>
  <c r="Q14" i="5"/>
  <c r="G13" i="7"/>
  <c r="P14" i="5"/>
  <c r="F13" i="7" s="1"/>
  <c r="I13" i="7" s="1"/>
  <c r="J13" i="7" s="1"/>
  <c r="G6" i="7"/>
  <c r="Q11" i="5"/>
  <c r="P11" i="5"/>
  <c r="F6" i="7" s="1"/>
  <c r="I6" i="7" s="1"/>
  <c r="J6" i="7" s="1"/>
  <c r="Q13" i="5"/>
  <c r="P13" i="5"/>
  <c r="P15" i="5"/>
  <c r="F7" i="7" s="1"/>
  <c r="I7" i="7" s="1"/>
  <c r="J7" i="7" s="1"/>
  <c r="Q15" i="5"/>
  <c r="G7" i="7"/>
  <c r="B13" i="6"/>
  <c r="B5" i="8"/>
  <c r="B6" i="8"/>
  <c r="B8" i="6"/>
  <c r="R18" i="4"/>
  <c r="G5" i="7"/>
  <c r="P5" i="5"/>
  <c r="G8" i="7"/>
  <c r="Q10" i="5"/>
  <c r="P10" i="5"/>
  <c r="F8" i="7" s="1"/>
  <c r="I8" i="7" s="1"/>
  <c r="J8" i="7" s="1"/>
  <c r="G9" i="7"/>
  <c r="Q9" i="5"/>
  <c r="P9" i="5"/>
  <c r="F9" i="7" s="1"/>
  <c r="I9" i="7" s="1"/>
  <c r="J9" i="7" s="1"/>
  <c r="C21" i="6" l="1"/>
  <c r="D21" i="6" s="1"/>
  <c r="F5" i="7"/>
  <c r="I5" i="7" s="1"/>
  <c r="J5" i="7" s="1"/>
  <c r="J15" i="7" s="1"/>
  <c r="B29" i="8" s="1"/>
  <c r="B21" i="6"/>
  <c r="C20" i="6"/>
  <c r="B20" i="6"/>
  <c r="C22" i="6"/>
  <c r="D22" i="6" s="1"/>
  <c r="B22" i="6"/>
  <c r="B7" i="8"/>
  <c r="B15" i="6"/>
  <c r="B31" i="8" l="1"/>
  <c r="C23" i="6"/>
  <c r="D23" i="6" s="1"/>
  <c r="B10" i="8"/>
  <c r="D20" i="6"/>
  <c r="B30" i="8"/>
  <c r="B9" i="8"/>
  <c r="B2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8" authorId="0" shapeId="0" xr:uid="{00000000-0006-0000-0200-000001000000}">
      <text>
        <r>
          <rPr>
            <sz val="10"/>
            <rFont val="Arial"/>
            <family val="2"/>
          </rPr>
          <t>USD/IDR ~17,930-18,020 early Jul 2026 (BCA e-rate; TradingEconomics). Verify at demo time.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3" authorId="0" shapeId="0" xr:uid="{00000000-0006-0000-0500-000001000000}">
      <text>
        <r>
          <rPr>
            <sz val="10"/>
            <rFont val="Arial"/>
            <family val="2"/>
          </rPr>
          <t>DSO = Total AR / Annual credit sales x 365. Annualised method.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<sst xmlns="http://schemas.openxmlformats.org/spreadsheetml/2006/main" count="345" uniqueCount="285">
  <si>
    <t>COLLECTIONS &amp; CREDIT INTELLIGENCE AGENT - DEMO DATA ENGINE</t>
  </si>
  <si>
    <t>Good pick. Collections and credit risk is the strongest cash story after your treasury demo, and it reuses the same company so your agents form one connected narrative.
Let me confirm the build approach and then construct it. Same as before: a storyline sheet plus a linked Excel data engine, with the numbers tying out. First I will re-check the spreadsheet skill, then build.
Skill confirmed. Building the Collections and Credit Intelligence Agent workbook now, same standards as your treasury demo (Arial, formulas not hardcoded, cross-sheet links in green, zero formula errors).
Built. One reference to fix: the recommendation sheet points at the wrong worklist total row. Correcting it, then recalculating.
The worklist used wrong row numbers. Fixing the mapping, the note cell, and the total reference, then rebuilding cleanly.
Zero errors. Now verifying the numbers tie out before I hand it over.
All numbers tie out. The risk scores, DSO, exposure, and recovery totals are internally consistent. Copying to outputs.
Done. Here is the Collections and Credit Intelligence Agent demo, built to the same standard as your treasury one.
*What is inside*
- A storyline sheet (the 7-step agent loop, wow moments, verify list) plus a 6-sheet linked data engine.
- Same company, PT Future Manufacturing. Customer A (PT Anugerah Prima) is the late key account in both demos, so the two agents tell one connected story. [High confidence]
- Zero formula errors. Every number pulls from the assumptions sheet, so you can change an input and watch it re-flow.
*The story in three numbers (all illustrative)*
- IDR 38B is overdue, and the top 5 accounts hold about 70% of it. Focus wins.
- DSO is 57 days vs a 47-day target. Closing that gap frees about IDR 19.9B in cash. This is the CFO's prize.
- 1 customer (CV Berkah Jaya) is high-risk with an open dispute. The agent recommends a credit hold plus an illustrative provision of about IDR 2.5B.
*How the risk score works* (so you can defend it in the room)
- Each customer scores 0 to 100 from five things: how many days late they pay, how much of the balance is 61+ days overdue, how much of their credit limit is used, whether the trend is worsening, and whether there is a dispute.
- Under 34 is Low, 34 to 66 is Medium, 67+ is High. All the weights sit on sheet 01, so you can tune the model live if a client challenges it.
*What is illustrative vs what to verify* (on the Read Me and storyline sheets)
- Target DSO (47) and the recovery percentages are illustrative. Use the client's own benchmarks if you have them.
- The provision figure is illustrative. Real expected credit loss needs a PSAK 71 or IFRS 9 model and Controller sign-off. Do not present it as final.
- Confirm the D365 F&amp;O Credit and Collections module and Copilot licensing on the client's release. Do not quote agent pricing without checking Microsoft's current terms. This needs verification.
*One honest caution.* This demo leans on the same "cash" emotion as your treasury demo. That is good for a follow-on with the same CFO, since it deepens the story. If you are presenting to a brand-new audience, lead with whichever pain they feel most, then bring the second agent as the encore.
Your stated bottleneck is English storytelling, not the data. The strongest next step is a spoken demo script in English for this agent: a word-for-word narration you can practice, tied to each sheet, with simple transitions and a few lines to handle CFO pushback. Want me to write that script next?</t>
  </si>
  <si>
    <t>A complete, linked receivables model that sits behind the storyline. Same illustrative company as your cash flow demo, so the two agents form one Future Finance AI story.</t>
  </si>
  <si>
    <t>WHAT THIS WORKBOOK IS</t>
  </si>
  <si>
    <t>It answers one CFO question: how much cash is stuck in receivables, who is risky, and what should we do this week.</t>
  </si>
  <si>
    <t>The 'STORYLINE COLLECTIONS 01' sheet is the demo script. The numbered sheets are the working model behind it.</t>
  </si>
  <si>
    <t>SHEET MAP</t>
  </si>
  <si>
    <t>01 Assumptions              - all inputs (BLUE). Sales, target DSO, the risk-score weights, recovery %.</t>
  </si>
  <si>
    <t>02 Customer Credit &amp; Aging  - the receivables book: terms, behaviour, and aging buckets per customer.</t>
  </si>
  <si>
    <t>03 Risk Scoring             - scores each customer 0-100 and sets a Low/Medium/High tier.</t>
  </si>
  <si>
    <t>04 DSO &amp; Cash Impact        - DSO, trapped cash, cash freed at target, and exposure by risk tier.</t>
  </si>
  <si>
    <t>05 Collections Worklist     - who to chase first, ranked, with expected recovery.</t>
  </si>
  <si>
    <t>06 Recommendation           - the three moves, the impact, the decision card, and an illustrative journal.</t>
  </si>
  <si>
    <t>THE STORY IN THREE NUMBERS</t>
  </si>
  <si>
    <t>IDR 38B overdue, and the top 5 accounts hold about 70% of it. Focus wins.</t>
  </si>
  <si>
    <t>DSO ~57 days vs a 47-day target. Closing that gap frees about IDR 19.9B in cash.</t>
  </si>
  <si>
    <t>1 customer is high-risk with a dispute. Hold shipments and provision. Contain it early.</t>
  </si>
  <si>
    <t>WHY A CUSTOM D365 AGENT BEATS A GENERIC TOOL  (your positioning)</t>
  </si>
  <si>
    <t>It reads live D365 Finance data (aging, credit limits, disputes), so no export or copy-paste.</t>
  </si>
  <si>
    <t>It writes back into D365: credit holds, collection tasks, dunning, all logged for audit.</t>
  </si>
  <si>
    <t>Built on Copilot Studio and Power Platform, with human approval as a first-class step.</t>
  </si>
  <si>
    <t>It is tuned to local rules (PSAK 71 / IFRS 9 for provisions), which generic tools ignore.</t>
  </si>
  <si>
    <t>VERIFY BEFORE YOU PRESENT (do not skip)</t>
  </si>
  <si>
    <t>[ ] Target DSO and recovery % are illustrative. Use the client's own benchmarks if you have them.</t>
  </si>
  <si>
    <t>[ ] Provision figure is illustrative. Real ECL needs PSAK 71 / IFRS 9 and Controller sign-off.</t>
  </si>
  <si>
    <t>[ ] Confirm the D365 F&amp;O Credit &amp; Collections module and Copilot licensing on the client's release.</t>
  </si>
  <si>
    <t>[ ] Do NOT quote Copilot or agent pricing without checking Microsoft's current terms.</t>
  </si>
  <si>
    <t>[ ] All IDR figures are illustrative for the demo.</t>
  </si>
  <si>
    <t>UNITS &amp; COLOUR KEY</t>
  </si>
  <si>
    <t>Units: IDR million throughout (110,000 = IDR 110 billion). Days where marked. USD where marked.</t>
  </si>
  <si>
    <t>BLUE = input you can change.   GREEN = pulled from another sheet.   BLACK = calculated.   YELLOW = key assumption.</t>
  </si>
  <si>
    <t>COLLECTIONS &amp; CREDIT INTELLIGENCE AGENT</t>
  </si>
  <si>
    <t>Demo storyline for a CFO / Finance audience. Company: PT Future Manufacturing Tbk (illustrative). Same company as the cash flow demo, so your agents tell one connected story.</t>
  </si>
  <si>
    <t>THE BUSINESS PROBLEM</t>
  </si>
  <si>
    <t>Setup</t>
  </si>
  <si>
    <t>PT Future Manufacturing sells on credit to distributors, retailers, and export buyers. About IDR 110B is tied up in receivables and IDR 38B is overdue. DSO is ~57 days, above the 47-day target. Cash is trapped, a few customers are sliding toward default, and the AR team chases invoices reactively in spreadsheets, so the riskiest accounts are not always chased first.</t>
  </si>
  <si>
    <t>THE AGENT LOOP (7 STEPS)</t>
  </si>
  <si>
    <t>1. TRIGGER</t>
  </si>
  <si>
    <t>Runs every morning, and on events: an invoice becomes overdue, a customer crosses its credit limit, or payment behaviour worsens. Send aletr notifications</t>
  </si>
  <si>
    <t>2. PERCEIVE</t>
  </si>
  <si>
    <t>Reads from D365 Finance: open AR invoices and aging, the customer master and credit limits, payment history, dispute cases, and cash application. Can add external credit signals.</t>
  </si>
  <si>
    <t>3. REASON</t>
  </si>
  <si>
    <t>Builds the aging picture, scores each customer's risk (lateness, overdue severity, credit use, trend, disputes), computes DSO and trapped cash, and predicts which invoices will slip. Finds the 20% of accounts holding most of the overdue cash.</t>
  </si>
  <si>
    <t>4. RECOMMEND</t>
  </si>
  <si>
    <t>Produces a ranked collections worklist (who to call first, expected recovery), risk actions (holds and provisions on high-risk, tighter limits on worsening accounts), and prevention (automated dunning for low-risk). Every item is quantified.</t>
  </si>
  <si>
    <t>5. APPROVE</t>
  </si>
  <si>
    <t>Human in the loop. The CFO or Credit Manager reviews and approves the worklist, the credit holds, and the provision. Dual control. This is the trust and governance step, not a black box.</t>
  </si>
  <si>
    <t>6. EXECUTE</t>
  </si>
  <si>
    <t>Sends dunning reminders, creates collection tasks and calls for the team, updates credit holds in D365, and logs every action for audit.</t>
  </si>
  <si>
    <t>7. LEARN</t>
  </si>
  <si>
    <t>Tracks which actions recovered cash, updates the risk scores and predicted pay dates, and improves the ranking over time.</t>
  </si>
  <si>
    <t>WOW MOMENTS (tie each to a sheet)</t>
  </si>
  <si>
    <t>Found the trapped cash</t>
  </si>
  <si>
    <t>IDR 38B overdue, and the top 5 accounts hold ~70% of it. Point to sheet 05.</t>
  </si>
  <si>
    <t>Caught a default early</t>
  </si>
  <si>
    <t>1 customer sliding to default with an open dispute. Agent recommends a hold plus a provision. Point to sheet 03 and 04.</t>
  </si>
  <si>
    <t>Showed the prize</t>
  </si>
  <si>
    <t>Cutting DSO from ~57 to 47 days frees about IDR 19.9B in cash. Point to sheet 04.</t>
  </si>
  <si>
    <t>Governance, not a black box</t>
  </si>
  <si>
    <t>Human approval plus a full audit trail. Point to the decision card on sheet 06.</t>
  </si>
  <si>
    <r>
      <rPr>
        <b/>
        <sz val="11"/>
        <color theme="1"/>
        <rFont val="Calibri"/>
        <family val="2"/>
      </rPr>
      <t>Part 1. The alert, connected from Treasury</t>
    </r>
    <r>
      <rPr>
        <sz val="11"/>
        <color theme="1"/>
        <rFont val="Calibri"/>
        <family val="2"/>
        <charset val="1"/>
      </rPr>
      <t xml:space="preserve">
- What happens: Collections opens by picking up Treasury's request to pull IDR 5.0B early from the top customer, then adds its own picture: 38B overdue, DSO about 57, one high-risk account.
- Terms: Handover between agents. Overdue.
- Highlight &gt;&gt; "the baton passed from Treasury to here." It shows the agents work as one chain.
</t>
    </r>
    <r>
      <rPr>
        <b/>
        <sz val="11"/>
        <color theme="1"/>
        <rFont val="Calibri"/>
        <family val="2"/>
      </rPr>
      <t>Part 2. CFO challenge, discount vs margin and relationship</t>
    </r>
    <r>
      <rPr>
        <sz val="11"/>
        <color theme="1"/>
        <rFont val="Calibri"/>
        <family val="2"/>
        <charset val="1"/>
      </rPr>
      <t xml:space="preserve">
- What happens: The CFO warns that chasing the top customer or offering a discount risks the relationship and margin, and asks for the cost of the discount versus the cash.
- Terms: Early-pay discount, a small price cut to get paid sooner. Margin, the profit given up.
</t>
    </r>
  </si>
  <si>
    <r>
      <rPr>
        <b/>
        <sz val="11"/>
        <color theme="1"/>
        <rFont val="Calibri"/>
        <family val="2"/>
      </rPr>
      <t>Part 3. AI shows the book and the discount trade</t>
    </r>
    <r>
      <rPr>
        <sz val="11"/>
        <color theme="1"/>
        <rFont val="Calibri"/>
        <family val="2"/>
        <charset val="1"/>
      </rPr>
      <t xml:space="preserve">
- What happens: Two charts, AR aging and risk by tier, then the exact discount trade for Customer A.
- Terms: AR aging, how old each unpaid balance is. Risk tier .
- Numbers: 38B overdue, top 5 hold about 70%. The trade: a 1% discount to pull 5,000 costs about 50 million. So 50 million of margin frees 5,000 million of cash. [Medium confidence, the customer must accept]
</t>
    </r>
    <r>
      <rPr>
        <b/>
        <sz val="11"/>
        <color theme="1"/>
        <rFont val="Calibri"/>
        <family val="2"/>
      </rPr>
      <t xml:space="preserve">Part 4. CFO challenge, prove the DSO
</t>
    </r>
    <r>
      <rPr>
        <sz val="11"/>
        <color theme="1"/>
        <rFont val="Calibri"/>
        <family val="2"/>
        <charset val="1"/>
      </rPr>
      <t xml:space="preserve">- What happens: The CFO says DSO is easy to game and asks for the exact definition and period.
- Term: DSO, Days Sales Outstanding, the average days to collect cash.
- Why it matters: A weak DSO method can hide a problem. The CFO is right to check.
</t>
    </r>
    <r>
      <rPr>
        <b/>
        <sz val="11"/>
        <color theme="1"/>
        <rFont val="Calibri"/>
        <family val="2"/>
      </rPr>
      <t xml:space="preserve">
Part 5. AI defends the DSO method
</t>
    </r>
    <r>
      <rPr>
        <sz val="11"/>
        <color theme="1"/>
        <rFont val="Calibri"/>
        <family val="2"/>
        <charset val="1"/>
      </rPr>
      <t xml:space="preserve">- What happens: The agent gives the standard formula. Total receivables divided by annual credit sales, times 365. 110B over 700B is 57 days, annualized, not a favourable short window. [High confidence on the method]
- HIghlight "match it to your own convention before a board number." </t>
    </r>
    <r>
      <rPr>
        <sz val="11"/>
        <color theme="1"/>
        <rFont val="Calibri"/>
        <family val="2"/>
      </rPr>
      <t xml:space="preserve">
</t>
    </r>
    <r>
      <rPr>
        <b/>
        <sz val="11"/>
        <color theme="1"/>
        <rFont val="Calibri"/>
        <family val="2"/>
      </rPr>
      <t>Part 6. CFO challenge, prove the risk</t>
    </r>
    <r>
      <rPr>
        <sz val="11"/>
        <color theme="1"/>
        <rFont val="Calibri"/>
        <family val="2"/>
      </rPr>
      <t xml:space="preserve">
- What happens: The CFO says one late payment is not a default, and asks for evidence, not a score.
- CFO does not accept a black-box score. This is the strongest challenge in the demo.
</t>
    </r>
    <r>
      <rPr>
        <b/>
        <sz val="11"/>
        <color theme="1"/>
        <rFont val="Calibri"/>
        <family val="2"/>
      </rPr>
      <t>Part 7. AI gives the evidence</t>
    </r>
    <r>
      <rPr>
        <sz val="11"/>
        <color theme="1"/>
        <rFont val="Calibri"/>
        <family val="2"/>
      </rPr>
      <t xml:space="preserve">
- What happens: Five signals, not one. 35 days beyond terms, a 90+ overdue balance, 100% credit-limit use, worsening trend, and an open dispute. The combination drives the high risk. [Medium confidence on default risk]
- Term: Credit limit, the most you let a customer owe.
- This shows the AI can explain itself. That is a selling point.</t>
    </r>
  </si>
  <si>
    <r>
      <rPr>
        <b/>
        <sz val="11"/>
        <color theme="1"/>
        <rFont val="Calibri"/>
        <family val="2"/>
      </rPr>
      <t>Part 8. CFO asks for options and simulation</t>
    </r>
    <r>
      <rPr>
        <sz val="11"/>
        <color theme="1"/>
        <rFont val="Calibri"/>
        <family val="2"/>
        <charset val="1"/>
      </rPr>
      <t xml:space="preserve">
- What happens: The CFO wants each option in cash and in DSO, then wants to test his own mix.
</t>
    </r>
    <r>
      <rPr>
        <b/>
        <sz val="11"/>
        <color theme="1"/>
        <rFont val="Calibri"/>
        <family val="2"/>
      </rPr>
      <t>Part 9. AI recommendation and fixed simulation</t>
    </r>
    <r>
      <rPr>
        <sz val="11"/>
        <color theme="1"/>
        <rFont val="Calibri"/>
        <family val="2"/>
        <charset val="1"/>
      </rPr>
      <t xml:space="preserve">
- What happens: Three options with a chart. A, Customer A only, frees 5,000, DSO to 54.8. B, top 5, frees about 21,300, DSO to 46.2, roughly hits the 47 target. C, all overdue, frees about 32,163, DSO to 40.6.
- The lesson is that chasing the top 5 gets you to target. You do not need to chase everyone.
</t>
    </r>
    <r>
      <rPr>
        <b/>
        <sz val="11"/>
        <color theme="1"/>
        <rFont val="Calibri"/>
        <family val="2"/>
      </rPr>
      <t>Part 10 and 11. The live "trial and error" simulator</t>
    </r>
    <r>
      <rPr>
        <sz val="11"/>
        <color theme="1"/>
        <rFont val="Calibri"/>
        <family val="2"/>
        <charset val="1"/>
      </rPr>
      <t xml:space="preserve">
- What happens: The CFO says "let me try combinations." The agent gives sliders. In the app, dragging them re-runs the result live.
- The levers: how much to pull from Customer A, the discount percent, and how much to chase from others.
- What updates: cash freed, discount cost, new DSO, and a "Week 5 covered" status.
- The lesson built in: more discount frees the same cash but costs more margin. A bigger chase lowers DSO but needs customers to actually pay. And if the CFO pulls less than 5,000 from Customer A, the status flips to "Week 5 gap," which would break Treasury's fix.
- Terms: Lever, an input you adjust. DSO in days.
- HIighligt &gt;&gt; "CFO are testing your own plan, not trusting mine."</t>
    </r>
  </si>
  <si>
    <r>
      <rPr>
        <b/>
        <sz val="11"/>
        <color theme="1"/>
        <rFont val="Calibri"/>
        <family val="2"/>
      </rPr>
      <t xml:space="preserve"> Part 12 and 13. CFO deep dive on Customer A</t>
    </r>
    <r>
      <rPr>
        <sz val="11"/>
        <color theme="1"/>
        <rFont val="Calibri"/>
        <family val="2"/>
        <charset val="1"/>
      </rPr>
      <t xml:space="preserve">
- What happens: The CFO asks the Customer A trade alone, and how much they still owe after.
- Result: 5,000 cash freed for a 50 discount cost, a strong trade. Customer A still owes 5,000 after, so the relationship is not strained. [Medium confidence]
</t>
    </r>
    <r>
      <rPr>
        <b/>
        <sz val="11"/>
        <color theme="1"/>
        <rFont val="Calibri"/>
        <family val="2"/>
      </rPr>
      <t>Part 14 and 15. CFO challenge, the recovery rates</t>
    </r>
    <r>
      <rPr>
        <sz val="11"/>
        <color theme="1"/>
        <rFont val="Calibri"/>
        <family val="2"/>
        <charset val="1"/>
      </rPr>
      <t xml:space="preserve">
- What happens: The CFO asks where the recovery rates come from and warns against invented percentages.
- What the AI does: It admits the rates are illustrative placeholders, 95% low, 85% medium, 40% high, not measured from real data, and says they must be calibrated on the client's history. [Low confidence on the rates] This needs verification.
- This is important. It shows the AI does not fake numbers, which matches CFO own rule.
</t>
    </r>
  </si>
  <si>
    <r>
      <rPr>
        <b/>
        <sz val="11"/>
        <color theme="1"/>
        <rFont val="Calibri"/>
        <family val="2"/>
      </rPr>
      <t>Part 16 and 17. Calculate-first, exact numbers</t>
    </r>
    <r>
      <rPr>
        <sz val="11"/>
        <color theme="1"/>
        <rFont val="Calibri"/>
        <family val="2"/>
        <charset val="1"/>
      </rPr>
      <t xml:space="preserve">
- What happens: Before approving, the CFO asks for exact figures, and asks the agent to confirm the 5 billion lands in Week 5.
- Result: cash 5,000, discount cost 50, Customer A overdue 10,000 to 5,000, total AR 110,000 to 105,000, DSO 57.4 to 54.8, Week 5 covered.
- Point out that this confirms Treasury's fix holds.
</t>
    </r>
  </si>
  <si>
    <r>
      <rPr>
        <b/>
        <sz val="11"/>
        <color theme="1"/>
        <rFont val="Calibri"/>
        <family val="2"/>
      </rPr>
      <t>Part 18 and 19. Final approval and cascade, loop closed</t>
    </r>
    <r>
      <rPr>
        <sz val="11"/>
        <color theme="1"/>
        <rFont val="Calibri"/>
        <family val="2"/>
        <charset val="1"/>
      </rPr>
      <t xml:space="preserve">
- What happens: The CFO approves. The action fans out. D365 puts Berkah on hold, raises the provision, and sends dunning. Treasury is told the 5.0B will land in Week 5. The account manager calls Customer A. The audit log records it.
- Terms: Credit hold, stop new orders to a risky customer. Provision (pencadangan), money set aside for likely bad debt. Dunning (surat penagihan), reminder letters.
- The close: Performance set price and hedge, Treasury fixed cash and FX, Collections freed the cash and confirmed it back to Week 5. One decision, four agents, one ERP.</t>
    </r>
  </si>
  <si>
    <t>Assumptions &amp; Inputs - change here to run any scenario</t>
  </si>
  <si>
    <t>One place for every input. BLUE cells are inputs you can change. YELLOW = key assumptions the model depends on. Units: IDR million unless it says USD or days.</t>
  </si>
  <si>
    <t>SALES &amp; DSO TARGET</t>
  </si>
  <si>
    <t>Annual credit sales (IDR mn)</t>
  </si>
  <si>
    <t>Sales made on credit over 12 months. Drives the DSO calculation.</t>
  </si>
  <si>
    <t>Days in year</t>
  </si>
  <si>
    <t>Used to convert AR into days of sales.</t>
  </si>
  <si>
    <t>Target DSO (days)</t>
  </si>
  <si>
    <t>The goal. Illustrative benchmark. Confirm with the client's peer data.</t>
  </si>
  <si>
    <t>Spot USD / IDR (for export customers)</t>
  </si>
  <si>
    <t>Export balances shown in IDR are converted at this rate.</t>
  </si>
  <si>
    <t>RISK SCORING MODEL  (points, max 100)</t>
  </si>
  <si>
    <t>DBT weight (days beyond terms)</t>
  </si>
  <si>
    <t>More days late = more points.</t>
  </si>
  <si>
    <t>Overdue severity weight (61+ days share)</t>
  </si>
  <si>
    <t>Share of balance that is 61+ days overdue.</t>
  </si>
  <si>
    <t>Credit utilization weight (balance / limit)</t>
  </si>
  <si>
    <t>How much of the credit line is used.</t>
  </si>
  <si>
    <t>Trend points: Worsening</t>
  </si>
  <si>
    <t>Payment behaviour getting worse.</t>
  </si>
  <si>
    <t>Trend points: Stable</t>
  </si>
  <si>
    <t>No clear change.</t>
  </si>
  <si>
    <t>Trend points: Improving</t>
  </si>
  <si>
    <t>Getting better.</t>
  </si>
  <si>
    <t>Dispute points (Yes)</t>
  </si>
  <si>
    <t>Open dispute raises risk.</t>
  </si>
  <si>
    <t>DBT days for maximum points</t>
  </si>
  <si>
    <t>DBT at or above this scores full DBT points.</t>
  </si>
  <si>
    <t>Tier threshold: Medium (min score)</t>
  </si>
  <si>
    <t>Score at or above this = Medium.</t>
  </si>
  <si>
    <t>Tier threshold: High (min score)</t>
  </si>
  <si>
    <t>Score at or above this = High.</t>
  </si>
  <si>
    <t>RECOVERY &amp; PROVISION  (illustrative placeholders)</t>
  </si>
  <si>
    <t>Low-risk recovery of overdue (%)</t>
  </si>
  <si>
    <t>Assumed share of overdue cash we collect.</t>
  </si>
  <si>
    <t>Medium-risk recovery of overdue (%)</t>
  </si>
  <si>
    <t>Illustrative.</t>
  </si>
  <si>
    <t>High-risk recovery of overdue (%)</t>
  </si>
  <si>
    <t>Illustrative. High risk = harder to collect.</t>
  </si>
  <si>
    <t>High-risk loss rate (ECL proxy, %)</t>
  </si>
  <si>
    <t>Illustrative provision rate. Real ECL needs PSAK 71 / IFRS 9.</t>
  </si>
  <si>
    <t>Customer Credit &amp; AR Aging</t>
  </si>
  <si>
    <t>The receivables book: credit terms, payment behaviour, and how old each balance is. BLUE = input. Aging buckets are in IDR mn. Export balances are USD-origin, converted at the spot rate on sheet 01.</t>
  </si>
  <si>
    <t>ID</t>
  </si>
  <si>
    <t>Customer</t>
  </si>
  <si>
    <t>Segment</t>
  </si>
  <si>
    <t>Terms</t>
  </si>
  <si>
    <t>Curr</t>
  </si>
  <si>
    <t>Credit limit</t>
  </si>
  <si>
    <t>DBT (days)</t>
  </si>
  <si>
    <t>Trend</t>
  </si>
  <si>
    <t>Dispute</t>
  </si>
  <si>
    <t>On-time %</t>
  </si>
  <si>
    <t>Current</t>
  </si>
  <si>
    <t>1-30 od</t>
  </si>
  <si>
    <t>31-60 od</t>
  </si>
  <si>
    <t>61-90 od</t>
  </si>
  <si>
    <t>90+ od</t>
  </si>
  <si>
    <t>Total AR</t>
  </si>
  <si>
    <t>Overdue</t>
  </si>
  <si>
    <t>% overdue</t>
  </si>
  <si>
    <t>Utilisation</t>
  </si>
  <si>
    <t>C001</t>
  </si>
  <si>
    <t>PT Anugerah Prima (Customer A)</t>
  </si>
  <si>
    <t>Key account</t>
  </si>
  <si>
    <t>Net 45</t>
  </si>
  <si>
    <t>IDR</t>
  </si>
  <si>
    <t>Worsening</t>
  </si>
  <si>
    <t>No</t>
  </si>
  <si>
    <t>C002</t>
  </si>
  <si>
    <t>PT Distribusi Jaya</t>
  </si>
  <si>
    <t>Distributor</t>
  </si>
  <si>
    <t>Net 30</t>
  </si>
  <si>
    <t>Stable</t>
  </si>
  <si>
    <t>C003</t>
  </si>
  <si>
    <t>PT Ritel Nusantara</t>
  </si>
  <si>
    <t>Domestic retail</t>
  </si>
  <si>
    <t>C004</t>
  </si>
  <si>
    <t>CV Mitra Dagang</t>
  </si>
  <si>
    <t>Improving</t>
  </si>
  <si>
    <t>C005</t>
  </si>
  <si>
    <t>CV Toko Sejahtera</t>
  </si>
  <si>
    <t>SME</t>
  </si>
  <si>
    <t>C006</t>
  </si>
  <si>
    <t>PT Karya Abadi</t>
  </si>
  <si>
    <t>C007</t>
  </si>
  <si>
    <t>PT Sumber Makmur</t>
  </si>
  <si>
    <t>Wholesale</t>
  </si>
  <si>
    <t>Net 60</t>
  </si>
  <si>
    <t>C008</t>
  </si>
  <si>
    <t>Lion City Trading Pte</t>
  </si>
  <si>
    <t>Export (USD)</t>
  </si>
  <si>
    <t>USD</t>
  </si>
  <si>
    <t>C009</t>
  </si>
  <si>
    <t>Peninsula Export Sdn</t>
  </si>
  <si>
    <t>C010</t>
  </si>
  <si>
    <t>PT Maju Bersama</t>
  </si>
  <si>
    <t>C011</t>
  </si>
  <si>
    <t>CV Berkah Jaya</t>
  </si>
  <si>
    <t>Yes</t>
  </si>
  <si>
    <t>C012</t>
  </si>
  <si>
    <t>PT Cahaya Sentosa</t>
  </si>
  <si>
    <t>TOTAL</t>
  </si>
  <si>
    <t>DBT = Days Beyond Terms (average days a customer pays late). 'od' = overdue. Rows shaded amber = worsening trend; red = open dispute.</t>
  </si>
  <si>
    <t>Customer Risk Scoring</t>
  </si>
  <si>
    <t>The agent scores each customer 0-100 from lateness, overdue severity, credit use, trend, and disputes. GREEN = pulled from sheet 02. Weights are on sheet 01. Higher score = higher risk.</t>
  </si>
  <si>
    <t>Balance</t>
  </si>
  <si>
    <t>Util %</t>
  </si>
  <si>
    <t>61+ od</t>
  </si>
  <si>
    <t>Severity %</t>
  </si>
  <si>
    <t>DBT</t>
  </si>
  <si>
    <t>Disp</t>
  </si>
  <si>
    <t>DBT pts</t>
  </si>
  <si>
    <t>Sev pts</t>
  </si>
  <si>
    <t>Util pts</t>
  </si>
  <si>
    <t>Trend pts</t>
  </si>
  <si>
    <t>Disp pts</t>
  </si>
  <si>
    <t>Risk score</t>
  </si>
  <si>
    <t>Tier</t>
  </si>
  <si>
    <t>Rank</t>
  </si>
  <si>
    <t xml:space="preserve">Risk score = DBT points + severity points + utilisation points + trend points + dispute points. Tiers: Low under 34, Medium 34-66, High 67+. </t>
  </si>
  <si>
    <t>DSO &amp; Trapped-Cash Impact</t>
  </si>
  <si>
    <t>How much cash is tied up in receivables, and how much a lower DSO would free. GREEN = pulled from other sheets. Units: IDR mn and days.</t>
  </si>
  <si>
    <t>RECEIVABLES POSITION</t>
  </si>
  <si>
    <t>Total AR outstanding (IDR mn)</t>
  </si>
  <si>
    <t>Not yet due (current)</t>
  </si>
  <si>
    <t>Overdue (past due)</t>
  </si>
  <si>
    <t>Overdue as % of AR</t>
  </si>
  <si>
    <t>DSO &amp; CASH FREED</t>
  </si>
  <si>
    <t>Daily credit sales (IDR mn)</t>
  </si>
  <si>
    <t>Current DSO (days)</t>
  </si>
  <si>
    <t>DSO gap (days)</t>
  </si>
  <si>
    <t>Cash freed if target met (IDR mn)</t>
  </si>
  <si>
    <t>Equals DSO gap x daily sales. The prize for the CFO.</t>
  </si>
  <si>
    <t>RISK EXPOSURE BY TIER</t>
  </si>
  <si>
    <t>Customers</t>
  </si>
  <si>
    <t>Exposure (IDR mn)</t>
  </si>
  <si>
    <t>% of AR</t>
  </si>
  <si>
    <t>Note</t>
  </si>
  <si>
    <t>High</t>
  </si>
  <si>
    <t>Likely bad-debt candidates. Act now.</t>
  </si>
  <si>
    <t>Medium</t>
  </si>
  <si>
    <t>Watch list. Call before they slip further.</t>
  </si>
  <si>
    <t>Low</t>
  </si>
  <si>
    <t>Standard automated reminders.</t>
  </si>
  <si>
    <t>Total</t>
  </si>
  <si>
    <t>Illustrative provision on high-risk (ECL proxy, IDR mn)</t>
  </si>
  <si>
    <t>Illustrative only. Real ECL needs PSAK 71 / IFRS 9 and Controller sign-off.</t>
  </si>
  <si>
    <t>Agent Collections Worklist - who to chase first</t>
  </si>
  <si>
    <t>Accounts with overdue cash, ranked by amount and risk. GREEN = pulled from sheets 02/03. Recovery % is by risk tier (sheet 01). Focus the top of this list to collect most of the cash.</t>
  </si>
  <si>
    <t>Overdue (IDR mn)</t>
  </si>
  <si>
    <t>Oldest bucket</t>
  </si>
  <si>
    <t>Score</t>
  </si>
  <si>
    <t>Recommended action</t>
  </si>
  <si>
    <t>Recovery %</t>
  </si>
  <si>
    <t>Expected recovery</t>
  </si>
  <si>
    <t>Priority call today. Offer a 1% early-pay discount for immediate settlement. Agree a plan on the 31-60 balance.</t>
  </si>
  <si>
    <t>Call before further slippage. Confirm a firm pay date. Review the IDR 25,000 mn credit limit.</t>
  </si>
  <si>
    <t>HOLD new shipments. Resolve the dispute. Escalate to the credit committee. Provision the 90+ balance.</t>
  </si>
  <si>
    <t>Send a reminder and confirm the 31-60 invoice pay date.</t>
  </si>
  <si>
    <t>Call. Worsening SME. Confirm a pay date, tighten the limit, and watch the 61-90 balance.</t>
  </si>
  <si>
    <t>Reminder. Confirm the 31-60 balance pay date.</t>
  </si>
  <si>
    <t>Automated reminder. Low risk, standard dunning.</t>
  </si>
  <si>
    <t>Automated reminder. Improving, no action needed.</t>
  </si>
  <si>
    <t>Automated reminder. Low risk.</t>
  </si>
  <si>
    <t>TOTAL (accounts with overdue)</t>
  </si>
  <si>
    <t>The two export customers (Lion City, Peninsula) are current, so they are not on the worklist. Recovery % are illustrative and set by tier on sheet 01.</t>
  </si>
  <si>
    <t>Agent Recommendation &amp; CFO Decision Card</t>
  </si>
  <si>
    <t>What the agent recommends, why, and the impact, pulled live from sheets 04 and 05. The provision journal is illustrative and needs Controller sign-off.</t>
  </si>
  <si>
    <t>SITUATION (from the receivables book)</t>
  </si>
  <si>
    <t>High-risk exposure (IDR mn)</t>
  </si>
  <si>
    <t>RECOMMENDATION - three moves</t>
  </si>
  <si>
    <t>1) ACCELERATE  (pull cash in, lower DSO)</t>
  </si>
  <si>
    <t>- Work the ranked worklist top-down</t>
  </si>
  <si>
    <t>The top 5 accounts hold ~70% of the overdue cash</t>
  </si>
  <si>
    <t>Fastest DSO reduction</t>
  </si>
  <si>
    <t>- Offer a small early-pay discount to the key account</t>
  </si>
  <si>
    <t>1% to Customer A to settle the 31-60 balance now</t>
  </si>
  <si>
    <t>Frees cash this month</t>
  </si>
  <si>
    <t>- Confirm firm pay dates on all Medium accounts</t>
  </si>
  <si>
    <t>Get commitments before month-end</t>
  </si>
  <si>
    <t>Prevents slippage</t>
  </si>
  <si>
    <t>2) CONTAIN  (stop the bleed on risky accounts)</t>
  </si>
  <si>
    <t>- Put CV Berkah Jaya on credit hold</t>
  </si>
  <si>
    <t>High risk, dispute, 90+ balance</t>
  </si>
  <si>
    <t>Caps further exposure</t>
  </si>
  <si>
    <t>- Raise an illustrative provision on high-risk</t>
  </si>
  <si>
    <t>Book an ECL estimate, confirm with Controller</t>
  </si>
  <si>
    <t>Protects the P&amp;L</t>
  </si>
  <si>
    <t>- Tighten limits on worsening Medium accounts</t>
  </si>
  <si>
    <t>Toko Sejahtera, Sumber Makmur</t>
  </si>
  <si>
    <t>Reduces future risk</t>
  </si>
  <si>
    <t>3) PREVENT  (make it stick)</t>
  </si>
  <si>
    <t>- Automate dunning for Low-risk accounts</t>
  </si>
  <si>
    <t>Reminders sent without staff time</t>
  </si>
  <si>
    <t>Frees the AR team</t>
  </si>
  <si>
    <t>- Run the agent weekly</t>
  </si>
  <si>
    <t>Re-score, re-rank, re-predict</t>
  </si>
  <si>
    <t>Keeps DSO down</t>
  </si>
  <si>
    <t>- Review credit-limit policy quarterly</t>
  </si>
  <si>
    <t>Feed behaviour back into limits</t>
  </si>
  <si>
    <t>Fewer surprises</t>
  </si>
  <si>
    <t>EXPECTED IMPACT (calculated)</t>
  </si>
  <si>
    <t>Expected cash recovery from the worklist (IDR mn)</t>
  </si>
  <si>
    <t>Sum of overdue x recovery % across the worklist.</t>
  </si>
  <si>
    <t>Cash freed by hitting the DSO target (IDR mn)</t>
  </si>
  <si>
    <t>Illustrative provision on high-risk (IDR mn)</t>
  </si>
  <si>
    <t>CFO DECISION CARD</t>
  </si>
  <si>
    <t>Requested by: Collections &amp; Credit Agent   |   Approval: CFO + Credit / Finance Manager (dual control)</t>
  </si>
  <si>
    <t>[ Approve worklist ]   [ Approve credit holds ]   [ Approve provision ]   [ Modify ]   [ Ask why ]   [ Reject ]</t>
  </si>
  <si>
    <t>ILLUSTRATIVE PROVISION JOURNAL - NEEDS CONTROLLER SIGN-OFF</t>
  </si>
  <si>
    <t>To raise the bad-debt provision (simplified, illustrative only):</t>
  </si>
  <si>
    <t>Dr</t>
  </si>
  <si>
    <t>Impairment loss on receivables (P&amp;L)</t>
  </si>
  <si>
    <t>ECL estimate</t>
  </si>
  <si>
    <t>Cr</t>
  </si>
  <si>
    <t>Allowance for doubtful accounts (contra-AR)</t>
  </si>
  <si>
    <t>same amount</t>
  </si>
  <si>
    <t>Expected credit loss under PSAK 71 / IFRS 9 needs a proper model and Controller sign-off. Do not present the provision figure as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</si>
</sst>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43">
    <font>
      <sz val="11"/>
      <color theme="1"/>
      <name val="Calibri"/>
      <family val="2"/>
      <charset val="1"/>
    </font>
    <font>
      <sz val="10"/>
      <name val="Arial"/>
      <family val="2"/>
    </font>
    <font>
      <b/>
      <sz val="17"/>
      <color rgb="FF1F3864"/>
      <name val="Arial"/>
      <family val="2"/>
    </font>
    <font>
      <i/>
      <sz val="10"/>
      <color rgb="FF595959"/>
      <name val="Arial"/>
      <family val="2"/>
    </font>
    <font>
      <b/>
      <sz val="12"/>
      <color rgb="FFFFFFFF"/>
      <name val="Arial"/>
      <family val="2"/>
    </font>
    <font>
      <sz val="10"/>
      <color rgb="FF000000"/>
      <name val="Arial"/>
      <family val="2"/>
    </font>
    <font>
      <sz val="10"/>
      <color rgb="FFC00000"/>
      <name val="Arial"/>
      <family val="2"/>
    </font>
    <font>
      <b/>
      <sz val="18"/>
      <color rgb="FF1F3864"/>
      <name val="Arial"/>
      <family val="2"/>
    </font>
    <font>
      <b/>
      <sz val="11"/>
      <color rgb="FFFFFFFF"/>
      <name val="Arial"/>
      <family val="2"/>
    </font>
    <font>
      <b/>
      <sz val="10"/>
      <color rgb="FFC00000"/>
      <name val="Arial"/>
      <family val="2"/>
    </font>
    <font>
      <b/>
      <sz val="16"/>
      <color rgb="FF1F3864"/>
      <name val="Arial"/>
      <family val="2"/>
    </font>
    <font>
      <b/>
      <sz val="10"/>
      <color rgb="FF000000"/>
      <name val="Arial"/>
      <family val="2"/>
    </font>
    <font>
      <sz val="10"/>
      <color rgb="FF0000FF"/>
      <name val="Arial"/>
      <family val="2"/>
    </font>
    <font>
      <i/>
      <sz val="9"/>
      <color rgb="FF595959"/>
      <name val="Arial"/>
      <family val="2"/>
    </font>
    <font>
      <i/>
      <sz val="9"/>
      <color rgb="FFC00000"/>
      <name val="Arial"/>
      <family val="2"/>
    </font>
    <font>
      <sz val="8"/>
      <color rgb="FF000000"/>
      <name val="Arial"/>
      <family val="2"/>
    </font>
    <font>
      <b/>
      <sz val="9"/>
      <color rgb="FF000000"/>
      <name val="Arial"/>
      <family val="2"/>
    </font>
    <font>
      <sz val="8"/>
      <color rgb="FF595959"/>
      <name val="Arial"/>
      <family val="2"/>
    </font>
    <font>
      <sz val="8"/>
      <color rgb="FF0000FF"/>
      <name val="Arial"/>
      <family val="2"/>
    </font>
    <font>
      <b/>
      <sz val="8"/>
      <color rgb="FFC00000"/>
      <name val="Arial"/>
      <family val="2"/>
    </font>
    <font>
      <b/>
      <sz val="8"/>
      <color rgb="FF000000"/>
      <name val="Arial"/>
      <family val="2"/>
    </font>
    <font>
      <sz val="9"/>
      <color rgb="FF000000"/>
      <name val="Arial"/>
      <family val="2"/>
    </font>
    <font>
      <i/>
      <sz val="8"/>
      <color rgb="FF595959"/>
      <name val="Arial"/>
      <family val="2"/>
    </font>
    <font>
      <sz val="8"/>
      <color rgb="FF008000"/>
      <name val="Arial"/>
      <family val="2"/>
    </font>
    <font>
      <sz val="9"/>
      <color rgb="FF008000"/>
      <name val="Arial"/>
      <family val="2"/>
    </font>
    <font>
      <b/>
      <sz val="10"/>
      <color rgb="FF008000"/>
      <name val="Arial"/>
      <family val="2"/>
    </font>
    <font>
      <sz val="10"/>
      <color rgb="FF008000"/>
      <name val="Arial"/>
      <family val="2"/>
    </font>
    <font>
      <b/>
      <sz val="10"/>
      <color rgb="FF548235"/>
      <name val="Arial"/>
      <family val="2"/>
    </font>
    <font>
      <b/>
      <sz val="9"/>
      <color rgb="FFC00000"/>
      <name val="Arial"/>
      <family val="2"/>
    </font>
    <font>
      <b/>
      <sz val="9"/>
      <color rgb="FFED7D31"/>
      <name val="Arial"/>
      <family val="2"/>
    </font>
    <font>
      <b/>
      <sz val="9"/>
      <color rgb="FF548235"/>
      <name val="Arial"/>
      <family val="2"/>
    </font>
    <font>
      <i/>
      <sz val="8"/>
      <color rgb="FFC00000"/>
      <name val="Arial"/>
      <family val="2"/>
    </font>
    <font>
      <b/>
      <sz val="9"/>
      <color rgb="FF008000"/>
      <name val="Arial"/>
      <family val="2"/>
    </font>
    <font>
      <b/>
      <sz val="11"/>
      <color rgb="FF1F3864"/>
      <name val="Arial"/>
      <family val="2"/>
    </font>
    <font>
      <i/>
      <sz val="9"/>
      <color rgb="FF548235"/>
      <name val="Arial"/>
      <family val="2"/>
    </font>
    <font>
      <b/>
      <sz val="10"/>
      <color rgb="FF1F3864"/>
      <name val="Arial"/>
      <family val="2"/>
    </font>
    <font>
      <b/>
      <sz val="12"/>
      <color theme="0"/>
      <name val="Arial"/>
      <family val="2"/>
    </font>
    <font>
      <sz val="9"/>
      <color theme="1"/>
      <name val="Calibri"/>
      <family val="2"/>
      <charset val="1"/>
    </font>
    <font>
      <b/>
      <sz val="11"/>
      <color theme="0"/>
      <name val="Arial"/>
      <family val="2"/>
    </font>
    <font>
      <b/>
      <sz val="8"/>
      <color theme="0"/>
      <name val="Arial"/>
      <family val="2"/>
    </font>
    <font>
      <b/>
      <sz val="9"/>
      <color theme="0"/>
      <name val="Arial"/>
      <family val="2"/>
    </font>
    <font>
      <b/>
      <sz val="11"/>
      <color theme="1"/>
      <name val="Calibri"/>
      <family val="2"/>
    </font>
    <font>
      <sz val="11"/>
      <color theme="1"/>
      <name val="Calibri"/>
      <family val="2"/>
    </font>
  </fonts>
  <fills count="14">
    <fill>
      <patternFill patternType="none"/>
    </fill>
    <fill>
      <patternFill patternType="gray125"/>
    </fill>
    <fill>
      <patternFill patternType="solid">
        <fgColor rgb="FF2E5496"/>
        <bgColor rgb="FF1F3864"/>
      </patternFill>
    </fill>
    <fill>
      <patternFill patternType="solid">
        <fgColor rgb="FFC00000"/>
        <bgColor rgb="FF800000"/>
      </patternFill>
    </fill>
    <fill>
      <patternFill patternType="solid">
        <fgColor rgb="FF548235"/>
        <bgColor rgb="FF339966"/>
      </patternFill>
    </fill>
    <fill>
      <patternFill patternType="solid">
        <fgColor rgb="FFFFFF00"/>
        <bgColor rgb="FFFFFF00"/>
      </patternFill>
    </fill>
    <fill>
      <patternFill patternType="solid">
        <fgColor rgb="FFFCE4D6"/>
        <bgColor rgb="FFFFF2CC"/>
      </patternFill>
    </fill>
    <fill>
      <patternFill patternType="solid">
        <fgColor rgb="FFF2F6FC"/>
        <bgColor rgb="FFF9F9F9"/>
      </patternFill>
    </fill>
    <fill>
      <patternFill patternType="solid">
        <fgColor rgb="FFF8CBAD"/>
        <bgColor rgb="FFFCE4D6"/>
      </patternFill>
    </fill>
    <fill>
      <patternFill patternType="solid">
        <fgColor rgb="FFDDEBF7"/>
        <bgColor rgb="FFE2EFDA"/>
      </patternFill>
    </fill>
    <fill>
      <patternFill patternType="solid">
        <fgColor rgb="FFFFF2CC"/>
        <bgColor rgb="FFFCE4D6"/>
      </patternFill>
    </fill>
    <fill>
      <patternFill patternType="solid">
        <fgColor rgb="FFE2EFDA"/>
        <bgColor rgb="FFDDEBF7"/>
      </patternFill>
    </fill>
    <fill>
      <patternFill patternType="solid">
        <fgColor rgb="FF0070C0"/>
        <bgColor rgb="FF1F3864"/>
      </patternFill>
    </fill>
    <fill>
      <patternFill patternType="solid">
        <fgColor rgb="FF0070C0"/>
        <bgColor rgb="FF333333"/>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1">
    <xf numFmtId="0" fontId="0" fillId="0" borderId="0"/>
  </cellStyleXfs>
  <cellXfs count="148">
    <xf numFmtId="0" fontId="0" fillId="0" borderId="0" xfId="0"/>
    <xf numFmtId="0" fontId="2" fillId="0" borderId="0" xfId="0" applyFont="1"/>
    <xf numFmtId="0" fontId="3" fillId="0" borderId="0" xfId="0" applyFont="1" applyAlignment="1">
      <alignment vertical="center" wrapText="1"/>
    </xf>
    <xf numFmtId="0" fontId="5" fillId="0" borderId="0" xfId="0" applyFont="1" applyAlignment="1">
      <alignment horizontal="left" vertical="center" wrapText="1"/>
    </xf>
    <xf numFmtId="0" fontId="4" fillId="3" borderId="0" xfId="0" applyFont="1" applyFill="1" applyAlignment="1">
      <alignment horizontal="left" vertical="center"/>
    </xf>
    <xf numFmtId="0" fontId="6" fillId="0" borderId="0" xfId="0" applyFont="1" applyAlignment="1">
      <alignment horizontal="left" vertical="center" wrapText="1"/>
    </xf>
    <xf numFmtId="0" fontId="8" fillId="0" borderId="0" xfId="0" applyFont="1" applyAlignment="1">
      <alignment horizontal="left" vertical="top" wrapText="1"/>
    </xf>
    <xf numFmtId="0" fontId="5" fillId="0" borderId="0" xfId="0" applyFont="1" applyAlignment="1">
      <alignment horizontal="left" vertical="top" wrapText="1"/>
    </xf>
    <xf numFmtId="0" fontId="8" fillId="2" borderId="0" xfId="0" applyFont="1" applyFill="1" applyAlignment="1">
      <alignment horizontal="left" vertical="top" wrapText="1"/>
    </xf>
    <xf numFmtId="0" fontId="8" fillId="4" borderId="0" xfId="0" applyFont="1" applyFill="1" applyAlignment="1">
      <alignment horizontal="left" vertical="top" wrapText="1"/>
    </xf>
    <xf numFmtId="0" fontId="11" fillId="0" borderId="0" xfId="0" applyFont="1" applyAlignment="1">
      <alignment horizontal="left" vertical="center"/>
    </xf>
    <xf numFmtId="164" fontId="12" fillId="5" borderId="0" xfId="0" applyNumberFormat="1" applyFont="1" applyFill="1" applyAlignment="1">
      <alignment horizontal="center" vertical="center"/>
    </xf>
    <xf numFmtId="0" fontId="13" fillId="0" borderId="0" xfId="0" applyFont="1" applyAlignment="1">
      <alignment horizontal="left" vertical="center"/>
    </xf>
    <xf numFmtId="3" fontId="12" fillId="0" borderId="0" xfId="0" applyNumberFormat="1" applyFont="1" applyAlignment="1">
      <alignment horizontal="center" vertical="center"/>
    </xf>
    <xf numFmtId="3" fontId="12" fillId="5" borderId="0" xfId="0" applyNumberFormat="1" applyFont="1" applyFill="1" applyAlignment="1">
      <alignment horizontal="center" vertical="center"/>
    </xf>
    <xf numFmtId="0" fontId="14" fillId="0" borderId="0" xfId="0" applyFont="1" applyAlignment="1">
      <alignment horizontal="left" vertical="center"/>
    </xf>
    <xf numFmtId="165" fontId="12" fillId="0" borderId="0" xfId="0" applyNumberFormat="1" applyFont="1" applyAlignment="1">
      <alignment horizontal="center" vertical="center"/>
    </xf>
    <xf numFmtId="0" fontId="15" fillId="6" borderId="1" xfId="0" applyFont="1" applyFill="1" applyBorder="1" applyAlignment="1">
      <alignment horizontal="center" vertical="center"/>
    </xf>
    <xf numFmtId="0" fontId="16" fillId="6" borderId="1" xfId="0" applyFont="1" applyFill="1" applyBorder="1" applyAlignment="1">
      <alignment horizontal="left" vertical="center"/>
    </xf>
    <xf numFmtId="0" fontId="17" fillId="6" borderId="1" xfId="0" applyFont="1" applyFill="1" applyBorder="1" applyAlignment="1">
      <alignment horizontal="left" vertical="center"/>
    </xf>
    <xf numFmtId="164" fontId="18" fillId="6" borderId="1" xfId="0" applyNumberFormat="1" applyFont="1" applyFill="1" applyBorder="1" applyAlignment="1">
      <alignment horizontal="right" vertical="center"/>
    </xf>
    <xf numFmtId="3" fontId="18" fillId="6" borderId="1" xfId="0" applyNumberFormat="1" applyFont="1" applyFill="1" applyBorder="1" applyAlignment="1">
      <alignment horizontal="center" vertical="center"/>
    </xf>
    <xf numFmtId="0" fontId="19" fillId="6" borderId="1" xfId="0" applyFont="1" applyFill="1" applyBorder="1" applyAlignment="1">
      <alignment horizontal="center" vertical="center"/>
    </xf>
    <xf numFmtId="0" fontId="17" fillId="6" borderId="1" xfId="0" applyFont="1" applyFill="1" applyBorder="1" applyAlignment="1">
      <alignment horizontal="center" vertical="center"/>
    </xf>
    <xf numFmtId="9" fontId="18" fillId="6" borderId="1" xfId="0" applyNumberFormat="1" applyFont="1" applyFill="1" applyBorder="1" applyAlignment="1">
      <alignment horizontal="center" vertical="center"/>
    </xf>
    <xf numFmtId="164" fontId="20" fillId="6" borderId="1" xfId="0" applyNumberFormat="1" applyFont="1" applyFill="1" applyBorder="1" applyAlignment="1">
      <alignment horizontal="right" vertical="center"/>
    </xf>
    <xf numFmtId="164" fontId="15" fillId="6" borderId="1" xfId="0" applyNumberFormat="1" applyFont="1" applyFill="1" applyBorder="1" applyAlignment="1">
      <alignment horizontal="right" vertical="center"/>
    </xf>
    <xf numFmtId="165" fontId="15" fillId="6" borderId="1" xfId="0" applyNumberFormat="1" applyFont="1" applyFill="1" applyBorder="1" applyAlignment="1">
      <alignment horizontal="center" vertical="center"/>
    </xf>
    <xf numFmtId="0" fontId="15" fillId="7" borderId="1" xfId="0" applyFont="1" applyFill="1" applyBorder="1" applyAlignment="1">
      <alignment horizontal="center" vertical="center"/>
    </xf>
    <xf numFmtId="0" fontId="21" fillId="7" borderId="1" xfId="0" applyFont="1" applyFill="1" applyBorder="1" applyAlignment="1">
      <alignment horizontal="left" vertical="center"/>
    </xf>
    <xf numFmtId="0" fontId="17" fillId="7" borderId="1" xfId="0" applyFont="1" applyFill="1" applyBorder="1" applyAlignment="1">
      <alignment horizontal="left" vertical="center"/>
    </xf>
    <xf numFmtId="164" fontId="18" fillId="7" borderId="1" xfId="0" applyNumberFormat="1" applyFont="1" applyFill="1" applyBorder="1" applyAlignment="1">
      <alignment horizontal="right" vertical="center"/>
    </xf>
    <xf numFmtId="3" fontId="18" fillId="7" borderId="1" xfId="0" applyNumberFormat="1" applyFont="1" applyFill="1" applyBorder="1" applyAlignment="1">
      <alignment horizontal="center" vertical="center"/>
    </xf>
    <xf numFmtId="0" fontId="17" fillId="7" borderId="1" xfId="0" applyFont="1" applyFill="1" applyBorder="1" applyAlignment="1">
      <alignment horizontal="center" vertical="center"/>
    </xf>
    <xf numFmtId="9" fontId="18" fillId="7" borderId="1" xfId="0" applyNumberFormat="1" applyFont="1" applyFill="1" applyBorder="1" applyAlignment="1">
      <alignment horizontal="center" vertical="center"/>
    </xf>
    <xf numFmtId="164" fontId="20" fillId="7" borderId="1" xfId="0" applyNumberFormat="1" applyFont="1" applyFill="1" applyBorder="1" applyAlignment="1">
      <alignment horizontal="right" vertical="center"/>
    </xf>
    <xf numFmtId="164" fontId="15" fillId="7" borderId="1" xfId="0" applyNumberFormat="1" applyFont="1" applyFill="1" applyBorder="1" applyAlignment="1">
      <alignment horizontal="right" vertical="center"/>
    </xf>
    <xf numFmtId="165" fontId="15" fillId="7" borderId="1" xfId="0" applyNumberFormat="1" applyFont="1" applyFill="1" applyBorder="1" applyAlignment="1">
      <alignment horizontal="center" vertical="center"/>
    </xf>
    <xf numFmtId="0" fontId="15" fillId="0" borderId="1" xfId="0" applyFont="1" applyBorder="1" applyAlignment="1">
      <alignment horizontal="center" vertical="center"/>
    </xf>
    <xf numFmtId="0" fontId="21" fillId="0" borderId="1" xfId="0" applyFont="1" applyBorder="1" applyAlignment="1">
      <alignment horizontal="left" vertical="center"/>
    </xf>
    <xf numFmtId="0" fontId="17" fillId="0" borderId="1" xfId="0" applyFont="1" applyBorder="1" applyAlignment="1">
      <alignment horizontal="left" vertical="center"/>
    </xf>
    <xf numFmtId="164" fontId="18" fillId="0" borderId="1" xfId="0" applyNumberFormat="1" applyFont="1" applyBorder="1" applyAlignment="1">
      <alignment horizontal="right" vertical="center"/>
    </xf>
    <xf numFmtId="3" fontId="18" fillId="0" borderId="1" xfId="0" applyNumberFormat="1" applyFont="1" applyBorder="1" applyAlignment="1">
      <alignment horizontal="center" vertical="center"/>
    </xf>
    <xf numFmtId="0" fontId="17" fillId="0" borderId="1" xfId="0" applyFont="1" applyBorder="1" applyAlignment="1">
      <alignment horizontal="center" vertical="center"/>
    </xf>
    <xf numFmtId="9" fontId="18" fillId="0" borderId="1" xfId="0" applyNumberFormat="1" applyFont="1" applyBorder="1" applyAlignment="1">
      <alignment horizontal="center" vertical="center"/>
    </xf>
    <xf numFmtId="164" fontId="20" fillId="0" borderId="1" xfId="0" applyNumberFormat="1" applyFont="1" applyBorder="1" applyAlignment="1">
      <alignment horizontal="right" vertical="center"/>
    </xf>
    <xf numFmtId="164" fontId="15" fillId="0" borderId="1" xfId="0" applyNumberFormat="1" applyFont="1" applyBorder="1" applyAlignment="1">
      <alignment horizontal="right" vertical="center"/>
    </xf>
    <xf numFmtId="165" fontId="15" fillId="0" borderId="1" xfId="0" applyNumberFormat="1" applyFont="1" applyBorder="1" applyAlignment="1">
      <alignment horizontal="center" vertical="center"/>
    </xf>
    <xf numFmtId="0" fontId="18" fillId="7" borderId="1" xfId="0" applyFont="1" applyFill="1" applyBorder="1" applyAlignment="1">
      <alignment horizontal="center" vertical="center"/>
    </xf>
    <xf numFmtId="0" fontId="18" fillId="0" borderId="1" xfId="0" applyFont="1" applyBorder="1" applyAlignment="1">
      <alignment horizontal="center" vertical="center"/>
    </xf>
    <xf numFmtId="0" fontId="15" fillId="8" borderId="1" xfId="0" applyFont="1" applyFill="1" applyBorder="1" applyAlignment="1">
      <alignment horizontal="center" vertical="center"/>
    </xf>
    <xf numFmtId="0" fontId="16" fillId="8" borderId="1" xfId="0" applyFont="1" applyFill="1" applyBorder="1" applyAlignment="1">
      <alignment horizontal="left" vertical="center"/>
    </xf>
    <xf numFmtId="0" fontId="17" fillId="8" borderId="1" xfId="0" applyFont="1" applyFill="1" applyBorder="1" applyAlignment="1">
      <alignment horizontal="left" vertical="center"/>
    </xf>
    <xf numFmtId="164" fontId="18" fillId="8" borderId="1" xfId="0" applyNumberFormat="1" applyFont="1" applyFill="1" applyBorder="1" applyAlignment="1">
      <alignment horizontal="right" vertical="center"/>
    </xf>
    <xf numFmtId="3" fontId="18" fillId="8" borderId="1" xfId="0" applyNumberFormat="1" applyFont="1" applyFill="1" applyBorder="1" applyAlignment="1">
      <alignment horizontal="center" vertical="center"/>
    </xf>
    <xf numFmtId="0" fontId="19" fillId="8" borderId="1" xfId="0" applyFont="1" applyFill="1" applyBorder="1" applyAlignment="1">
      <alignment horizontal="center" vertical="center"/>
    </xf>
    <xf numFmtId="9" fontId="18" fillId="8" borderId="1" xfId="0" applyNumberFormat="1" applyFont="1" applyFill="1" applyBorder="1" applyAlignment="1">
      <alignment horizontal="center" vertical="center"/>
    </xf>
    <xf numFmtId="164" fontId="20" fillId="8" borderId="1" xfId="0" applyNumberFormat="1" applyFont="1" applyFill="1" applyBorder="1" applyAlignment="1">
      <alignment horizontal="right" vertical="center"/>
    </xf>
    <xf numFmtId="164" fontId="15" fillId="8" borderId="1" xfId="0" applyNumberFormat="1" applyFont="1" applyFill="1" applyBorder="1" applyAlignment="1">
      <alignment horizontal="right" vertical="center"/>
    </xf>
    <xf numFmtId="165" fontId="15" fillId="8" borderId="1" xfId="0" applyNumberFormat="1" applyFont="1" applyFill="1" applyBorder="1" applyAlignment="1">
      <alignment horizontal="center" vertical="center"/>
    </xf>
    <xf numFmtId="0" fontId="16" fillId="0" borderId="0" xfId="0" applyFont="1" applyAlignment="1">
      <alignment horizontal="left" vertical="center"/>
    </xf>
    <xf numFmtId="164" fontId="16" fillId="9" borderId="1" xfId="0" applyNumberFormat="1" applyFont="1" applyFill="1" applyBorder="1" applyAlignment="1">
      <alignment horizontal="right" vertical="center"/>
    </xf>
    <xf numFmtId="165" fontId="16" fillId="9" borderId="1" xfId="0" applyNumberFormat="1" applyFont="1" applyFill="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xf>
    <xf numFmtId="164" fontId="23" fillId="0" borderId="1" xfId="0" applyNumberFormat="1" applyFont="1" applyBorder="1" applyAlignment="1">
      <alignment horizontal="right" vertical="center"/>
    </xf>
    <xf numFmtId="165" fontId="23" fillId="0" borderId="1" xfId="0" applyNumberFormat="1" applyFont="1" applyBorder="1" applyAlignment="1">
      <alignment horizontal="center" vertical="center"/>
    </xf>
    <xf numFmtId="3" fontId="23" fillId="0" borderId="1" xfId="0" applyNumberFormat="1" applyFont="1" applyBorder="1" applyAlignment="1">
      <alignment horizontal="center" vertical="center"/>
    </xf>
    <xf numFmtId="166" fontId="15" fillId="0" borderId="1" xfId="0" applyNumberFormat="1" applyFont="1" applyBorder="1" applyAlignment="1">
      <alignment horizontal="center" vertical="center"/>
    </xf>
    <xf numFmtId="166" fontId="16" fillId="10" borderId="1" xfId="0" applyNumberFormat="1" applyFont="1" applyFill="1" applyBorder="1" applyAlignment="1">
      <alignment horizontal="center" vertical="center"/>
    </xf>
    <xf numFmtId="0" fontId="16" fillId="0" borderId="1" xfId="0" applyFont="1" applyBorder="1" applyAlignment="1">
      <alignment horizontal="center" vertical="center"/>
    </xf>
    <xf numFmtId="3" fontId="15" fillId="0" borderId="1" xfId="0" applyNumberFormat="1" applyFont="1" applyBorder="1" applyAlignment="1">
      <alignment horizontal="center" vertical="center"/>
    </xf>
    <xf numFmtId="164" fontId="25" fillId="10" borderId="0" xfId="0" applyNumberFormat="1" applyFont="1" applyFill="1" applyAlignment="1">
      <alignment horizontal="right" vertical="center"/>
    </xf>
    <xf numFmtId="164" fontId="26" fillId="0" borderId="0" xfId="0" applyNumberFormat="1" applyFont="1" applyAlignment="1">
      <alignment horizontal="right" vertical="center"/>
    </xf>
    <xf numFmtId="0" fontId="11" fillId="8" borderId="0" xfId="0" applyFont="1" applyFill="1" applyAlignment="1">
      <alignment horizontal="left" vertical="center"/>
    </xf>
    <xf numFmtId="164" fontId="9" fillId="8" borderId="0" xfId="0" applyNumberFormat="1" applyFont="1" applyFill="1" applyAlignment="1">
      <alignment horizontal="right" vertical="center"/>
    </xf>
    <xf numFmtId="165" fontId="5" fillId="0" borderId="0" xfId="0" applyNumberFormat="1" applyFont="1" applyAlignment="1">
      <alignment horizontal="right" vertical="center"/>
    </xf>
    <xf numFmtId="164" fontId="5" fillId="0" borderId="0" xfId="0" applyNumberFormat="1" applyFont="1" applyAlignment="1">
      <alignment horizontal="right" vertical="center"/>
    </xf>
    <xf numFmtId="166" fontId="11" fillId="10" borderId="0" xfId="0" applyNumberFormat="1" applyFont="1" applyFill="1" applyAlignment="1">
      <alignment horizontal="right" vertical="center"/>
    </xf>
    <xf numFmtId="166" fontId="26" fillId="0" borderId="0" xfId="0" applyNumberFormat="1" applyFont="1" applyAlignment="1">
      <alignment horizontal="right" vertical="center"/>
    </xf>
    <xf numFmtId="166" fontId="11" fillId="0" borderId="0" xfId="0" applyNumberFormat="1" applyFont="1" applyAlignment="1">
      <alignment horizontal="right" vertical="center"/>
    </xf>
    <xf numFmtId="0" fontId="11" fillId="11" borderId="0" xfId="0" applyFont="1" applyFill="1" applyAlignment="1">
      <alignment horizontal="left" vertical="center"/>
    </xf>
    <xf numFmtId="164" fontId="27" fillId="11" borderId="0" xfId="0" applyNumberFormat="1" applyFont="1" applyFill="1" applyAlignment="1">
      <alignment horizontal="right" vertical="center"/>
    </xf>
    <xf numFmtId="0" fontId="28" fillId="8" borderId="1" xfId="0" applyFont="1" applyFill="1" applyBorder="1" applyAlignment="1">
      <alignment horizontal="left" vertical="center"/>
    </xf>
    <xf numFmtId="3" fontId="21" fillId="0" borderId="1" xfId="0" applyNumberFormat="1" applyFont="1" applyBorder="1" applyAlignment="1">
      <alignment horizontal="center" vertical="center"/>
    </xf>
    <xf numFmtId="164" fontId="16" fillId="0" borderId="1" xfId="0" applyNumberFormat="1" applyFont="1" applyBorder="1" applyAlignment="1">
      <alignment horizontal="right" vertical="center"/>
    </xf>
    <xf numFmtId="165"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29" fillId="6" borderId="1" xfId="0" applyFont="1" applyFill="1" applyBorder="1" applyAlignment="1">
      <alignment horizontal="left" vertical="center"/>
    </xf>
    <xf numFmtId="0" fontId="30" fillId="11" borderId="1" xfId="0" applyFont="1" applyFill="1" applyBorder="1" applyAlignment="1">
      <alignment horizontal="left" vertical="center"/>
    </xf>
    <xf numFmtId="0" fontId="16" fillId="9" borderId="1" xfId="0" applyFont="1" applyFill="1" applyBorder="1" applyAlignment="1">
      <alignment horizontal="left" vertical="center"/>
    </xf>
    <xf numFmtId="3" fontId="16" fillId="9" borderId="1" xfId="0" applyNumberFormat="1" applyFont="1" applyFill="1" applyBorder="1" applyAlignment="1">
      <alignment horizontal="center" vertical="center"/>
    </xf>
    <xf numFmtId="3" fontId="16" fillId="0" borderId="1" xfId="0" applyNumberFormat="1" applyFont="1" applyBorder="1" applyAlignment="1">
      <alignment horizontal="center" vertical="center"/>
    </xf>
    <xf numFmtId="0" fontId="23" fillId="0" borderId="1" xfId="0" applyFont="1" applyBorder="1" applyAlignment="1">
      <alignment horizontal="left" vertical="center"/>
    </xf>
    <xf numFmtId="164" fontId="32" fillId="0" borderId="1" xfId="0" applyNumberFormat="1" applyFont="1" applyBorder="1" applyAlignment="1">
      <alignment horizontal="right" vertical="center"/>
    </xf>
    <xf numFmtId="0" fontId="32" fillId="0" borderId="1" xfId="0" applyFont="1" applyBorder="1" applyAlignment="1">
      <alignment horizontal="center" vertical="center"/>
    </xf>
    <xf numFmtId="166" fontId="23" fillId="0" borderId="1" xfId="0" applyNumberFormat="1" applyFont="1" applyBorder="1" applyAlignment="1">
      <alignment horizontal="center" vertical="center"/>
    </xf>
    <xf numFmtId="0" fontId="15" fillId="0" borderId="1" xfId="0" applyFont="1" applyBorder="1" applyAlignment="1">
      <alignment horizontal="left" vertical="center" wrapText="1"/>
    </xf>
    <xf numFmtId="164" fontId="30" fillId="0" borderId="1" xfId="0" applyNumberFormat="1" applyFont="1" applyBorder="1" applyAlignment="1">
      <alignment horizontal="right" vertical="center"/>
    </xf>
    <xf numFmtId="3" fontId="16" fillId="7" borderId="1" xfId="0" applyNumberFormat="1" applyFont="1" applyFill="1" applyBorder="1" applyAlignment="1">
      <alignment horizontal="center" vertical="center"/>
    </xf>
    <xf numFmtId="0" fontId="24" fillId="7" borderId="1" xfId="0" applyFont="1" applyFill="1" applyBorder="1" applyAlignment="1">
      <alignment horizontal="left" vertical="center"/>
    </xf>
    <xf numFmtId="0" fontId="23" fillId="7" borderId="1" xfId="0" applyFont="1" applyFill="1" applyBorder="1" applyAlignment="1">
      <alignment horizontal="left" vertical="center"/>
    </xf>
    <xf numFmtId="164" fontId="32" fillId="7" borderId="1" xfId="0" applyNumberFormat="1" applyFont="1" applyFill="1" applyBorder="1" applyAlignment="1">
      <alignment horizontal="right" vertical="center"/>
    </xf>
    <xf numFmtId="0" fontId="32" fillId="7" borderId="1" xfId="0" applyFont="1" applyFill="1" applyBorder="1" applyAlignment="1">
      <alignment horizontal="center" vertical="center"/>
    </xf>
    <xf numFmtId="166" fontId="23" fillId="7" borderId="1" xfId="0" applyNumberFormat="1" applyFont="1" applyFill="1" applyBorder="1" applyAlignment="1">
      <alignment horizontal="center" vertical="center"/>
    </xf>
    <xf numFmtId="0" fontId="15" fillId="7" borderId="1" xfId="0" applyFont="1" applyFill="1" applyBorder="1" applyAlignment="1">
      <alignment horizontal="left" vertical="center" wrapText="1"/>
    </xf>
    <xf numFmtId="164" fontId="30" fillId="7" borderId="1" xfId="0" applyNumberFormat="1" applyFont="1" applyFill="1" applyBorder="1" applyAlignment="1">
      <alignment horizontal="right" vertical="center"/>
    </xf>
    <xf numFmtId="164" fontId="16" fillId="11" borderId="1" xfId="0" applyNumberFormat="1" applyFont="1" applyFill="1" applyBorder="1" applyAlignment="1">
      <alignment horizontal="right" vertical="center"/>
    </xf>
    <xf numFmtId="0" fontId="36" fillId="12" borderId="0" xfId="0" applyFont="1" applyFill="1" applyAlignment="1">
      <alignment horizontal="left" vertical="center"/>
    </xf>
    <xf numFmtId="0" fontId="39" fillId="13" borderId="1" xfId="0" applyFont="1" applyFill="1" applyBorder="1" applyAlignment="1">
      <alignment horizontal="center" vertical="center" wrapText="1"/>
    </xf>
    <xf numFmtId="0" fontId="40" fillId="13" borderId="1" xfId="0" applyFont="1" applyFill="1" applyBorder="1" applyAlignment="1">
      <alignment horizontal="center" vertical="center" wrapText="1"/>
    </xf>
    <xf numFmtId="0" fontId="0" fillId="0" borderId="0" xfId="0" applyAlignment="1">
      <alignment vertical="top"/>
    </xf>
    <xf numFmtId="0" fontId="11" fillId="0" borderId="0" xfId="0" applyFont="1" applyAlignment="1">
      <alignment horizontal="left" vertical="top"/>
    </xf>
    <xf numFmtId="164" fontId="25" fillId="10" borderId="0" xfId="0" applyNumberFormat="1" applyFont="1" applyFill="1" applyAlignment="1">
      <alignment horizontal="right" vertical="top"/>
    </xf>
    <xf numFmtId="0" fontId="11" fillId="8" borderId="0" xfId="0" applyFont="1" applyFill="1" applyAlignment="1">
      <alignment horizontal="left" vertical="top"/>
    </xf>
    <xf numFmtId="164" fontId="9" fillId="8" borderId="0" xfId="0" applyNumberFormat="1" applyFont="1" applyFill="1" applyAlignment="1">
      <alignment horizontal="right" vertical="top"/>
    </xf>
    <xf numFmtId="166" fontId="5" fillId="0" borderId="0" xfId="0" applyNumberFormat="1" applyFont="1" applyAlignment="1">
      <alignment horizontal="right" vertical="top"/>
    </xf>
    <xf numFmtId="166" fontId="26" fillId="0" borderId="0" xfId="0" applyNumberFormat="1" applyFont="1" applyAlignment="1">
      <alignment horizontal="right" vertical="top"/>
    </xf>
    <xf numFmtId="0" fontId="11" fillId="11" borderId="0" xfId="0" applyFont="1" applyFill="1" applyAlignment="1">
      <alignment horizontal="left" vertical="top"/>
    </xf>
    <xf numFmtId="164" fontId="27" fillId="11" borderId="0" xfId="0" applyNumberFormat="1" applyFont="1" applyFill="1" applyAlignment="1">
      <alignment horizontal="right" vertical="top"/>
    </xf>
    <xf numFmtId="164" fontId="6" fillId="0" borderId="0" xfId="0" applyNumberFormat="1" applyFont="1" applyAlignment="1">
      <alignment horizontal="right" vertical="top"/>
    </xf>
    <xf numFmtId="0" fontId="33" fillId="0" borderId="0" xfId="0" applyFont="1" applyAlignment="1">
      <alignment horizontal="left" vertical="top"/>
    </xf>
    <xf numFmtId="0" fontId="16" fillId="0" borderId="0" xfId="0" applyFont="1" applyAlignment="1">
      <alignment horizontal="left" vertical="top"/>
    </xf>
    <xf numFmtId="0" fontId="42" fillId="0" borderId="0" xfId="0" applyFont="1" applyAlignment="1">
      <alignment vertical="top" wrapText="1"/>
    </xf>
    <xf numFmtId="0" fontId="37" fillId="0" borderId="0" xfId="0" applyFont="1" applyAlignment="1">
      <alignment vertical="top" wrapText="1"/>
    </xf>
    <xf numFmtId="0" fontId="37" fillId="0" borderId="0" xfId="0" applyFont="1" applyAlignment="1">
      <alignment vertical="top"/>
    </xf>
    <xf numFmtId="0" fontId="7" fillId="0" borderId="0" xfId="0" applyFont="1" applyAlignment="1">
      <alignment horizontal="center" vertical="center"/>
    </xf>
    <xf numFmtId="0" fontId="3" fillId="0" borderId="0" xfId="0" applyFont="1" applyAlignment="1">
      <alignment horizontal="center" vertical="center" wrapText="1"/>
    </xf>
    <xf numFmtId="0" fontId="36" fillId="13" borderId="0" xfId="0" applyFont="1" applyFill="1" applyAlignment="1">
      <alignment horizontal="left" vertical="center"/>
    </xf>
    <xf numFmtId="0" fontId="10" fillId="0" borderId="0" xfId="0" applyFont="1" applyAlignment="1">
      <alignment horizontal="center"/>
    </xf>
    <xf numFmtId="0" fontId="3" fillId="0" borderId="0" xfId="0" applyFont="1" applyAlignment="1">
      <alignment horizontal="center" wrapText="1"/>
    </xf>
    <xf numFmtId="0" fontId="38" fillId="12" borderId="0" xfId="0" applyFont="1" applyFill="1" applyAlignment="1">
      <alignment horizontal="center" vertical="center"/>
    </xf>
    <xf numFmtId="0" fontId="22" fillId="0" borderId="0" xfId="0" applyFont="1" applyAlignment="1">
      <alignment horizontal="left" vertical="center" wrapText="1"/>
    </xf>
    <xf numFmtId="0" fontId="3" fillId="0" borderId="0" xfId="0" applyFont="1" applyAlignment="1">
      <alignment horizontal="center"/>
    </xf>
    <xf numFmtId="0" fontId="31" fillId="0" borderId="0" xfId="0" applyFont="1" applyAlignment="1">
      <alignment horizontal="left" vertical="center"/>
    </xf>
    <xf numFmtId="0" fontId="38" fillId="12" borderId="2" xfId="0" applyFont="1" applyFill="1" applyBorder="1" applyAlignment="1">
      <alignment horizontal="center" vertical="center"/>
    </xf>
    <xf numFmtId="0" fontId="21" fillId="0" borderId="0" xfId="0" applyFont="1" applyAlignment="1">
      <alignment horizontal="left" vertical="top" wrapText="1"/>
    </xf>
    <xf numFmtId="0" fontId="13" fillId="0" borderId="0" xfId="0" applyFont="1" applyAlignment="1">
      <alignment horizontal="left" vertical="top" wrapText="1"/>
    </xf>
    <xf numFmtId="0" fontId="34" fillId="0" borderId="0" xfId="0" applyFont="1" applyAlignment="1">
      <alignment horizontal="left" vertical="top" wrapText="1"/>
    </xf>
    <xf numFmtId="0" fontId="22" fillId="0" borderId="0" xfId="0" applyFont="1" applyAlignment="1">
      <alignment horizontal="left" vertical="top"/>
    </xf>
    <xf numFmtId="0" fontId="16" fillId="0" borderId="0" xfId="0" applyFont="1" applyAlignment="1">
      <alignment horizontal="left" vertical="top"/>
    </xf>
    <xf numFmtId="0" fontId="31" fillId="0" borderId="0" xfId="0" applyFont="1" applyAlignment="1">
      <alignment horizontal="left" vertical="top" wrapText="1"/>
    </xf>
    <xf numFmtId="0" fontId="10" fillId="0" borderId="0" xfId="0" applyFont="1" applyAlignment="1">
      <alignment horizontal="center" vertical="top"/>
    </xf>
    <xf numFmtId="0" fontId="3" fillId="0" borderId="0" xfId="0" applyFont="1" applyAlignment="1">
      <alignment horizontal="center" vertical="top"/>
    </xf>
    <xf numFmtId="0" fontId="38" fillId="12" borderId="0" xfId="0" applyFont="1" applyFill="1" applyAlignment="1">
      <alignment horizontal="center" vertical="top"/>
    </xf>
    <xf numFmtId="0" fontId="35" fillId="10" borderId="0" xfId="0" applyFont="1" applyFill="1" applyAlignment="1">
      <alignment horizontal="left" vertical="top"/>
    </xf>
    <xf numFmtId="0" fontId="13" fillId="0" borderId="0" xfId="0" applyFont="1" applyAlignment="1">
      <alignment horizontal="left" vertical="top"/>
    </xf>
    <xf numFmtId="0" fontId="21" fillId="0" borderId="0" xfId="0" applyFont="1" applyAlignment="1">
      <alignment horizontal="left" vertical="top"/>
    </xf>
  </cellXfs>
  <cellStyles count="1">
    <cellStyle name="Normal" xfId="0" builtinId="0"/>
  </cellStyles>
  <dxfs count="3">
    <dxf>
      <font>
        <b/>
        <sz val="9"/>
        <color rgb="FF548235"/>
        <name val="Arial"/>
        <charset val="1"/>
      </font>
      <fill>
        <patternFill>
          <bgColor rgb="FFE2EFDA"/>
        </patternFill>
      </fill>
    </dxf>
    <dxf>
      <font>
        <b/>
        <sz val="9"/>
        <color rgb="FFED7D31"/>
        <name val="Arial"/>
        <charset val="1"/>
      </font>
      <fill>
        <patternFill>
          <bgColor rgb="FFFCE4D6"/>
        </patternFill>
      </fill>
    </dxf>
    <dxf>
      <font>
        <b/>
        <sz val="9"/>
        <color rgb="FFC00000"/>
        <name val="Arial"/>
        <charset val="1"/>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6FC"/>
      <rgbColor rgb="FFE2EFDA"/>
      <rgbColor rgb="FFFCE4D6"/>
      <rgbColor rgb="FFF9F9F9"/>
      <rgbColor rgb="FFFF99CC"/>
      <rgbColor rgb="FFCC99FF"/>
      <rgbColor rgb="FFF8CBAD"/>
      <rgbColor rgb="FF4F81BD"/>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D" sz="1800" b="1" strike="noStrike" spc="-1">
                <a:solidFill>
                  <a:srgbClr val="000000"/>
                </a:solidFill>
                <a:latin typeface="Calibri"/>
              </a:rPr>
              <a:t>AR Aging Profile (IDR mn)</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 Customer Credit &amp; Aging'!$K$4:$O$4</c:f>
              <c:strCache>
                <c:ptCount val="5"/>
                <c:pt idx="0">
                  <c:v>Current</c:v>
                </c:pt>
                <c:pt idx="1">
                  <c:v>1-30 od</c:v>
                </c:pt>
                <c:pt idx="2">
                  <c:v>31-60 od</c:v>
                </c:pt>
                <c:pt idx="3">
                  <c:v>61-90 od</c:v>
                </c:pt>
                <c:pt idx="4">
                  <c:v>90+ od</c:v>
                </c:pt>
              </c:strCache>
            </c:strRef>
          </c:cat>
          <c:val>
            <c:numRef>
              <c:f>'02 Customer Credit &amp; Aging'!$K$18:$O$18</c:f>
              <c:numCache>
                <c:formatCode>#,##0;\(#,##0\);\-</c:formatCode>
                <c:ptCount val="5"/>
                <c:pt idx="0">
                  <c:v>72065</c:v>
                </c:pt>
                <c:pt idx="1">
                  <c:v>23935</c:v>
                </c:pt>
                <c:pt idx="2">
                  <c:v>10300</c:v>
                </c:pt>
                <c:pt idx="3">
                  <c:v>2700</c:v>
                </c:pt>
                <c:pt idx="4">
                  <c:v>1000</c:v>
                </c:pt>
              </c:numCache>
            </c:numRef>
          </c:val>
          <c:extLst>
            <c:ext xmlns:c16="http://schemas.microsoft.com/office/drawing/2014/chart" uri="{C3380CC4-5D6E-409C-BE32-E72D297353CC}">
              <c16:uniqueId val="{00000000-761A-4A12-8080-79A3D7D764E0}"/>
            </c:ext>
          </c:extLst>
        </c:ser>
        <c:dLbls>
          <c:showLegendKey val="0"/>
          <c:showVal val="0"/>
          <c:showCatName val="0"/>
          <c:showSerName val="0"/>
          <c:showPercent val="0"/>
          <c:showBubbleSize val="0"/>
        </c:dLbls>
        <c:gapWidth val="150"/>
        <c:axId val="14083089"/>
        <c:axId val="43904316"/>
      </c:barChart>
      <c:catAx>
        <c:axId val="1408308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904316"/>
        <c:crosses val="autoZero"/>
        <c:auto val="1"/>
        <c:lblAlgn val="ctr"/>
        <c:lblOffset val="100"/>
        <c:noMultiLvlLbl val="0"/>
      </c:catAx>
      <c:valAx>
        <c:axId val="4390431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D" sz="1000" b="1" strike="noStrike" spc="-1">
                    <a:solidFill>
                      <a:srgbClr val="000000"/>
                    </a:solidFill>
                    <a:latin typeface="Calibri"/>
                  </a:rPr>
                  <a:t>IDR mn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408308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131040</xdr:rowOff>
    </xdr:from>
    <xdr:to>
      <xdr:col>7</xdr:col>
      <xdr:colOff>4515</xdr:colOff>
      <xdr:row>35</xdr:row>
      <xdr:rowOff>163440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6"/>
  <sheetViews>
    <sheetView showGridLines="0" zoomScaleNormal="100" workbookViewId="0">
      <selection activeCell="D1" sqref="D1:D36"/>
    </sheetView>
  </sheetViews>
  <sheetFormatPr defaultColWidth="8.7109375" defaultRowHeight="15"/>
  <cols>
    <col min="1" max="1" width="4" customWidth="1"/>
    <col min="2" max="2" width="118" customWidth="1"/>
    <col min="4" max="4" width="131.85546875" customWidth="1"/>
  </cols>
  <sheetData>
    <row r="1" spans="2:4" ht="21.75">
      <c r="B1" s="1" t="s">
        <v>0</v>
      </c>
      <c r="D1" s="124" t="s">
        <v>1</v>
      </c>
    </row>
    <row r="2" spans="2:4" ht="30" customHeight="1">
      <c r="B2" s="2" t="s">
        <v>2</v>
      </c>
      <c r="D2" s="125"/>
    </row>
    <row r="3" spans="2:4">
      <c r="D3" s="125"/>
    </row>
    <row r="4" spans="2:4" ht="15.75">
      <c r="B4" s="108" t="s">
        <v>3</v>
      </c>
      <c r="D4" s="125"/>
    </row>
    <row r="5" spans="2:4">
      <c r="B5" s="3" t="s">
        <v>4</v>
      </c>
      <c r="D5" s="125"/>
    </row>
    <row r="6" spans="2:4">
      <c r="B6" s="3" t="s">
        <v>5</v>
      </c>
      <c r="D6" s="125"/>
    </row>
    <row r="7" spans="2:4">
      <c r="D7" s="125"/>
    </row>
    <row r="8" spans="2:4" ht="15.75">
      <c r="B8" s="108" t="s">
        <v>6</v>
      </c>
      <c r="D8" s="125"/>
    </row>
    <row r="9" spans="2:4">
      <c r="B9" s="3" t="s">
        <v>7</v>
      </c>
      <c r="D9" s="125"/>
    </row>
    <row r="10" spans="2:4">
      <c r="B10" s="3" t="s">
        <v>8</v>
      </c>
      <c r="D10" s="125"/>
    </row>
    <row r="11" spans="2:4">
      <c r="B11" s="3" t="s">
        <v>9</v>
      </c>
      <c r="D11" s="125"/>
    </row>
    <row r="12" spans="2:4">
      <c r="B12" s="3" t="s">
        <v>10</v>
      </c>
      <c r="D12" s="125"/>
    </row>
    <row r="13" spans="2:4">
      <c r="B13" s="3" t="s">
        <v>11</v>
      </c>
      <c r="D13" s="125"/>
    </row>
    <row r="14" spans="2:4">
      <c r="B14" s="3" t="s">
        <v>12</v>
      </c>
      <c r="D14" s="125"/>
    </row>
    <row r="15" spans="2:4">
      <c r="D15" s="125"/>
    </row>
    <row r="16" spans="2:4" ht="15.75">
      <c r="B16" s="108" t="s">
        <v>13</v>
      </c>
      <c r="D16" s="125"/>
    </row>
    <row r="17" spans="2:4">
      <c r="B17" s="3" t="s">
        <v>14</v>
      </c>
      <c r="D17" s="125"/>
    </row>
    <row r="18" spans="2:4">
      <c r="B18" s="3" t="s">
        <v>15</v>
      </c>
      <c r="D18" s="125"/>
    </row>
    <row r="19" spans="2:4">
      <c r="B19" s="3" t="s">
        <v>16</v>
      </c>
      <c r="D19" s="125"/>
    </row>
    <row r="20" spans="2:4">
      <c r="D20" s="125"/>
    </row>
    <row r="21" spans="2:4" ht="15.75">
      <c r="B21" s="108" t="s">
        <v>17</v>
      </c>
      <c r="D21" s="125"/>
    </row>
    <row r="22" spans="2:4">
      <c r="B22" s="3" t="s">
        <v>18</v>
      </c>
      <c r="D22" s="125"/>
    </row>
    <row r="23" spans="2:4">
      <c r="B23" s="3" t="s">
        <v>19</v>
      </c>
      <c r="D23" s="125"/>
    </row>
    <row r="24" spans="2:4">
      <c r="B24" s="3" t="s">
        <v>20</v>
      </c>
      <c r="D24" s="125"/>
    </row>
    <row r="25" spans="2:4">
      <c r="B25" s="3" t="s">
        <v>21</v>
      </c>
      <c r="D25" s="125"/>
    </row>
    <row r="26" spans="2:4">
      <c r="D26" s="125"/>
    </row>
    <row r="27" spans="2:4" ht="15.75">
      <c r="B27" s="4" t="s">
        <v>22</v>
      </c>
      <c r="D27" s="125"/>
    </row>
    <row r="28" spans="2:4">
      <c r="B28" s="5" t="s">
        <v>23</v>
      </c>
      <c r="D28" s="125"/>
    </row>
    <row r="29" spans="2:4">
      <c r="B29" s="5" t="s">
        <v>24</v>
      </c>
      <c r="D29" s="125"/>
    </row>
    <row r="30" spans="2:4">
      <c r="B30" s="5" t="s">
        <v>25</v>
      </c>
      <c r="D30" s="125"/>
    </row>
    <row r="31" spans="2:4">
      <c r="B31" s="5" t="s">
        <v>26</v>
      </c>
      <c r="D31" s="125"/>
    </row>
    <row r="32" spans="2:4">
      <c r="B32" s="5" t="s">
        <v>27</v>
      </c>
      <c r="D32" s="125"/>
    </row>
    <row r="33" spans="2:4">
      <c r="D33" s="125"/>
    </row>
    <row r="34" spans="2:4" ht="15.75">
      <c r="B34" s="108" t="s">
        <v>28</v>
      </c>
      <c r="D34" s="125"/>
    </row>
    <row r="35" spans="2:4">
      <c r="B35" s="3" t="s">
        <v>29</v>
      </c>
      <c r="D35" s="125"/>
    </row>
    <row r="36" spans="2:4">
      <c r="B36" s="3" t="s">
        <v>30</v>
      </c>
      <c r="D36" s="125"/>
    </row>
  </sheetData>
  <mergeCells count="1">
    <mergeCell ref="D1:D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C20"/>
  <sheetViews>
    <sheetView showGridLines="0" zoomScaleNormal="100" workbookViewId="0">
      <selection activeCell="A22" sqref="A22:XFD26"/>
    </sheetView>
  </sheetViews>
  <sheetFormatPr defaultColWidth="8.7109375" defaultRowHeight="15"/>
  <cols>
    <col min="1" max="1" width="4" customWidth="1"/>
    <col min="2" max="2" width="30" customWidth="1"/>
    <col min="3" max="3" width="90" customWidth="1"/>
  </cols>
  <sheetData>
    <row r="1" spans="2:3" ht="23.25">
      <c r="B1" s="126" t="s">
        <v>31</v>
      </c>
      <c r="C1" s="126"/>
    </row>
    <row r="2" spans="2:3" ht="30" customHeight="1">
      <c r="B2" s="127" t="s">
        <v>32</v>
      </c>
      <c r="C2" s="127"/>
    </row>
    <row r="4" spans="2:3" ht="15.75">
      <c r="B4" s="128" t="s">
        <v>33</v>
      </c>
      <c r="C4" s="128"/>
    </row>
    <row r="5" spans="2:3" ht="69.75" customHeight="1">
      <c r="B5" s="6" t="s">
        <v>34</v>
      </c>
      <c r="C5" s="7" t="s">
        <v>35</v>
      </c>
    </row>
    <row r="7" spans="2:3" ht="15.75">
      <c r="B7" s="128" t="s">
        <v>36</v>
      </c>
      <c r="C7" s="128"/>
    </row>
    <row r="8" spans="2:3" ht="25.5">
      <c r="B8" s="8" t="s">
        <v>37</v>
      </c>
      <c r="C8" s="7" t="s">
        <v>38</v>
      </c>
    </row>
    <row r="9" spans="2:3" ht="25.5">
      <c r="B9" s="8" t="s">
        <v>39</v>
      </c>
      <c r="C9" s="7" t="s">
        <v>40</v>
      </c>
    </row>
    <row r="10" spans="2:3" ht="38.25">
      <c r="B10" s="8" t="s">
        <v>41</v>
      </c>
      <c r="C10" s="7" t="s">
        <v>42</v>
      </c>
    </row>
    <row r="11" spans="2:3" ht="38.25">
      <c r="B11" s="8" t="s">
        <v>43</v>
      </c>
      <c r="C11" s="7" t="s">
        <v>44</v>
      </c>
    </row>
    <row r="12" spans="2:3" ht="25.5">
      <c r="B12" s="8" t="s">
        <v>45</v>
      </c>
      <c r="C12" s="7" t="s">
        <v>46</v>
      </c>
    </row>
    <row r="13" spans="2:3" ht="25.5">
      <c r="B13" s="8" t="s">
        <v>47</v>
      </c>
      <c r="C13" s="7" t="s">
        <v>48</v>
      </c>
    </row>
    <row r="14" spans="2:3" ht="25.5">
      <c r="B14" s="8" t="s">
        <v>49</v>
      </c>
      <c r="C14" s="7" t="s">
        <v>50</v>
      </c>
    </row>
    <row r="16" spans="2:3" ht="15.75">
      <c r="B16" s="128" t="s">
        <v>51</v>
      </c>
      <c r="C16" s="128"/>
    </row>
    <row r="17" spans="2:3">
      <c r="B17" s="9" t="s">
        <v>52</v>
      </c>
      <c r="C17" s="7" t="s">
        <v>53</v>
      </c>
    </row>
    <row r="18" spans="2:3" ht="25.5">
      <c r="B18" s="9" t="s">
        <v>54</v>
      </c>
      <c r="C18" s="7" t="s">
        <v>55</v>
      </c>
    </row>
    <row r="19" spans="2:3">
      <c r="B19" s="9" t="s">
        <v>56</v>
      </c>
      <c r="C19" s="7" t="s">
        <v>57</v>
      </c>
    </row>
    <row r="20" spans="2:3" ht="30">
      <c r="B20" s="9" t="s">
        <v>58</v>
      </c>
      <c r="C20" s="7" t="s">
        <v>59</v>
      </c>
    </row>
  </sheetData>
  <mergeCells count="5">
    <mergeCell ref="B1:C1"/>
    <mergeCell ref="B2:C2"/>
    <mergeCell ref="B4:C4"/>
    <mergeCell ref="B7:C7"/>
    <mergeCell ref="B16:C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8915A-5A7F-4E6F-9E58-074CC7E82920}">
  <sheetPr>
    <tabColor rgb="FF7030A0"/>
  </sheetPr>
  <dimension ref="A1:C13"/>
  <sheetViews>
    <sheetView showGridLines="0" tabSelected="1" workbookViewId="0">
      <selection activeCell="C1" sqref="C1"/>
    </sheetView>
  </sheetViews>
  <sheetFormatPr defaultRowHeight="15"/>
  <cols>
    <col min="1" max="1" width="133.28515625" style="111" customWidth="1"/>
    <col min="2" max="2" width="9.140625" style="111"/>
    <col min="3" max="3" width="103.140625" style="111" customWidth="1"/>
    <col min="4" max="16384" width="9.140625" style="111"/>
  </cols>
  <sheetData>
    <row r="1" spans="1:3" ht="378.75" customHeight="1">
      <c r="A1" s="111" t="e" vm="1">
        <v>#VALUE!</v>
      </c>
      <c r="C1" s="123" t="s">
        <v>60</v>
      </c>
    </row>
    <row r="3" spans="1:3" ht="409.5" customHeight="1">
      <c r="A3" s="111" t="e" vm="2">
        <v>#VALUE!</v>
      </c>
      <c r="C3" s="123" t="s">
        <v>61</v>
      </c>
    </row>
    <row r="5" spans="1:3" ht="409.5" customHeight="1">
      <c r="A5" s="111" t="e" vm="3">
        <v>#VALUE!</v>
      </c>
      <c r="C5" s="123" t="s">
        <v>62</v>
      </c>
    </row>
    <row r="7" spans="1:3" ht="409.5" customHeight="1">
      <c r="A7" s="111" t="e" vm="4">
        <v>#VALUE!</v>
      </c>
      <c r="C7" s="123" t="s">
        <v>63</v>
      </c>
    </row>
    <row r="9" spans="1:3" ht="409.5" customHeight="1">
      <c r="A9" s="111" t="e" vm="5">
        <v>#VALUE!</v>
      </c>
      <c r="C9" s="123" t="s">
        <v>64</v>
      </c>
    </row>
    <row r="11" spans="1:3" ht="409.5" customHeight="1">
      <c r="A11" s="111" t="e" vm="6">
        <v>#VALUE!</v>
      </c>
      <c r="C11" s="123" t="s">
        <v>65</v>
      </c>
    </row>
    <row r="13" spans="1:3" ht="409.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showGridLines="0" zoomScaleNormal="100" workbookViewId="0">
      <selection activeCell="B5" sqref="B5"/>
    </sheetView>
  </sheetViews>
  <sheetFormatPr defaultColWidth="8.7109375" defaultRowHeight="15"/>
  <cols>
    <col min="1" max="1" width="46" customWidth="1"/>
    <col min="2" max="2" width="16" customWidth="1"/>
    <col min="3" max="3" width="52" customWidth="1"/>
  </cols>
  <sheetData>
    <row r="1" spans="1:3" ht="20.25">
      <c r="A1" s="129" t="s">
        <v>66</v>
      </c>
      <c r="B1" s="129"/>
      <c r="C1" s="129"/>
    </row>
    <row r="2" spans="1:3" ht="29.25" customHeight="1">
      <c r="A2" s="130" t="s">
        <v>67</v>
      </c>
      <c r="B2" s="130"/>
      <c r="C2" s="130"/>
    </row>
    <row r="4" spans="1:3">
      <c r="A4" s="131" t="s">
        <v>68</v>
      </c>
      <c r="B4" s="131"/>
      <c r="C4" s="131"/>
    </row>
    <row r="5" spans="1:3">
      <c r="A5" s="10" t="s">
        <v>69</v>
      </c>
      <c r="B5" s="11">
        <v>700000</v>
      </c>
      <c r="C5" s="12" t="s">
        <v>70</v>
      </c>
    </row>
    <row r="6" spans="1:3">
      <c r="A6" s="10" t="s">
        <v>71</v>
      </c>
      <c r="B6" s="13">
        <v>365</v>
      </c>
      <c r="C6" s="12" t="s">
        <v>72</v>
      </c>
    </row>
    <row r="7" spans="1:3">
      <c r="A7" s="10" t="s">
        <v>73</v>
      </c>
      <c r="B7" s="14">
        <v>47</v>
      </c>
      <c r="C7" s="15" t="s">
        <v>74</v>
      </c>
    </row>
    <row r="8" spans="1:3">
      <c r="A8" s="10" t="s">
        <v>75</v>
      </c>
      <c r="B8" s="13">
        <v>17950</v>
      </c>
      <c r="C8" s="12" t="s">
        <v>76</v>
      </c>
    </row>
    <row r="10" spans="1:3">
      <c r="A10" s="131" t="s">
        <v>77</v>
      </c>
      <c r="B10" s="131"/>
      <c r="C10" s="131"/>
    </row>
    <row r="11" spans="1:3">
      <c r="A11" s="10" t="s">
        <v>78</v>
      </c>
      <c r="B11" s="13">
        <v>30</v>
      </c>
      <c r="C11" s="12" t="s">
        <v>79</v>
      </c>
    </row>
    <row r="12" spans="1:3">
      <c r="A12" s="10" t="s">
        <v>80</v>
      </c>
      <c r="B12" s="13">
        <v>25</v>
      </c>
      <c r="C12" s="12" t="s">
        <v>81</v>
      </c>
    </row>
    <row r="13" spans="1:3">
      <c r="A13" s="10" t="s">
        <v>82</v>
      </c>
      <c r="B13" s="13">
        <v>20</v>
      </c>
      <c r="C13" s="12" t="s">
        <v>83</v>
      </c>
    </row>
    <row r="14" spans="1:3">
      <c r="A14" s="10" t="s">
        <v>84</v>
      </c>
      <c r="B14" s="13">
        <v>15</v>
      </c>
      <c r="C14" s="12" t="s">
        <v>85</v>
      </c>
    </row>
    <row r="15" spans="1:3">
      <c r="A15" s="10" t="s">
        <v>86</v>
      </c>
      <c r="B15" s="13">
        <v>5</v>
      </c>
      <c r="C15" s="12" t="s">
        <v>87</v>
      </c>
    </row>
    <row r="16" spans="1:3">
      <c r="A16" s="10" t="s">
        <v>88</v>
      </c>
      <c r="B16" s="13">
        <v>0</v>
      </c>
      <c r="C16" s="12" t="s">
        <v>89</v>
      </c>
    </row>
    <row r="17" spans="1:3">
      <c r="A17" s="10" t="s">
        <v>90</v>
      </c>
      <c r="B17" s="13">
        <v>10</v>
      </c>
      <c r="C17" s="12" t="s">
        <v>91</v>
      </c>
    </row>
    <row r="18" spans="1:3">
      <c r="A18" s="10" t="s">
        <v>92</v>
      </c>
      <c r="B18" s="13">
        <v>60</v>
      </c>
      <c r="C18" s="12" t="s">
        <v>93</v>
      </c>
    </row>
    <row r="19" spans="1:3">
      <c r="A19" s="10" t="s">
        <v>94</v>
      </c>
      <c r="B19" s="14">
        <v>34</v>
      </c>
      <c r="C19" s="12" t="s">
        <v>95</v>
      </c>
    </row>
    <row r="20" spans="1:3">
      <c r="A20" s="10" t="s">
        <v>96</v>
      </c>
      <c r="B20" s="14">
        <v>67</v>
      </c>
      <c r="C20" s="12" t="s">
        <v>97</v>
      </c>
    </row>
    <row r="22" spans="1:3">
      <c r="A22" s="131" t="s">
        <v>98</v>
      </c>
      <c r="B22" s="131"/>
      <c r="C22" s="131"/>
    </row>
    <row r="23" spans="1:3">
      <c r="A23" s="10" t="s">
        <v>99</v>
      </c>
      <c r="B23" s="16">
        <v>0.95</v>
      </c>
      <c r="C23" s="15" t="s">
        <v>100</v>
      </c>
    </row>
    <row r="24" spans="1:3">
      <c r="A24" s="10" t="s">
        <v>101</v>
      </c>
      <c r="B24" s="16">
        <v>0.85</v>
      </c>
      <c r="C24" s="15" t="s">
        <v>102</v>
      </c>
    </row>
    <row r="25" spans="1:3">
      <c r="A25" s="10" t="s">
        <v>103</v>
      </c>
      <c r="B25" s="16">
        <v>0.4</v>
      </c>
      <c r="C25" s="15" t="s">
        <v>104</v>
      </c>
    </row>
    <row r="26" spans="1:3">
      <c r="A26" s="10" t="s">
        <v>105</v>
      </c>
      <c r="B26" s="16">
        <v>0.5</v>
      </c>
      <c r="C26" s="15" t="s">
        <v>106</v>
      </c>
    </row>
  </sheetData>
  <mergeCells count="5">
    <mergeCell ref="A1:C1"/>
    <mergeCell ref="A2:C2"/>
    <mergeCell ref="A4:C4"/>
    <mergeCell ref="A10:C10"/>
    <mergeCell ref="A22:C22"/>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1"/>
  <sheetViews>
    <sheetView showGridLines="0" zoomScaleNormal="100" workbookViewId="0">
      <pane xSplit="5" ySplit="4" topLeftCell="F5" activePane="bottomRight" state="frozen"/>
      <selection pane="bottomRight" activeCell="R30" sqref="R30"/>
      <selection pane="bottomLeft" activeCell="A5" sqref="A5"/>
      <selection pane="topRight" activeCell="F1" sqref="F1"/>
    </sheetView>
  </sheetViews>
  <sheetFormatPr defaultColWidth="8.7109375" defaultRowHeight="15"/>
  <cols>
    <col min="1" max="1" width="7" customWidth="1"/>
    <col min="2" max="2" width="30" customWidth="1"/>
    <col min="3" max="3" width="16" customWidth="1"/>
    <col min="4" max="4" width="9" customWidth="1"/>
    <col min="5" max="5" width="7" customWidth="1"/>
    <col min="6" max="6" width="13" customWidth="1"/>
    <col min="7" max="7" width="10" customWidth="1"/>
    <col min="8" max="8" width="11" customWidth="1"/>
    <col min="9" max="9" width="9" customWidth="1"/>
    <col min="10" max="10" width="10" customWidth="1"/>
    <col min="11" max="11" width="11" customWidth="1"/>
    <col min="12" max="15" width="10" customWidth="1"/>
    <col min="16" max="16" width="12" customWidth="1"/>
    <col min="17" max="17" width="11" customWidth="1"/>
    <col min="18" max="18" width="10" customWidth="1"/>
    <col min="19" max="19" width="11" customWidth="1"/>
  </cols>
  <sheetData>
    <row r="1" spans="1:19" ht="20.25">
      <c r="A1" s="129" t="s">
        <v>107</v>
      </c>
      <c r="B1" s="129"/>
      <c r="C1" s="129"/>
      <c r="D1" s="129"/>
      <c r="E1" s="129"/>
      <c r="F1" s="129"/>
      <c r="G1" s="129"/>
      <c r="H1" s="129"/>
      <c r="I1" s="129"/>
      <c r="J1" s="129"/>
      <c r="K1" s="129"/>
      <c r="L1" s="129"/>
      <c r="M1" s="129"/>
      <c r="N1" s="129"/>
      <c r="O1" s="129"/>
      <c r="P1" s="129"/>
      <c r="Q1" s="129"/>
      <c r="R1" s="129"/>
      <c r="S1" s="129"/>
    </row>
    <row r="2" spans="1:19">
      <c r="A2" s="133" t="s">
        <v>108</v>
      </c>
      <c r="B2" s="133"/>
      <c r="C2" s="133"/>
      <c r="D2" s="133"/>
      <c r="E2" s="133"/>
      <c r="F2" s="133"/>
      <c r="G2" s="133"/>
      <c r="H2" s="133"/>
      <c r="I2" s="133"/>
      <c r="J2" s="133"/>
      <c r="K2" s="133"/>
      <c r="L2" s="133"/>
      <c r="M2" s="133"/>
      <c r="N2" s="133"/>
      <c r="O2" s="133"/>
      <c r="P2" s="133"/>
      <c r="Q2" s="133"/>
      <c r="R2" s="133"/>
      <c r="S2" s="133"/>
    </row>
    <row r="4" spans="1:19">
      <c r="A4" s="109" t="s">
        <v>109</v>
      </c>
      <c r="B4" s="109" t="s">
        <v>110</v>
      </c>
      <c r="C4" s="109" t="s">
        <v>111</v>
      </c>
      <c r="D4" s="109" t="s">
        <v>112</v>
      </c>
      <c r="E4" s="109" t="s">
        <v>113</v>
      </c>
      <c r="F4" s="109" t="s">
        <v>114</v>
      </c>
      <c r="G4" s="109" t="s">
        <v>115</v>
      </c>
      <c r="H4" s="109" t="s">
        <v>116</v>
      </c>
      <c r="I4" s="109" t="s">
        <v>117</v>
      </c>
      <c r="J4" s="109" t="s">
        <v>118</v>
      </c>
      <c r="K4" s="109" t="s">
        <v>119</v>
      </c>
      <c r="L4" s="109" t="s">
        <v>120</v>
      </c>
      <c r="M4" s="109" t="s">
        <v>121</v>
      </c>
      <c r="N4" s="109" t="s">
        <v>122</v>
      </c>
      <c r="O4" s="109" t="s">
        <v>123</v>
      </c>
      <c r="P4" s="109" t="s">
        <v>124</v>
      </c>
      <c r="Q4" s="109" t="s">
        <v>125</v>
      </c>
      <c r="R4" s="109" t="s">
        <v>126</v>
      </c>
      <c r="S4" s="109" t="s">
        <v>127</v>
      </c>
    </row>
    <row r="5" spans="1:19">
      <c r="A5" s="17" t="s">
        <v>128</v>
      </c>
      <c r="B5" s="18" t="s">
        <v>129</v>
      </c>
      <c r="C5" s="19" t="s">
        <v>130</v>
      </c>
      <c r="D5" s="17" t="s">
        <v>131</v>
      </c>
      <c r="E5" s="17" t="s">
        <v>132</v>
      </c>
      <c r="F5" s="20">
        <v>30000</v>
      </c>
      <c r="G5" s="21">
        <v>18</v>
      </c>
      <c r="H5" s="22" t="s">
        <v>133</v>
      </c>
      <c r="I5" s="23" t="s">
        <v>134</v>
      </c>
      <c r="J5" s="24">
        <v>0.7</v>
      </c>
      <c r="K5" s="20">
        <v>8000</v>
      </c>
      <c r="L5" s="20">
        <v>6000</v>
      </c>
      <c r="M5" s="20">
        <v>4000</v>
      </c>
      <c r="N5" s="20">
        <v>0</v>
      </c>
      <c r="O5" s="20">
        <v>0</v>
      </c>
      <c r="P5" s="25">
        <f t="shared" ref="P5:P16" si="0">SUM(K5:O5)</f>
        <v>18000</v>
      </c>
      <c r="Q5" s="26">
        <f t="shared" ref="Q5:Q16" si="1">SUM(L5:O5)</f>
        <v>10000</v>
      </c>
      <c r="R5" s="27">
        <f>IF(P5=0,0,Q5/P5)</f>
        <v>0.55555555555555558</v>
      </c>
      <c r="S5" s="27">
        <f>IF(F5=0,0,P5/F5)</f>
        <v>0.6</v>
      </c>
    </row>
    <row r="6" spans="1:19">
      <c r="A6" s="28" t="s">
        <v>135</v>
      </c>
      <c r="B6" s="29" t="s">
        <v>136</v>
      </c>
      <c r="C6" s="30" t="s">
        <v>137</v>
      </c>
      <c r="D6" s="28" t="s">
        <v>138</v>
      </c>
      <c r="E6" s="28" t="s">
        <v>132</v>
      </c>
      <c r="F6" s="31">
        <v>20000</v>
      </c>
      <c r="G6" s="32">
        <v>8</v>
      </c>
      <c r="H6" s="33" t="s">
        <v>139</v>
      </c>
      <c r="I6" s="33" t="s">
        <v>134</v>
      </c>
      <c r="J6" s="34">
        <v>0.88</v>
      </c>
      <c r="K6" s="31">
        <v>9000</v>
      </c>
      <c r="L6" s="31">
        <v>3000</v>
      </c>
      <c r="M6" s="31">
        <v>0</v>
      </c>
      <c r="N6" s="31">
        <v>0</v>
      </c>
      <c r="O6" s="31">
        <v>0</v>
      </c>
      <c r="P6" s="35">
        <f t="shared" si="0"/>
        <v>12000</v>
      </c>
      <c r="Q6" s="36">
        <f t="shared" si="1"/>
        <v>3000</v>
      </c>
      <c r="R6" s="37">
        <f t="shared" ref="R6:R16" si="2">IF(P6=0,0,Q6/P6)</f>
        <v>0.25</v>
      </c>
      <c r="S6" s="37">
        <f t="shared" ref="S6:S16" si="3">IF(F6=0,0,P6/F6)</f>
        <v>0.6</v>
      </c>
    </row>
    <row r="7" spans="1:19">
      <c r="A7" s="38" t="s">
        <v>140</v>
      </c>
      <c r="B7" s="39" t="s">
        <v>141</v>
      </c>
      <c r="C7" s="40" t="s">
        <v>142</v>
      </c>
      <c r="D7" s="38" t="s">
        <v>138</v>
      </c>
      <c r="E7" s="38" t="s">
        <v>132</v>
      </c>
      <c r="F7" s="41">
        <v>18000</v>
      </c>
      <c r="G7" s="42">
        <v>12</v>
      </c>
      <c r="H7" s="43" t="s">
        <v>139</v>
      </c>
      <c r="I7" s="43" t="s">
        <v>134</v>
      </c>
      <c r="J7" s="44">
        <v>0.82</v>
      </c>
      <c r="K7" s="41">
        <v>8000</v>
      </c>
      <c r="L7" s="41">
        <v>2500</v>
      </c>
      <c r="M7" s="41">
        <v>1000</v>
      </c>
      <c r="N7" s="41">
        <v>0</v>
      </c>
      <c r="O7" s="41">
        <v>0</v>
      </c>
      <c r="P7" s="45">
        <f t="shared" si="0"/>
        <v>11500</v>
      </c>
      <c r="Q7" s="46">
        <f t="shared" si="1"/>
        <v>3500</v>
      </c>
      <c r="R7" s="47">
        <f t="shared" si="2"/>
        <v>0.30434782608695654</v>
      </c>
      <c r="S7" s="47">
        <f t="shared" si="3"/>
        <v>0.63888888888888884</v>
      </c>
    </row>
    <row r="8" spans="1:19">
      <c r="A8" s="28" t="s">
        <v>143</v>
      </c>
      <c r="B8" s="29" t="s">
        <v>144</v>
      </c>
      <c r="C8" s="30" t="s">
        <v>137</v>
      </c>
      <c r="D8" s="28" t="s">
        <v>138</v>
      </c>
      <c r="E8" s="28" t="s">
        <v>132</v>
      </c>
      <c r="F8" s="31">
        <v>12000</v>
      </c>
      <c r="G8" s="32">
        <v>5</v>
      </c>
      <c r="H8" s="33" t="s">
        <v>145</v>
      </c>
      <c r="I8" s="33" t="s">
        <v>134</v>
      </c>
      <c r="J8" s="34">
        <v>0.92</v>
      </c>
      <c r="K8" s="31">
        <v>6000</v>
      </c>
      <c r="L8" s="31">
        <v>2000</v>
      </c>
      <c r="M8" s="31">
        <v>0</v>
      </c>
      <c r="N8" s="31">
        <v>0</v>
      </c>
      <c r="O8" s="31">
        <v>0</v>
      </c>
      <c r="P8" s="35">
        <f t="shared" si="0"/>
        <v>8000</v>
      </c>
      <c r="Q8" s="36">
        <f t="shared" si="1"/>
        <v>2000</v>
      </c>
      <c r="R8" s="37">
        <f t="shared" si="2"/>
        <v>0.25</v>
      </c>
      <c r="S8" s="37">
        <f t="shared" si="3"/>
        <v>0.66666666666666663</v>
      </c>
    </row>
    <row r="9" spans="1:19">
      <c r="A9" s="17" t="s">
        <v>146</v>
      </c>
      <c r="B9" s="18" t="s">
        <v>147</v>
      </c>
      <c r="C9" s="19" t="s">
        <v>148</v>
      </c>
      <c r="D9" s="17" t="s">
        <v>138</v>
      </c>
      <c r="E9" s="17" t="s">
        <v>132</v>
      </c>
      <c r="F9" s="20">
        <v>6000</v>
      </c>
      <c r="G9" s="21">
        <v>22</v>
      </c>
      <c r="H9" s="22" t="s">
        <v>133</v>
      </c>
      <c r="I9" s="23" t="s">
        <v>134</v>
      </c>
      <c r="J9" s="24">
        <v>0.65</v>
      </c>
      <c r="K9" s="20">
        <v>2000</v>
      </c>
      <c r="L9" s="20">
        <v>1500</v>
      </c>
      <c r="M9" s="20">
        <v>1000</v>
      </c>
      <c r="N9" s="20">
        <v>500</v>
      </c>
      <c r="O9" s="20">
        <v>0</v>
      </c>
      <c r="P9" s="25">
        <f t="shared" si="0"/>
        <v>5000</v>
      </c>
      <c r="Q9" s="26">
        <f t="shared" si="1"/>
        <v>3000</v>
      </c>
      <c r="R9" s="27">
        <f t="shared" si="2"/>
        <v>0.6</v>
      </c>
      <c r="S9" s="27">
        <f t="shared" si="3"/>
        <v>0.83333333333333337</v>
      </c>
    </row>
    <row r="10" spans="1:19">
      <c r="A10" s="28" t="s">
        <v>149</v>
      </c>
      <c r="B10" s="29" t="s">
        <v>150</v>
      </c>
      <c r="C10" s="30" t="s">
        <v>137</v>
      </c>
      <c r="D10" s="28" t="s">
        <v>138</v>
      </c>
      <c r="E10" s="28" t="s">
        <v>132</v>
      </c>
      <c r="F10" s="31">
        <v>15000</v>
      </c>
      <c r="G10" s="32">
        <v>14</v>
      </c>
      <c r="H10" s="33" t="s">
        <v>139</v>
      </c>
      <c r="I10" s="33" t="s">
        <v>134</v>
      </c>
      <c r="J10" s="34">
        <v>0.8</v>
      </c>
      <c r="K10" s="31">
        <v>7000</v>
      </c>
      <c r="L10" s="31">
        <v>2000</v>
      </c>
      <c r="M10" s="31">
        <v>1500</v>
      </c>
      <c r="N10" s="31">
        <v>0</v>
      </c>
      <c r="O10" s="31">
        <v>0</v>
      </c>
      <c r="P10" s="35">
        <f t="shared" si="0"/>
        <v>10500</v>
      </c>
      <c r="Q10" s="36">
        <f t="shared" si="1"/>
        <v>3500</v>
      </c>
      <c r="R10" s="37">
        <f t="shared" si="2"/>
        <v>0.33333333333333331</v>
      </c>
      <c r="S10" s="37">
        <f t="shared" si="3"/>
        <v>0.7</v>
      </c>
    </row>
    <row r="11" spans="1:19">
      <c r="A11" s="17" t="s">
        <v>151</v>
      </c>
      <c r="B11" s="18" t="s">
        <v>152</v>
      </c>
      <c r="C11" s="19" t="s">
        <v>153</v>
      </c>
      <c r="D11" s="17" t="s">
        <v>154</v>
      </c>
      <c r="E11" s="17" t="s">
        <v>132</v>
      </c>
      <c r="F11" s="20">
        <v>25000</v>
      </c>
      <c r="G11" s="21">
        <v>20</v>
      </c>
      <c r="H11" s="22" t="s">
        <v>133</v>
      </c>
      <c r="I11" s="23" t="s">
        <v>134</v>
      </c>
      <c r="J11" s="24">
        <v>0.72</v>
      </c>
      <c r="K11" s="20">
        <v>10000</v>
      </c>
      <c r="L11" s="20">
        <v>3000</v>
      </c>
      <c r="M11" s="20">
        <v>2000</v>
      </c>
      <c r="N11" s="20">
        <v>1500</v>
      </c>
      <c r="O11" s="20">
        <v>0</v>
      </c>
      <c r="P11" s="25">
        <f t="shared" si="0"/>
        <v>16500</v>
      </c>
      <c r="Q11" s="26">
        <f t="shared" si="1"/>
        <v>6500</v>
      </c>
      <c r="R11" s="27">
        <f t="shared" si="2"/>
        <v>0.39393939393939392</v>
      </c>
      <c r="S11" s="27">
        <f t="shared" si="3"/>
        <v>0.66</v>
      </c>
    </row>
    <row r="12" spans="1:19">
      <c r="A12" s="28" t="s">
        <v>155</v>
      </c>
      <c r="B12" s="29" t="s">
        <v>156</v>
      </c>
      <c r="C12" s="30" t="s">
        <v>157</v>
      </c>
      <c r="D12" s="28" t="s">
        <v>138</v>
      </c>
      <c r="E12" s="48" t="s">
        <v>158</v>
      </c>
      <c r="F12" s="31">
        <v>10000</v>
      </c>
      <c r="G12" s="32">
        <v>0</v>
      </c>
      <c r="H12" s="33" t="s">
        <v>139</v>
      </c>
      <c r="I12" s="33" t="s">
        <v>134</v>
      </c>
      <c r="J12" s="34">
        <v>0.98</v>
      </c>
      <c r="K12" s="31">
        <v>7180</v>
      </c>
      <c r="L12" s="31">
        <v>0</v>
      </c>
      <c r="M12" s="31">
        <v>0</v>
      </c>
      <c r="N12" s="31">
        <v>0</v>
      </c>
      <c r="O12" s="31">
        <v>0</v>
      </c>
      <c r="P12" s="35">
        <f t="shared" si="0"/>
        <v>7180</v>
      </c>
      <c r="Q12" s="36">
        <f t="shared" si="1"/>
        <v>0</v>
      </c>
      <c r="R12" s="37">
        <f t="shared" si="2"/>
        <v>0</v>
      </c>
      <c r="S12" s="37">
        <f t="shared" si="3"/>
        <v>0.71799999999999997</v>
      </c>
    </row>
    <row r="13" spans="1:19">
      <c r="A13" s="38" t="s">
        <v>159</v>
      </c>
      <c r="B13" s="39" t="s">
        <v>160</v>
      </c>
      <c r="C13" s="40" t="s">
        <v>157</v>
      </c>
      <c r="D13" s="38" t="s">
        <v>138</v>
      </c>
      <c r="E13" s="49" t="s">
        <v>158</v>
      </c>
      <c r="F13" s="41">
        <v>8000</v>
      </c>
      <c r="G13" s="42">
        <v>0</v>
      </c>
      <c r="H13" s="43" t="s">
        <v>139</v>
      </c>
      <c r="I13" s="43" t="s">
        <v>134</v>
      </c>
      <c r="J13" s="44">
        <v>0.97</v>
      </c>
      <c r="K13" s="41">
        <v>5385</v>
      </c>
      <c r="L13" s="41">
        <v>0</v>
      </c>
      <c r="M13" s="41">
        <v>0</v>
      </c>
      <c r="N13" s="41">
        <v>0</v>
      </c>
      <c r="O13" s="41">
        <v>0</v>
      </c>
      <c r="P13" s="45">
        <f t="shared" si="0"/>
        <v>5385</v>
      </c>
      <c r="Q13" s="46">
        <f t="shared" si="1"/>
        <v>0</v>
      </c>
      <c r="R13" s="47">
        <f t="shared" si="2"/>
        <v>0</v>
      </c>
      <c r="S13" s="47">
        <f t="shared" si="3"/>
        <v>0.67312499999999997</v>
      </c>
    </row>
    <row r="14" spans="1:19">
      <c r="A14" s="28" t="s">
        <v>161</v>
      </c>
      <c r="B14" s="29" t="s">
        <v>162</v>
      </c>
      <c r="C14" s="30" t="s">
        <v>142</v>
      </c>
      <c r="D14" s="28" t="s">
        <v>138</v>
      </c>
      <c r="E14" s="28" t="s">
        <v>132</v>
      </c>
      <c r="F14" s="31">
        <v>10000</v>
      </c>
      <c r="G14" s="32">
        <v>6</v>
      </c>
      <c r="H14" s="33" t="s">
        <v>139</v>
      </c>
      <c r="I14" s="33" t="s">
        <v>134</v>
      </c>
      <c r="J14" s="34">
        <v>0.9</v>
      </c>
      <c r="K14" s="31">
        <v>5000</v>
      </c>
      <c r="L14" s="31">
        <v>1500</v>
      </c>
      <c r="M14" s="31">
        <v>0</v>
      </c>
      <c r="N14" s="31">
        <v>0</v>
      </c>
      <c r="O14" s="31">
        <v>0</v>
      </c>
      <c r="P14" s="35">
        <f t="shared" si="0"/>
        <v>6500</v>
      </c>
      <c r="Q14" s="36">
        <f t="shared" si="1"/>
        <v>1500</v>
      </c>
      <c r="R14" s="37">
        <f t="shared" si="2"/>
        <v>0.23076923076923078</v>
      </c>
      <c r="S14" s="37">
        <f t="shared" si="3"/>
        <v>0.65</v>
      </c>
    </row>
    <row r="15" spans="1:19">
      <c r="A15" s="50" t="s">
        <v>163</v>
      </c>
      <c r="B15" s="51" t="s">
        <v>164</v>
      </c>
      <c r="C15" s="52" t="s">
        <v>148</v>
      </c>
      <c r="D15" s="50" t="s">
        <v>138</v>
      </c>
      <c r="E15" s="50" t="s">
        <v>132</v>
      </c>
      <c r="F15" s="53">
        <v>5000</v>
      </c>
      <c r="G15" s="54">
        <v>35</v>
      </c>
      <c r="H15" s="55" t="s">
        <v>133</v>
      </c>
      <c r="I15" s="55" t="s">
        <v>165</v>
      </c>
      <c r="J15" s="56">
        <v>0.55000000000000004</v>
      </c>
      <c r="K15" s="53">
        <v>1500</v>
      </c>
      <c r="L15" s="53">
        <v>1000</v>
      </c>
      <c r="M15" s="53">
        <v>800</v>
      </c>
      <c r="N15" s="53">
        <v>700</v>
      </c>
      <c r="O15" s="53">
        <v>1000</v>
      </c>
      <c r="P15" s="57">
        <f t="shared" si="0"/>
        <v>5000</v>
      </c>
      <c r="Q15" s="58">
        <f t="shared" si="1"/>
        <v>3500</v>
      </c>
      <c r="R15" s="59">
        <f t="shared" si="2"/>
        <v>0.7</v>
      </c>
      <c r="S15" s="59">
        <f t="shared" si="3"/>
        <v>1</v>
      </c>
    </row>
    <row r="16" spans="1:19">
      <c r="A16" s="28" t="s">
        <v>166</v>
      </c>
      <c r="B16" s="29" t="s">
        <v>167</v>
      </c>
      <c r="C16" s="30" t="s">
        <v>137</v>
      </c>
      <c r="D16" s="28" t="s">
        <v>138</v>
      </c>
      <c r="E16" s="28" t="s">
        <v>132</v>
      </c>
      <c r="F16" s="31">
        <v>8000</v>
      </c>
      <c r="G16" s="32">
        <v>7</v>
      </c>
      <c r="H16" s="33" t="s">
        <v>139</v>
      </c>
      <c r="I16" s="33" t="s">
        <v>134</v>
      </c>
      <c r="J16" s="34">
        <v>0.89</v>
      </c>
      <c r="K16" s="31">
        <v>3000</v>
      </c>
      <c r="L16" s="31">
        <v>1435</v>
      </c>
      <c r="M16" s="31">
        <v>0</v>
      </c>
      <c r="N16" s="31">
        <v>0</v>
      </c>
      <c r="O16" s="31">
        <v>0</v>
      </c>
      <c r="P16" s="35">
        <f t="shared" si="0"/>
        <v>4435</v>
      </c>
      <c r="Q16" s="36">
        <f t="shared" si="1"/>
        <v>1435</v>
      </c>
      <c r="R16" s="37">
        <f t="shared" si="2"/>
        <v>0.32356257046223225</v>
      </c>
      <c r="S16" s="37">
        <f t="shared" si="3"/>
        <v>0.55437499999999995</v>
      </c>
    </row>
    <row r="18" spans="1:19">
      <c r="B18" s="60" t="s">
        <v>168</v>
      </c>
      <c r="K18" s="61">
        <f t="shared" ref="K18:Q18" si="4">SUM(K5:K16)</f>
        <v>72065</v>
      </c>
      <c r="L18" s="61">
        <f t="shared" si="4"/>
        <v>23935</v>
      </c>
      <c r="M18" s="61">
        <f t="shared" si="4"/>
        <v>10300</v>
      </c>
      <c r="N18" s="61">
        <f t="shared" si="4"/>
        <v>2700</v>
      </c>
      <c r="O18" s="61">
        <f t="shared" si="4"/>
        <v>1000</v>
      </c>
      <c r="P18" s="61">
        <f t="shared" si="4"/>
        <v>110000</v>
      </c>
      <c r="Q18" s="61">
        <f t="shared" si="4"/>
        <v>37935</v>
      </c>
      <c r="R18" s="62">
        <f>Q18/P18</f>
        <v>0.34486363636363637</v>
      </c>
    </row>
    <row r="20" spans="1:19" ht="15" customHeight="1">
      <c r="A20" s="132" t="s">
        <v>169</v>
      </c>
      <c r="B20" s="132"/>
      <c r="C20" s="132"/>
      <c r="D20" s="132"/>
      <c r="E20" s="132"/>
      <c r="F20" s="132"/>
      <c r="G20" s="132"/>
      <c r="H20" s="132"/>
      <c r="I20" s="132"/>
      <c r="J20" s="132"/>
      <c r="K20" s="132"/>
      <c r="L20" s="132"/>
      <c r="M20" s="132"/>
      <c r="N20" s="132"/>
      <c r="O20" s="132"/>
      <c r="P20" s="132"/>
      <c r="Q20" s="132"/>
      <c r="R20" s="132"/>
      <c r="S20" s="132"/>
    </row>
    <row r="21" spans="1:19">
      <c r="A21" s="132"/>
      <c r="B21" s="132"/>
      <c r="C21" s="132"/>
      <c r="D21" s="132"/>
      <c r="E21" s="132"/>
      <c r="F21" s="132"/>
      <c r="G21" s="132"/>
      <c r="H21" s="132"/>
      <c r="I21" s="132"/>
      <c r="J21" s="132"/>
      <c r="K21" s="132"/>
      <c r="L21" s="132"/>
      <c r="M21" s="132"/>
      <c r="N21" s="132"/>
      <c r="O21" s="132"/>
      <c r="P21" s="132"/>
      <c r="Q21" s="132"/>
      <c r="R21" s="132"/>
      <c r="S21" s="132"/>
    </row>
  </sheetData>
  <autoFilter ref="A4:S4" xr:uid="{00000000-0001-0000-0300-000000000000}"/>
  <mergeCells count="3">
    <mergeCell ref="A20:S21"/>
    <mergeCell ref="A1:S1"/>
    <mergeCell ref="A2:S2"/>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9"/>
  <sheetViews>
    <sheetView showGridLines="0" zoomScaleNormal="100" workbookViewId="0">
      <pane xSplit="3" ySplit="4" topLeftCell="D5" activePane="bottomRight" state="frozen"/>
      <selection pane="bottomRight" activeCell="Q15" sqref="Q15"/>
      <selection pane="bottomLeft" activeCell="A5" sqref="A5"/>
      <selection pane="topRight" activeCell="D1" sqref="D1"/>
    </sheetView>
  </sheetViews>
  <sheetFormatPr defaultColWidth="8.7109375" defaultRowHeight="15"/>
  <cols>
    <col min="1" max="1" width="7" customWidth="1"/>
    <col min="2" max="2" width="30" customWidth="1"/>
    <col min="3" max="3" width="12" customWidth="1"/>
    <col min="4" max="4" width="9" customWidth="1"/>
    <col min="5" max="5" width="10" customWidth="1"/>
    <col min="6" max="6" width="11" customWidth="1"/>
    <col min="7" max="7" width="8" customWidth="1"/>
    <col min="8" max="8" width="11" customWidth="1"/>
    <col min="9" max="9" width="7" customWidth="1"/>
    <col min="10" max="12" width="9" customWidth="1"/>
    <col min="13" max="13" width="10" customWidth="1"/>
    <col min="14" max="14" width="9" customWidth="1"/>
    <col min="15" max="15" width="11" customWidth="1"/>
    <col min="16" max="16" width="10" customWidth="1"/>
    <col min="17" max="17" width="7" customWidth="1"/>
  </cols>
  <sheetData>
    <row r="1" spans="1:17" ht="20.25">
      <c r="A1" s="129" t="s">
        <v>170</v>
      </c>
      <c r="B1" s="129"/>
      <c r="C1" s="129"/>
      <c r="D1" s="129"/>
      <c r="E1" s="129"/>
      <c r="F1" s="129"/>
      <c r="G1" s="129"/>
      <c r="H1" s="129"/>
      <c r="I1" s="129"/>
      <c r="J1" s="129"/>
      <c r="K1" s="129"/>
      <c r="L1" s="129"/>
      <c r="M1" s="129"/>
      <c r="N1" s="129"/>
      <c r="O1" s="129"/>
      <c r="P1" s="129"/>
      <c r="Q1" s="129"/>
    </row>
    <row r="2" spans="1:17">
      <c r="A2" s="133" t="s">
        <v>171</v>
      </c>
      <c r="B2" s="133"/>
      <c r="C2" s="133"/>
      <c r="D2" s="133"/>
      <c r="E2" s="133"/>
      <c r="F2" s="133"/>
      <c r="G2" s="133"/>
      <c r="H2" s="133"/>
      <c r="I2" s="133"/>
      <c r="J2" s="133"/>
      <c r="K2" s="133"/>
      <c r="L2" s="133"/>
      <c r="M2" s="133"/>
      <c r="N2" s="133"/>
      <c r="O2" s="133"/>
      <c r="P2" s="133"/>
      <c r="Q2" s="133"/>
    </row>
    <row r="4" spans="1:17">
      <c r="A4" s="109" t="s">
        <v>109</v>
      </c>
      <c r="B4" s="109" t="s">
        <v>110</v>
      </c>
      <c r="C4" s="109" t="s">
        <v>172</v>
      </c>
      <c r="D4" s="109" t="s">
        <v>173</v>
      </c>
      <c r="E4" s="109" t="s">
        <v>174</v>
      </c>
      <c r="F4" s="109" t="s">
        <v>175</v>
      </c>
      <c r="G4" s="109" t="s">
        <v>176</v>
      </c>
      <c r="H4" s="109" t="s">
        <v>116</v>
      </c>
      <c r="I4" s="109" t="s">
        <v>177</v>
      </c>
      <c r="J4" s="109" t="s">
        <v>178</v>
      </c>
      <c r="K4" s="109" t="s">
        <v>179</v>
      </c>
      <c r="L4" s="109" t="s">
        <v>180</v>
      </c>
      <c r="M4" s="109" t="s">
        <v>181</v>
      </c>
      <c r="N4" s="109" t="s">
        <v>182</v>
      </c>
      <c r="O4" s="109" t="s">
        <v>183</v>
      </c>
      <c r="P4" s="109" t="s">
        <v>184</v>
      </c>
      <c r="Q4" s="109" t="s">
        <v>185</v>
      </c>
    </row>
    <row r="5" spans="1:17">
      <c r="A5" s="63" t="str">
        <f>'02 Customer Credit &amp; Aging'!A5</f>
        <v>C001</v>
      </c>
      <c r="B5" s="64" t="str">
        <f>'02 Customer Credit &amp; Aging'!B5</f>
        <v>PT Anugerah Prima (Customer A)</v>
      </c>
      <c r="C5" s="65">
        <f>'02 Customer Credit &amp; Aging'!P5</f>
        <v>18000</v>
      </c>
      <c r="D5" s="66">
        <f>'02 Customer Credit &amp; Aging'!S5</f>
        <v>0.6</v>
      </c>
      <c r="E5" s="65">
        <f>'02 Customer Credit &amp; Aging'!N5+'02 Customer Credit &amp; Aging'!O5</f>
        <v>0</v>
      </c>
      <c r="F5" s="47">
        <f>IF(C5=0,0,E5/C5)</f>
        <v>0</v>
      </c>
      <c r="G5" s="67">
        <f>'02 Customer Credit &amp; Aging'!G5</f>
        <v>18</v>
      </c>
      <c r="H5" s="63" t="str">
        <f>'02 Customer Credit &amp; Aging'!H5</f>
        <v>Worsening</v>
      </c>
      <c r="I5" s="63" t="str">
        <f>'02 Customer Credit &amp; Aging'!I5</f>
        <v>No</v>
      </c>
      <c r="J5" s="68">
        <f>MIN(G5/'01 Assumptions'!$B$18,1)*'01 Assumptions'!$B$11</f>
        <v>9</v>
      </c>
      <c r="K5" s="68">
        <f>F5*'01 Assumptions'!$B$12</f>
        <v>0</v>
      </c>
      <c r="L5" s="68">
        <f>MIN(D5,1)*'01 Assumptions'!$B$13</f>
        <v>12</v>
      </c>
      <c r="M5" s="68">
        <f>IF(H5="Worsening",'01 Assumptions'!$B$14,IF(H5="Stable",'01 Assumptions'!$B$15,'01 Assumptions'!$B$16))</f>
        <v>15</v>
      </c>
      <c r="N5" s="68">
        <f>IF(I5="Yes",'01 Assumptions'!$B$17,0)</f>
        <v>0</v>
      </c>
      <c r="O5" s="69">
        <f t="shared" ref="O5:O16" si="0">J5+K5+L5+M5+N5</f>
        <v>36</v>
      </c>
      <c r="P5" s="70" t="str">
        <f>IF(O5&gt;='01 Assumptions'!$B$20,"High",IF(O5&gt;='01 Assumptions'!$B$19,"Medium","Low"))</f>
        <v>Medium</v>
      </c>
      <c r="Q5" s="71">
        <f>RANK(O5,$O$5:$O$16)</f>
        <v>4</v>
      </c>
    </row>
    <row r="6" spans="1:17">
      <c r="A6" s="63" t="str">
        <f>'02 Customer Credit &amp; Aging'!A6</f>
        <v>C002</v>
      </c>
      <c r="B6" s="64" t="str">
        <f>'02 Customer Credit &amp; Aging'!B6</f>
        <v>PT Distribusi Jaya</v>
      </c>
      <c r="C6" s="65">
        <f>'02 Customer Credit &amp; Aging'!P6</f>
        <v>12000</v>
      </c>
      <c r="D6" s="66">
        <f>'02 Customer Credit &amp; Aging'!S6</f>
        <v>0.6</v>
      </c>
      <c r="E6" s="65">
        <f>'02 Customer Credit &amp; Aging'!N6+'02 Customer Credit &amp; Aging'!O6</f>
        <v>0</v>
      </c>
      <c r="F6" s="47">
        <f t="shared" ref="F6:F16" si="1">IF(C6=0,0,E6/C6)</f>
        <v>0</v>
      </c>
      <c r="G6" s="67">
        <f>'02 Customer Credit &amp; Aging'!G6</f>
        <v>8</v>
      </c>
      <c r="H6" s="63" t="str">
        <f>'02 Customer Credit &amp; Aging'!H6</f>
        <v>Stable</v>
      </c>
      <c r="I6" s="63" t="str">
        <f>'02 Customer Credit &amp; Aging'!I6</f>
        <v>No</v>
      </c>
      <c r="J6" s="68">
        <f>MIN(G6/'01 Assumptions'!$B$18,1)*'01 Assumptions'!$B$11</f>
        <v>4</v>
      </c>
      <c r="K6" s="68">
        <f>F6*'01 Assumptions'!$B$12</f>
        <v>0</v>
      </c>
      <c r="L6" s="68">
        <f>MIN(D6,1)*'01 Assumptions'!$B$13</f>
        <v>12</v>
      </c>
      <c r="M6" s="68">
        <f>IF(H6="Worsening",'01 Assumptions'!$B$14,IF(H6="Stable",'01 Assumptions'!$B$15,'01 Assumptions'!$B$16))</f>
        <v>5</v>
      </c>
      <c r="N6" s="68">
        <f>IF(I6="Yes",'01 Assumptions'!$B$17,0)</f>
        <v>0</v>
      </c>
      <c r="O6" s="69">
        <f t="shared" si="0"/>
        <v>21</v>
      </c>
      <c r="P6" s="70" t="str">
        <f>IF(O6&gt;='01 Assumptions'!$B$20,"High",IF(O6&gt;='01 Assumptions'!$B$19,"Medium","Low"))</f>
        <v>Low</v>
      </c>
      <c r="Q6" s="71">
        <f t="shared" ref="Q6:Q16" si="2">RANK(O6,$O$5:$O$16)</f>
        <v>7</v>
      </c>
    </row>
    <row r="7" spans="1:17">
      <c r="A7" s="63" t="str">
        <f>'02 Customer Credit &amp; Aging'!A7</f>
        <v>C003</v>
      </c>
      <c r="B7" s="64" t="str">
        <f>'02 Customer Credit &amp; Aging'!B7</f>
        <v>PT Ritel Nusantara</v>
      </c>
      <c r="C7" s="65">
        <f>'02 Customer Credit &amp; Aging'!P7</f>
        <v>11500</v>
      </c>
      <c r="D7" s="66">
        <f>'02 Customer Credit &amp; Aging'!S7</f>
        <v>0.63888888888888884</v>
      </c>
      <c r="E7" s="65">
        <f>'02 Customer Credit &amp; Aging'!N7+'02 Customer Credit &amp; Aging'!O7</f>
        <v>0</v>
      </c>
      <c r="F7" s="47">
        <f t="shared" si="1"/>
        <v>0</v>
      </c>
      <c r="G7" s="67">
        <f>'02 Customer Credit &amp; Aging'!G7</f>
        <v>12</v>
      </c>
      <c r="H7" s="63" t="str">
        <f>'02 Customer Credit &amp; Aging'!H7</f>
        <v>Stable</v>
      </c>
      <c r="I7" s="63" t="str">
        <f>'02 Customer Credit &amp; Aging'!I7</f>
        <v>No</v>
      </c>
      <c r="J7" s="68">
        <f>MIN(G7/'01 Assumptions'!$B$18,1)*'01 Assumptions'!$B$11</f>
        <v>6</v>
      </c>
      <c r="K7" s="68">
        <f>F7*'01 Assumptions'!$B$12</f>
        <v>0</v>
      </c>
      <c r="L7" s="68">
        <f>MIN(D7,1)*'01 Assumptions'!$B$13</f>
        <v>12.777777777777777</v>
      </c>
      <c r="M7" s="68">
        <f>IF(H7="Worsening",'01 Assumptions'!$B$14,IF(H7="Stable",'01 Assumptions'!$B$15,'01 Assumptions'!$B$16))</f>
        <v>5</v>
      </c>
      <c r="N7" s="68">
        <f>IF(I7="Yes",'01 Assumptions'!$B$17,0)</f>
        <v>0</v>
      </c>
      <c r="O7" s="69">
        <f t="shared" si="0"/>
        <v>23.777777777777779</v>
      </c>
      <c r="P7" s="70" t="str">
        <f>IF(O7&gt;='01 Assumptions'!$B$20,"High",IF(O7&gt;='01 Assumptions'!$B$19,"Medium","Low"))</f>
        <v>Low</v>
      </c>
      <c r="Q7" s="71">
        <f t="shared" si="2"/>
        <v>6</v>
      </c>
    </row>
    <row r="8" spans="1:17">
      <c r="A8" s="63" t="str">
        <f>'02 Customer Credit &amp; Aging'!A8</f>
        <v>C004</v>
      </c>
      <c r="B8" s="64" t="str">
        <f>'02 Customer Credit &amp; Aging'!B8</f>
        <v>CV Mitra Dagang</v>
      </c>
      <c r="C8" s="65">
        <f>'02 Customer Credit &amp; Aging'!P8</f>
        <v>8000</v>
      </c>
      <c r="D8" s="66">
        <f>'02 Customer Credit &amp; Aging'!S8</f>
        <v>0.66666666666666663</v>
      </c>
      <c r="E8" s="65">
        <f>'02 Customer Credit &amp; Aging'!N8+'02 Customer Credit &amp; Aging'!O8</f>
        <v>0</v>
      </c>
      <c r="F8" s="47">
        <f t="shared" si="1"/>
        <v>0</v>
      </c>
      <c r="G8" s="67">
        <f>'02 Customer Credit &amp; Aging'!G8</f>
        <v>5</v>
      </c>
      <c r="H8" s="63" t="str">
        <f>'02 Customer Credit &amp; Aging'!H8</f>
        <v>Improving</v>
      </c>
      <c r="I8" s="63" t="str">
        <f>'02 Customer Credit &amp; Aging'!I8</f>
        <v>No</v>
      </c>
      <c r="J8" s="68">
        <f>MIN(G8/'01 Assumptions'!$B$18,1)*'01 Assumptions'!$B$11</f>
        <v>2.5</v>
      </c>
      <c r="K8" s="68">
        <f>F8*'01 Assumptions'!$B$12</f>
        <v>0</v>
      </c>
      <c r="L8" s="68">
        <f>MIN(D8,1)*'01 Assumptions'!$B$13</f>
        <v>13.333333333333332</v>
      </c>
      <c r="M8" s="68">
        <f>IF(H8="Worsening",'01 Assumptions'!$B$14,IF(H8="Stable",'01 Assumptions'!$B$15,'01 Assumptions'!$B$16))</f>
        <v>0</v>
      </c>
      <c r="N8" s="68">
        <f>IF(I8="Yes",'01 Assumptions'!$B$17,0)</f>
        <v>0</v>
      </c>
      <c r="O8" s="69">
        <f t="shared" si="0"/>
        <v>15.833333333333332</v>
      </c>
      <c r="P8" s="70" t="str">
        <f>IF(O8&gt;='01 Assumptions'!$B$20,"High",IF(O8&gt;='01 Assumptions'!$B$19,"Medium","Low"))</f>
        <v>Low</v>
      </c>
      <c r="Q8" s="71">
        <f t="shared" si="2"/>
        <v>12</v>
      </c>
    </row>
    <row r="9" spans="1:17">
      <c r="A9" s="63" t="str">
        <f>'02 Customer Credit &amp; Aging'!A9</f>
        <v>C005</v>
      </c>
      <c r="B9" s="64" t="str">
        <f>'02 Customer Credit &amp; Aging'!B9</f>
        <v>CV Toko Sejahtera</v>
      </c>
      <c r="C9" s="65">
        <f>'02 Customer Credit &amp; Aging'!P9</f>
        <v>5000</v>
      </c>
      <c r="D9" s="66">
        <f>'02 Customer Credit &amp; Aging'!S9</f>
        <v>0.83333333333333337</v>
      </c>
      <c r="E9" s="65">
        <f>'02 Customer Credit &amp; Aging'!N9+'02 Customer Credit &amp; Aging'!O9</f>
        <v>500</v>
      </c>
      <c r="F9" s="47">
        <f t="shared" si="1"/>
        <v>0.1</v>
      </c>
      <c r="G9" s="67">
        <f>'02 Customer Credit &amp; Aging'!G9</f>
        <v>22</v>
      </c>
      <c r="H9" s="63" t="str">
        <f>'02 Customer Credit &amp; Aging'!H9</f>
        <v>Worsening</v>
      </c>
      <c r="I9" s="63" t="str">
        <f>'02 Customer Credit &amp; Aging'!I9</f>
        <v>No</v>
      </c>
      <c r="J9" s="68">
        <f>MIN(G9/'01 Assumptions'!$B$18,1)*'01 Assumptions'!$B$11</f>
        <v>11</v>
      </c>
      <c r="K9" s="68">
        <f>F9*'01 Assumptions'!$B$12</f>
        <v>2.5</v>
      </c>
      <c r="L9" s="68">
        <f>MIN(D9,1)*'01 Assumptions'!$B$13</f>
        <v>16.666666666666668</v>
      </c>
      <c r="M9" s="68">
        <f>IF(H9="Worsening",'01 Assumptions'!$B$14,IF(H9="Stable",'01 Assumptions'!$B$15,'01 Assumptions'!$B$16))</f>
        <v>15</v>
      </c>
      <c r="N9" s="68">
        <f>IF(I9="Yes",'01 Assumptions'!$B$17,0)</f>
        <v>0</v>
      </c>
      <c r="O9" s="69">
        <f t="shared" si="0"/>
        <v>45.166666666666671</v>
      </c>
      <c r="P9" s="70" t="str">
        <f>IF(O9&gt;='01 Assumptions'!$B$20,"High",IF(O9&gt;='01 Assumptions'!$B$19,"Medium","Low"))</f>
        <v>Medium</v>
      </c>
      <c r="Q9" s="71">
        <f t="shared" si="2"/>
        <v>2</v>
      </c>
    </row>
    <row r="10" spans="1:17">
      <c r="A10" s="63" t="str">
        <f>'02 Customer Credit &amp; Aging'!A10</f>
        <v>C006</v>
      </c>
      <c r="B10" s="64" t="str">
        <f>'02 Customer Credit &amp; Aging'!B10</f>
        <v>PT Karya Abadi</v>
      </c>
      <c r="C10" s="65">
        <f>'02 Customer Credit &amp; Aging'!P10</f>
        <v>10500</v>
      </c>
      <c r="D10" s="66">
        <f>'02 Customer Credit &amp; Aging'!S10</f>
        <v>0.7</v>
      </c>
      <c r="E10" s="65">
        <f>'02 Customer Credit &amp; Aging'!N10+'02 Customer Credit &amp; Aging'!O10</f>
        <v>0</v>
      </c>
      <c r="F10" s="47">
        <f t="shared" si="1"/>
        <v>0</v>
      </c>
      <c r="G10" s="67">
        <f>'02 Customer Credit &amp; Aging'!G10</f>
        <v>14</v>
      </c>
      <c r="H10" s="63" t="str">
        <f>'02 Customer Credit &amp; Aging'!H10</f>
        <v>Stable</v>
      </c>
      <c r="I10" s="63" t="str">
        <f>'02 Customer Credit &amp; Aging'!I10</f>
        <v>No</v>
      </c>
      <c r="J10" s="68">
        <f>MIN(G10/'01 Assumptions'!$B$18,1)*'01 Assumptions'!$B$11</f>
        <v>7</v>
      </c>
      <c r="K10" s="68">
        <f>F10*'01 Assumptions'!$B$12</f>
        <v>0</v>
      </c>
      <c r="L10" s="68">
        <f>MIN(D10,1)*'01 Assumptions'!$B$13</f>
        <v>14</v>
      </c>
      <c r="M10" s="68">
        <f>IF(H10="Worsening",'01 Assumptions'!$B$14,IF(H10="Stable",'01 Assumptions'!$B$15,'01 Assumptions'!$B$16))</f>
        <v>5</v>
      </c>
      <c r="N10" s="68">
        <f>IF(I10="Yes",'01 Assumptions'!$B$17,0)</f>
        <v>0</v>
      </c>
      <c r="O10" s="69">
        <f t="shared" si="0"/>
        <v>26</v>
      </c>
      <c r="P10" s="70" t="str">
        <f>IF(O10&gt;='01 Assumptions'!$B$20,"High",IF(O10&gt;='01 Assumptions'!$B$19,"Medium","Low"))</f>
        <v>Low</v>
      </c>
      <c r="Q10" s="71">
        <f t="shared" si="2"/>
        <v>5</v>
      </c>
    </row>
    <row r="11" spans="1:17">
      <c r="A11" s="63" t="str">
        <f>'02 Customer Credit &amp; Aging'!A11</f>
        <v>C007</v>
      </c>
      <c r="B11" s="64" t="str">
        <f>'02 Customer Credit &amp; Aging'!B11</f>
        <v>PT Sumber Makmur</v>
      </c>
      <c r="C11" s="65">
        <f>'02 Customer Credit &amp; Aging'!P11</f>
        <v>16500</v>
      </c>
      <c r="D11" s="66">
        <f>'02 Customer Credit &amp; Aging'!S11</f>
        <v>0.66</v>
      </c>
      <c r="E11" s="65">
        <f>'02 Customer Credit &amp; Aging'!N11+'02 Customer Credit &amp; Aging'!O11</f>
        <v>1500</v>
      </c>
      <c r="F11" s="47">
        <f t="shared" si="1"/>
        <v>9.0909090909090912E-2</v>
      </c>
      <c r="G11" s="67">
        <f>'02 Customer Credit &amp; Aging'!G11</f>
        <v>20</v>
      </c>
      <c r="H11" s="63" t="str">
        <f>'02 Customer Credit &amp; Aging'!H11</f>
        <v>Worsening</v>
      </c>
      <c r="I11" s="63" t="str">
        <f>'02 Customer Credit &amp; Aging'!I11</f>
        <v>No</v>
      </c>
      <c r="J11" s="68">
        <f>MIN(G11/'01 Assumptions'!$B$18,1)*'01 Assumptions'!$B$11</f>
        <v>10</v>
      </c>
      <c r="K11" s="68">
        <f>F11*'01 Assumptions'!$B$12</f>
        <v>2.2727272727272729</v>
      </c>
      <c r="L11" s="68">
        <f>MIN(D11,1)*'01 Assumptions'!$B$13</f>
        <v>13.200000000000001</v>
      </c>
      <c r="M11" s="68">
        <f>IF(H11="Worsening",'01 Assumptions'!$B$14,IF(H11="Stable",'01 Assumptions'!$B$15,'01 Assumptions'!$B$16))</f>
        <v>15</v>
      </c>
      <c r="N11" s="68">
        <f>IF(I11="Yes",'01 Assumptions'!$B$17,0)</f>
        <v>0</v>
      </c>
      <c r="O11" s="69">
        <f t="shared" si="0"/>
        <v>40.472727272727276</v>
      </c>
      <c r="P11" s="70" t="str">
        <f>IF(O11&gt;='01 Assumptions'!$B$20,"High",IF(O11&gt;='01 Assumptions'!$B$19,"Medium","Low"))</f>
        <v>Medium</v>
      </c>
      <c r="Q11" s="71">
        <f t="shared" si="2"/>
        <v>3</v>
      </c>
    </row>
    <row r="12" spans="1:17">
      <c r="A12" s="63" t="str">
        <f>'02 Customer Credit &amp; Aging'!A12</f>
        <v>C008</v>
      </c>
      <c r="B12" s="64" t="str">
        <f>'02 Customer Credit &amp; Aging'!B12</f>
        <v>Lion City Trading Pte</v>
      </c>
      <c r="C12" s="65">
        <f>'02 Customer Credit &amp; Aging'!P12</f>
        <v>7180</v>
      </c>
      <c r="D12" s="66">
        <f>'02 Customer Credit &amp; Aging'!S12</f>
        <v>0.71799999999999997</v>
      </c>
      <c r="E12" s="65">
        <f>'02 Customer Credit &amp; Aging'!N12+'02 Customer Credit &amp; Aging'!O12</f>
        <v>0</v>
      </c>
      <c r="F12" s="47">
        <f t="shared" si="1"/>
        <v>0</v>
      </c>
      <c r="G12" s="67">
        <f>'02 Customer Credit &amp; Aging'!G12</f>
        <v>0</v>
      </c>
      <c r="H12" s="63" t="str">
        <f>'02 Customer Credit &amp; Aging'!H12</f>
        <v>Stable</v>
      </c>
      <c r="I12" s="63" t="str">
        <f>'02 Customer Credit &amp; Aging'!I12</f>
        <v>No</v>
      </c>
      <c r="J12" s="68">
        <f>MIN(G12/'01 Assumptions'!$B$18,1)*'01 Assumptions'!$B$11</f>
        <v>0</v>
      </c>
      <c r="K12" s="68">
        <f>F12*'01 Assumptions'!$B$12</f>
        <v>0</v>
      </c>
      <c r="L12" s="68">
        <f>MIN(D12,1)*'01 Assumptions'!$B$13</f>
        <v>14.36</v>
      </c>
      <c r="M12" s="68">
        <f>IF(H12="Worsening",'01 Assumptions'!$B$14,IF(H12="Stable",'01 Assumptions'!$B$15,'01 Assumptions'!$B$16))</f>
        <v>5</v>
      </c>
      <c r="N12" s="68">
        <f>IF(I12="Yes",'01 Assumptions'!$B$17,0)</f>
        <v>0</v>
      </c>
      <c r="O12" s="69">
        <f t="shared" si="0"/>
        <v>19.36</v>
      </c>
      <c r="P12" s="70" t="str">
        <f>IF(O12&gt;='01 Assumptions'!$B$20,"High",IF(O12&gt;='01 Assumptions'!$B$19,"Medium","Low"))</f>
        <v>Low</v>
      </c>
      <c r="Q12" s="71">
        <f t="shared" si="2"/>
        <v>10</v>
      </c>
    </row>
    <row r="13" spans="1:17">
      <c r="A13" s="63" t="str">
        <f>'02 Customer Credit &amp; Aging'!A13</f>
        <v>C009</v>
      </c>
      <c r="B13" s="64" t="str">
        <f>'02 Customer Credit &amp; Aging'!B13</f>
        <v>Peninsula Export Sdn</v>
      </c>
      <c r="C13" s="65">
        <f>'02 Customer Credit &amp; Aging'!P13</f>
        <v>5385</v>
      </c>
      <c r="D13" s="66">
        <f>'02 Customer Credit &amp; Aging'!S13</f>
        <v>0.67312499999999997</v>
      </c>
      <c r="E13" s="65">
        <f>'02 Customer Credit &amp; Aging'!N13+'02 Customer Credit &amp; Aging'!O13</f>
        <v>0</v>
      </c>
      <c r="F13" s="47">
        <f t="shared" si="1"/>
        <v>0</v>
      </c>
      <c r="G13" s="67">
        <f>'02 Customer Credit &amp; Aging'!G13</f>
        <v>0</v>
      </c>
      <c r="H13" s="63" t="str">
        <f>'02 Customer Credit &amp; Aging'!H13</f>
        <v>Stable</v>
      </c>
      <c r="I13" s="63" t="str">
        <f>'02 Customer Credit &amp; Aging'!I13</f>
        <v>No</v>
      </c>
      <c r="J13" s="68">
        <f>MIN(G13/'01 Assumptions'!$B$18,1)*'01 Assumptions'!$B$11</f>
        <v>0</v>
      </c>
      <c r="K13" s="68">
        <f>F13*'01 Assumptions'!$B$12</f>
        <v>0</v>
      </c>
      <c r="L13" s="68">
        <f>MIN(D13,1)*'01 Assumptions'!$B$13</f>
        <v>13.462499999999999</v>
      </c>
      <c r="M13" s="68">
        <f>IF(H13="Worsening",'01 Assumptions'!$B$14,IF(H13="Stable",'01 Assumptions'!$B$15,'01 Assumptions'!$B$16))</f>
        <v>5</v>
      </c>
      <c r="N13" s="68">
        <f>IF(I13="Yes",'01 Assumptions'!$B$17,0)</f>
        <v>0</v>
      </c>
      <c r="O13" s="69">
        <f t="shared" si="0"/>
        <v>18.462499999999999</v>
      </c>
      <c r="P13" s="70" t="str">
        <f>IF(O13&gt;='01 Assumptions'!$B$20,"High",IF(O13&gt;='01 Assumptions'!$B$19,"Medium","Low"))</f>
        <v>Low</v>
      </c>
      <c r="Q13" s="71">
        <f t="shared" si="2"/>
        <v>11</v>
      </c>
    </row>
    <row r="14" spans="1:17">
      <c r="A14" s="63" t="str">
        <f>'02 Customer Credit &amp; Aging'!A14</f>
        <v>C010</v>
      </c>
      <c r="B14" s="64" t="str">
        <f>'02 Customer Credit &amp; Aging'!B14</f>
        <v>PT Maju Bersama</v>
      </c>
      <c r="C14" s="65">
        <f>'02 Customer Credit &amp; Aging'!P14</f>
        <v>6500</v>
      </c>
      <c r="D14" s="66">
        <f>'02 Customer Credit &amp; Aging'!S14</f>
        <v>0.65</v>
      </c>
      <c r="E14" s="65">
        <f>'02 Customer Credit &amp; Aging'!N14+'02 Customer Credit &amp; Aging'!O14</f>
        <v>0</v>
      </c>
      <c r="F14" s="47">
        <f t="shared" si="1"/>
        <v>0</v>
      </c>
      <c r="G14" s="67">
        <f>'02 Customer Credit &amp; Aging'!G14</f>
        <v>6</v>
      </c>
      <c r="H14" s="63" t="str">
        <f>'02 Customer Credit &amp; Aging'!H14</f>
        <v>Stable</v>
      </c>
      <c r="I14" s="63" t="str">
        <f>'02 Customer Credit &amp; Aging'!I14</f>
        <v>No</v>
      </c>
      <c r="J14" s="68">
        <f>MIN(G14/'01 Assumptions'!$B$18,1)*'01 Assumptions'!$B$11</f>
        <v>3</v>
      </c>
      <c r="K14" s="68">
        <f>F14*'01 Assumptions'!$B$12</f>
        <v>0</v>
      </c>
      <c r="L14" s="68">
        <f>MIN(D14,1)*'01 Assumptions'!$B$13</f>
        <v>13</v>
      </c>
      <c r="M14" s="68">
        <f>IF(H14="Worsening",'01 Assumptions'!$B$14,IF(H14="Stable",'01 Assumptions'!$B$15,'01 Assumptions'!$B$16))</f>
        <v>5</v>
      </c>
      <c r="N14" s="68">
        <f>IF(I14="Yes",'01 Assumptions'!$B$17,0)</f>
        <v>0</v>
      </c>
      <c r="O14" s="69">
        <f t="shared" si="0"/>
        <v>21</v>
      </c>
      <c r="P14" s="70" t="str">
        <f>IF(O14&gt;='01 Assumptions'!$B$20,"High",IF(O14&gt;='01 Assumptions'!$B$19,"Medium","Low"))</f>
        <v>Low</v>
      </c>
      <c r="Q14" s="71">
        <f t="shared" si="2"/>
        <v>7</v>
      </c>
    </row>
    <row r="15" spans="1:17">
      <c r="A15" s="63" t="str">
        <f>'02 Customer Credit &amp; Aging'!A15</f>
        <v>C011</v>
      </c>
      <c r="B15" s="64" t="str">
        <f>'02 Customer Credit &amp; Aging'!B15</f>
        <v>CV Berkah Jaya</v>
      </c>
      <c r="C15" s="65">
        <f>'02 Customer Credit &amp; Aging'!P15</f>
        <v>5000</v>
      </c>
      <c r="D15" s="66">
        <f>'02 Customer Credit &amp; Aging'!S15</f>
        <v>1</v>
      </c>
      <c r="E15" s="65">
        <f>'02 Customer Credit &amp; Aging'!N15+'02 Customer Credit &amp; Aging'!O15</f>
        <v>1700</v>
      </c>
      <c r="F15" s="47">
        <f t="shared" si="1"/>
        <v>0.34</v>
      </c>
      <c r="G15" s="67">
        <f>'02 Customer Credit &amp; Aging'!G15</f>
        <v>35</v>
      </c>
      <c r="H15" s="63" t="str">
        <f>'02 Customer Credit &amp; Aging'!H15</f>
        <v>Worsening</v>
      </c>
      <c r="I15" s="63" t="str">
        <f>'02 Customer Credit &amp; Aging'!I15</f>
        <v>Yes</v>
      </c>
      <c r="J15" s="68">
        <f>MIN(G15/'01 Assumptions'!$B$18,1)*'01 Assumptions'!$B$11</f>
        <v>17.5</v>
      </c>
      <c r="K15" s="68">
        <f>F15*'01 Assumptions'!$B$12</f>
        <v>8.5</v>
      </c>
      <c r="L15" s="68">
        <f>MIN(D15,1)*'01 Assumptions'!$B$13</f>
        <v>20</v>
      </c>
      <c r="M15" s="68">
        <f>IF(H15="Worsening",'01 Assumptions'!$B$14,IF(H15="Stable",'01 Assumptions'!$B$15,'01 Assumptions'!$B$16))</f>
        <v>15</v>
      </c>
      <c r="N15" s="68">
        <f>IF(I15="Yes",'01 Assumptions'!$B$17,0)</f>
        <v>10</v>
      </c>
      <c r="O15" s="69">
        <f t="shared" si="0"/>
        <v>71</v>
      </c>
      <c r="P15" s="70" t="str">
        <f>IF(O15&gt;='01 Assumptions'!$B$20,"High",IF(O15&gt;='01 Assumptions'!$B$19,"Medium","Low"))</f>
        <v>High</v>
      </c>
      <c r="Q15" s="71">
        <f t="shared" si="2"/>
        <v>1</v>
      </c>
    </row>
    <row r="16" spans="1:17">
      <c r="A16" s="63" t="str">
        <f>'02 Customer Credit &amp; Aging'!A16</f>
        <v>C012</v>
      </c>
      <c r="B16" s="64" t="str">
        <f>'02 Customer Credit &amp; Aging'!B16</f>
        <v>PT Cahaya Sentosa</v>
      </c>
      <c r="C16" s="65">
        <f>'02 Customer Credit &amp; Aging'!P16</f>
        <v>4435</v>
      </c>
      <c r="D16" s="66">
        <f>'02 Customer Credit &amp; Aging'!S16</f>
        <v>0.55437499999999995</v>
      </c>
      <c r="E16" s="65">
        <f>'02 Customer Credit &amp; Aging'!N16+'02 Customer Credit &amp; Aging'!O16</f>
        <v>0</v>
      </c>
      <c r="F16" s="47">
        <f t="shared" si="1"/>
        <v>0</v>
      </c>
      <c r="G16" s="67">
        <f>'02 Customer Credit &amp; Aging'!G16</f>
        <v>7</v>
      </c>
      <c r="H16" s="63" t="str">
        <f>'02 Customer Credit &amp; Aging'!H16</f>
        <v>Stable</v>
      </c>
      <c r="I16" s="63" t="str">
        <f>'02 Customer Credit &amp; Aging'!I16</f>
        <v>No</v>
      </c>
      <c r="J16" s="68">
        <f>MIN(G16/'01 Assumptions'!$B$18,1)*'01 Assumptions'!$B$11</f>
        <v>3.5</v>
      </c>
      <c r="K16" s="68">
        <f>F16*'01 Assumptions'!$B$12</f>
        <v>0</v>
      </c>
      <c r="L16" s="68">
        <f>MIN(D16,1)*'01 Assumptions'!$B$13</f>
        <v>11.087499999999999</v>
      </c>
      <c r="M16" s="68">
        <f>IF(H16="Worsening",'01 Assumptions'!$B$14,IF(H16="Stable",'01 Assumptions'!$B$15,'01 Assumptions'!$B$16))</f>
        <v>5</v>
      </c>
      <c r="N16" s="68">
        <f>IF(I16="Yes",'01 Assumptions'!$B$17,0)</f>
        <v>0</v>
      </c>
      <c r="O16" s="69">
        <f t="shared" si="0"/>
        <v>19.587499999999999</v>
      </c>
      <c r="P16" s="70" t="str">
        <f>IF(O16&gt;='01 Assumptions'!$B$20,"High",IF(O16&gt;='01 Assumptions'!$B$19,"Medium","Low"))</f>
        <v>Low</v>
      </c>
      <c r="Q16" s="71">
        <f t="shared" si="2"/>
        <v>9</v>
      </c>
    </row>
    <row r="18" spans="1:17" ht="15" customHeight="1">
      <c r="A18" s="132" t="s">
        <v>186</v>
      </c>
      <c r="B18" s="132"/>
      <c r="C18" s="132"/>
      <c r="D18" s="132"/>
      <c r="E18" s="132"/>
      <c r="F18" s="132"/>
      <c r="G18" s="132"/>
      <c r="H18" s="132"/>
      <c r="I18" s="132"/>
      <c r="J18" s="132"/>
      <c r="K18" s="132"/>
      <c r="L18" s="132"/>
      <c r="M18" s="132"/>
      <c r="N18" s="132"/>
      <c r="O18" s="132"/>
      <c r="P18" s="132"/>
      <c r="Q18" s="132"/>
    </row>
    <row r="19" spans="1:17">
      <c r="A19" s="132"/>
      <c r="B19" s="132"/>
      <c r="C19" s="132"/>
      <c r="D19" s="132"/>
      <c r="E19" s="132"/>
      <c r="F19" s="132"/>
      <c r="G19" s="132"/>
      <c r="H19" s="132"/>
      <c r="I19" s="132"/>
      <c r="J19" s="132"/>
      <c r="K19" s="132"/>
      <c r="L19" s="132"/>
      <c r="M19" s="132"/>
      <c r="N19" s="132"/>
      <c r="O19" s="132"/>
      <c r="P19" s="132"/>
      <c r="Q19" s="132"/>
    </row>
  </sheetData>
  <autoFilter ref="A4:Q4" xr:uid="{00000000-0001-0000-0400-000000000000}"/>
  <mergeCells count="3">
    <mergeCell ref="A18:Q19"/>
    <mergeCell ref="A1:Q1"/>
    <mergeCell ref="A2:Q2"/>
  </mergeCells>
  <conditionalFormatting sqref="P5:P16">
    <cfRule type="expression" dxfId="2" priority="2">
      <formula>$P5="High"</formula>
    </cfRule>
    <cfRule type="expression" dxfId="1" priority="3">
      <formula>$P5="Medium"</formula>
    </cfRule>
    <cfRule type="expression" dxfId="0" priority="4">
      <formula>$P5="Low"</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5"/>
  <sheetViews>
    <sheetView showGridLines="0" zoomScaleNormal="100" workbookViewId="0">
      <selection activeCell="B25" sqref="B25"/>
    </sheetView>
  </sheetViews>
  <sheetFormatPr defaultColWidth="8.7109375" defaultRowHeight="15"/>
  <cols>
    <col min="1" max="1" width="50.5703125" bestFit="1" customWidth="1"/>
    <col min="2" max="2" width="18" customWidth="1"/>
    <col min="3" max="3" width="16" customWidth="1"/>
    <col min="4" max="4" width="20" customWidth="1"/>
    <col min="5" max="5" width="30" customWidth="1"/>
  </cols>
  <sheetData>
    <row r="1" spans="1:5" ht="20.25">
      <c r="A1" s="129" t="s">
        <v>187</v>
      </c>
      <c r="B1" s="129"/>
      <c r="C1" s="129"/>
      <c r="D1" s="129"/>
      <c r="E1" s="129"/>
    </row>
    <row r="2" spans="1:5">
      <c r="A2" s="133" t="s">
        <v>188</v>
      </c>
      <c r="B2" s="133"/>
      <c r="C2" s="133"/>
      <c r="D2" s="133"/>
      <c r="E2" s="133"/>
    </row>
    <row r="4" spans="1:5">
      <c r="A4" s="131" t="s">
        <v>189</v>
      </c>
      <c r="B4" s="131"/>
      <c r="C4" s="131"/>
      <c r="D4" s="131"/>
      <c r="E4" s="131"/>
    </row>
    <row r="5" spans="1:5">
      <c r="A5" s="10" t="s">
        <v>190</v>
      </c>
      <c r="B5" s="72">
        <f>'02 Customer Credit &amp; Aging'!P18</f>
        <v>110000</v>
      </c>
    </row>
    <row r="6" spans="1:5">
      <c r="A6" s="10" t="s">
        <v>191</v>
      </c>
      <c r="B6" s="73">
        <f>'02 Customer Credit &amp; Aging'!K18</f>
        <v>72065</v>
      </c>
    </row>
    <row r="7" spans="1:5">
      <c r="A7" s="74" t="s">
        <v>192</v>
      </c>
      <c r="B7" s="75">
        <f>'02 Customer Credit &amp; Aging'!Q18</f>
        <v>37935</v>
      </c>
    </row>
    <row r="8" spans="1:5">
      <c r="A8" s="10" t="s">
        <v>193</v>
      </c>
      <c r="B8" s="76">
        <f>B7/B5</f>
        <v>0.34486363636363637</v>
      </c>
    </row>
    <row r="10" spans="1:5">
      <c r="A10" s="131" t="s">
        <v>194</v>
      </c>
      <c r="B10" s="131"/>
      <c r="C10" s="131"/>
      <c r="D10" s="131"/>
      <c r="E10" s="131"/>
    </row>
    <row r="11" spans="1:5">
      <c r="A11" s="10" t="s">
        <v>69</v>
      </c>
      <c r="B11" s="73">
        <f>'01 Assumptions'!$B$5</f>
        <v>700000</v>
      </c>
    </row>
    <row r="12" spans="1:5">
      <c r="A12" s="10" t="s">
        <v>195</v>
      </c>
      <c r="B12" s="77">
        <f>'01 Assumptions'!$B$5/'01 Assumptions'!$B$6</f>
        <v>1917.8082191780823</v>
      </c>
    </row>
    <row r="13" spans="1:5">
      <c r="A13" s="10" t="s">
        <v>196</v>
      </c>
      <c r="B13" s="78">
        <f>B5/'01 Assumptions'!$B$5*'01 Assumptions'!$B$6</f>
        <v>57.357142857142854</v>
      </c>
    </row>
    <row r="14" spans="1:5">
      <c r="A14" s="10" t="s">
        <v>73</v>
      </c>
      <c r="B14" s="79">
        <f>'01 Assumptions'!$B$7</f>
        <v>47</v>
      </c>
    </row>
    <row r="15" spans="1:5">
      <c r="A15" s="10" t="s">
        <v>197</v>
      </c>
      <c r="B15" s="80">
        <f>B13-B14</f>
        <v>10.357142857142854</v>
      </c>
    </row>
    <row r="16" spans="1:5">
      <c r="A16" s="81" t="s">
        <v>198</v>
      </c>
      <c r="B16" s="82">
        <f>B15*B12</f>
        <v>19863.013698630133</v>
      </c>
      <c r="C16" s="12" t="s">
        <v>199</v>
      </c>
    </row>
    <row r="18" spans="1:5">
      <c r="A18" s="135" t="s">
        <v>200</v>
      </c>
      <c r="B18" s="135"/>
      <c r="C18" s="135"/>
      <c r="D18" s="135"/>
      <c r="E18" s="135"/>
    </row>
    <row r="19" spans="1:5" ht="24">
      <c r="A19" s="110" t="s">
        <v>184</v>
      </c>
      <c r="B19" s="110" t="s">
        <v>201</v>
      </c>
      <c r="C19" s="110" t="s">
        <v>202</v>
      </c>
      <c r="D19" s="110" t="s">
        <v>203</v>
      </c>
      <c r="E19" s="110" t="s">
        <v>204</v>
      </c>
    </row>
    <row r="20" spans="1:5">
      <c r="A20" s="83" t="s">
        <v>205</v>
      </c>
      <c r="B20" s="84">
        <f>COUNTIF('03 Risk Scoring'!$P$5:$P$16,"High")</f>
        <v>1</v>
      </c>
      <c r="C20" s="85">
        <f>SUMIF('03 Risk Scoring'!$P$5:$P$16,"High",'03 Risk Scoring'!$C$5:$C$16)</f>
        <v>5000</v>
      </c>
      <c r="D20" s="86">
        <f>C20/$B$5</f>
        <v>4.5454545454545456E-2</v>
      </c>
      <c r="E20" s="87" t="s">
        <v>206</v>
      </c>
    </row>
    <row r="21" spans="1:5">
      <c r="A21" s="88" t="s">
        <v>207</v>
      </c>
      <c r="B21" s="84">
        <f>COUNTIF('03 Risk Scoring'!$P$5:$P$16,"Medium")</f>
        <v>3</v>
      </c>
      <c r="C21" s="85">
        <f>SUMIF('03 Risk Scoring'!$P$5:$P$16,"Medium",'03 Risk Scoring'!$C$5:$C$16)</f>
        <v>39500</v>
      </c>
      <c r="D21" s="86">
        <f>C21/$B$5</f>
        <v>0.35909090909090907</v>
      </c>
      <c r="E21" s="87" t="s">
        <v>208</v>
      </c>
    </row>
    <row r="22" spans="1:5">
      <c r="A22" s="89" t="s">
        <v>209</v>
      </c>
      <c r="B22" s="84">
        <f>COUNTIF('03 Risk Scoring'!$P$5:$P$16,"Low")</f>
        <v>8</v>
      </c>
      <c r="C22" s="85">
        <f>SUMIF('03 Risk Scoring'!$P$5:$P$16,"Low",'03 Risk Scoring'!$C$5:$C$16)</f>
        <v>65500</v>
      </c>
      <c r="D22" s="86">
        <f>C22/$B$5</f>
        <v>0.59545454545454546</v>
      </c>
      <c r="E22" s="87" t="s">
        <v>210</v>
      </c>
    </row>
    <row r="23" spans="1:5">
      <c r="A23" s="90" t="s">
        <v>211</v>
      </c>
      <c r="B23" s="91">
        <f>SUM(B20:B22)</f>
        <v>12</v>
      </c>
      <c r="C23" s="61">
        <f>SUM(C20:C22)</f>
        <v>110000</v>
      </c>
      <c r="D23" s="62">
        <f>C23/B5</f>
        <v>1</v>
      </c>
    </row>
    <row r="25" spans="1:5">
      <c r="A25" s="74" t="s">
        <v>212</v>
      </c>
      <c r="B25" s="75">
        <f>C20*'01 Assumptions'!$B$26</f>
        <v>2500</v>
      </c>
      <c r="C25" s="134" t="s">
        <v>213</v>
      </c>
      <c r="D25" s="134"/>
      <c r="E25" s="134"/>
    </row>
  </sheetData>
  <mergeCells count="6">
    <mergeCell ref="C25:E25"/>
    <mergeCell ref="A1:E1"/>
    <mergeCell ref="A2:E2"/>
    <mergeCell ref="A4:E4"/>
    <mergeCell ref="A10:E10"/>
    <mergeCell ref="A18:E18"/>
  </mergeCell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8"/>
  <sheetViews>
    <sheetView showGridLines="0" zoomScaleNormal="100" workbookViewId="0">
      <pane xSplit="4" ySplit="4" topLeftCell="E5" activePane="bottomRight" state="frozen"/>
      <selection pane="bottomRight" activeCell="A17" sqref="A17:J18"/>
      <selection pane="bottomLeft" activeCell="A5" sqref="A5"/>
      <selection pane="topRight" activeCell="E1" sqref="E1"/>
    </sheetView>
  </sheetViews>
  <sheetFormatPr defaultColWidth="8.7109375" defaultRowHeight="15"/>
  <cols>
    <col min="1" max="1" width="6" customWidth="1"/>
    <col min="2" max="2" width="30" customWidth="1"/>
    <col min="3" max="3" width="15" customWidth="1"/>
    <col min="4" max="4" width="14" customWidth="1"/>
    <col min="5" max="5" width="13" customWidth="1"/>
    <col min="6" max="6" width="9" customWidth="1"/>
    <col min="7" max="7" width="8" customWidth="1"/>
    <col min="8" max="8" width="52" customWidth="1"/>
    <col min="9" max="9" width="11" customWidth="1"/>
    <col min="10" max="10" width="14" customWidth="1"/>
  </cols>
  <sheetData>
    <row r="1" spans="1:10" ht="20.25">
      <c r="A1" s="129" t="s">
        <v>214</v>
      </c>
      <c r="B1" s="129"/>
      <c r="C1" s="129"/>
      <c r="D1" s="129"/>
      <c r="E1" s="129"/>
      <c r="F1" s="129"/>
      <c r="G1" s="129"/>
      <c r="H1" s="129"/>
      <c r="I1" s="129"/>
      <c r="J1" s="129"/>
    </row>
    <row r="2" spans="1:10">
      <c r="A2" s="133" t="s">
        <v>215</v>
      </c>
      <c r="B2" s="133"/>
      <c r="C2" s="133"/>
      <c r="D2" s="133"/>
      <c r="E2" s="133"/>
      <c r="F2" s="133"/>
      <c r="G2" s="133"/>
      <c r="H2" s="133"/>
      <c r="I2" s="133"/>
      <c r="J2" s="133"/>
    </row>
    <row r="4" spans="1:10" ht="22.5">
      <c r="A4" s="109" t="s">
        <v>185</v>
      </c>
      <c r="B4" s="109" t="s">
        <v>110</v>
      </c>
      <c r="C4" s="109" t="s">
        <v>111</v>
      </c>
      <c r="D4" s="109" t="s">
        <v>216</v>
      </c>
      <c r="E4" s="109" t="s">
        <v>217</v>
      </c>
      <c r="F4" s="109" t="s">
        <v>184</v>
      </c>
      <c r="G4" s="109" t="s">
        <v>218</v>
      </c>
      <c r="H4" s="109" t="s">
        <v>219</v>
      </c>
      <c r="I4" s="109" t="s">
        <v>220</v>
      </c>
      <c r="J4" s="109" t="s">
        <v>221</v>
      </c>
    </row>
    <row r="5" spans="1:10" ht="22.5">
      <c r="A5" s="92">
        <v>1</v>
      </c>
      <c r="B5" s="64" t="str">
        <f>'02 Customer Credit &amp; Aging'!B5</f>
        <v>PT Anugerah Prima (Customer A)</v>
      </c>
      <c r="C5" s="93" t="str">
        <f>'02 Customer Credit &amp; Aging'!C5</f>
        <v>Key account</v>
      </c>
      <c r="D5" s="94">
        <f>'02 Customer Credit &amp; Aging'!Q5</f>
        <v>10000</v>
      </c>
      <c r="E5" s="38" t="str">
        <f>IF('02 Customer Credit &amp; Aging'!O5&gt;0,"90+ days",IF('02 Customer Credit &amp; Aging'!N5&gt;0,"61-90 days",IF('02 Customer Credit &amp; Aging'!M5&gt;0,"31-60 days",IF('02 Customer Credit &amp; Aging'!L5&gt;0,"1-30 days","Current"))))</f>
        <v>31-60 days</v>
      </c>
      <c r="F5" s="95" t="str">
        <f>'03 Risk Scoring'!P5</f>
        <v>Medium</v>
      </c>
      <c r="G5" s="96">
        <f>'03 Risk Scoring'!O5</f>
        <v>36</v>
      </c>
      <c r="H5" s="97" t="s">
        <v>222</v>
      </c>
      <c r="I5" s="47">
        <f>IF(F5="High",'01 Assumptions'!$B$25,IF(F5="Medium",'01 Assumptions'!$B$24,'01 Assumptions'!$B$23))</f>
        <v>0.85</v>
      </c>
      <c r="J5" s="98">
        <f t="shared" ref="J5:J14" si="0">D5*I5</f>
        <v>8500</v>
      </c>
    </row>
    <row r="6" spans="1:10" ht="22.5">
      <c r="A6" s="99">
        <v>2</v>
      </c>
      <c r="B6" s="100" t="str">
        <f>'02 Customer Credit &amp; Aging'!B11</f>
        <v>PT Sumber Makmur</v>
      </c>
      <c r="C6" s="101" t="str">
        <f>'02 Customer Credit &amp; Aging'!C11</f>
        <v>Wholesale</v>
      </c>
      <c r="D6" s="102">
        <f>'02 Customer Credit &amp; Aging'!Q11</f>
        <v>6500</v>
      </c>
      <c r="E6" s="28" t="str">
        <f>IF('02 Customer Credit &amp; Aging'!O11&gt;0,"90+ days",IF('02 Customer Credit &amp; Aging'!N11&gt;0,"61-90 days",IF('02 Customer Credit &amp; Aging'!M11&gt;0,"31-60 days",IF('02 Customer Credit &amp; Aging'!L11&gt;0,"1-30 days","Current"))))</f>
        <v>61-90 days</v>
      </c>
      <c r="F6" s="103" t="str">
        <f>'03 Risk Scoring'!P11</f>
        <v>Medium</v>
      </c>
      <c r="G6" s="104">
        <f>'03 Risk Scoring'!O11</f>
        <v>40.472727272727276</v>
      </c>
      <c r="H6" s="105" t="s">
        <v>223</v>
      </c>
      <c r="I6" s="37">
        <f>IF(F6="High",'01 Assumptions'!$B$25,IF(F6="Medium",'01 Assumptions'!$B$24,'01 Assumptions'!$B$23))</f>
        <v>0.85</v>
      </c>
      <c r="J6" s="106">
        <f t="shared" si="0"/>
        <v>5525</v>
      </c>
    </row>
    <row r="7" spans="1:10" ht="22.5">
      <c r="A7" s="92">
        <v>3</v>
      </c>
      <c r="B7" s="64" t="str">
        <f>'02 Customer Credit &amp; Aging'!B15</f>
        <v>CV Berkah Jaya</v>
      </c>
      <c r="C7" s="93" t="str">
        <f>'02 Customer Credit &amp; Aging'!C15</f>
        <v>SME</v>
      </c>
      <c r="D7" s="94">
        <f>'02 Customer Credit &amp; Aging'!Q15</f>
        <v>3500</v>
      </c>
      <c r="E7" s="38" t="str">
        <f>IF('02 Customer Credit &amp; Aging'!O15&gt;0,"90+ days",IF('02 Customer Credit &amp; Aging'!N15&gt;0,"61-90 days",IF('02 Customer Credit &amp; Aging'!M15&gt;0,"31-60 days",IF('02 Customer Credit &amp; Aging'!L15&gt;0,"1-30 days","Current"))))</f>
        <v>90+ days</v>
      </c>
      <c r="F7" s="95" t="str">
        <f>'03 Risk Scoring'!P15</f>
        <v>High</v>
      </c>
      <c r="G7" s="96">
        <f>'03 Risk Scoring'!O15</f>
        <v>71</v>
      </c>
      <c r="H7" s="97" t="s">
        <v>224</v>
      </c>
      <c r="I7" s="47">
        <f>IF(F7="High",'01 Assumptions'!$B$25,IF(F7="Medium",'01 Assumptions'!$B$24,'01 Assumptions'!$B$23))</f>
        <v>0.4</v>
      </c>
      <c r="J7" s="98">
        <f t="shared" si="0"/>
        <v>1400</v>
      </c>
    </row>
    <row r="8" spans="1:10">
      <c r="A8" s="99">
        <v>4</v>
      </c>
      <c r="B8" s="100" t="str">
        <f>'02 Customer Credit &amp; Aging'!B10</f>
        <v>PT Karya Abadi</v>
      </c>
      <c r="C8" s="101" t="str">
        <f>'02 Customer Credit &amp; Aging'!C10</f>
        <v>Distributor</v>
      </c>
      <c r="D8" s="102">
        <f>'02 Customer Credit &amp; Aging'!Q10</f>
        <v>3500</v>
      </c>
      <c r="E8" s="28" t="str">
        <f>IF('02 Customer Credit &amp; Aging'!O10&gt;0,"90+ days",IF('02 Customer Credit &amp; Aging'!N10&gt;0,"61-90 days",IF('02 Customer Credit &amp; Aging'!M10&gt;0,"31-60 days",IF('02 Customer Credit &amp; Aging'!L10&gt;0,"1-30 days","Current"))))</f>
        <v>31-60 days</v>
      </c>
      <c r="F8" s="103" t="str">
        <f>'03 Risk Scoring'!P10</f>
        <v>Low</v>
      </c>
      <c r="G8" s="104">
        <f>'03 Risk Scoring'!O10</f>
        <v>26</v>
      </c>
      <c r="H8" s="105" t="s">
        <v>225</v>
      </c>
      <c r="I8" s="37">
        <f>IF(F8="High",'01 Assumptions'!$B$25,IF(F8="Medium",'01 Assumptions'!$B$24,'01 Assumptions'!$B$23))</f>
        <v>0.95</v>
      </c>
      <c r="J8" s="106">
        <f t="shared" si="0"/>
        <v>3325</v>
      </c>
    </row>
    <row r="9" spans="1:10" ht="22.5">
      <c r="A9" s="92">
        <v>5</v>
      </c>
      <c r="B9" s="64" t="str">
        <f>'02 Customer Credit &amp; Aging'!B9</f>
        <v>CV Toko Sejahtera</v>
      </c>
      <c r="C9" s="93" t="str">
        <f>'02 Customer Credit &amp; Aging'!C9</f>
        <v>SME</v>
      </c>
      <c r="D9" s="94">
        <f>'02 Customer Credit &amp; Aging'!Q9</f>
        <v>3000</v>
      </c>
      <c r="E9" s="38" t="str">
        <f>IF('02 Customer Credit &amp; Aging'!O9&gt;0,"90+ days",IF('02 Customer Credit &amp; Aging'!N9&gt;0,"61-90 days",IF('02 Customer Credit &amp; Aging'!M9&gt;0,"31-60 days",IF('02 Customer Credit &amp; Aging'!L9&gt;0,"1-30 days","Current"))))</f>
        <v>61-90 days</v>
      </c>
      <c r="F9" s="95" t="str">
        <f>'03 Risk Scoring'!P9</f>
        <v>Medium</v>
      </c>
      <c r="G9" s="96">
        <f>'03 Risk Scoring'!O9</f>
        <v>45.166666666666671</v>
      </c>
      <c r="H9" s="97" t="s">
        <v>226</v>
      </c>
      <c r="I9" s="47">
        <f>IF(F9="High",'01 Assumptions'!$B$25,IF(F9="Medium",'01 Assumptions'!$B$24,'01 Assumptions'!$B$23))</f>
        <v>0.85</v>
      </c>
      <c r="J9" s="98">
        <f t="shared" si="0"/>
        <v>2550</v>
      </c>
    </row>
    <row r="10" spans="1:10">
      <c r="A10" s="99">
        <v>6</v>
      </c>
      <c r="B10" s="100" t="str">
        <f>'02 Customer Credit &amp; Aging'!B7</f>
        <v>PT Ritel Nusantara</v>
      </c>
      <c r="C10" s="101" t="str">
        <f>'02 Customer Credit &amp; Aging'!C7</f>
        <v>Domestic retail</v>
      </c>
      <c r="D10" s="102">
        <f>'02 Customer Credit &amp; Aging'!Q7</f>
        <v>3500</v>
      </c>
      <c r="E10" s="28" t="str">
        <f>IF('02 Customer Credit &amp; Aging'!O7&gt;0,"90+ days",IF('02 Customer Credit &amp; Aging'!N7&gt;0,"61-90 days",IF('02 Customer Credit &amp; Aging'!M7&gt;0,"31-60 days",IF('02 Customer Credit &amp; Aging'!L7&gt;0,"1-30 days","Current"))))</f>
        <v>31-60 days</v>
      </c>
      <c r="F10" s="103" t="str">
        <f>'03 Risk Scoring'!P7</f>
        <v>Low</v>
      </c>
      <c r="G10" s="104">
        <f>'03 Risk Scoring'!O7</f>
        <v>23.777777777777779</v>
      </c>
      <c r="H10" s="105" t="s">
        <v>227</v>
      </c>
      <c r="I10" s="37">
        <f>IF(F10="High",'01 Assumptions'!$B$25,IF(F10="Medium",'01 Assumptions'!$B$24,'01 Assumptions'!$B$23))</f>
        <v>0.95</v>
      </c>
      <c r="J10" s="106">
        <f t="shared" si="0"/>
        <v>3325</v>
      </c>
    </row>
    <row r="11" spans="1:10">
      <c r="A11" s="92">
        <v>7</v>
      </c>
      <c r="B11" s="64" t="str">
        <f>'02 Customer Credit &amp; Aging'!B6</f>
        <v>PT Distribusi Jaya</v>
      </c>
      <c r="C11" s="93" t="str">
        <f>'02 Customer Credit &amp; Aging'!C6</f>
        <v>Distributor</v>
      </c>
      <c r="D11" s="94">
        <f>'02 Customer Credit &amp; Aging'!Q6</f>
        <v>3000</v>
      </c>
      <c r="E11" s="38" t="str">
        <f>IF('02 Customer Credit &amp; Aging'!O6&gt;0,"90+ days",IF('02 Customer Credit &amp; Aging'!N6&gt;0,"61-90 days",IF('02 Customer Credit &amp; Aging'!M6&gt;0,"31-60 days",IF('02 Customer Credit &amp; Aging'!L6&gt;0,"1-30 days","Current"))))</f>
        <v>1-30 days</v>
      </c>
      <c r="F11" s="95" t="str">
        <f>'03 Risk Scoring'!P6</f>
        <v>Low</v>
      </c>
      <c r="G11" s="96">
        <f>'03 Risk Scoring'!O6</f>
        <v>21</v>
      </c>
      <c r="H11" s="97" t="s">
        <v>228</v>
      </c>
      <c r="I11" s="47">
        <f>IF(F11="High",'01 Assumptions'!$B$25,IF(F11="Medium",'01 Assumptions'!$B$24,'01 Assumptions'!$B$23))</f>
        <v>0.95</v>
      </c>
      <c r="J11" s="98">
        <f t="shared" si="0"/>
        <v>2850</v>
      </c>
    </row>
    <row r="12" spans="1:10">
      <c r="A12" s="99">
        <v>8</v>
      </c>
      <c r="B12" s="100" t="str">
        <f>'02 Customer Credit &amp; Aging'!B8</f>
        <v>CV Mitra Dagang</v>
      </c>
      <c r="C12" s="101" t="str">
        <f>'02 Customer Credit &amp; Aging'!C8</f>
        <v>Distributor</v>
      </c>
      <c r="D12" s="102">
        <f>'02 Customer Credit &amp; Aging'!Q8</f>
        <v>2000</v>
      </c>
      <c r="E12" s="28" t="str">
        <f>IF('02 Customer Credit &amp; Aging'!O8&gt;0,"90+ days",IF('02 Customer Credit &amp; Aging'!N8&gt;0,"61-90 days",IF('02 Customer Credit &amp; Aging'!M8&gt;0,"31-60 days",IF('02 Customer Credit &amp; Aging'!L8&gt;0,"1-30 days","Current"))))</f>
        <v>1-30 days</v>
      </c>
      <c r="F12" s="103" t="str">
        <f>'03 Risk Scoring'!P8</f>
        <v>Low</v>
      </c>
      <c r="G12" s="104">
        <f>'03 Risk Scoring'!O8</f>
        <v>15.833333333333332</v>
      </c>
      <c r="H12" s="105" t="s">
        <v>229</v>
      </c>
      <c r="I12" s="37">
        <f>IF(F12="High",'01 Assumptions'!$B$25,IF(F12="Medium",'01 Assumptions'!$B$24,'01 Assumptions'!$B$23))</f>
        <v>0.95</v>
      </c>
      <c r="J12" s="106">
        <f t="shared" si="0"/>
        <v>1900</v>
      </c>
    </row>
    <row r="13" spans="1:10">
      <c r="A13" s="92">
        <v>9</v>
      </c>
      <c r="B13" s="64" t="str">
        <f>'02 Customer Credit &amp; Aging'!B14</f>
        <v>PT Maju Bersama</v>
      </c>
      <c r="C13" s="93" t="str">
        <f>'02 Customer Credit &amp; Aging'!C14</f>
        <v>Domestic retail</v>
      </c>
      <c r="D13" s="94">
        <f>'02 Customer Credit &amp; Aging'!Q14</f>
        <v>1500</v>
      </c>
      <c r="E13" s="38" t="str">
        <f>IF('02 Customer Credit &amp; Aging'!O14&gt;0,"90+ days",IF('02 Customer Credit &amp; Aging'!N14&gt;0,"61-90 days",IF('02 Customer Credit &amp; Aging'!M14&gt;0,"31-60 days",IF('02 Customer Credit &amp; Aging'!L14&gt;0,"1-30 days","Current"))))</f>
        <v>1-30 days</v>
      </c>
      <c r="F13" s="95" t="str">
        <f>'03 Risk Scoring'!P14</f>
        <v>Low</v>
      </c>
      <c r="G13" s="96">
        <f>'03 Risk Scoring'!O14</f>
        <v>21</v>
      </c>
      <c r="H13" s="97" t="s">
        <v>230</v>
      </c>
      <c r="I13" s="47">
        <f>IF(F13="High",'01 Assumptions'!$B$25,IF(F13="Medium",'01 Assumptions'!$B$24,'01 Assumptions'!$B$23))</f>
        <v>0.95</v>
      </c>
      <c r="J13" s="98">
        <f t="shared" si="0"/>
        <v>1425</v>
      </c>
    </row>
    <row r="14" spans="1:10">
      <c r="A14" s="99">
        <v>10</v>
      </c>
      <c r="B14" s="100" t="str">
        <f>'02 Customer Credit &amp; Aging'!B16</f>
        <v>PT Cahaya Sentosa</v>
      </c>
      <c r="C14" s="101" t="str">
        <f>'02 Customer Credit &amp; Aging'!C16</f>
        <v>Distributor</v>
      </c>
      <c r="D14" s="102">
        <f>'02 Customer Credit &amp; Aging'!Q16</f>
        <v>1435</v>
      </c>
      <c r="E14" s="28" t="str">
        <f>IF('02 Customer Credit &amp; Aging'!O16&gt;0,"90+ days",IF('02 Customer Credit &amp; Aging'!N16&gt;0,"61-90 days",IF('02 Customer Credit &amp; Aging'!M16&gt;0,"31-60 days",IF('02 Customer Credit &amp; Aging'!L16&gt;0,"1-30 days","Current"))))</f>
        <v>1-30 days</v>
      </c>
      <c r="F14" s="103" t="str">
        <f>'03 Risk Scoring'!P16</f>
        <v>Low</v>
      </c>
      <c r="G14" s="104">
        <f>'03 Risk Scoring'!O16</f>
        <v>19.587499999999999</v>
      </c>
      <c r="H14" s="105" t="s">
        <v>230</v>
      </c>
      <c r="I14" s="37">
        <f>IF(F14="High",'01 Assumptions'!$B$25,IF(F14="Medium",'01 Assumptions'!$B$24,'01 Assumptions'!$B$23))</f>
        <v>0.95</v>
      </c>
      <c r="J14" s="106">
        <f t="shared" si="0"/>
        <v>1363.25</v>
      </c>
    </row>
    <row r="15" spans="1:10">
      <c r="B15" s="60" t="s">
        <v>231</v>
      </c>
      <c r="D15" s="61">
        <f>SUM(D5:D14)</f>
        <v>37935</v>
      </c>
      <c r="J15" s="107">
        <f>SUM(J5:J14)</f>
        <v>32163.25</v>
      </c>
    </row>
    <row r="17" spans="1:10" ht="15" customHeight="1">
      <c r="A17" s="132" t="s">
        <v>232</v>
      </c>
      <c r="B17" s="132"/>
      <c r="C17" s="132"/>
      <c r="D17" s="132"/>
      <c r="E17" s="132"/>
      <c r="F17" s="132"/>
      <c r="G17" s="132"/>
      <c r="H17" s="132"/>
      <c r="I17" s="132"/>
      <c r="J17" s="132"/>
    </row>
    <row r="18" spans="1:10">
      <c r="A18" s="132"/>
      <c r="B18" s="132"/>
      <c r="C18" s="132"/>
      <c r="D18" s="132"/>
      <c r="E18" s="132"/>
      <c r="F18" s="132"/>
      <c r="G18" s="132"/>
      <c r="H18" s="132"/>
      <c r="I18" s="132"/>
      <c r="J18" s="132"/>
    </row>
  </sheetData>
  <mergeCells count="3">
    <mergeCell ref="A17:J18"/>
    <mergeCell ref="A1:J1"/>
    <mergeCell ref="A2:J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2"/>
  <sheetViews>
    <sheetView showGridLines="0" zoomScaleNormal="100" workbookViewId="0">
      <selection activeCell="A33" sqref="A33:F33"/>
    </sheetView>
  </sheetViews>
  <sheetFormatPr defaultColWidth="8.7109375" defaultRowHeight="15"/>
  <cols>
    <col min="1" max="1" width="44" style="111" customWidth="1"/>
    <col min="2" max="2" width="24" style="111" customWidth="1"/>
    <col min="3" max="3" width="20" style="111" customWidth="1"/>
    <col min="4" max="4" width="28.5703125" style="111" customWidth="1"/>
    <col min="5" max="6" width="18" style="111" customWidth="1"/>
    <col min="7" max="16384" width="8.7109375" style="111"/>
  </cols>
  <sheetData>
    <row r="1" spans="1:6" ht="20.25">
      <c r="A1" s="142" t="s">
        <v>233</v>
      </c>
      <c r="B1" s="142"/>
      <c r="C1" s="142"/>
      <c r="D1" s="142"/>
      <c r="E1" s="142"/>
      <c r="F1" s="142"/>
    </row>
    <row r="2" spans="1:6">
      <c r="A2" s="143" t="s">
        <v>234</v>
      </c>
      <c r="B2" s="143"/>
      <c r="C2" s="143"/>
      <c r="D2" s="143"/>
      <c r="E2" s="143"/>
      <c r="F2" s="143"/>
    </row>
    <row r="4" spans="1:6">
      <c r="A4" s="144" t="s">
        <v>235</v>
      </c>
      <c r="B4" s="144"/>
      <c r="C4" s="144"/>
      <c r="D4" s="144"/>
      <c r="E4" s="144"/>
      <c r="F4" s="144"/>
    </row>
    <row r="5" spans="1:6">
      <c r="A5" s="112" t="s">
        <v>190</v>
      </c>
      <c r="B5" s="113">
        <f>'04 DSO &amp; Cash Impact'!B5</f>
        <v>110000</v>
      </c>
    </row>
    <row r="6" spans="1:6">
      <c r="A6" s="114" t="s">
        <v>216</v>
      </c>
      <c r="B6" s="115">
        <f>'04 DSO &amp; Cash Impact'!B7</f>
        <v>37935</v>
      </c>
    </row>
    <row r="7" spans="1:6">
      <c r="A7" s="112" t="s">
        <v>196</v>
      </c>
      <c r="B7" s="116">
        <f>'04 DSO &amp; Cash Impact'!B13</f>
        <v>57.357142857142854</v>
      </c>
    </row>
    <row r="8" spans="1:6">
      <c r="A8" s="112" t="s">
        <v>73</v>
      </c>
      <c r="B8" s="117">
        <f>'04 DSO &amp; Cash Impact'!B14</f>
        <v>47</v>
      </c>
    </row>
    <row r="9" spans="1:6">
      <c r="A9" s="118" t="s">
        <v>198</v>
      </c>
      <c r="B9" s="119">
        <f>'04 DSO &amp; Cash Impact'!B16</f>
        <v>19863.013698630133</v>
      </c>
    </row>
    <row r="10" spans="1:6">
      <c r="A10" s="112" t="s">
        <v>236</v>
      </c>
      <c r="B10" s="120">
        <f>'04 DSO &amp; Cash Impact'!C20</f>
        <v>5000</v>
      </c>
    </row>
    <row r="12" spans="1:6">
      <c r="A12" s="144" t="s">
        <v>237</v>
      </c>
      <c r="B12" s="144"/>
      <c r="C12" s="144"/>
      <c r="D12" s="144"/>
      <c r="E12" s="144"/>
      <c r="F12" s="144"/>
    </row>
    <row r="13" spans="1:6">
      <c r="A13" s="121" t="s">
        <v>238</v>
      </c>
    </row>
    <row r="14" spans="1:6">
      <c r="A14" s="136" t="s">
        <v>239</v>
      </c>
      <c r="B14" s="136"/>
      <c r="C14" s="137" t="s">
        <v>240</v>
      </c>
      <c r="D14" s="137"/>
      <c r="E14" s="138" t="s">
        <v>241</v>
      </c>
      <c r="F14" s="138"/>
    </row>
    <row r="15" spans="1:6">
      <c r="A15" s="136" t="s">
        <v>242</v>
      </c>
      <c r="B15" s="136"/>
      <c r="C15" s="137" t="s">
        <v>243</v>
      </c>
      <c r="D15" s="137"/>
      <c r="E15" s="138" t="s">
        <v>244</v>
      </c>
      <c r="F15" s="138"/>
    </row>
    <row r="16" spans="1:6">
      <c r="A16" s="136" t="s">
        <v>245</v>
      </c>
      <c r="B16" s="136"/>
      <c r="C16" s="137" t="s">
        <v>246</v>
      </c>
      <c r="D16" s="137"/>
      <c r="E16" s="138" t="s">
        <v>247</v>
      </c>
      <c r="F16" s="138"/>
    </row>
    <row r="18" spans="1:6">
      <c r="A18" s="121" t="s">
        <v>248</v>
      </c>
    </row>
    <row r="19" spans="1:6" ht="15" customHeight="1">
      <c r="A19" s="136" t="s">
        <v>249</v>
      </c>
      <c r="B19" s="136"/>
      <c r="C19" s="137" t="s">
        <v>250</v>
      </c>
      <c r="D19" s="137"/>
      <c r="E19" s="138" t="s">
        <v>251</v>
      </c>
      <c r="F19" s="138"/>
    </row>
    <row r="20" spans="1:6" ht="15" customHeight="1">
      <c r="A20" s="136" t="s">
        <v>252</v>
      </c>
      <c r="B20" s="136"/>
      <c r="C20" s="137" t="s">
        <v>253</v>
      </c>
      <c r="D20" s="137"/>
      <c r="E20" s="138" t="s">
        <v>254</v>
      </c>
      <c r="F20" s="138"/>
    </row>
    <row r="21" spans="1:6" ht="15" customHeight="1">
      <c r="A21" s="136" t="s">
        <v>255</v>
      </c>
      <c r="B21" s="136"/>
      <c r="C21" s="137" t="s">
        <v>256</v>
      </c>
      <c r="D21" s="137"/>
      <c r="E21" s="138" t="s">
        <v>257</v>
      </c>
      <c r="F21" s="138"/>
    </row>
    <row r="23" spans="1:6">
      <c r="A23" s="121" t="s">
        <v>258</v>
      </c>
    </row>
    <row r="24" spans="1:6" ht="15" customHeight="1">
      <c r="A24" s="136" t="s">
        <v>259</v>
      </c>
      <c r="B24" s="136"/>
      <c r="C24" s="137" t="s">
        <v>260</v>
      </c>
      <c r="D24" s="137"/>
      <c r="E24" s="138" t="s">
        <v>261</v>
      </c>
      <c r="F24" s="138"/>
    </row>
    <row r="25" spans="1:6" ht="15" customHeight="1">
      <c r="A25" s="136" t="s">
        <v>262</v>
      </c>
      <c r="B25" s="136"/>
      <c r="C25" s="137" t="s">
        <v>263</v>
      </c>
      <c r="D25" s="137"/>
      <c r="E25" s="138" t="s">
        <v>264</v>
      </c>
      <c r="F25" s="138"/>
    </row>
    <row r="26" spans="1:6" ht="15" customHeight="1">
      <c r="A26" s="136" t="s">
        <v>265</v>
      </c>
      <c r="B26" s="136"/>
      <c r="C26" s="137" t="s">
        <v>266</v>
      </c>
      <c r="D26" s="137"/>
      <c r="E26" s="138" t="s">
        <v>267</v>
      </c>
      <c r="F26" s="138"/>
    </row>
    <row r="28" spans="1:6">
      <c r="A28" s="144" t="s">
        <v>268</v>
      </c>
      <c r="B28" s="144"/>
      <c r="C28" s="144"/>
      <c r="D28" s="144"/>
      <c r="E28" s="144"/>
      <c r="F28" s="144"/>
    </row>
    <row r="29" spans="1:6">
      <c r="A29" s="118" t="s">
        <v>269</v>
      </c>
      <c r="B29" s="119">
        <f>'05 Collections Worklist'!J15</f>
        <v>32163.25</v>
      </c>
      <c r="C29" s="139" t="s">
        <v>270</v>
      </c>
      <c r="D29" s="139"/>
      <c r="E29" s="139"/>
      <c r="F29" s="139"/>
    </row>
    <row r="30" spans="1:6">
      <c r="A30" s="118" t="s">
        <v>271</v>
      </c>
      <c r="B30" s="119">
        <f>'04 DSO &amp; Cash Impact'!B16</f>
        <v>19863.013698630133</v>
      </c>
    </row>
    <row r="31" spans="1:6">
      <c r="A31" s="112" t="s">
        <v>272</v>
      </c>
      <c r="B31" s="120">
        <f>'04 DSO &amp; Cash Impact'!B25</f>
        <v>2500</v>
      </c>
    </row>
    <row r="33" spans="1:6">
      <c r="A33" s="144" t="s">
        <v>273</v>
      </c>
      <c r="B33" s="144"/>
      <c r="C33" s="144"/>
      <c r="D33" s="144"/>
      <c r="E33" s="144"/>
      <c r="F33" s="144"/>
    </row>
    <row r="34" spans="1:6">
      <c r="A34" s="140" t="s">
        <v>274</v>
      </c>
      <c r="B34" s="140"/>
      <c r="C34" s="140"/>
      <c r="D34" s="140"/>
      <c r="E34" s="140"/>
      <c r="F34" s="140"/>
    </row>
    <row r="35" spans="1:6">
      <c r="A35" s="145" t="s">
        <v>275</v>
      </c>
      <c r="B35" s="145"/>
      <c r="C35" s="145"/>
      <c r="D35" s="145"/>
      <c r="E35" s="145"/>
      <c r="F35" s="145"/>
    </row>
    <row r="37" spans="1:6">
      <c r="A37" s="144" t="s">
        <v>276</v>
      </c>
      <c r="B37" s="144"/>
      <c r="C37" s="144"/>
      <c r="D37" s="144"/>
      <c r="E37" s="144"/>
      <c r="F37" s="144"/>
    </row>
    <row r="38" spans="1:6">
      <c r="A38" s="146" t="s">
        <v>277</v>
      </c>
      <c r="B38" s="146"/>
      <c r="C38" s="146"/>
      <c r="D38" s="146"/>
      <c r="E38" s="146"/>
      <c r="F38" s="146"/>
    </row>
    <row r="39" spans="1:6">
      <c r="A39" s="122" t="s">
        <v>278</v>
      </c>
      <c r="B39" s="147" t="s">
        <v>279</v>
      </c>
      <c r="C39" s="147"/>
      <c r="D39" s="147"/>
      <c r="E39" s="146" t="s">
        <v>280</v>
      </c>
      <c r="F39" s="146"/>
    </row>
    <row r="40" spans="1:6">
      <c r="A40" s="122" t="s">
        <v>281</v>
      </c>
      <c r="B40" s="147" t="s">
        <v>282</v>
      </c>
      <c r="C40" s="147"/>
      <c r="D40" s="147"/>
      <c r="E40" s="146" t="s">
        <v>283</v>
      </c>
      <c r="F40" s="146"/>
    </row>
    <row r="41" spans="1:6" ht="15" customHeight="1">
      <c r="A41" s="141" t="s">
        <v>284</v>
      </c>
      <c r="B41" s="141"/>
      <c r="C41" s="141"/>
      <c r="D41" s="141"/>
      <c r="E41" s="141"/>
      <c r="F41" s="141"/>
    </row>
    <row r="42" spans="1:6">
      <c r="A42" s="141"/>
      <c r="B42" s="141"/>
      <c r="C42" s="141"/>
      <c r="D42" s="141"/>
      <c r="E42" s="141"/>
      <c r="F42" s="141"/>
    </row>
  </sheetData>
  <mergeCells count="43">
    <mergeCell ref="A41:F42"/>
    <mergeCell ref="A1:F1"/>
    <mergeCell ref="A2:F2"/>
    <mergeCell ref="A4:F4"/>
    <mergeCell ref="A12:F12"/>
    <mergeCell ref="A28:F28"/>
    <mergeCell ref="A33:F33"/>
    <mergeCell ref="A37:F37"/>
    <mergeCell ref="A35:F35"/>
    <mergeCell ref="A38:F38"/>
    <mergeCell ref="B39:D39"/>
    <mergeCell ref="E39:F39"/>
    <mergeCell ref="B40:D40"/>
    <mergeCell ref="E40:F40"/>
    <mergeCell ref="A26:B26"/>
    <mergeCell ref="C26:D26"/>
    <mergeCell ref="E26:F26"/>
    <mergeCell ref="C29:F29"/>
    <mergeCell ref="A34:F34"/>
    <mergeCell ref="A24:B24"/>
    <mergeCell ref="C24:D24"/>
    <mergeCell ref="E24:F24"/>
    <mergeCell ref="A25:B25"/>
    <mergeCell ref="C25:D25"/>
    <mergeCell ref="E25:F25"/>
    <mergeCell ref="A20:B20"/>
    <mergeCell ref="C20:D20"/>
    <mergeCell ref="E20:F20"/>
    <mergeCell ref="A21:B21"/>
    <mergeCell ref="C21:D21"/>
    <mergeCell ref="E21:F21"/>
    <mergeCell ref="A16:B16"/>
    <mergeCell ref="C16:D16"/>
    <mergeCell ref="E16:F16"/>
    <mergeCell ref="A19:B19"/>
    <mergeCell ref="C19:D19"/>
    <mergeCell ref="E19:F19"/>
    <mergeCell ref="A14:B14"/>
    <mergeCell ref="C14:D14"/>
    <mergeCell ref="E14:F14"/>
    <mergeCell ref="A15:B15"/>
    <mergeCell ref="C15:D15"/>
    <mergeCell ref="E15:F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Marcel P Sunarko</cp:lastModifiedBy>
  <cp:revision>1</cp:revision>
  <dcterms:created xsi:type="dcterms:W3CDTF">2026-07-07T06:40:36Z</dcterms:created>
  <dcterms:modified xsi:type="dcterms:W3CDTF">2026-07-09T10:06:29Z</dcterms:modified>
  <cp:category/>
  <cp:contentStatus/>
</cp:coreProperties>
</file>