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people.ey.com/personal/rebecca_susan_id_ey_com/Documents/02 EY/09 PRESALES/05 AI/03 FUTURE OF FINANCE AI/"/>
    </mc:Choice>
  </mc:AlternateContent>
  <xr:revisionPtr revIDLastSave="0" documentId="8_{F7057C32-1946-4681-8C26-BB3BBC15B166}" xr6:coauthVersionLast="47" xr6:coauthVersionMax="47" xr10:uidLastSave="{00000000-0000-0000-0000-000000000000}"/>
  <bookViews>
    <workbookView xWindow="-120" yWindow="-120" windowWidth="29040" windowHeight="17520" tabRatio="500" firstSheet="8" activeTab="8" xr2:uid="{00000000-000D-0000-FFFF-FFFF00000000}"/>
  </bookViews>
  <sheets>
    <sheet name="00 Read Me First" sheetId="1" state="hidden" r:id="rId1"/>
    <sheet name="STORYLINE LEAKAGE" sheetId="2" r:id="rId2"/>
    <sheet name="00 Mock Up" sheetId="9" r:id="rId3"/>
    <sheet name="01 Assumptions" sheetId="3" r:id="rId4"/>
    <sheet name="02 AP Transactions" sheetId="4" r:id="rId5"/>
    <sheet name="03 Anomaly Detection" sheetId="5" r:id="rId6"/>
    <sheet name="04 Leakage &amp; Fraud Summary" sheetId="6" r:id="rId7"/>
    <sheet name="05 Action Worklist" sheetId="7" r:id="rId8"/>
    <sheet name="06 Recommendation" sheetId="8" r:id="rId9"/>
  </sheets>
  <definedNames>
    <definedName name="_xlnm._FilterDatabase" localSheetId="4" hidden="1">'02 AP Transactions'!$A$4:$O$4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4" i="7" l="1"/>
  <c r="H12" i="7"/>
  <c r="B11" i="7"/>
  <c r="D9" i="7"/>
  <c r="C9" i="7"/>
  <c r="B8" i="7"/>
  <c r="D7" i="7"/>
  <c r="H5" i="7"/>
  <c r="B5" i="6"/>
  <c r="O26" i="5"/>
  <c r="N26" i="5"/>
  <c r="J26" i="5"/>
  <c r="I26" i="5"/>
  <c r="K26" i="5" s="1"/>
  <c r="P26" i="5" s="1"/>
  <c r="H26" i="5"/>
  <c r="G26" i="5"/>
  <c r="F26" i="5"/>
  <c r="M26" i="5" s="1"/>
  <c r="E26" i="5"/>
  <c r="D26" i="5"/>
  <c r="C26" i="5"/>
  <c r="B26" i="5"/>
  <c r="A26" i="5"/>
  <c r="O25" i="5"/>
  <c r="J25" i="5"/>
  <c r="I25" i="5"/>
  <c r="M25" i="5" s="1"/>
  <c r="H25" i="5"/>
  <c r="G25" i="5"/>
  <c r="F25" i="5"/>
  <c r="N25" i="5" s="1"/>
  <c r="E25" i="5"/>
  <c r="D25" i="5"/>
  <c r="C25" i="5"/>
  <c r="B25" i="5"/>
  <c r="A25" i="5"/>
  <c r="O24" i="5"/>
  <c r="J24" i="5"/>
  <c r="I24" i="5"/>
  <c r="N24" i="5" s="1"/>
  <c r="H24" i="5"/>
  <c r="G24" i="5"/>
  <c r="F24" i="5"/>
  <c r="E24" i="5"/>
  <c r="D24" i="5"/>
  <c r="C24" i="5"/>
  <c r="B24" i="5"/>
  <c r="A24" i="5"/>
  <c r="O23" i="5"/>
  <c r="J23" i="5"/>
  <c r="I23" i="5"/>
  <c r="N23" i="5" s="1"/>
  <c r="H23" i="5"/>
  <c r="G23" i="5"/>
  <c r="F23" i="5"/>
  <c r="K23" i="5" s="1"/>
  <c r="P23" i="5" s="1"/>
  <c r="E23" i="5"/>
  <c r="D23" i="5"/>
  <c r="C23" i="5"/>
  <c r="B23" i="5"/>
  <c r="A23" i="5"/>
  <c r="O22" i="5"/>
  <c r="J22" i="5"/>
  <c r="I22" i="5"/>
  <c r="N22" i="5" s="1"/>
  <c r="H22" i="5"/>
  <c r="G22" i="5"/>
  <c r="F22" i="5"/>
  <c r="E22" i="5"/>
  <c r="D22" i="5"/>
  <c r="C22" i="5"/>
  <c r="B22" i="5"/>
  <c r="A22" i="5"/>
  <c r="O21" i="5"/>
  <c r="H14" i="7" s="1"/>
  <c r="J21" i="5"/>
  <c r="K21" i="5" s="1"/>
  <c r="I21" i="5"/>
  <c r="N21" i="5" s="1"/>
  <c r="I14" i="7" s="1"/>
  <c r="H21" i="5"/>
  <c r="G21" i="5"/>
  <c r="F21" i="5"/>
  <c r="E21" i="5"/>
  <c r="D21" i="5"/>
  <c r="C21" i="5"/>
  <c r="B21" i="5"/>
  <c r="C14" i="7" s="1"/>
  <c r="A21" i="5"/>
  <c r="B14" i="7" s="1"/>
  <c r="O20" i="5"/>
  <c r="H13" i="7" s="1"/>
  <c r="N20" i="5"/>
  <c r="I13" i="7" s="1"/>
  <c r="M20" i="5"/>
  <c r="G13" i="7" s="1"/>
  <c r="L20" i="5"/>
  <c r="F13" i="7" s="1"/>
  <c r="K20" i="5"/>
  <c r="E13" i="7" s="1"/>
  <c r="J20" i="5"/>
  <c r="I20" i="5"/>
  <c r="H20" i="5"/>
  <c r="G20" i="5"/>
  <c r="F20" i="5"/>
  <c r="E20" i="5"/>
  <c r="D20" i="5"/>
  <c r="C20" i="5"/>
  <c r="D13" i="7" s="1"/>
  <c r="B20" i="5"/>
  <c r="C13" i="7" s="1"/>
  <c r="A20" i="5"/>
  <c r="B13" i="7" s="1"/>
  <c r="O19" i="5"/>
  <c r="H7" i="7" s="1"/>
  <c r="N19" i="5"/>
  <c r="I7" i="7" s="1"/>
  <c r="M19" i="5"/>
  <c r="G7" i="7" s="1"/>
  <c r="J19" i="5"/>
  <c r="I19" i="5"/>
  <c r="H19" i="5"/>
  <c r="G19" i="5"/>
  <c r="F19" i="5"/>
  <c r="L19" i="5" s="1"/>
  <c r="F7" i="7" s="1"/>
  <c r="E19" i="5"/>
  <c r="D19" i="5"/>
  <c r="C19" i="5"/>
  <c r="B19" i="5"/>
  <c r="C7" i="7" s="1"/>
  <c r="A19" i="5"/>
  <c r="B7" i="7" s="1"/>
  <c r="O18" i="5"/>
  <c r="J18" i="5"/>
  <c r="I18" i="5"/>
  <c r="M18" i="5" s="1"/>
  <c r="H18" i="5"/>
  <c r="G18" i="5"/>
  <c r="N18" i="5" s="1"/>
  <c r="F18" i="5"/>
  <c r="E18" i="5"/>
  <c r="D18" i="5"/>
  <c r="C18" i="5"/>
  <c r="B18" i="5"/>
  <c r="A18" i="5"/>
  <c r="O17" i="5"/>
  <c r="J17" i="5"/>
  <c r="I17" i="5"/>
  <c r="N17" i="5" s="1"/>
  <c r="I5" i="7" s="1"/>
  <c r="H17" i="5"/>
  <c r="G17" i="5"/>
  <c r="F17" i="5"/>
  <c r="E17" i="5"/>
  <c r="D17" i="5"/>
  <c r="C17" i="5"/>
  <c r="D5" i="7" s="1"/>
  <c r="B17" i="5"/>
  <c r="C5" i="7" s="1"/>
  <c r="A17" i="5"/>
  <c r="B5" i="7" s="1"/>
  <c r="O16" i="5"/>
  <c r="J16" i="5"/>
  <c r="I16" i="5"/>
  <c r="H16" i="5"/>
  <c r="G16" i="5"/>
  <c r="F16" i="5"/>
  <c r="N16" i="5" s="1"/>
  <c r="I12" i="7" s="1"/>
  <c r="E16" i="5"/>
  <c r="D16" i="5"/>
  <c r="C16" i="5"/>
  <c r="D12" i="7" s="1"/>
  <c r="B16" i="5"/>
  <c r="C12" i="7" s="1"/>
  <c r="A16" i="5"/>
  <c r="B12" i="7" s="1"/>
  <c r="O15" i="5"/>
  <c r="H11" i="7" s="1"/>
  <c r="J15" i="5"/>
  <c r="I15" i="5"/>
  <c r="N15" i="5" s="1"/>
  <c r="I11" i="7" s="1"/>
  <c r="H15" i="5"/>
  <c r="G15" i="5"/>
  <c r="F15" i="5"/>
  <c r="E15" i="5"/>
  <c r="D15" i="5"/>
  <c r="C15" i="5"/>
  <c r="D11" i="7" s="1"/>
  <c r="B15" i="5"/>
  <c r="C11" i="7" s="1"/>
  <c r="A15" i="5"/>
  <c r="O14" i="5"/>
  <c r="H10" i="7" s="1"/>
  <c r="J14" i="5"/>
  <c r="K14" i="5" s="1"/>
  <c r="I14" i="5"/>
  <c r="N14" i="5" s="1"/>
  <c r="I10" i="7" s="1"/>
  <c r="H14" i="5"/>
  <c r="G14" i="5"/>
  <c r="F14" i="5"/>
  <c r="E14" i="5"/>
  <c r="D14" i="5"/>
  <c r="C14" i="5"/>
  <c r="D10" i="7" s="1"/>
  <c r="B14" i="5"/>
  <c r="C10" i="7" s="1"/>
  <c r="A14" i="5"/>
  <c r="B10" i="7" s="1"/>
  <c r="O13" i="5"/>
  <c r="H8" i="7" s="1"/>
  <c r="N13" i="5"/>
  <c r="I8" i="7" s="1"/>
  <c r="M13" i="5"/>
  <c r="G8" i="7" s="1"/>
  <c r="L13" i="5"/>
  <c r="F8" i="7" s="1"/>
  <c r="K13" i="5"/>
  <c r="E8" i="7" s="1"/>
  <c r="J13" i="5"/>
  <c r="I13" i="5"/>
  <c r="H13" i="5"/>
  <c r="G13" i="5"/>
  <c r="F13" i="5"/>
  <c r="E13" i="5"/>
  <c r="D13" i="5"/>
  <c r="C13" i="5"/>
  <c r="D8" i="7" s="1"/>
  <c r="B13" i="5"/>
  <c r="C8" i="7" s="1"/>
  <c r="A13" i="5"/>
  <c r="O12" i="5"/>
  <c r="H9" i="7" s="1"/>
  <c r="N12" i="5"/>
  <c r="I9" i="7" s="1"/>
  <c r="M12" i="5"/>
  <c r="G9" i="7" s="1"/>
  <c r="L12" i="5"/>
  <c r="F9" i="7" s="1"/>
  <c r="J12" i="5"/>
  <c r="I12" i="5"/>
  <c r="H12" i="5"/>
  <c r="G12" i="5"/>
  <c r="F12" i="5"/>
  <c r="K12" i="5" s="1"/>
  <c r="E12" i="5"/>
  <c r="D12" i="5"/>
  <c r="C12" i="5"/>
  <c r="B12" i="5"/>
  <c r="A12" i="5"/>
  <c r="B9" i="7" s="1"/>
  <c r="O11" i="5"/>
  <c r="H6" i="7" s="1"/>
  <c r="N11" i="5"/>
  <c r="I6" i="7" s="1"/>
  <c r="J11" i="5"/>
  <c r="I11" i="5"/>
  <c r="M11" i="5" s="1"/>
  <c r="G6" i="7" s="1"/>
  <c r="H11" i="5"/>
  <c r="G11" i="5"/>
  <c r="F11" i="5"/>
  <c r="E11" i="5"/>
  <c r="D11" i="5"/>
  <c r="C11" i="5"/>
  <c r="D6" i="7" s="1"/>
  <c r="B11" i="5"/>
  <c r="C6" i="7" s="1"/>
  <c r="A11" i="5"/>
  <c r="B6" i="7" s="1"/>
  <c r="O10" i="5"/>
  <c r="J10" i="5"/>
  <c r="I10" i="5"/>
  <c r="L10" i="5" s="1"/>
  <c r="H10" i="5"/>
  <c r="G10" i="5"/>
  <c r="F10" i="5"/>
  <c r="E10" i="5"/>
  <c r="D10" i="5"/>
  <c r="C10" i="5"/>
  <c r="B10" i="5"/>
  <c r="A10" i="5"/>
  <c r="O9" i="5"/>
  <c r="J9" i="5"/>
  <c r="I9" i="5"/>
  <c r="H9" i="5"/>
  <c r="G9" i="5"/>
  <c r="F9" i="5"/>
  <c r="K9" i="5" s="1"/>
  <c r="P9" i="5" s="1"/>
  <c r="E9" i="5"/>
  <c r="D9" i="5"/>
  <c r="C9" i="5"/>
  <c r="B9" i="5"/>
  <c r="A9" i="5"/>
  <c r="O8" i="5"/>
  <c r="J8" i="5"/>
  <c r="I8" i="5"/>
  <c r="N8" i="5" s="1"/>
  <c r="H8" i="5"/>
  <c r="G8" i="5"/>
  <c r="F8" i="5"/>
  <c r="E8" i="5"/>
  <c r="D8" i="5"/>
  <c r="C8" i="5"/>
  <c r="B8" i="5"/>
  <c r="A8" i="5"/>
  <c r="O7" i="5"/>
  <c r="J7" i="5"/>
  <c r="I7" i="5"/>
  <c r="K7" i="5" s="1"/>
  <c r="P7" i="5" s="1"/>
  <c r="H7" i="5"/>
  <c r="G7" i="5"/>
  <c r="F7" i="5"/>
  <c r="E7" i="5"/>
  <c r="D7" i="5"/>
  <c r="C7" i="5"/>
  <c r="B7" i="5"/>
  <c r="A7" i="5"/>
  <c r="O6" i="5"/>
  <c r="M6" i="5"/>
  <c r="L6" i="5"/>
  <c r="K6" i="5"/>
  <c r="P6" i="5" s="1"/>
  <c r="J6" i="5"/>
  <c r="N6" i="5" s="1"/>
  <c r="I6" i="5"/>
  <c r="H6" i="5"/>
  <c r="G6" i="5"/>
  <c r="F6" i="5"/>
  <c r="E6" i="5"/>
  <c r="D6" i="5"/>
  <c r="C6" i="5"/>
  <c r="B6" i="5"/>
  <c r="A6" i="5"/>
  <c r="O5" i="5"/>
  <c r="N5" i="5"/>
  <c r="M5" i="5"/>
  <c r="L5" i="5"/>
  <c r="J5" i="5"/>
  <c r="I5" i="5"/>
  <c r="H5" i="5"/>
  <c r="G5" i="5"/>
  <c r="F5" i="5"/>
  <c r="K5" i="5" s="1"/>
  <c r="E5" i="5"/>
  <c r="D5" i="5"/>
  <c r="C5" i="5"/>
  <c r="B5" i="5"/>
  <c r="A5" i="5"/>
  <c r="P21" i="5" l="1"/>
  <c r="E14" i="7"/>
  <c r="E10" i="7"/>
  <c r="P14" i="5"/>
  <c r="B14" i="6"/>
  <c r="B13" i="6"/>
  <c r="B7" i="8"/>
  <c r="C12" i="6"/>
  <c r="B6" i="8"/>
  <c r="P5" i="5"/>
  <c r="E9" i="7"/>
  <c r="P12" i="5"/>
  <c r="L7" i="5"/>
  <c r="L14" i="5"/>
  <c r="F10" i="7" s="1"/>
  <c r="L21" i="5"/>
  <c r="F14" i="7" s="1"/>
  <c r="M7" i="5"/>
  <c r="B8" i="6" s="1"/>
  <c r="B5" i="8" s="1"/>
  <c r="K8" i="5"/>
  <c r="P8" i="5" s="1"/>
  <c r="M14" i="5"/>
  <c r="G10" i="7" s="1"/>
  <c r="K15" i="5"/>
  <c r="M21" i="5"/>
  <c r="G14" i="7" s="1"/>
  <c r="K22" i="5"/>
  <c r="P22" i="5" s="1"/>
  <c r="N7" i="5"/>
  <c r="L8" i="5"/>
  <c r="P13" i="5"/>
  <c r="L15" i="5"/>
  <c r="F11" i="7" s="1"/>
  <c r="P20" i="5"/>
  <c r="L22" i="5"/>
  <c r="M8" i="5"/>
  <c r="M22" i="5"/>
  <c r="M15" i="5"/>
  <c r="G11" i="7" s="1"/>
  <c r="K16" i="5"/>
  <c r="L23" i="5"/>
  <c r="M9" i="5"/>
  <c r="K10" i="5"/>
  <c r="P10" i="5" s="1"/>
  <c r="M16" i="5"/>
  <c r="G12" i="7" s="1"/>
  <c r="K17" i="5"/>
  <c r="M23" i="5"/>
  <c r="K24" i="5"/>
  <c r="P24" i="5" s="1"/>
  <c r="L9" i="5"/>
  <c r="L16" i="5"/>
  <c r="F12" i="7" s="1"/>
  <c r="N9" i="5"/>
  <c r="L24" i="5"/>
  <c r="L17" i="5"/>
  <c r="F5" i="7" s="1"/>
  <c r="M10" i="5"/>
  <c r="K11" i="5"/>
  <c r="M17" i="5"/>
  <c r="G5" i="7" s="1"/>
  <c r="K18" i="5"/>
  <c r="P18" i="5" s="1"/>
  <c r="M24" i="5"/>
  <c r="K25" i="5"/>
  <c r="P25" i="5" s="1"/>
  <c r="N10" i="5"/>
  <c r="L11" i="5"/>
  <c r="F6" i="7" s="1"/>
  <c r="L18" i="5"/>
  <c r="L25" i="5"/>
  <c r="K19" i="5"/>
  <c r="C14" i="6" s="1"/>
  <c r="L26" i="5"/>
  <c r="C13" i="6" l="1"/>
  <c r="C16" i="6"/>
  <c r="B15" i="6"/>
  <c r="E7" i="7"/>
  <c r="P19" i="5"/>
  <c r="B16" i="6"/>
  <c r="B21" i="6"/>
  <c r="E5" i="7"/>
  <c r="P17" i="5"/>
  <c r="P15" i="5"/>
  <c r="B6" i="6" s="1"/>
  <c r="B7" i="6" s="1"/>
  <c r="E11" i="7"/>
  <c r="B22" i="6"/>
  <c r="B29" i="8" s="1"/>
  <c r="B20" i="6"/>
  <c r="B23" i="6"/>
  <c r="B27" i="6" s="1"/>
  <c r="C15" i="6"/>
  <c r="G15" i="7"/>
  <c r="P11" i="5"/>
  <c r="E6" i="7"/>
  <c r="E12" i="7"/>
  <c r="P16" i="5"/>
  <c r="B12" i="6"/>
  <c r="B28" i="8" l="1"/>
  <c r="B8" i="8"/>
  <c r="B24" i="6"/>
  <c r="B30" i="8" l="1"/>
  <c r="B9" i="8"/>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<sst xmlns="http://schemas.openxmlformats.org/spreadsheetml/2006/main" count="419" uniqueCount="293">
  <si>
    <t>PAYMENT LEAKAGE &amp; FRAUD AGENT - DEMO DATA ENGINE</t>
  </si>
  <si>
    <t>A working AP-integrity model behind the storyline. Same illustrative company as your other agents, so the whole suite tells one Future Finance AI story.</t>
  </si>
  <si>
    <t>WHAT THIS WORKBOOK IS</t>
  </si>
  <si>
    <t>It answers one CFO question: how much cash are we losing to duplicate payments, overbilling, missed discounts, and fraud, and how do we stop it.</t>
  </si>
  <si>
    <t>The 'STORYLINE LEAKAGE 01' sheet is the demo script. The numbered sheets are the working model behind it.</t>
  </si>
  <si>
    <t>SHEET MAP</t>
  </si>
  <si>
    <t>01 Assumptions              - inputs (BLUE): approval threshold, split band, recovery rates.</t>
  </si>
  <si>
    <t>02 AP Transactions          - a sample of the payment feed the agent scans.</t>
  </si>
  <si>
    <t>03 Anomaly Detection        - the agent's flags per transaction, with amount at risk.</t>
  </si>
  <si>
    <t>04 Leakage &amp; Fraud Summary  - the found-money number, by category and by action.</t>
  </si>
  <si>
    <t>05 Action Worklist          - what to do, in order, with an owner.</t>
  </si>
  <si>
    <t>06 Recommendation           - the three moves, the impact, the decision card, an illustrative journal.</t>
  </si>
  <si>
    <t>THE STORY IN THREE NUMBERS</t>
  </si>
  <si>
    <t>IDR 3.8B suspected fraud blocked before payment (a vendor bank account changed right before the run).</t>
  </si>
  <si>
    <t>IDR 3.05B in duplicate payments already made, ready to claw back.</t>
  </si>
  <si>
    <t>IDR 7.8B total leakage and fraud risk caught this cycle, most of it before the cash left.</t>
  </si>
  <si>
    <t>WHY A CUSTOM D365 AGENT BEATS A GENERIC TOOL  (your positioning)</t>
  </si>
  <si>
    <t>It reads live D365 AP data (invoices, POs, goods receipts, vendor bank details), so no export.</t>
  </si>
  <si>
    <t>It writes back into D365: payment holds, vendor debit notes, callbacks, all logged for audit.</t>
  </si>
  <si>
    <t>Built on Copilot Studio and Power Platform, with human approval as a first-class step.</t>
  </si>
  <si>
    <t>It separates 'block now' from 'recover later', which a generic anomaly report does not do.</t>
  </si>
  <si>
    <t>VERIFY BEFORE YOU PRESENT (do not skip)</t>
  </si>
  <si>
    <t>[ ] All IDR figures are illustrative for the demo.</t>
  </si>
  <si>
    <t>[ ] Recovery rates are illustrative. Real recovery depends on vendor agreement.</t>
  </si>
  <si>
    <t>[ ] A suspected fraud may need bank and legal steps. Do not present recovery as automatic.</t>
  </si>
  <si>
    <t>[ ] Confirm the D365 F&amp;O AP module, vendor collaboration, and Copilot licensing on the client's release.</t>
  </si>
  <si>
    <t>[ ] Do NOT quote Copilot or agent pricing without checking Microsoft's current terms.</t>
  </si>
  <si>
    <t>UNITS &amp; COLOUR KEY</t>
  </si>
  <si>
    <t>Units: IDR million throughout. USD import bills are shown as IDR-equivalent.</t>
  </si>
  <si>
    <t>BLUE = input you can change.   GREEN = pulled from another sheet.   BLACK = calculated.   YELLOW = key assumption.</t>
  </si>
  <si>
    <t>PAYMENT LEAKAGE &amp; FRAUD AGENT</t>
  </si>
  <si>
    <t>Demo storyline for a CFO / Finance audience. Company: PT Future Manufacturing Tbk (illustrative). Same company as the other agents, so they tell one connected story.</t>
  </si>
  <si>
    <t>THE BUSINESS PROBLEM</t>
  </si>
  <si>
    <t>Setup</t>
  </si>
  <si>
    <t>PT Future Manufacturing pays hundreds of vendor invoices each cycle, across USD imports and domestic suppliers. Money leaks out through duplicate payments, overbilling above the purchase order, missed early-payment discounts, and the occasional fraud attempt such as a changed bank account. The AP team checks by hand and cannot catch everything before the payment run.</t>
  </si>
  <si>
    <t>THE AGENT LOOP (7 STEPS)</t>
  </si>
  <si>
    <t>1. TRIGGER</t>
  </si>
  <si>
    <t>Runs on every payment proposal and invoice batch, and continuously on the AP feed. Also runs when a vendor master record or bank account changes.</t>
  </si>
  <si>
    <t>2. PERCEIVE</t>
  </si>
  <si>
    <t>Reads open and paid AP invoices, purchase orders and goods receipts (for 3-way match), payment terms, the vendor master and bank details, and the approval log.</t>
  </si>
  <si>
    <t>3. REASON</t>
  </si>
  <si>
    <t>Detects duplicates, 3-way match breaks, missed discounts, split invoices, and suspicious bank changes. Scores severity, quantifies the amount at risk, and separates 'already paid, recover' from 'about to pay, block'.</t>
  </si>
  <si>
    <t>4. RECOMMEND</t>
  </si>
  <si>
    <t>Produces a ranked action list. Block or hold the risky payments now, recover the ones already paid, and fix the root causes so it does not happen again.</t>
  </si>
  <si>
    <t>5. APPROVE</t>
  </si>
  <si>
    <t>Human in the loop. The AP manager or CFO approves the holds, the recoveries, and the control changes. Dual control. This is the trust and governance step.</t>
  </si>
  <si>
    <t>6. EXECUTE</t>
  </si>
  <si>
    <t>Places payment holds in D365, raises vendor debit notes for recovery, sends verification callbacks, merges duplicate vendor records, and logs every action for audit.</t>
  </si>
  <si>
    <t>7. LEARN</t>
  </si>
  <si>
    <t>Tracks which flags were true, tunes the thresholds to cut false alarms, and gets more accurate over time.</t>
  </si>
  <si>
    <t>WOW MOMENTS (tie each to a sheet)</t>
  </si>
  <si>
    <t>Stopped a fraud</t>
  </si>
  <si>
    <t>It blocked a IDR 3.8B payment where the vendor bank account changed 2 days before the run. That is a classic fraud pattern. Point to sheet 03 and 05.</t>
  </si>
  <si>
    <t>Found money already gone</t>
  </si>
  <si>
    <t>IDR 3.05B in duplicate payments already made, ready to claw back. Point to sheet 04.</t>
  </si>
  <si>
    <t>One clear number</t>
  </si>
  <si>
    <t>IDR 7.8B of leakage and fraud risk caught this cycle, most of it before it left the building. Point to sheet 04.</t>
  </si>
  <si>
    <t>Governance, not a black box</t>
  </si>
  <si>
    <t>Human approval plus a full audit trail. Point to the decision card on sheet 06.</t>
  </si>
  <si>
    <r>
      <rPr>
        <b/>
        <sz val="11"/>
        <color theme="1"/>
        <rFont val="Calibri"/>
        <family val="2"/>
      </rPr>
      <t>Part 1. The alert, feeding two agents</t>
    </r>
    <r>
      <rPr>
        <sz val="11"/>
        <color theme="1"/>
        <rFont val="Calibri"/>
        <family val="2"/>
        <charset val="1"/>
      </rPr>
      <t xml:space="preserve">
- What happens: The agent runs its weekly scan, 1,850 invoices, 10 flagged. Two items need the CFO: a held IDR 3.8B suspected fraud, and IDR 3.0B in duplicate payments to claw back. Total risk IDR 7.8B.
- The connection: what it protects feeds Treasury (cash) and Performance (cost, which lifts EBITDA margin).
- Terms: Payment integrity. Duplicate payment. Claw back (menarik kembali dana).
- Highlights "this agent guards the back door." It rounds out the suite.
</t>
    </r>
    <r>
      <rPr>
        <b/>
        <sz val="11"/>
        <color theme="1"/>
        <rFont val="Calibri"/>
        <family val="2"/>
      </rPr>
      <t>Part 2. CFO challenge, is it really fraud</t>
    </r>
    <r>
      <rPr>
        <sz val="11"/>
        <color theme="1"/>
        <rFont val="Calibri"/>
        <family val="2"/>
        <charset val="1"/>
      </rPr>
      <t xml:space="preserve">
- What happens: The CFO asks how the agent knows it is fraud, not a real bank change, and what the exposure is if wrong.
- Term: Exposure (eksposur / risiko kerugian), the money at risk.
- CFO worries about blocking a real vendor.
</t>
    </r>
    <r>
      <rPr>
        <b/>
        <sz val="11"/>
        <color theme="1"/>
        <rFont val="Calibri"/>
        <family val="2"/>
      </rPr>
      <t>Part 3. AI answer plus the breakdown chart</t>
    </r>
    <r>
      <rPr>
        <sz val="11"/>
        <color theme="1"/>
        <rFont val="Calibri"/>
        <family val="2"/>
        <charset val="1"/>
      </rPr>
      <t xml:space="preserve">
- What happens: The agent says it is high risk, not confirmed fraud, and it holds for a callback, not a permanent block. The pattern is the classic business email compromise signature. Then a chart of the categories.
- Terms: Business email compromise, BEC (penipuan pengalihan rekening), a fraud where a criminal changes the bank details. Callback verification.
- The key line: if legitimate you lose one day, if fraud you lose 3.8 billion. [Medium confidence on fraud, High on the callback being correct]</t>
    </r>
  </si>
  <si>
    <r>
      <rPr>
        <b/>
        <sz val="11"/>
        <color theme="1"/>
        <rFont val="Calibri"/>
        <family val="2"/>
      </rPr>
      <t>Part 4. CFO challenge, prove the duplicates and the false-positive rate</t>
    </r>
    <r>
      <rPr>
        <sz val="11"/>
        <color theme="1"/>
        <rFont val="Calibri"/>
        <family val="2"/>
        <charset val="1"/>
      </rPr>
      <t xml:space="preserve">
- What happens: The CFO asks the agent to prove they are true duplicates, not two real invoices, and asks the false-positive rate.
- Term: False-positive rate, how often the agent flags something that is fine.
- This is the trust question for any detection tool.
</t>
    </r>
    <r>
      <rPr>
        <b/>
        <sz val="11"/>
        <color theme="1"/>
        <rFont val="Calibri"/>
        <family val="2"/>
      </rPr>
      <t>Part 5. AI gives the evidence</t>
    </r>
    <r>
      <rPr>
        <sz val="11"/>
        <color theme="1"/>
        <rFont val="Calibri"/>
        <family val="2"/>
        <charset val="1"/>
      </rPr>
      <t xml:space="preserve">
- What happens: One duplicate is the same invoice number paid twice. The other is the same invoice number under a duplicate vendor record. The agent flags by invoice number and by vendor-plus-amount, so a repeated invoice number is strong evidence, not just a matching amount. [Medium confidence on a precise false-positive rate] This needs verification.
</t>
    </r>
    <r>
      <rPr>
        <b/>
        <sz val="11"/>
        <color theme="1"/>
        <rFont val="Calibri"/>
        <family val="2"/>
      </rPr>
      <t>Part 6. CFO cross-agent challenge, the smartest one</t>
    </r>
    <r>
      <rPr>
        <sz val="11"/>
        <color theme="1"/>
        <rFont val="Calibri"/>
        <family val="2"/>
        <charset val="1"/>
      </rPr>
      <t xml:space="preserve">
- What happens: The CFO says missed early-payment discounts assume we had cash, and warns not to pay early if it breaks the Week 5 cash gap Treasury flagged.
- Why it matters: This shows the CFO thinking across agents. A real risk is two agents fighting over the same cash.
</t>
    </r>
  </si>
  <si>
    <r>
      <rPr>
        <b/>
        <sz val="11"/>
        <color theme="1"/>
        <rFont val="Calibri"/>
        <family val="2"/>
      </rPr>
      <t>Part 7. AI answer, connects to Treasury</t>
    </r>
    <r>
      <rPr>
        <sz val="11"/>
        <color theme="1"/>
        <rFont val="Calibri"/>
        <family val="2"/>
        <charset val="1"/>
      </rPr>
      <t xml:space="preserve">
- What happens: The agent agrees, says it checked the cash position, is not recommending early payment in tight weeks like Week 5, and flagged it to Treasury so the agents do not clash. [Medium confidence]
- This is a strong moment. It proves the agents coordinate, not collide.</t>
    </r>
    <r>
      <rPr>
        <sz val="11"/>
        <color theme="1"/>
        <rFont val="Calibri"/>
        <family val="2"/>
      </rPr>
      <t xml:space="preserve">
</t>
    </r>
    <r>
      <rPr>
        <b/>
        <sz val="11"/>
        <color theme="1"/>
        <rFont val="Calibri"/>
        <family val="2"/>
      </rPr>
      <t>Part 8 and 9. Options and the fixed simulation</t>
    </r>
    <r>
      <rPr>
        <sz val="11"/>
        <color theme="1"/>
        <rFont val="Calibri"/>
        <family val="2"/>
      </rPr>
      <t xml:space="preserve">
- What happens: The CFO wants what he actually keeps, not the gross. The agent shows total protected under three recovery rates: 60% keeps 6,370, 85% keeps 7,233, 100% keeps 7,750, against the 7,845 at risk.
- The point: blocked money never leaves, so it holds in every case. Only the recoverable part depends on the vendor.</t>
    </r>
  </si>
  <si>
    <r>
      <rPr>
        <b/>
        <sz val="11"/>
        <color theme="1"/>
        <rFont val="Calibri"/>
        <family val="2"/>
      </rPr>
      <t>Part 10 and 11. The live trial-and-error simulator</t>
    </r>
    <r>
      <rPr>
        <sz val="11"/>
        <color theme="1"/>
        <rFont val="Calibri"/>
        <family val="2"/>
        <charset val="1"/>
      </rPr>
      <t xml:space="preserve">
- What happens: The CFO says "let me try it." The agent gives sliders. In the app, dragging them re-runs live.
- The levers: how much of the suspect payment to hold, the duplicate recovery rate, and the overbilling recovery rate.
- What updates: blocked, recovered, total protected, and lost.
- The lesson built in: release the hold and the fraud protection drops to zero, gambling 3.8 billion. Lower recovery rates shrink what you keep.
- Terms: Recovery rate, the share of clawed-back money you actually get.</t>
    </r>
    <r>
      <rPr>
        <sz val="11"/>
        <color theme="1"/>
        <rFont val="Calibri"/>
        <family val="2"/>
      </rPr>
      <t xml:space="preserve">
</t>
    </r>
    <r>
      <rPr>
        <b/>
        <sz val="11"/>
        <color theme="1"/>
        <rFont val="Calibri"/>
        <family val="2"/>
      </rPr>
      <t>Part 12 and 13. Deep dive, the fraud decision alone</t>
    </r>
    <r>
      <rPr>
        <sz val="11"/>
        <color theme="1"/>
        <rFont val="Calibri"/>
        <family val="2"/>
      </rPr>
      <t xml:space="preserve">
- What happens: The CFO asks the hold decision on its own. A chart shows 3,800 protected if fraud versus about 40 cost if legitimate.
- The point: 3,800 protected for a 40 downside is a clear call. Hold and verify. 
</t>
    </r>
  </si>
  <si>
    <r>
      <rPr>
        <b/>
        <sz val="11"/>
        <color theme="1"/>
        <rFont val="Calibri"/>
        <family val="2"/>
      </rPr>
      <t>Part 14 and 15. CFO challenge, net recoverable after disputes</t>
    </r>
    <r>
      <rPr>
        <sz val="11"/>
        <color theme="1"/>
        <rFont val="Calibri"/>
        <family val="2"/>
        <charset val="1"/>
      </rPr>
      <t xml:space="preserve">
- What happens: The CFO asks the real recoverable after vendor disputes, not the gross 3 billion.
- What the AI does: It gives net figures at different rates and says the calculation uses the rate the CFO sets, so he sees net, not gross. [Medium confidence] This needs verification
</t>
    </r>
    <r>
      <rPr>
        <b/>
        <sz val="11"/>
        <color theme="1"/>
        <rFont val="Calibri"/>
        <family val="2"/>
      </rPr>
      <t>Part 16 and 17. Calculate-first, exact numbers</t>
    </r>
    <r>
      <rPr>
        <sz val="11"/>
        <color theme="1"/>
        <rFont val="Calibri"/>
        <family val="2"/>
        <charset val="1"/>
      </rPr>
      <t xml:space="preserve">
- What happens: The CFO asks for exact figures with his parameters. Hold 3.8B, 85% duplicate recovery, 90% overbilling.
- Result: blocked 4,300, recovered 2,953, lost 95, total protected 7,253. It also shows what feeds Treasury (7,253 cash) and Performance (3,048 cost).
- Terms: Debit note (nota debit), a document to reclaim money from a vendor.
</t>
    </r>
  </si>
  <si>
    <r>
      <rPr>
        <b/>
        <sz val="11"/>
        <color theme="1"/>
        <rFont val="Calibri"/>
        <family val="2"/>
      </rPr>
      <t>Part 18 and 19. Final approval and cascade</t>
    </r>
    <r>
      <rPr>
        <sz val="11"/>
        <color theme="1"/>
        <rFont val="Calibri"/>
        <family val="2"/>
        <charset val="1"/>
      </rPr>
      <t xml:space="preserve">
- What happens: The CFO approves. D365 keeps the hold, raises debit notes, and blocks the duplicate vendor record. The bank runs the callback. Treasury and Performance get the cash and cost impact. The audit log records it.
- The close: this agent stops money leaving, which strengthens the same cash and profit story the other three build.</t>
    </r>
  </si>
  <si>
    <t>Assumptions &amp; Inputs - change here to run any scenario</t>
  </si>
  <si>
    <t>One place for every input. BLUE cells are inputs you can change. YELLOW = key assumptions the model depends on. Amounts are in IDR million (USD import bills shown as IDR-equivalent).</t>
  </si>
  <si>
    <t>SCAN &amp; CONTROL SETTINGS</t>
  </si>
  <si>
    <t>Invoices scanned this cycle (illustrative)</t>
  </si>
  <si>
    <t>Illustrative count for the flag-rate story. The transaction sheet shows a small sample.</t>
  </si>
  <si>
    <t>Approval threshold (IDR mn)</t>
  </si>
  <si>
    <t>Invoices above this need extra approval. Used to spot split invoices.</t>
  </si>
  <si>
    <t>Split 'just under' band (% of threshold)</t>
  </si>
  <si>
    <t>Flag invoices priced between this % and 100% of the threshold when a same-day sibling exists.</t>
  </si>
  <si>
    <t>Duplicate test</t>
  </si>
  <si>
    <t>by invoice no + vendor/amount</t>
  </si>
  <si>
    <t>A repeat invoice number, or the same vendor and amount, is flagged as a possible duplicate.</t>
  </si>
  <si>
    <t>RECOVERY ASSUMPTIONS (illustrative)</t>
  </si>
  <si>
    <t>Duplicate payment recovery rate (%)</t>
  </si>
  <si>
    <t>Share of duplicate cash we expect to claw back. Illustrative.</t>
  </si>
  <si>
    <t>Overbilling recovery rate (%)</t>
  </si>
  <si>
    <t>Share of overbilled cash we expect to recover. Illustrative.</t>
  </si>
  <si>
    <t>Weeks in year</t>
  </si>
  <si>
    <t>Used to annualise the discount leakage (illustrative).</t>
  </si>
  <si>
    <t>Sample period (weeks)</t>
  </si>
  <si>
    <t>The sample below covers about 2 weeks of invoices.</t>
  </si>
  <si>
    <t>AP Transactions (sample of the payment feed)</t>
  </si>
  <si>
    <t>Vendor invoices and payments the agent scans. This is a small, illustrative sample. BLUE = input. Amounts in IDR mn. The agent does the flagging on sheet 03, so this sheet is the raw feed.</t>
  </si>
  <si>
    <t>Txn</t>
  </si>
  <si>
    <t>Vendor</t>
  </si>
  <si>
    <t>Vendor ID</t>
  </si>
  <si>
    <t>Invoice no</t>
  </si>
  <si>
    <t>Inv date</t>
  </si>
  <si>
    <t>Amount</t>
  </si>
  <si>
    <t>PO amt</t>
  </si>
  <si>
    <t>GR amt</t>
  </si>
  <si>
    <t>Terms</t>
  </si>
  <si>
    <t>Disc %</t>
  </si>
  <si>
    <t>Disc days</t>
  </si>
  <si>
    <t>Days to pay</t>
  </si>
  <si>
    <t>Bank changed?</t>
  </si>
  <si>
    <t>Approver</t>
  </si>
  <si>
    <t>Status</t>
  </si>
  <si>
    <t>T01</t>
  </si>
  <si>
    <t>Shenzhen Micro Ltd</t>
  </si>
  <si>
    <t>V-SM</t>
  </si>
  <si>
    <t>INV-8790</t>
  </si>
  <si>
    <t>Net 30</t>
  </si>
  <si>
    <t>No</t>
  </si>
  <si>
    <t>Andi</t>
  </si>
  <si>
    <t>Paid</t>
  </si>
  <si>
    <t>T02</t>
  </si>
  <si>
    <t>Taipei Semicon Co</t>
  </si>
  <si>
    <t>V-TS</t>
  </si>
  <si>
    <t>INV-TS-540</t>
  </si>
  <si>
    <t>T03</t>
  </si>
  <si>
    <t>PT Bahan Baku Lokal</t>
  </si>
  <si>
    <t>V-BBL</t>
  </si>
  <si>
    <t>INV-BBL-210</t>
  </si>
  <si>
    <t>Budi</t>
  </si>
  <si>
    <t>T04</t>
  </si>
  <si>
    <t>PT Logistik Andalan</t>
  </si>
  <si>
    <t>V-LA</t>
  </si>
  <si>
    <t>INV-LA-105</t>
  </si>
  <si>
    <t>T05</t>
  </si>
  <si>
    <t>PT Energi Pratama</t>
  </si>
  <si>
    <t>V-EP</t>
  </si>
  <si>
    <t>INV-EP-133</t>
  </si>
  <si>
    <t>Citra</t>
  </si>
  <si>
    <t>T06</t>
  </si>
  <si>
    <t>INV-8801</t>
  </si>
  <si>
    <t>T07</t>
  </si>
  <si>
    <t>T08</t>
  </si>
  <si>
    <t>INV-TS-551</t>
  </si>
  <si>
    <t>T09</t>
  </si>
  <si>
    <t>Osaka Precision KK</t>
  </si>
  <si>
    <t>V-OP</t>
  </si>
  <si>
    <t>INV-OP-330</t>
  </si>
  <si>
    <t>Dewi</t>
  </si>
  <si>
    <t>Pending</t>
  </si>
  <si>
    <t>T10</t>
  </si>
  <si>
    <t>INV-LA-110</t>
  </si>
  <si>
    <t>2/10 Net 30</t>
  </si>
  <si>
    <t>T11</t>
  </si>
  <si>
    <t>INV-EP-140</t>
  </si>
  <si>
    <t>T12</t>
  </si>
  <si>
    <t>INV-BBL-260</t>
  </si>
  <si>
    <t>1/10 Net 30</t>
  </si>
  <si>
    <t>T13</t>
  </si>
  <si>
    <t>INV-OP-345</t>
  </si>
  <si>
    <t>Yes</t>
  </si>
  <si>
    <t>T14</t>
  </si>
  <si>
    <t>INV-BBL-220</t>
  </si>
  <si>
    <t>T15</t>
  </si>
  <si>
    <t>PT Bahan Baku Lokal (cabang)</t>
  </si>
  <si>
    <t>V-BBL2</t>
  </si>
  <si>
    <t>Eka</t>
  </si>
  <si>
    <t>T16</t>
  </si>
  <si>
    <t>PT Kemasan Prima</t>
  </si>
  <si>
    <t>V-KP</t>
  </si>
  <si>
    <t>INV-KP-501</t>
  </si>
  <si>
    <t>Fajar</t>
  </si>
  <si>
    <t>T17</t>
  </si>
  <si>
    <t>INV-KP-502</t>
  </si>
  <si>
    <t>T18</t>
  </si>
  <si>
    <t>INV-TS-560</t>
  </si>
  <si>
    <t>T19</t>
  </si>
  <si>
    <t>INV-LA-120</t>
  </si>
  <si>
    <t>T20</t>
  </si>
  <si>
    <t>INV-8815</t>
  </si>
  <si>
    <t>T21</t>
  </si>
  <si>
    <t>INV-BBL-275</t>
  </si>
  <si>
    <t>T22</t>
  </si>
  <si>
    <t>INV-EP-155</t>
  </si>
  <si>
    <t>PO amt = purchase order value. GR amt = goods received value. A blank PO/GR means a service invoice (no goods). 'Days to pay' is blank for pending invoices.</t>
  </si>
  <si>
    <t>Anomaly Detection - what the agent flags</t>
  </si>
  <si>
    <t>The agent scores each transaction for leakage and fraud. GREEN = pulled from sheet 02. Logic and thresholds are on sheet 01. Amount at risk is in IDR mn.</t>
  </si>
  <si>
    <t>Dup count</t>
  </si>
  <si>
    <t>Dup copy</t>
  </si>
  <si>
    <t>3-way gap</t>
  </si>
  <si>
    <t>Disc lost</t>
  </si>
  <si>
    <t>Bank</t>
  </si>
  <si>
    <t>Split</t>
  </si>
  <si>
    <t>Anomaly type</t>
  </si>
  <si>
    <t>Severity</t>
  </si>
  <si>
    <t>Amount at risk</t>
  </si>
  <si>
    <t>Recommended action</t>
  </si>
  <si>
    <t>Flag</t>
  </si>
  <si>
    <t>How to read it: Dup copy = 1 means a repeat invoice number (the recoverable copy). 3-way gap = billed minus the lower of PO or goods received. Disc lost = discount thrown away by paying late. Bank = 1 means the vendor bank account changed. Split = 1 means an invoice sits just under the approval limit with a same-day sibling.</t>
  </si>
  <si>
    <t>Leakage &amp; Fraud Summary - the found-money number</t>
  </si>
  <si>
    <t>What the agent found this cycle, and what it means for cash. GREEN = pulled from sheet 03. Units: IDR mn.</t>
  </si>
  <si>
    <t>HEADLINE</t>
  </si>
  <si>
    <t>Invoices scanned this cycle</t>
  </si>
  <si>
    <t>Items flagged</t>
  </si>
  <si>
    <t>Flag rate</t>
  </si>
  <si>
    <t>Total amount at risk found (IDR mn)</t>
  </si>
  <si>
    <t>WHERE THE MONEY IS</t>
  </si>
  <si>
    <t>Category</t>
  </si>
  <si>
    <t>Count</t>
  </si>
  <si>
    <t>Amount at risk (IDR mn)</t>
  </si>
  <si>
    <t>Action</t>
  </si>
  <si>
    <t>Note</t>
  </si>
  <si>
    <t>Bank-change fraud</t>
  </si>
  <si>
    <t>Hold &amp; verify before paying</t>
  </si>
  <si>
    <t>Classic fraud pattern. Highest priority.</t>
  </si>
  <si>
    <t>Duplicate payment</t>
  </si>
  <si>
    <t>Recover / block</t>
  </si>
  <si>
    <t>Cash paid twice, or about to be.</t>
  </si>
  <si>
    <t>Overbilling (3-way)</t>
  </si>
  <si>
    <t>Recover / short-pay</t>
  </si>
  <si>
    <t>Billed above PO or goods received.</t>
  </si>
  <si>
    <t>Lost discount</t>
  </si>
  <si>
    <t>Fix the process</t>
  </si>
  <si>
    <t>Small each time, adds up over a year.</t>
  </si>
  <si>
    <t>Split / threshold</t>
  </si>
  <si>
    <t>Investigate approval</t>
  </si>
  <si>
    <t>Control weakness, not a direct loss.</t>
  </si>
  <si>
    <t>(Split value shown is invoice value under review, not a direct loss, so it is not in the totals below.)</t>
  </si>
  <si>
    <t>WHAT IT MEANS FOR CASH</t>
  </si>
  <si>
    <t>Blocked before payment (preventable)</t>
  </si>
  <si>
    <t>Held or short-paid before cash left the building.</t>
  </si>
  <si>
    <t>Recoverable (already paid)</t>
  </si>
  <si>
    <t>Claw back via vendor debit note or credit.</t>
  </si>
  <si>
    <t>Expected recovered (after recovery rates)</t>
  </si>
  <si>
    <t>Recovery is not 100%. Rates are on sheet 01 (illustrative).</t>
  </si>
  <si>
    <t>Lost this cycle (discounts, not recoverable)</t>
  </si>
  <si>
    <t>Total cash protected (blocked + expected recovered)</t>
  </si>
  <si>
    <t>FORWARD VIEW (illustrative)</t>
  </si>
  <si>
    <t>Annualised discount leakage if unfixed (IDR mn)</t>
  </si>
  <si>
    <t>Assumes the sample rate holds all year. Weak assumption. Use to size the prevention prize, not as a promise.</t>
  </si>
  <si>
    <t>Agent Action Worklist - what to do, in order</t>
  </si>
  <si>
    <t>Flagged items ranked by amount at risk and severity. GREEN = pulled from sheet 03. Work the top of the list first: block the fraud, recover the duplicates, then fix the rest.</t>
  </si>
  <si>
    <t>Rank</t>
  </si>
  <si>
    <t>Owner</t>
  </si>
  <si>
    <t>Treasury + CFO</t>
  </si>
  <si>
    <t>AP + Controller</t>
  </si>
  <si>
    <t>AP process</t>
  </si>
  <si>
    <t>Internal audit</t>
  </si>
  <si>
    <t>TOTAL amount at risk (flagged)</t>
  </si>
  <si>
    <t>Split-invoice items show 0 amount at risk because they are a control flag, not a direct loss. They still need an approval review.</t>
  </si>
  <si>
    <t>Agent Recommendation &amp; CFO Decision Card</t>
  </si>
  <si>
    <t>What the agent recommends, why, and the impact, pulled live from sheet 04. Recovery journals are illustrative and need Controller sign-off.</t>
  </si>
  <si>
    <t>SITUATION (this scan cycle)</t>
  </si>
  <si>
    <t>Suspected fraud held (IDR mn)</t>
  </si>
  <si>
    <t>Duplicate payments found (IDR mn)</t>
  </si>
  <si>
    <t>Blocked before payment (IDR mn)</t>
  </si>
  <si>
    <t>Total cash protected (IDR mn)</t>
  </si>
  <si>
    <t>RECOMMENDATION - three moves</t>
  </si>
  <si>
    <t>1) STOP  (before cash leaves)</t>
  </si>
  <si>
    <t>- Hold the Osaka Precision payment where the bank account changed</t>
  </si>
  <si>
    <t>IDR 3,800 mn, pending. Verify by phone callback to a known number</t>
  </si>
  <si>
    <t>Blocks a likely fraud</t>
  </si>
  <si>
    <t>- Short-pay the overbilled pending invoice to PO / goods received</t>
  </si>
  <si>
    <t>Osaka INV-OP-330, pay 4,000 not 4,500</t>
  </si>
  <si>
    <t>Saves 500 mn now</t>
  </si>
  <si>
    <t>2) RECOVER  (already paid)</t>
  </si>
  <si>
    <t>- Claw back the two duplicate payments</t>
  </si>
  <si>
    <t>Shenzhen INV-8801 paid twice; the BBL invoice paid on a duplicate vendor record</t>
  </si>
  <si>
    <t>Recovers ~3,050 mn</t>
  </si>
  <si>
    <t>- Recover the overbilled paid invoice</t>
  </si>
  <si>
    <t>Taipei INV-TS-551, billed 3,200 vs PO 2,800</t>
  </si>
  <si>
    <t>Recovers 400 mn</t>
  </si>
  <si>
    <t>- Raise vendor debit notes for all recoveries</t>
  </si>
  <si>
    <t>Net against the next payment run</t>
  </si>
  <si>
    <t>Fast, low friction</t>
  </si>
  <si>
    <t>3) PREVENT  (fix the root cause)</t>
  </si>
  <si>
    <t>- Merge the duplicate vendor master record</t>
  </si>
  <si>
    <t>PT Bahan Baku Lokal set up twice enabled a duplicate</t>
  </si>
  <si>
    <t>Removes the loophole</t>
  </si>
  <si>
    <t>- Turn on duplicate-invoice and 3-way match blocks</t>
  </si>
  <si>
    <t>Stop the payment before it posts</t>
  </si>
  <si>
    <t>Prevents repeats</t>
  </si>
  <si>
    <t>- Require callback verification for any bank-account change</t>
  </si>
  <si>
    <t>No change is trusted without a callback</t>
  </si>
  <si>
    <t>Stops BEC fraud</t>
  </si>
  <si>
    <t>- Fix the discount-capture process</t>
  </si>
  <si>
    <t>Pay within the discount window</t>
  </si>
  <si>
    <t>Saves ~see sheet 04 annualised</t>
  </si>
  <si>
    <t>EXPECTED IMPACT (calculated)</t>
  </si>
  <si>
    <t>Cash blocked before payment (IDR mn)</t>
  </si>
  <si>
    <t>Expected recovered from paid items (IDR mn)</t>
  </si>
  <si>
    <t>CFO DECISION CARD</t>
  </si>
  <si>
    <t>Requested by: Payment Leakage &amp; Fraud Agent   |   Approval: CFO + AP / Controller (dual control)</t>
  </si>
  <si>
    <t>[ Approve holds ]   [ Approve recoveries ]   [ Approve control changes ]   [ Modify ]   [ Ask why ]   [ Reject ]</t>
  </si>
  <si>
    <t>ILLUSTRATIVE RECOVERY JOURNAL - NEEDS CONTROLLER SIGN-OFF</t>
  </si>
  <si>
    <t>To reverse a duplicate payment already made (simplified, illustrative only):</t>
  </si>
  <si>
    <t>Dr</t>
  </si>
  <si>
    <t>Bank / vendor receivable (recovery due)</t>
  </si>
  <si>
    <t>duplicate amount</t>
  </si>
  <si>
    <t>Cr</t>
  </si>
  <si>
    <t>Accounts payable / expense (reverse the double)</t>
  </si>
  <si>
    <t>same amount</t>
  </si>
  <si>
    <t>Recovery depends on vendor agreement. A suspected fraud may need bank and legal involvement. Confirm all entries with the Controller before acting.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</si>
</sst>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dd\-mmm"/>
  </numFmts>
  <fonts count="42">
    <font>
      <sz val="11"/>
      <color theme="1"/>
      <name val="Calibri"/>
      <family val="2"/>
      <charset val="1"/>
    </font>
    <font>
      <b/>
      <sz val="17"/>
      <color rgb="FF1F3864"/>
      <name val="Arial"/>
      <family val="2"/>
    </font>
    <font>
      <i/>
      <sz val="10"/>
      <color rgb="FF595959"/>
      <name val="Arial"/>
      <family val="2"/>
    </font>
    <font>
      <b/>
      <sz val="12"/>
      <color rgb="FFFFFFFF"/>
      <name val="Arial"/>
      <family val="2"/>
    </font>
    <font>
      <sz val="10"/>
      <color rgb="FF000000"/>
      <name val="Arial"/>
      <family val="2"/>
    </font>
    <font>
      <sz val="10"/>
      <color rgb="FFC00000"/>
      <name val="Arial"/>
      <family val="2"/>
    </font>
    <font>
      <b/>
      <sz val="18"/>
      <color rgb="FF1F3864"/>
      <name val="Arial"/>
      <family val="2"/>
    </font>
    <font>
      <b/>
      <sz val="11"/>
      <color rgb="FFFFFFFF"/>
      <name val="Arial"/>
      <family val="2"/>
    </font>
    <font>
      <b/>
      <sz val="10"/>
      <color rgb="FFC00000"/>
      <name val="Arial"/>
      <family val="2"/>
    </font>
    <font>
      <b/>
      <sz val="16"/>
      <color rgb="FF1F3864"/>
      <name val="Arial"/>
      <family val="2"/>
    </font>
    <font>
      <b/>
      <sz val="10"/>
      <color rgb="FF000000"/>
      <name val="Arial"/>
      <family val="2"/>
    </font>
    <font>
      <sz val="10"/>
      <color rgb="FF0000FF"/>
      <name val="Arial"/>
      <family val="2"/>
    </font>
    <font>
      <i/>
      <sz val="9"/>
      <color rgb="FFC00000"/>
      <name val="Arial"/>
      <family val="2"/>
    </font>
    <font>
      <i/>
      <sz val="9"/>
      <color rgb="FF595959"/>
      <name val="Arial"/>
      <family val="2"/>
    </font>
    <font>
      <sz val="9"/>
      <color rgb="FF595959"/>
      <name val="Arial"/>
      <family val="2"/>
    </font>
    <font>
      <b/>
      <sz val="8"/>
      <color rgb="FFFFFFFF"/>
      <name val="Arial"/>
      <family val="2"/>
    </font>
    <font>
      <sz val="8"/>
      <color rgb="FF000000"/>
      <name val="Arial"/>
      <family val="2"/>
    </font>
    <font>
      <sz val="8"/>
      <color rgb="FF595959"/>
      <name val="Arial"/>
      <family val="2"/>
    </font>
    <font>
      <sz val="8"/>
      <color rgb="FF0000FF"/>
      <name val="Arial"/>
      <family val="2"/>
    </font>
    <font>
      <b/>
      <sz val="8"/>
      <color rgb="FFED7D31"/>
      <name val="Arial"/>
      <family val="2"/>
    </font>
    <font>
      <b/>
      <sz val="8"/>
      <color rgb="FFC00000"/>
      <name val="Arial"/>
      <family val="2"/>
    </font>
    <font>
      <i/>
      <sz val="8"/>
      <color rgb="FF595959"/>
      <name val="Arial"/>
      <family val="2"/>
    </font>
    <font>
      <sz val="8"/>
      <color rgb="FF008000"/>
      <name val="Arial"/>
      <family val="2"/>
    </font>
    <font>
      <b/>
      <sz val="8"/>
      <color rgb="FF000000"/>
      <name val="Arial"/>
      <family val="2"/>
    </font>
    <font>
      <sz val="10"/>
      <color rgb="FF008000"/>
      <name val="Arial"/>
      <family val="2"/>
    </font>
    <font>
      <b/>
      <sz val="9"/>
      <color rgb="FFFFFFFF"/>
      <name val="Arial"/>
      <family val="2"/>
    </font>
    <font>
      <b/>
      <sz val="9"/>
      <color rgb="FFC00000"/>
      <name val="Arial"/>
      <family val="2"/>
    </font>
    <font>
      <sz val="9"/>
      <color rgb="FF000000"/>
      <name val="Arial"/>
      <family val="2"/>
    </font>
    <font>
      <b/>
      <sz val="9"/>
      <color rgb="FF000000"/>
      <name val="Arial"/>
      <family val="2"/>
    </font>
    <font>
      <i/>
      <sz val="9"/>
      <color rgb="FF000000"/>
      <name val="Arial"/>
      <family val="2"/>
    </font>
    <font>
      <b/>
      <sz val="10"/>
      <color rgb="FF548235"/>
      <name val="Arial"/>
      <family val="2"/>
    </font>
    <font>
      <i/>
      <sz val="8"/>
      <color rgb="FFC00000"/>
      <name val="Arial"/>
      <family val="2"/>
    </font>
    <font>
      <b/>
      <sz val="8"/>
      <color rgb="FF008000"/>
      <name val="Arial"/>
      <family val="2"/>
    </font>
    <font>
      <b/>
      <sz val="9"/>
      <color rgb="FF008000"/>
      <name val="Arial"/>
      <family val="2"/>
    </font>
    <font>
      <b/>
      <sz val="10"/>
      <color rgb="FF008000"/>
      <name val="Arial"/>
      <family val="2"/>
    </font>
    <font>
      <sz val="10"/>
      <color rgb="FF548235"/>
      <name val="Arial"/>
      <family val="2"/>
    </font>
    <font>
      <b/>
      <sz val="11"/>
      <color rgb="FF1F3864"/>
      <name val="Arial"/>
      <family val="2"/>
    </font>
    <font>
      <i/>
      <sz val="9"/>
      <color rgb="FF548235"/>
      <name val="Arial"/>
      <family val="2"/>
    </font>
    <font>
      <b/>
      <sz val="10"/>
      <color rgb="FF1F3864"/>
      <name val="Arial"/>
      <family val="2"/>
    </font>
    <font>
      <b/>
      <sz val="11"/>
      <color theme="0"/>
      <name val="Arial"/>
      <family val="2"/>
    </font>
    <font>
      <b/>
      <sz val="11"/>
      <color theme="1"/>
      <name val="Calibri"/>
      <family val="2"/>
    </font>
    <font>
      <sz val="11"/>
      <color theme="1"/>
      <name val="Calibri"/>
      <family val="2"/>
    </font>
  </fonts>
  <fills count="14">
    <fill>
      <patternFill patternType="none"/>
    </fill>
    <fill>
      <patternFill patternType="gray125"/>
    </fill>
    <fill>
      <patternFill patternType="solid">
        <fgColor rgb="FF2E5496"/>
        <bgColor rgb="FF1F3864"/>
      </patternFill>
    </fill>
    <fill>
      <patternFill patternType="solid">
        <fgColor rgb="FFC00000"/>
        <bgColor rgb="FF800000"/>
      </patternFill>
    </fill>
    <fill>
      <patternFill patternType="solid">
        <fgColor rgb="FF548235"/>
        <bgColor rgb="FF339966"/>
      </patternFill>
    </fill>
    <fill>
      <patternFill patternType="solid">
        <fgColor rgb="FFFFFF00"/>
        <bgColor rgb="FFFFFF00"/>
      </patternFill>
    </fill>
    <fill>
      <patternFill patternType="solid">
        <fgColor rgb="FFF2F6FC"/>
        <bgColor rgb="FFF9F9F9"/>
      </patternFill>
    </fill>
    <fill>
      <patternFill patternType="solid">
        <fgColor rgb="FFFDF2F2"/>
        <bgColor rgb="FFFFF7E6"/>
      </patternFill>
    </fill>
    <fill>
      <patternFill patternType="solid">
        <fgColor rgb="FFFFF2CC"/>
        <bgColor rgb="FFFFF7E6"/>
      </patternFill>
    </fill>
    <fill>
      <patternFill patternType="solid">
        <fgColor rgb="FFF8CBAD"/>
        <bgColor rgb="FFFCE4D6"/>
      </patternFill>
    </fill>
    <fill>
      <patternFill patternType="solid">
        <fgColor rgb="FFE2EFDA"/>
        <bgColor rgb="FFDDEBF7"/>
      </patternFill>
    </fill>
    <fill>
      <patternFill patternType="solid">
        <fgColor rgb="FFDDEBF7"/>
        <bgColor rgb="FFE2EFDA"/>
      </patternFill>
    </fill>
    <fill>
      <patternFill patternType="solid">
        <fgColor rgb="FF0070C0"/>
        <bgColor rgb="FF1F3864"/>
      </patternFill>
    </fill>
    <fill>
      <patternFill patternType="solid">
        <fgColor rgb="FF0070C0"/>
        <bgColor rgb="FF333333"/>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1">
    <xf numFmtId="0" fontId="0" fillId="0" borderId="0"/>
  </cellStyleXfs>
  <cellXfs count="116">
    <xf numFmtId="0" fontId="0" fillId="0" borderId="0" xfId="0"/>
    <xf numFmtId="0" fontId="28" fillId="0" borderId="0" xfId="0" applyFont="1" applyAlignment="1">
      <alignment horizontal="left" vertical="center"/>
    </xf>
    <xf numFmtId="0" fontId="3" fillId="2" borderId="0" xfId="0" applyFont="1" applyFill="1" applyAlignment="1">
      <alignment horizontal="left" vertical="center"/>
    </xf>
    <xf numFmtId="0" fontId="4" fillId="0" borderId="0" xfId="0" applyFont="1" applyAlignment="1">
      <alignment horizontal="left" vertical="center" wrapText="1"/>
    </xf>
    <xf numFmtId="0" fontId="3" fillId="3" borderId="0" xfId="0" applyFont="1" applyFill="1" applyAlignment="1">
      <alignment horizontal="left" vertical="center"/>
    </xf>
    <xf numFmtId="0" fontId="5" fillId="0" borderId="0" xfId="0" applyFont="1" applyAlignment="1">
      <alignment horizontal="left" vertical="center" wrapText="1"/>
    </xf>
    <xf numFmtId="0" fontId="7" fillId="0" borderId="0" xfId="0" applyFont="1" applyAlignment="1">
      <alignment horizontal="left" vertical="top" wrapText="1"/>
    </xf>
    <xf numFmtId="0" fontId="4" fillId="0" borderId="0" xfId="0" applyFont="1" applyAlignment="1">
      <alignment horizontal="left" vertical="top" wrapText="1"/>
    </xf>
    <xf numFmtId="0" fontId="7" fillId="2" borderId="0" xfId="0" applyFont="1" applyFill="1" applyAlignment="1">
      <alignment horizontal="left" vertical="top" wrapText="1"/>
    </xf>
    <xf numFmtId="0" fontId="7" fillId="4" borderId="0" xfId="0" applyFont="1" applyFill="1" applyAlignment="1">
      <alignment horizontal="left" vertical="top" wrapText="1"/>
    </xf>
    <xf numFmtId="0" fontId="10" fillId="0" borderId="0" xfId="0" applyFont="1" applyAlignment="1">
      <alignment horizontal="left" vertical="center"/>
    </xf>
    <xf numFmtId="0" fontId="16" fillId="0" borderId="1" xfId="0" applyFont="1" applyBorder="1" applyAlignment="1">
      <alignment horizontal="center" vertical="center"/>
    </xf>
    <xf numFmtId="0" fontId="16" fillId="0" borderId="1" xfId="0" applyFont="1" applyBorder="1" applyAlignment="1">
      <alignment horizontal="left" vertical="center"/>
    </xf>
    <xf numFmtId="0" fontId="17" fillId="0" borderId="1" xfId="0" applyFont="1" applyBorder="1" applyAlignment="1">
      <alignment horizontal="center" vertical="center"/>
    </xf>
    <xf numFmtId="166" fontId="16" fillId="0" borderId="1" xfId="0" applyNumberFormat="1" applyFont="1" applyBorder="1" applyAlignment="1">
      <alignment horizontal="center" vertical="center"/>
    </xf>
    <xf numFmtId="164" fontId="18" fillId="0" borderId="1" xfId="0" applyNumberFormat="1" applyFont="1" applyBorder="1" applyAlignment="1">
      <alignment horizontal="right" vertical="center"/>
    </xf>
    <xf numFmtId="165" fontId="18" fillId="0" borderId="1" xfId="0" applyNumberFormat="1" applyFont="1" applyBorder="1" applyAlignment="1">
      <alignment horizontal="center" vertical="center"/>
    </xf>
    <xf numFmtId="3" fontId="18" fillId="0" borderId="1" xfId="0" applyNumberFormat="1" applyFont="1" applyBorder="1" applyAlignment="1">
      <alignment horizontal="center" vertical="center"/>
    </xf>
    <xf numFmtId="0" fontId="16" fillId="6" borderId="1" xfId="0" applyFont="1" applyFill="1" applyBorder="1" applyAlignment="1">
      <alignment horizontal="center" vertical="center"/>
    </xf>
    <xf numFmtId="0" fontId="16" fillId="6" borderId="1" xfId="0" applyFont="1" applyFill="1" applyBorder="1" applyAlignment="1">
      <alignment horizontal="left" vertical="center"/>
    </xf>
    <xf numFmtId="0" fontId="17" fillId="6" borderId="1" xfId="0" applyFont="1" applyFill="1" applyBorder="1" applyAlignment="1">
      <alignment horizontal="center" vertical="center"/>
    </xf>
    <xf numFmtId="166" fontId="16" fillId="6" borderId="1" xfId="0" applyNumberFormat="1" applyFont="1" applyFill="1" applyBorder="1" applyAlignment="1">
      <alignment horizontal="center" vertical="center"/>
    </xf>
    <xf numFmtId="164" fontId="18" fillId="6" borderId="1" xfId="0" applyNumberFormat="1" applyFont="1" applyFill="1" applyBorder="1" applyAlignment="1">
      <alignment horizontal="right" vertical="center"/>
    </xf>
    <xf numFmtId="165" fontId="18" fillId="6" borderId="1" xfId="0" applyNumberFormat="1" applyFont="1" applyFill="1" applyBorder="1" applyAlignment="1">
      <alignment horizontal="center" vertical="center"/>
    </xf>
    <xf numFmtId="3" fontId="18" fillId="6" borderId="1" xfId="0" applyNumberFormat="1" applyFont="1" applyFill="1" applyBorder="1" applyAlignment="1">
      <alignment horizontal="center" vertical="center"/>
    </xf>
    <xf numFmtId="0" fontId="16" fillId="7" borderId="1" xfId="0" applyFont="1" applyFill="1" applyBorder="1" applyAlignment="1">
      <alignment horizontal="center" vertical="center"/>
    </xf>
    <xf numFmtId="0" fontId="16" fillId="7" borderId="1" xfId="0" applyFont="1" applyFill="1" applyBorder="1" applyAlignment="1">
      <alignment horizontal="left" vertical="center"/>
    </xf>
    <xf numFmtId="0" fontId="17" fillId="7" borderId="1" xfId="0" applyFont="1" applyFill="1" applyBorder="1" applyAlignment="1">
      <alignment horizontal="center" vertical="center"/>
    </xf>
    <xf numFmtId="166" fontId="16" fillId="7" borderId="1" xfId="0" applyNumberFormat="1" applyFont="1" applyFill="1" applyBorder="1" applyAlignment="1">
      <alignment horizontal="center" vertical="center"/>
    </xf>
    <xf numFmtId="164" fontId="18" fillId="7" borderId="1" xfId="0" applyNumberFormat="1" applyFont="1" applyFill="1" applyBorder="1" applyAlignment="1">
      <alignment horizontal="right" vertical="center"/>
    </xf>
    <xf numFmtId="165" fontId="18" fillId="7" borderId="1" xfId="0" applyNumberFormat="1" applyFont="1" applyFill="1" applyBorder="1" applyAlignment="1">
      <alignment horizontal="center" vertical="center"/>
    </xf>
    <xf numFmtId="3" fontId="18" fillId="7" borderId="1" xfId="0" applyNumberFormat="1" applyFont="1" applyFill="1" applyBorder="1" applyAlignment="1">
      <alignment horizontal="center" vertical="center"/>
    </xf>
    <xf numFmtId="0" fontId="19" fillId="7" borderId="1" xfId="0" applyFont="1" applyFill="1" applyBorder="1" applyAlignment="1">
      <alignment horizontal="center" vertical="center"/>
    </xf>
    <xf numFmtId="0" fontId="20" fillId="7" borderId="1" xfId="0" applyFont="1" applyFill="1" applyBorder="1" applyAlignment="1">
      <alignment horizontal="center" vertical="center"/>
    </xf>
    <xf numFmtId="0" fontId="22" fillId="0" borderId="1" xfId="0" applyFont="1" applyBorder="1" applyAlignment="1">
      <alignment horizontal="center" vertical="center"/>
    </xf>
    <xf numFmtId="0" fontId="22" fillId="0" borderId="1" xfId="0" applyFont="1" applyBorder="1" applyAlignment="1">
      <alignment horizontal="left" vertical="center"/>
    </xf>
    <xf numFmtId="164" fontId="22" fillId="0" borderId="1" xfId="0" applyNumberFormat="1" applyFont="1" applyBorder="1" applyAlignment="1">
      <alignment horizontal="right" vertical="center"/>
    </xf>
    <xf numFmtId="3" fontId="16" fillId="0" borderId="1" xfId="0" applyNumberFormat="1" applyFont="1" applyBorder="1" applyAlignment="1">
      <alignment horizontal="center" vertical="center"/>
    </xf>
    <xf numFmtId="164" fontId="16" fillId="0" borderId="1" xfId="0" applyNumberFormat="1" applyFont="1" applyBorder="1" applyAlignment="1">
      <alignment horizontal="right" vertical="center"/>
    </xf>
    <xf numFmtId="0" fontId="23" fillId="0" borderId="1" xfId="0" applyFont="1" applyBorder="1" applyAlignment="1">
      <alignment horizontal="left" vertical="center"/>
    </xf>
    <xf numFmtId="0" fontId="23" fillId="0" borderId="1" xfId="0" applyFont="1" applyBorder="1" applyAlignment="1">
      <alignment horizontal="center" vertical="center"/>
    </xf>
    <xf numFmtId="164" fontId="23" fillId="0" borderId="1" xfId="0" applyNumberFormat="1" applyFont="1" applyBorder="1" applyAlignment="1">
      <alignment horizontal="right" vertical="center"/>
    </xf>
    <xf numFmtId="0" fontId="20" fillId="0" borderId="1" xfId="0" applyFont="1" applyBorder="1" applyAlignment="1">
      <alignment horizontal="center" vertical="center"/>
    </xf>
    <xf numFmtId="3" fontId="24" fillId="0" borderId="0" xfId="0" applyNumberFormat="1" applyFont="1" applyAlignment="1">
      <alignment horizontal="right" vertical="center"/>
    </xf>
    <xf numFmtId="3" fontId="4" fillId="0" borderId="0" xfId="0" applyNumberFormat="1" applyFont="1" applyAlignment="1">
      <alignment horizontal="right" vertical="center"/>
    </xf>
    <xf numFmtId="165" fontId="4" fillId="0" borderId="0" xfId="0" applyNumberFormat="1" applyFont="1" applyAlignment="1">
      <alignment horizontal="right" vertical="center"/>
    </xf>
    <xf numFmtId="0" fontId="10" fillId="8" borderId="0" xfId="0" applyFont="1" applyFill="1" applyAlignment="1">
      <alignment horizontal="left" vertical="center"/>
    </xf>
    <xf numFmtId="164" fontId="10" fillId="8" borderId="0" xfId="0" applyNumberFormat="1" applyFont="1" applyFill="1" applyAlignment="1">
      <alignment horizontal="right" vertical="center"/>
    </xf>
    <xf numFmtId="0" fontId="26" fillId="9" borderId="1" xfId="0" applyFont="1" applyFill="1" applyBorder="1" applyAlignment="1">
      <alignment horizontal="left" vertical="center"/>
    </xf>
    <xf numFmtId="3" fontId="27" fillId="6" borderId="1" xfId="0" applyNumberFormat="1" applyFont="1" applyFill="1" applyBorder="1" applyAlignment="1">
      <alignment horizontal="center" vertical="center"/>
    </xf>
    <xf numFmtId="164" fontId="28" fillId="6" borderId="1" xfId="0" applyNumberFormat="1" applyFont="1" applyFill="1" applyBorder="1" applyAlignment="1">
      <alignment horizontal="right" vertical="center"/>
    </xf>
    <xf numFmtId="0" fontId="21" fillId="6" borderId="1" xfId="0" applyFont="1" applyFill="1" applyBorder="1" applyAlignment="1">
      <alignment horizontal="left" vertical="center" wrapText="1"/>
    </xf>
    <xf numFmtId="3" fontId="27" fillId="0" borderId="1" xfId="0" applyNumberFormat="1" applyFont="1" applyBorder="1" applyAlignment="1">
      <alignment horizontal="center" vertical="center"/>
    </xf>
    <xf numFmtId="164" fontId="28" fillId="0" borderId="1" xfId="0" applyNumberFormat="1" applyFont="1" applyBorder="1" applyAlignment="1">
      <alignment horizontal="right" vertical="center"/>
    </xf>
    <xf numFmtId="0" fontId="21" fillId="0" borderId="1" xfId="0" applyFont="1" applyBorder="1" applyAlignment="1">
      <alignment horizontal="left" vertical="center" wrapText="1"/>
    </xf>
    <xf numFmtId="0" fontId="28" fillId="6" borderId="1" xfId="0" applyFont="1" applyFill="1" applyBorder="1" applyAlignment="1">
      <alignment horizontal="left" vertical="center"/>
    </xf>
    <xf numFmtId="0" fontId="28" fillId="0" borderId="1" xfId="0" applyFont="1" applyBorder="1" applyAlignment="1">
      <alignment horizontal="left" vertical="center"/>
    </xf>
    <xf numFmtId="164" fontId="29" fillId="6" borderId="1" xfId="0" applyNumberFormat="1" applyFont="1" applyFill="1" applyBorder="1" applyAlignment="1">
      <alignment horizontal="right" vertical="center"/>
    </xf>
    <xf numFmtId="0" fontId="10" fillId="10" borderId="0" xfId="0" applyFont="1" applyFill="1" applyAlignment="1">
      <alignment horizontal="left" vertical="center"/>
    </xf>
    <xf numFmtId="164" fontId="30" fillId="10" borderId="0" xfId="0" applyNumberFormat="1" applyFont="1" applyFill="1" applyAlignment="1">
      <alignment horizontal="right" vertical="center"/>
    </xf>
    <xf numFmtId="164" fontId="4" fillId="0" borderId="0" xfId="0" applyNumberFormat="1" applyFont="1" applyAlignment="1">
      <alignment horizontal="right" vertical="center"/>
    </xf>
    <xf numFmtId="164" fontId="5" fillId="0" borderId="0" xfId="0" applyNumberFormat="1" applyFont="1" applyAlignment="1">
      <alignment horizontal="right" vertical="center"/>
    </xf>
    <xf numFmtId="3" fontId="28" fillId="0" borderId="1" xfId="0" applyNumberFormat="1" applyFont="1" applyBorder="1" applyAlignment="1">
      <alignment horizontal="center" vertical="center"/>
    </xf>
    <xf numFmtId="0" fontId="32" fillId="0" borderId="1" xfId="0" applyFont="1" applyBorder="1" applyAlignment="1">
      <alignment horizontal="left" vertical="center"/>
    </xf>
    <xf numFmtId="0" fontId="32" fillId="0" borderId="1" xfId="0" applyFont="1" applyBorder="1" applyAlignment="1">
      <alignment horizontal="center" vertical="center"/>
    </xf>
    <xf numFmtId="164" fontId="33" fillId="0" borderId="1" xfId="0" applyNumberFormat="1" applyFont="1" applyBorder="1" applyAlignment="1">
      <alignment horizontal="right" vertical="center"/>
    </xf>
    <xf numFmtId="0" fontId="17" fillId="0" borderId="1" xfId="0" applyFont="1" applyBorder="1" applyAlignment="1">
      <alignment horizontal="left" vertical="center"/>
    </xf>
    <xf numFmtId="3" fontId="28" fillId="6" borderId="1" xfId="0" applyNumberFormat="1" applyFont="1" applyFill="1" applyBorder="1" applyAlignment="1">
      <alignment horizontal="center" vertical="center"/>
    </xf>
    <xf numFmtId="0" fontId="22" fillId="6" borderId="1" xfId="0" applyFont="1" applyFill="1" applyBorder="1" applyAlignment="1">
      <alignment horizontal="center" vertical="center"/>
    </xf>
    <xf numFmtId="0" fontId="22" fillId="6" borderId="1" xfId="0" applyFont="1" applyFill="1" applyBorder="1" applyAlignment="1">
      <alignment horizontal="left" vertical="center"/>
    </xf>
    <xf numFmtId="0" fontId="32" fillId="6" borderId="1" xfId="0" applyFont="1" applyFill="1" applyBorder="1" applyAlignment="1">
      <alignment horizontal="left" vertical="center"/>
    </xf>
    <xf numFmtId="0" fontId="32" fillId="6" borderId="1" xfId="0" applyFont="1" applyFill="1" applyBorder="1" applyAlignment="1">
      <alignment horizontal="center" vertical="center"/>
    </xf>
    <xf numFmtId="164" fontId="33" fillId="6" borderId="1" xfId="0" applyNumberFormat="1" applyFont="1" applyFill="1" applyBorder="1" applyAlignment="1">
      <alignment horizontal="right" vertical="center"/>
    </xf>
    <xf numFmtId="0" fontId="17" fillId="6" borderId="1" xfId="0" applyFont="1" applyFill="1" applyBorder="1" applyAlignment="1">
      <alignment horizontal="left" vertical="center"/>
    </xf>
    <xf numFmtId="164" fontId="28" fillId="11" borderId="1" xfId="0" applyNumberFormat="1" applyFont="1" applyFill="1" applyBorder="1" applyAlignment="1">
      <alignment horizontal="right" vertical="center"/>
    </xf>
    <xf numFmtId="164" fontId="34" fillId="8" borderId="0" xfId="0" applyNumberFormat="1" applyFont="1" applyFill="1" applyAlignment="1">
      <alignment horizontal="right" vertical="center"/>
    </xf>
    <xf numFmtId="0" fontId="10" fillId="9" borderId="0" xfId="0" applyFont="1" applyFill="1" applyAlignment="1">
      <alignment horizontal="left" vertical="center"/>
    </xf>
    <xf numFmtId="164" fontId="8" fillId="9" borderId="0" xfId="0" applyNumberFormat="1" applyFont="1" applyFill="1" applyAlignment="1">
      <alignment horizontal="right" vertical="center"/>
    </xf>
    <xf numFmtId="164" fontId="35" fillId="0" borderId="0" xfId="0" applyNumberFormat="1" applyFont="1" applyAlignment="1">
      <alignment horizontal="right" vertical="center"/>
    </xf>
    <xf numFmtId="0" fontId="36" fillId="0" borderId="0" xfId="0" applyFont="1" applyAlignment="1">
      <alignment horizontal="left" vertical="center"/>
    </xf>
    <xf numFmtId="0" fontId="0" fillId="0" borderId="0" xfId="0" applyAlignment="1">
      <alignment vertical="top"/>
    </xf>
    <xf numFmtId="0" fontId="10" fillId="0" borderId="0" xfId="0" applyFont="1" applyAlignment="1">
      <alignment horizontal="left" vertical="top"/>
    </xf>
    <xf numFmtId="3" fontId="11" fillId="0" borderId="0" xfId="0" applyNumberFormat="1" applyFont="1" applyAlignment="1">
      <alignment horizontal="center" vertical="top"/>
    </xf>
    <xf numFmtId="0" fontId="12" fillId="0" borderId="0" xfId="0" applyFont="1" applyAlignment="1">
      <alignment horizontal="left" vertical="top" wrapText="1"/>
    </xf>
    <xf numFmtId="164" fontId="11" fillId="5" borderId="0" xfId="0" applyNumberFormat="1" applyFont="1" applyFill="1" applyAlignment="1">
      <alignment horizontal="center" vertical="top"/>
    </xf>
    <xf numFmtId="0" fontId="13" fillId="0" borderId="0" xfId="0" applyFont="1" applyAlignment="1">
      <alignment horizontal="left" vertical="top" wrapText="1"/>
    </xf>
    <xf numFmtId="165" fontId="11" fillId="0" borderId="0" xfId="0" applyNumberFormat="1" applyFont="1" applyAlignment="1">
      <alignment horizontal="center" vertical="top"/>
    </xf>
    <xf numFmtId="0" fontId="14" fillId="0" borderId="0" xfId="0" applyFont="1" applyAlignment="1">
      <alignment horizontal="center" vertical="top"/>
    </xf>
    <xf numFmtId="0" fontId="0" fillId="0" borderId="0" xfId="0" applyAlignment="1">
      <alignment vertical="top" wrapText="1"/>
    </xf>
    <xf numFmtId="0" fontId="1" fillId="0" borderId="0" xfId="0" applyFont="1" applyAlignment="1">
      <alignment horizontal="center"/>
    </xf>
    <xf numFmtId="0" fontId="2" fillId="0" borderId="0" xfId="0" applyFont="1" applyAlignment="1">
      <alignment horizontal="center" vertical="center" wrapText="1"/>
    </xf>
    <xf numFmtId="0" fontId="15" fillId="13" borderId="1" xfId="0" applyFont="1" applyFill="1" applyBorder="1" applyAlignment="1">
      <alignment horizontal="center" vertical="center" wrapText="1"/>
    </xf>
    <xf numFmtId="0" fontId="25" fillId="13" borderId="1" xfId="0" applyFont="1" applyFill="1" applyBorder="1" applyAlignment="1">
      <alignment horizontal="center" vertical="center" wrapText="1"/>
    </xf>
    <xf numFmtId="0" fontId="41" fillId="0" borderId="0" xfId="0" applyFont="1" applyAlignment="1">
      <alignment vertical="top" wrapText="1"/>
    </xf>
    <xf numFmtId="0" fontId="31" fillId="0" borderId="0" xfId="0" applyFont="1" applyAlignment="1">
      <alignment horizontal="left" vertical="center" wrapText="1"/>
    </xf>
    <xf numFmtId="0" fontId="9" fillId="0" borderId="0" xfId="0" applyFont="1" applyAlignment="1">
      <alignment horizontal="center"/>
    </xf>
    <xf numFmtId="0" fontId="2" fillId="0" borderId="0" xfId="0" applyFont="1" applyAlignment="1">
      <alignment horizontal="center"/>
    </xf>
    <xf numFmtId="0" fontId="7" fillId="12" borderId="0" xfId="0" applyFont="1" applyFill="1" applyAlignment="1">
      <alignment horizontal="center" vertical="center"/>
    </xf>
    <xf numFmtId="0" fontId="39" fillId="12" borderId="0" xfId="0" applyFont="1" applyFill="1" applyAlignment="1">
      <alignment horizontal="center" vertical="center"/>
    </xf>
    <xf numFmtId="0" fontId="13" fillId="0" borderId="0" xfId="0" applyFont="1" applyAlignment="1">
      <alignment horizontal="left" vertical="center"/>
    </xf>
    <xf numFmtId="0" fontId="27" fillId="0" borderId="0" xfId="0" applyFont="1" applyAlignment="1">
      <alignment horizontal="left" vertical="center"/>
    </xf>
    <xf numFmtId="0" fontId="27" fillId="0" borderId="0" xfId="0" applyFont="1" applyAlignment="1">
      <alignment horizontal="left" vertical="center" wrapText="1"/>
    </xf>
    <xf numFmtId="0" fontId="13" fillId="0" borderId="0" xfId="0" applyFont="1" applyAlignment="1">
      <alignment horizontal="left" vertical="center" wrapText="1"/>
    </xf>
    <xf numFmtId="0" fontId="37" fillId="0" borderId="0" xfId="0" applyFont="1" applyAlignment="1">
      <alignment horizontal="left" vertical="center" wrapText="1"/>
    </xf>
    <xf numFmtId="0" fontId="28" fillId="0" borderId="0" xfId="0" applyFont="1" applyAlignment="1">
      <alignment horizontal="left" vertical="center"/>
    </xf>
    <xf numFmtId="0" fontId="38" fillId="8" borderId="0" xfId="0" applyFont="1" applyFill="1" applyAlignment="1">
      <alignment horizontal="left" vertical="center"/>
    </xf>
    <xf numFmtId="0" fontId="6" fillId="0" borderId="0" xfId="0" applyFont="1" applyAlignment="1">
      <alignment horizontal="center"/>
    </xf>
    <xf numFmtId="0" fontId="2" fillId="0" borderId="0" xfId="0" applyFont="1" applyAlignment="1">
      <alignment horizontal="center" vertical="center" wrapText="1"/>
    </xf>
    <xf numFmtId="0" fontId="3" fillId="13" borderId="0" xfId="0" applyFont="1" applyFill="1" applyAlignment="1">
      <alignment horizontal="center" vertical="center"/>
    </xf>
    <xf numFmtId="0" fontId="9" fillId="0" borderId="0" xfId="0" applyFont="1" applyAlignment="1">
      <alignment horizontal="center" vertical="top"/>
    </xf>
    <xf numFmtId="0" fontId="2" fillId="0" borderId="0" xfId="0" applyFont="1" applyAlignment="1">
      <alignment horizontal="center" vertical="top" wrapText="1"/>
    </xf>
    <xf numFmtId="0" fontId="39" fillId="12" borderId="0" xfId="0" applyFont="1" applyFill="1" applyAlignment="1">
      <alignment horizontal="center" vertical="top"/>
    </xf>
    <xf numFmtId="0" fontId="21" fillId="0" borderId="0" xfId="0" applyFont="1" applyAlignment="1">
      <alignment horizontal="left" vertical="center" wrapText="1"/>
    </xf>
    <xf numFmtId="0" fontId="7" fillId="12" borderId="2" xfId="0" applyFont="1" applyFill="1" applyBorder="1" applyAlignment="1">
      <alignment horizontal="center" vertical="center"/>
    </xf>
    <xf numFmtId="0" fontId="21" fillId="0" borderId="0" xfId="0" applyFont="1" applyAlignment="1">
      <alignment horizontal="left" vertical="center"/>
    </xf>
    <xf numFmtId="0" fontId="31" fillId="0" borderId="0" xfId="0" applyFont="1" applyAlignment="1">
      <alignment horizontal="left" vertical="center"/>
    </xf>
  </cellXfs>
  <cellStyles count="1">
    <cellStyle name="Normal" xfId="0" builtinId="0"/>
  </cellStyles>
  <dxfs count="4">
    <dxf>
      <font>
        <b/>
        <sz val="8"/>
        <color rgb="FF548235"/>
        <name val="Arial"/>
        <charset val="1"/>
      </font>
      <fill>
        <patternFill>
          <bgColor rgb="FFE2EFDA"/>
        </patternFill>
      </fill>
    </dxf>
    <dxf>
      <font>
        <b/>
        <sz val="8"/>
        <color rgb="FFED7D31"/>
        <name val="Arial"/>
        <charset val="1"/>
      </font>
      <fill>
        <patternFill>
          <bgColor rgb="FFFCE4D6"/>
        </patternFill>
      </fill>
    </dxf>
    <dxf>
      <font>
        <b/>
        <sz val="8"/>
        <color rgb="FFC00000"/>
        <name val="Arial"/>
        <charset val="1"/>
      </font>
      <fill>
        <patternFill>
          <bgColor rgb="FFF8CBAD"/>
        </patternFill>
      </fill>
    </dxf>
    <dxf>
      <fill>
        <patternFill>
          <bgColor rgb="FFFFF7E6"/>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78787"/>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6FC"/>
      <rgbColor rgb="FFE2EFDA"/>
      <rgbColor rgb="FFFFF7E6"/>
      <rgbColor rgb="FFFDF2F2"/>
      <rgbColor rgb="FFFCE4D6"/>
      <rgbColor rgb="FFF9F9F9"/>
      <rgbColor rgb="FFF8CBAD"/>
      <rgbColor rgb="FF4F81BD"/>
      <rgbColor rgb="FF33CCCC"/>
      <rgbColor rgb="FF99CC00"/>
      <rgbColor rgb="FFFFCC00"/>
      <rgbColor rgb="FFFF9900"/>
      <rgbColor rgb="FFED7D31"/>
      <rgbColor rgb="FF59595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D" sz="1800" b="1" strike="noStrike" spc="-1">
                <a:solidFill>
                  <a:srgbClr val="000000"/>
                </a:solidFill>
                <a:latin typeface="Calibri"/>
              </a:rPr>
              <a:t>Amount at Risk by Category (IDR mn)</a:t>
            </a:r>
          </a:p>
        </c:rich>
      </c:tx>
      <c:overlay val="0"/>
      <c:spPr>
        <a:noFill/>
        <a:ln w="0">
          <a:noFill/>
        </a:ln>
      </c:spPr>
    </c:title>
    <c:autoTitleDeleted val="0"/>
    <c:plotArea>
      <c:layout/>
      <c:barChart>
        <c:barDir val="bar"/>
        <c:grouping val="clustered"/>
        <c:varyColors val="0"/>
        <c:ser>
          <c:idx val="0"/>
          <c:order val="0"/>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'04 Leakage &amp; Fraud Summary'!$A$12:$A$16</c:f>
              <c:strCache>
                <c:ptCount val="5"/>
                <c:pt idx="0">
                  <c:v>Bank-change fraud</c:v>
                </c:pt>
                <c:pt idx="1">
                  <c:v>Duplicate payment</c:v>
                </c:pt>
                <c:pt idx="2">
                  <c:v>Overbilling (3-way)</c:v>
                </c:pt>
                <c:pt idx="3">
                  <c:v>Lost discount</c:v>
                </c:pt>
                <c:pt idx="4">
                  <c:v>Split / threshold</c:v>
                </c:pt>
              </c:strCache>
            </c:strRef>
          </c:cat>
          <c:val>
            <c:numRef>
              <c:f>'04 Leakage &amp; Fraud Summary'!$C$12:$C$16</c:f>
              <c:numCache>
                <c:formatCode>#,##0;\(#,##0\);\-</c:formatCode>
                <c:ptCount val="5"/>
                <c:pt idx="0">
                  <c:v>3800</c:v>
                </c:pt>
                <c:pt idx="1">
                  <c:v>3050</c:v>
                </c:pt>
                <c:pt idx="2">
                  <c:v>900</c:v>
                </c:pt>
                <c:pt idx="3">
                  <c:v>95</c:v>
                </c:pt>
                <c:pt idx="4">
                  <c:v>1950</c:v>
                </c:pt>
              </c:numCache>
            </c:numRef>
          </c:val>
          <c:extLst>
            <c:ext xmlns:c16="http://schemas.microsoft.com/office/drawing/2014/chart" uri="{C3380CC4-5D6E-409C-BE32-E72D297353CC}">
              <c16:uniqueId val="{00000000-CD4B-4619-BE1A-5D42675DD004}"/>
            </c:ext>
          </c:extLst>
        </c:ser>
        <c:dLbls>
          <c:showLegendKey val="0"/>
          <c:showVal val="0"/>
          <c:showCatName val="0"/>
          <c:showSerName val="0"/>
          <c:showPercent val="0"/>
          <c:showBubbleSize val="0"/>
        </c:dLbls>
        <c:gapWidth val="150"/>
        <c:axId val="47334723"/>
        <c:axId val="70771937"/>
      </c:barChart>
      <c:catAx>
        <c:axId val="47334723"/>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771937"/>
        <c:crosses val="autoZero"/>
        <c:auto val="1"/>
        <c:lblAlgn val="ctr"/>
        <c:lblOffset val="100"/>
        <c:noMultiLvlLbl val="0"/>
      </c:catAx>
      <c:valAx>
        <c:axId val="70771937"/>
        <c:scaling>
          <c:orientation val="minMax"/>
        </c:scaling>
        <c:delete val="0"/>
        <c:axPos val="b"/>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733472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27</xdr:row>
      <xdr:rowOff>37440</xdr:rowOff>
    </xdr:from>
    <xdr:to>
      <xdr:col>3</xdr:col>
      <xdr:colOff>402840</xdr:colOff>
      <xdr:row>40</xdr:row>
      <xdr:rowOff>80640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rv>
  <rv s="0">
    <v>1</v>
    <v>5</v>
  </rv>
  <rv s="0">
    <v>2</v>
    <v>5</v>
  </rv>
  <rv s="0">
    <v>3</v>
    <v>5</v>
  </rv>
  <rv s="0">
    <v>4</v>
    <v>5</v>
  </rv>
  <rv s="0">
    <v>5</v>
    <v>5</v>
  </rv>
  <rv s="0">
    <v>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6"/>
  <sheetViews>
    <sheetView showGridLines="0" zoomScaleNormal="100" workbookViewId="0">
      <selection activeCell="D20" sqref="D20"/>
    </sheetView>
  </sheetViews>
  <sheetFormatPr defaultColWidth="8.7109375" defaultRowHeight="15"/>
  <cols>
    <col min="1" max="1" width="4" customWidth="1"/>
    <col min="2" max="2" width="118" customWidth="1"/>
  </cols>
  <sheetData>
    <row r="1" spans="2:2" ht="21.75">
      <c r="B1" s="89" t="s">
        <v>0</v>
      </c>
    </row>
    <row r="2" spans="2:2" ht="30" customHeight="1">
      <c r="B2" s="90" t="s">
        <v>1</v>
      </c>
    </row>
    <row r="4" spans="2:2" ht="15.75">
      <c r="B4" s="2" t="s">
        <v>2</v>
      </c>
    </row>
    <row r="5" spans="2:2" ht="25.5">
      <c r="B5" s="3" t="s">
        <v>3</v>
      </c>
    </row>
    <row r="6" spans="2:2">
      <c r="B6" s="3" t="s">
        <v>4</v>
      </c>
    </row>
    <row r="8" spans="2:2" ht="15.75">
      <c r="B8" s="2" t="s">
        <v>5</v>
      </c>
    </row>
    <row r="9" spans="2:2">
      <c r="B9" s="3" t="s">
        <v>6</v>
      </c>
    </row>
    <row r="10" spans="2:2">
      <c r="B10" s="3" t="s">
        <v>7</v>
      </c>
    </row>
    <row r="11" spans="2:2">
      <c r="B11" s="3" t="s">
        <v>8</v>
      </c>
    </row>
    <row r="12" spans="2:2">
      <c r="B12" s="3" t="s">
        <v>9</v>
      </c>
    </row>
    <row r="13" spans="2:2">
      <c r="B13" s="3" t="s">
        <v>10</v>
      </c>
    </row>
    <row r="14" spans="2:2">
      <c r="B14" s="3" t="s">
        <v>11</v>
      </c>
    </row>
    <row r="16" spans="2:2" ht="15.75">
      <c r="B16" s="2" t="s">
        <v>12</v>
      </c>
    </row>
    <row r="17" spans="2:2">
      <c r="B17" s="3" t="s">
        <v>13</v>
      </c>
    </row>
    <row r="18" spans="2:2">
      <c r="B18" s="3" t="s">
        <v>14</v>
      </c>
    </row>
    <row r="19" spans="2:2">
      <c r="B19" s="3" t="s">
        <v>15</v>
      </c>
    </row>
    <row r="21" spans="2:2" ht="15.75">
      <c r="B21" s="2" t="s">
        <v>16</v>
      </c>
    </row>
    <row r="22" spans="2:2">
      <c r="B22" s="3" t="s">
        <v>17</v>
      </c>
    </row>
    <row r="23" spans="2:2">
      <c r="B23" s="3" t="s">
        <v>18</v>
      </c>
    </row>
    <row r="24" spans="2:2">
      <c r="B24" s="3" t="s">
        <v>19</v>
      </c>
    </row>
    <row r="25" spans="2:2">
      <c r="B25" s="3" t="s">
        <v>20</v>
      </c>
    </row>
    <row r="27" spans="2:2" ht="15.75">
      <c r="B27" s="4" t="s">
        <v>21</v>
      </c>
    </row>
    <row r="28" spans="2:2">
      <c r="B28" s="5" t="s">
        <v>22</v>
      </c>
    </row>
    <row r="29" spans="2:2">
      <c r="B29" s="5" t="s">
        <v>23</v>
      </c>
    </row>
    <row r="30" spans="2:2">
      <c r="B30" s="5" t="s">
        <v>24</v>
      </c>
    </row>
    <row r="31" spans="2:2">
      <c r="B31" s="5" t="s">
        <v>25</v>
      </c>
    </row>
    <row r="32" spans="2:2">
      <c r="B32" s="5" t="s">
        <v>26</v>
      </c>
    </row>
    <row r="34" spans="2:2" ht="15.75">
      <c r="B34" s="2" t="s">
        <v>27</v>
      </c>
    </row>
    <row r="35" spans="2:2">
      <c r="B35" s="3" t="s">
        <v>28</v>
      </c>
    </row>
    <row r="36" spans="2:2">
      <c r="B36" s="3" t="s">
        <v>29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1:C20"/>
  <sheetViews>
    <sheetView showGridLines="0" zoomScaleNormal="100" workbookViewId="0">
      <selection activeCell="L18" sqref="L18"/>
    </sheetView>
  </sheetViews>
  <sheetFormatPr defaultColWidth="8.7109375" defaultRowHeight="15"/>
  <cols>
    <col min="1" max="1" width="4" customWidth="1"/>
    <col min="2" max="2" width="30" customWidth="1"/>
    <col min="3" max="3" width="90" customWidth="1"/>
  </cols>
  <sheetData>
    <row r="1" spans="2:3" ht="23.25">
      <c r="B1" s="106" t="s">
        <v>30</v>
      </c>
      <c r="C1" s="106"/>
    </row>
    <row r="2" spans="2:3" ht="36" customHeight="1">
      <c r="B2" s="107" t="s">
        <v>31</v>
      </c>
      <c r="C2" s="107"/>
    </row>
    <row r="4" spans="2:3" ht="15.75">
      <c r="B4" s="108" t="s">
        <v>32</v>
      </c>
      <c r="C4" s="108"/>
    </row>
    <row r="5" spans="2:3" ht="51">
      <c r="B5" s="6" t="s">
        <v>33</v>
      </c>
      <c r="C5" s="7" t="s">
        <v>34</v>
      </c>
    </row>
    <row r="7" spans="2:3" ht="15.75">
      <c r="B7" s="108" t="s">
        <v>35</v>
      </c>
      <c r="C7" s="108"/>
    </row>
    <row r="8" spans="2:3" ht="25.5">
      <c r="B8" s="8" t="s">
        <v>36</v>
      </c>
      <c r="C8" s="7" t="s">
        <v>37</v>
      </c>
    </row>
    <row r="9" spans="2:3" ht="25.5">
      <c r="B9" s="8" t="s">
        <v>38</v>
      </c>
      <c r="C9" s="7" t="s">
        <v>39</v>
      </c>
    </row>
    <row r="10" spans="2:3" ht="38.25">
      <c r="B10" s="8" t="s">
        <v>40</v>
      </c>
      <c r="C10" s="7" t="s">
        <v>41</v>
      </c>
    </row>
    <row r="11" spans="2:3" ht="25.5">
      <c r="B11" s="8" t="s">
        <v>42</v>
      </c>
      <c r="C11" s="7" t="s">
        <v>43</v>
      </c>
    </row>
    <row r="12" spans="2:3" ht="25.5">
      <c r="B12" s="8" t="s">
        <v>44</v>
      </c>
      <c r="C12" s="7" t="s">
        <v>45</v>
      </c>
    </row>
    <row r="13" spans="2:3" ht="25.5">
      <c r="B13" s="8" t="s">
        <v>46</v>
      </c>
      <c r="C13" s="7" t="s">
        <v>47</v>
      </c>
    </row>
    <row r="14" spans="2:3" ht="25.5">
      <c r="B14" s="8" t="s">
        <v>48</v>
      </c>
      <c r="C14" s="7" t="s">
        <v>49</v>
      </c>
    </row>
    <row r="16" spans="2:3" ht="15.75">
      <c r="B16" s="108" t="s">
        <v>50</v>
      </c>
      <c r="C16" s="108"/>
    </row>
    <row r="17" spans="2:3" ht="25.5">
      <c r="B17" s="9" t="s">
        <v>51</v>
      </c>
      <c r="C17" s="7" t="s">
        <v>52</v>
      </c>
    </row>
    <row r="18" spans="2:3">
      <c r="B18" s="9" t="s">
        <v>53</v>
      </c>
      <c r="C18" s="7" t="s">
        <v>54</v>
      </c>
    </row>
    <row r="19" spans="2:3" ht="25.5">
      <c r="B19" s="9" t="s">
        <v>55</v>
      </c>
      <c r="C19" s="7" t="s">
        <v>56</v>
      </c>
    </row>
    <row r="20" spans="2:3" ht="30">
      <c r="B20" s="9" t="s">
        <v>57</v>
      </c>
      <c r="C20" s="7" t="s">
        <v>58</v>
      </c>
    </row>
  </sheetData>
  <mergeCells count="5">
    <mergeCell ref="B1:C1"/>
    <mergeCell ref="B2:C2"/>
    <mergeCell ref="B7:C7"/>
    <mergeCell ref="B4:C4"/>
    <mergeCell ref="B16:C1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FB211-E4CC-4F52-A2E7-0DBFEC6B10C6}">
  <sheetPr>
    <tabColor rgb="FF7030A0"/>
  </sheetPr>
  <dimension ref="A1:C13"/>
  <sheetViews>
    <sheetView showGridLines="0" workbookViewId="0">
      <selection activeCell="C1" sqref="C1"/>
    </sheetView>
  </sheetViews>
  <sheetFormatPr defaultRowHeight="15"/>
  <cols>
    <col min="1" max="1" width="123" style="80" customWidth="1"/>
    <col min="2" max="2" width="9.140625" style="80"/>
    <col min="3" max="3" width="112.5703125" style="80" customWidth="1"/>
    <col min="4" max="16384" width="9.140625" style="80"/>
  </cols>
  <sheetData>
    <row r="1" spans="1:3" ht="387" customHeight="1">
      <c r="A1" s="80" t="e" vm="1">
        <v>#VALUE!</v>
      </c>
      <c r="C1" s="93" t="s">
        <v>59</v>
      </c>
    </row>
    <row r="3" spans="1:3" ht="409.5" customHeight="1">
      <c r="A3" s="80" t="e" vm="2">
        <v>#VALUE!</v>
      </c>
      <c r="C3" s="93" t="s">
        <v>60</v>
      </c>
    </row>
    <row r="5" spans="1:3" ht="409.5" customHeight="1">
      <c r="A5" s="80" t="e" vm="3">
        <v>#VALUE!</v>
      </c>
      <c r="C5" s="93" t="s">
        <v>61</v>
      </c>
    </row>
    <row r="7" spans="1:3" ht="409.5" customHeight="1">
      <c r="A7" s="80" t="e" vm="4">
        <v>#VALUE!</v>
      </c>
      <c r="C7" s="93" t="s">
        <v>62</v>
      </c>
    </row>
    <row r="9" spans="1:3" ht="409.5" customHeight="1">
      <c r="A9" s="80" t="e" vm="5">
        <v>#VALUE!</v>
      </c>
      <c r="C9" s="93" t="s">
        <v>63</v>
      </c>
    </row>
    <row r="11" spans="1:3" ht="409.5" customHeight="1">
      <c r="A11" s="80" t="e" vm="6">
        <v>#VALUE!</v>
      </c>
      <c r="C11" s="93" t="s">
        <v>64</v>
      </c>
    </row>
    <row r="13" spans="1:3" ht="409.5" customHeight="1">
      <c r="A13" s="80" t="e" vm="7">
        <v>#VALUE!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showGridLines="0" zoomScaleNormal="100" workbookViewId="0">
      <selection activeCell="C14" sqref="C14"/>
    </sheetView>
  </sheetViews>
  <sheetFormatPr defaultColWidth="8.7109375" defaultRowHeight="15"/>
  <cols>
    <col min="1" max="1" width="46" style="80" customWidth="1"/>
    <col min="2" max="2" width="25" style="80" bestFit="1" customWidth="1"/>
    <col min="3" max="3" width="54" style="88" customWidth="1"/>
    <col min="4" max="16384" width="8.7109375" style="80"/>
  </cols>
  <sheetData>
    <row r="1" spans="1:3" ht="20.25">
      <c r="A1" s="109" t="s">
        <v>65</v>
      </c>
      <c r="B1" s="109"/>
      <c r="C1" s="109"/>
    </row>
    <row r="2" spans="1:3" ht="30.75" customHeight="1">
      <c r="A2" s="110" t="s">
        <v>66</v>
      </c>
      <c r="B2" s="110"/>
      <c r="C2" s="110"/>
    </row>
    <row r="4" spans="1:3">
      <c r="A4" s="111" t="s">
        <v>67</v>
      </c>
      <c r="B4" s="111"/>
      <c r="C4" s="111"/>
    </row>
    <row r="5" spans="1:3" ht="24">
      <c r="A5" s="81" t="s">
        <v>68</v>
      </c>
      <c r="B5" s="82">
        <v>1850</v>
      </c>
      <c r="C5" s="83" t="s">
        <v>69</v>
      </c>
    </row>
    <row r="6" spans="1:3" ht="24">
      <c r="A6" s="81" t="s">
        <v>70</v>
      </c>
      <c r="B6" s="84">
        <v>1000</v>
      </c>
      <c r="C6" s="85" t="s">
        <v>71</v>
      </c>
    </row>
    <row r="7" spans="1:3" ht="24">
      <c r="A7" s="81" t="s">
        <v>72</v>
      </c>
      <c r="B7" s="86">
        <v>0.9</v>
      </c>
      <c r="C7" s="85" t="s">
        <v>73</v>
      </c>
    </row>
    <row r="8" spans="1:3" ht="24">
      <c r="A8" s="81" t="s">
        <v>74</v>
      </c>
      <c r="B8" s="87" t="s">
        <v>75</v>
      </c>
      <c r="C8" s="85" t="s">
        <v>76</v>
      </c>
    </row>
    <row r="10" spans="1:3">
      <c r="A10" s="111" t="s">
        <v>77</v>
      </c>
      <c r="B10" s="111"/>
      <c r="C10" s="111"/>
    </row>
    <row r="11" spans="1:3">
      <c r="A11" s="81" t="s">
        <v>78</v>
      </c>
      <c r="B11" s="86">
        <v>0.95</v>
      </c>
      <c r="C11" s="83" t="s">
        <v>79</v>
      </c>
    </row>
    <row r="12" spans="1:3">
      <c r="A12" s="81" t="s">
        <v>80</v>
      </c>
      <c r="B12" s="86">
        <v>0.9</v>
      </c>
      <c r="C12" s="83" t="s">
        <v>81</v>
      </c>
    </row>
    <row r="13" spans="1:3">
      <c r="A13" s="81" t="s">
        <v>82</v>
      </c>
      <c r="B13" s="82">
        <v>52</v>
      </c>
      <c r="C13" s="85" t="s">
        <v>83</v>
      </c>
    </row>
    <row r="14" spans="1:3">
      <c r="A14" s="81" t="s">
        <v>84</v>
      </c>
      <c r="B14" s="82">
        <v>2</v>
      </c>
      <c r="C14" s="85" t="s">
        <v>85</v>
      </c>
    </row>
  </sheetData>
  <mergeCells count="4">
    <mergeCell ref="A1:C1"/>
    <mergeCell ref="A2:C2"/>
    <mergeCell ref="A4:C4"/>
    <mergeCell ref="A10:C1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9"/>
  <sheetViews>
    <sheetView showGridLines="0" zoomScaleNormal="100" workbookViewId="0">
      <pane xSplit="5" ySplit="4" topLeftCell="F5" activePane="bottomRight" state="frozen"/>
      <selection pane="bottomRight" activeCell="T19" sqref="T19"/>
      <selection pane="bottomLeft" activeCell="A5" sqref="A5"/>
      <selection pane="topRight" activeCell="F1" sqref="F1"/>
    </sheetView>
  </sheetViews>
  <sheetFormatPr defaultColWidth="8.7109375" defaultRowHeight="15"/>
  <cols>
    <col min="1" max="1" width="6" customWidth="1"/>
    <col min="2" max="2" width="26" customWidth="1"/>
    <col min="3" max="3" width="10" customWidth="1"/>
    <col min="4" max="4" width="13" customWidth="1"/>
    <col min="5" max="5" width="9" customWidth="1"/>
    <col min="6" max="6" width="10" customWidth="1"/>
    <col min="7" max="8" width="9" customWidth="1"/>
    <col min="9" max="9" width="12" customWidth="1"/>
    <col min="10" max="10" width="8" customWidth="1"/>
    <col min="11" max="11" width="9" customWidth="1"/>
    <col min="12" max="12" width="10" customWidth="1"/>
    <col min="13" max="13" width="13" customWidth="1"/>
    <col min="14" max="14" width="10" customWidth="1"/>
    <col min="15" max="15" width="9" customWidth="1"/>
  </cols>
  <sheetData>
    <row r="1" spans="1:15" ht="20.25">
      <c r="A1" s="95" t="s">
        <v>86</v>
      </c>
      <c r="B1" s="95"/>
      <c r="C1" s="95"/>
      <c r="D1" s="95"/>
      <c r="E1" s="95"/>
      <c r="F1" s="95"/>
      <c r="G1" s="95"/>
      <c r="H1" s="95"/>
      <c r="I1" s="95"/>
      <c r="J1" s="95"/>
      <c r="K1" s="95"/>
      <c r="L1" s="95"/>
      <c r="M1" s="95"/>
      <c r="N1" s="95"/>
      <c r="O1" s="95"/>
    </row>
    <row r="2" spans="1:15">
      <c r="A2" s="96" t="s">
        <v>87</v>
      </c>
      <c r="B2" s="96"/>
      <c r="C2" s="96"/>
      <c r="D2" s="96"/>
      <c r="E2" s="96"/>
      <c r="F2" s="96"/>
      <c r="G2" s="96"/>
      <c r="H2" s="96"/>
      <c r="I2" s="96"/>
      <c r="J2" s="96"/>
      <c r="K2" s="96"/>
      <c r="L2" s="96"/>
      <c r="M2" s="96"/>
      <c r="N2" s="96"/>
      <c r="O2" s="96"/>
    </row>
    <row r="4" spans="1:15">
      <c r="A4" s="91" t="s">
        <v>88</v>
      </c>
      <c r="B4" s="91" t="s">
        <v>89</v>
      </c>
      <c r="C4" s="91" t="s">
        <v>90</v>
      </c>
      <c r="D4" s="91" t="s">
        <v>91</v>
      </c>
      <c r="E4" s="91" t="s">
        <v>92</v>
      </c>
      <c r="F4" s="91" t="s">
        <v>93</v>
      </c>
      <c r="G4" s="91" t="s">
        <v>94</v>
      </c>
      <c r="H4" s="91" t="s">
        <v>95</v>
      </c>
      <c r="I4" s="91" t="s">
        <v>96</v>
      </c>
      <c r="J4" s="91" t="s">
        <v>97</v>
      </c>
      <c r="K4" s="91" t="s">
        <v>98</v>
      </c>
      <c r="L4" s="91" t="s">
        <v>99</v>
      </c>
      <c r="M4" s="91" t="s">
        <v>100</v>
      </c>
      <c r="N4" s="91" t="s">
        <v>101</v>
      </c>
      <c r="O4" s="91" t="s">
        <v>102</v>
      </c>
    </row>
    <row r="5" spans="1:15">
      <c r="A5" s="11" t="s">
        <v>103</v>
      </c>
      <c r="B5" s="12" t="s">
        <v>104</v>
      </c>
      <c r="C5" s="13" t="s">
        <v>105</v>
      </c>
      <c r="D5" s="11" t="s">
        <v>106</v>
      </c>
      <c r="E5" s="14">
        <v>46239</v>
      </c>
      <c r="F5" s="15">
        <v>2200</v>
      </c>
      <c r="G5" s="15">
        <v>2200</v>
      </c>
      <c r="H5" s="15">
        <v>2200</v>
      </c>
      <c r="I5" s="11" t="s">
        <v>107</v>
      </c>
      <c r="J5" s="16"/>
      <c r="K5" s="17"/>
      <c r="L5" s="17">
        <v>28</v>
      </c>
      <c r="M5" s="13" t="s">
        <v>108</v>
      </c>
      <c r="N5" s="13" t="s">
        <v>109</v>
      </c>
      <c r="O5" s="11" t="s">
        <v>110</v>
      </c>
    </row>
    <row r="6" spans="1:15">
      <c r="A6" s="18" t="s">
        <v>111</v>
      </c>
      <c r="B6" s="19" t="s">
        <v>112</v>
      </c>
      <c r="C6" s="20" t="s">
        <v>113</v>
      </c>
      <c r="D6" s="18" t="s">
        <v>114</v>
      </c>
      <c r="E6" s="21">
        <v>46240</v>
      </c>
      <c r="F6" s="22">
        <v>1600</v>
      </c>
      <c r="G6" s="22">
        <v>1600</v>
      </c>
      <c r="H6" s="22">
        <v>1600</v>
      </c>
      <c r="I6" s="18" t="s">
        <v>107</v>
      </c>
      <c r="J6" s="23"/>
      <c r="K6" s="24"/>
      <c r="L6" s="24">
        <v>30</v>
      </c>
      <c r="M6" s="20" t="s">
        <v>108</v>
      </c>
      <c r="N6" s="20" t="s">
        <v>109</v>
      </c>
      <c r="O6" s="18" t="s">
        <v>110</v>
      </c>
    </row>
    <row r="7" spans="1:15">
      <c r="A7" s="11" t="s">
        <v>115</v>
      </c>
      <c r="B7" s="12" t="s">
        <v>116</v>
      </c>
      <c r="C7" s="13" t="s">
        <v>117</v>
      </c>
      <c r="D7" s="11" t="s">
        <v>118</v>
      </c>
      <c r="E7" s="14">
        <v>46241</v>
      </c>
      <c r="F7" s="15">
        <v>900</v>
      </c>
      <c r="G7" s="15">
        <v>900</v>
      </c>
      <c r="H7" s="15">
        <v>900</v>
      </c>
      <c r="I7" s="11" t="s">
        <v>107</v>
      </c>
      <c r="J7" s="16"/>
      <c r="K7" s="17"/>
      <c r="L7" s="17">
        <v>25</v>
      </c>
      <c r="M7" s="13" t="s">
        <v>108</v>
      </c>
      <c r="N7" s="13" t="s">
        <v>119</v>
      </c>
      <c r="O7" s="11" t="s">
        <v>110</v>
      </c>
    </row>
    <row r="8" spans="1:15">
      <c r="A8" s="18" t="s">
        <v>120</v>
      </c>
      <c r="B8" s="19" t="s">
        <v>121</v>
      </c>
      <c r="C8" s="20" t="s">
        <v>122</v>
      </c>
      <c r="D8" s="18" t="s">
        <v>123</v>
      </c>
      <c r="E8" s="21">
        <v>46241</v>
      </c>
      <c r="F8" s="22">
        <v>700</v>
      </c>
      <c r="G8" s="22"/>
      <c r="H8" s="22"/>
      <c r="I8" s="18" t="s">
        <v>107</v>
      </c>
      <c r="J8" s="23"/>
      <c r="K8" s="24"/>
      <c r="L8" s="24">
        <v>20</v>
      </c>
      <c r="M8" s="20" t="s">
        <v>108</v>
      </c>
      <c r="N8" s="20" t="s">
        <v>119</v>
      </c>
      <c r="O8" s="18" t="s">
        <v>110</v>
      </c>
    </row>
    <row r="9" spans="1:15">
      <c r="A9" s="11" t="s">
        <v>124</v>
      </c>
      <c r="B9" s="12" t="s">
        <v>125</v>
      </c>
      <c r="C9" s="13" t="s">
        <v>126</v>
      </c>
      <c r="D9" s="11" t="s">
        <v>127</v>
      </c>
      <c r="E9" s="14">
        <v>46242</v>
      </c>
      <c r="F9" s="15">
        <v>1300</v>
      </c>
      <c r="G9" s="15"/>
      <c r="H9" s="15"/>
      <c r="I9" s="11" t="s">
        <v>107</v>
      </c>
      <c r="J9" s="16"/>
      <c r="K9" s="17"/>
      <c r="L9" s="17">
        <v>22</v>
      </c>
      <c r="M9" s="13" t="s">
        <v>108</v>
      </c>
      <c r="N9" s="13" t="s">
        <v>128</v>
      </c>
      <c r="O9" s="11" t="s">
        <v>110</v>
      </c>
    </row>
    <row r="10" spans="1:15">
      <c r="A10" s="18" t="s">
        <v>129</v>
      </c>
      <c r="B10" s="19" t="s">
        <v>104</v>
      </c>
      <c r="C10" s="20" t="s">
        <v>105</v>
      </c>
      <c r="D10" s="18" t="s">
        <v>130</v>
      </c>
      <c r="E10" s="21">
        <v>46243</v>
      </c>
      <c r="F10" s="22">
        <v>1850</v>
      </c>
      <c r="G10" s="22">
        <v>1850</v>
      </c>
      <c r="H10" s="22">
        <v>1850</v>
      </c>
      <c r="I10" s="18" t="s">
        <v>107</v>
      </c>
      <c r="J10" s="23"/>
      <c r="K10" s="24"/>
      <c r="L10" s="24">
        <v>12</v>
      </c>
      <c r="M10" s="20" t="s">
        <v>108</v>
      </c>
      <c r="N10" s="20" t="s">
        <v>109</v>
      </c>
      <c r="O10" s="18" t="s">
        <v>110</v>
      </c>
    </row>
    <row r="11" spans="1:15">
      <c r="A11" s="11" t="s">
        <v>131</v>
      </c>
      <c r="B11" s="12" t="s">
        <v>104</v>
      </c>
      <c r="C11" s="13" t="s">
        <v>105</v>
      </c>
      <c r="D11" s="11" t="s">
        <v>130</v>
      </c>
      <c r="E11" s="14">
        <v>46246</v>
      </c>
      <c r="F11" s="15">
        <v>1850</v>
      </c>
      <c r="G11" s="15">
        <v>1850</v>
      </c>
      <c r="H11" s="15">
        <v>1850</v>
      </c>
      <c r="I11" s="11" t="s">
        <v>107</v>
      </c>
      <c r="J11" s="16"/>
      <c r="K11" s="17"/>
      <c r="L11" s="17">
        <v>9</v>
      </c>
      <c r="M11" s="13" t="s">
        <v>108</v>
      </c>
      <c r="N11" s="13" t="s">
        <v>109</v>
      </c>
      <c r="O11" s="11" t="s">
        <v>110</v>
      </c>
    </row>
    <row r="12" spans="1:15">
      <c r="A12" s="18" t="s">
        <v>132</v>
      </c>
      <c r="B12" s="19" t="s">
        <v>112</v>
      </c>
      <c r="C12" s="20" t="s">
        <v>113</v>
      </c>
      <c r="D12" s="18" t="s">
        <v>133</v>
      </c>
      <c r="E12" s="21">
        <v>46244</v>
      </c>
      <c r="F12" s="22">
        <v>3200</v>
      </c>
      <c r="G12" s="22">
        <v>2800</v>
      </c>
      <c r="H12" s="22">
        <v>2800</v>
      </c>
      <c r="I12" s="18" t="s">
        <v>107</v>
      </c>
      <c r="J12" s="23"/>
      <c r="K12" s="24"/>
      <c r="L12" s="24">
        <v>20</v>
      </c>
      <c r="M12" s="20" t="s">
        <v>108</v>
      </c>
      <c r="N12" s="20" t="s">
        <v>109</v>
      </c>
      <c r="O12" s="18" t="s">
        <v>110</v>
      </c>
    </row>
    <row r="13" spans="1:15">
      <c r="A13" s="25" t="s">
        <v>134</v>
      </c>
      <c r="B13" s="26" t="s">
        <v>135</v>
      </c>
      <c r="C13" s="27" t="s">
        <v>136</v>
      </c>
      <c r="D13" s="25" t="s">
        <v>137</v>
      </c>
      <c r="E13" s="28">
        <v>46245</v>
      </c>
      <c r="F13" s="29">
        <v>4500</v>
      </c>
      <c r="G13" s="29">
        <v>4500</v>
      </c>
      <c r="H13" s="29">
        <v>4000</v>
      </c>
      <c r="I13" s="25" t="s">
        <v>107</v>
      </c>
      <c r="J13" s="30"/>
      <c r="K13" s="31"/>
      <c r="L13" s="31"/>
      <c r="M13" s="27" t="s">
        <v>108</v>
      </c>
      <c r="N13" s="27" t="s">
        <v>138</v>
      </c>
      <c r="O13" s="32" t="s">
        <v>139</v>
      </c>
    </row>
    <row r="14" spans="1:15">
      <c r="A14" s="18" t="s">
        <v>140</v>
      </c>
      <c r="B14" s="19" t="s">
        <v>121</v>
      </c>
      <c r="C14" s="20" t="s">
        <v>122</v>
      </c>
      <c r="D14" s="18" t="s">
        <v>141</v>
      </c>
      <c r="E14" s="21">
        <v>46242</v>
      </c>
      <c r="F14" s="22">
        <v>2000</v>
      </c>
      <c r="G14" s="22"/>
      <c r="H14" s="22"/>
      <c r="I14" s="18" t="s">
        <v>142</v>
      </c>
      <c r="J14" s="23">
        <v>0.02</v>
      </c>
      <c r="K14" s="24">
        <v>10</v>
      </c>
      <c r="L14" s="24">
        <v>25</v>
      </c>
      <c r="M14" s="20" t="s">
        <v>108</v>
      </c>
      <c r="N14" s="20" t="s">
        <v>119</v>
      </c>
      <c r="O14" s="18" t="s">
        <v>110</v>
      </c>
    </row>
    <row r="15" spans="1:15">
      <c r="A15" s="11" t="s">
        <v>143</v>
      </c>
      <c r="B15" s="12" t="s">
        <v>125</v>
      </c>
      <c r="C15" s="13" t="s">
        <v>126</v>
      </c>
      <c r="D15" s="11" t="s">
        <v>144</v>
      </c>
      <c r="E15" s="14">
        <v>46243</v>
      </c>
      <c r="F15" s="15">
        <v>1500</v>
      </c>
      <c r="G15" s="15"/>
      <c r="H15" s="15"/>
      <c r="I15" s="11" t="s">
        <v>142</v>
      </c>
      <c r="J15" s="16">
        <v>0.02</v>
      </c>
      <c r="K15" s="17">
        <v>10</v>
      </c>
      <c r="L15" s="17">
        <v>18</v>
      </c>
      <c r="M15" s="13" t="s">
        <v>108</v>
      </c>
      <c r="N15" s="13" t="s">
        <v>128</v>
      </c>
      <c r="O15" s="11" t="s">
        <v>110</v>
      </c>
    </row>
    <row r="16" spans="1:15">
      <c r="A16" s="18" t="s">
        <v>145</v>
      </c>
      <c r="B16" s="19" t="s">
        <v>116</v>
      </c>
      <c r="C16" s="20" t="s">
        <v>117</v>
      </c>
      <c r="D16" s="18" t="s">
        <v>146</v>
      </c>
      <c r="E16" s="21">
        <v>46244</v>
      </c>
      <c r="F16" s="22">
        <v>2500</v>
      </c>
      <c r="G16" s="22">
        <v>2500</v>
      </c>
      <c r="H16" s="22">
        <v>2500</v>
      </c>
      <c r="I16" s="18" t="s">
        <v>147</v>
      </c>
      <c r="J16" s="23">
        <v>0.01</v>
      </c>
      <c r="K16" s="24">
        <v>10</v>
      </c>
      <c r="L16" s="24">
        <v>20</v>
      </c>
      <c r="M16" s="20" t="s">
        <v>108</v>
      </c>
      <c r="N16" s="20" t="s">
        <v>119</v>
      </c>
      <c r="O16" s="18" t="s">
        <v>110</v>
      </c>
    </row>
    <row r="17" spans="1:15">
      <c r="A17" s="25" t="s">
        <v>148</v>
      </c>
      <c r="B17" s="26" t="s">
        <v>135</v>
      </c>
      <c r="C17" s="27" t="s">
        <v>136</v>
      </c>
      <c r="D17" s="25" t="s">
        <v>149</v>
      </c>
      <c r="E17" s="28">
        <v>46247</v>
      </c>
      <c r="F17" s="29">
        <v>3800</v>
      </c>
      <c r="G17" s="29">
        <v>3800</v>
      </c>
      <c r="H17" s="29">
        <v>3800</v>
      </c>
      <c r="I17" s="25" t="s">
        <v>107</v>
      </c>
      <c r="J17" s="30"/>
      <c r="K17" s="31"/>
      <c r="L17" s="31"/>
      <c r="M17" s="33" t="s">
        <v>150</v>
      </c>
      <c r="N17" s="27" t="s">
        <v>138</v>
      </c>
      <c r="O17" s="32" t="s">
        <v>139</v>
      </c>
    </row>
    <row r="18" spans="1:15">
      <c r="A18" s="18" t="s">
        <v>151</v>
      </c>
      <c r="B18" s="19" t="s">
        <v>116</v>
      </c>
      <c r="C18" s="20" t="s">
        <v>117</v>
      </c>
      <c r="D18" s="18" t="s">
        <v>152</v>
      </c>
      <c r="E18" s="21">
        <v>46245</v>
      </c>
      <c r="F18" s="22">
        <v>1200</v>
      </c>
      <c r="G18" s="22">
        <v>1200</v>
      </c>
      <c r="H18" s="22">
        <v>1200</v>
      </c>
      <c r="I18" s="18" t="s">
        <v>107</v>
      </c>
      <c r="J18" s="23"/>
      <c r="K18" s="24"/>
      <c r="L18" s="24">
        <v>24</v>
      </c>
      <c r="M18" s="20" t="s">
        <v>108</v>
      </c>
      <c r="N18" s="20" t="s">
        <v>119</v>
      </c>
      <c r="O18" s="18" t="s">
        <v>110</v>
      </c>
    </row>
    <row r="19" spans="1:15">
      <c r="A19" s="11" t="s">
        <v>153</v>
      </c>
      <c r="B19" s="12" t="s">
        <v>154</v>
      </c>
      <c r="C19" s="13" t="s">
        <v>155</v>
      </c>
      <c r="D19" s="11" t="s">
        <v>152</v>
      </c>
      <c r="E19" s="14">
        <v>46249</v>
      </c>
      <c r="F19" s="15">
        <v>1200</v>
      </c>
      <c r="G19" s="15">
        <v>1200</v>
      </c>
      <c r="H19" s="15">
        <v>1200</v>
      </c>
      <c r="I19" s="11" t="s">
        <v>107</v>
      </c>
      <c r="J19" s="16"/>
      <c r="K19" s="17"/>
      <c r="L19" s="17">
        <v>20</v>
      </c>
      <c r="M19" s="13" t="s">
        <v>108</v>
      </c>
      <c r="N19" s="13" t="s">
        <v>156</v>
      </c>
      <c r="O19" s="11" t="s">
        <v>110</v>
      </c>
    </row>
    <row r="20" spans="1:15">
      <c r="A20" s="18" t="s">
        <v>157</v>
      </c>
      <c r="B20" s="19" t="s">
        <v>158</v>
      </c>
      <c r="C20" s="20" t="s">
        <v>159</v>
      </c>
      <c r="D20" s="18" t="s">
        <v>160</v>
      </c>
      <c r="E20" s="21">
        <v>46246</v>
      </c>
      <c r="F20" s="22">
        <v>980</v>
      </c>
      <c r="G20" s="22"/>
      <c r="H20" s="22"/>
      <c r="I20" s="18" t="s">
        <v>107</v>
      </c>
      <c r="J20" s="23"/>
      <c r="K20" s="24"/>
      <c r="L20" s="24">
        <v>25</v>
      </c>
      <c r="M20" s="20" t="s">
        <v>108</v>
      </c>
      <c r="N20" s="20" t="s">
        <v>161</v>
      </c>
      <c r="O20" s="18" t="s">
        <v>110</v>
      </c>
    </row>
    <row r="21" spans="1:15">
      <c r="A21" s="11" t="s">
        <v>162</v>
      </c>
      <c r="B21" s="12" t="s">
        <v>158</v>
      </c>
      <c r="C21" s="13" t="s">
        <v>159</v>
      </c>
      <c r="D21" s="11" t="s">
        <v>163</v>
      </c>
      <c r="E21" s="14">
        <v>46246</v>
      </c>
      <c r="F21" s="15">
        <v>970</v>
      </c>
      <c r="G21" s="15"/>
      <c r="H21" s="15"/>
      <c r="I21" s="11" t="s">
        <v>107</v>
      </c>
      <c r="J21" s="16"/>
      <c r="K21" s="17"/>
      <c r="L21" s="17">
        <v>25</v>
      </c>
      <c r="M21" s="13" t="s">
        <v>108</v>
      </c>
      <c r="N21" s="13" t="s">
        <v>161</v>
      </c>
      <c r="O21" s="11" t="s">
        <v>110</v>
      </c>
    </row>
    <row r="22" spans="1:15">
      <c r="A22" s="18" t="s">
        <v>164</v>
      </c>
      <c r="B22" s="19" t="s">
        <v>112</v>
      </c>
      <c r="C22" s="20" t="s">
        <v>113</v>
      </c>
      <c r="D22" s="18" t="s">
        <v>165</v>
      </c>
      <c r="E22" s="21">
        <v>46248</v>
      </c>
      <c r="F22" s="22">
        <v>2100</v>
      </c>
      <c r="G22" s="22">
        <v>2100</v>
      </c>
      <c r="H22" s="22">
        <v>2100</v>
      </c>
      <c r="I22" s="18" t="s">
        <v>107</v>
      </c>
      <c r="J22" s="23"/>
      <c r="K22" s="24"/>
      <c r="L22" s="24">
        <v>29</v>
      </c>
      <c r="M22" s="20" t="s">
        <v>108</v>
      </c>
      <c r="N22" s="20" t="s">
        <v>109</v>
      </c>
      <c r="O22" s="18" t="s">
        <v>110</v>
      </c>
    </row>
    <row r="23" spans="1:15">
      <c r="A23" s="11" t="s">
        <v>166</v>
      </c>
      <c r="B23" s="12" t="s">
        <v>121</v>
      </c>
      <c r="C23" s="13" t="s">
        <v>122</v>
      </c>
      <c r="D23" s="11" t="s">
        <v>167</v>
      </c>
      <c r="E23" s="14">
        <v>46249</v>
      </c>
      <c r="F23" s="15">
        <v>850</v>
      </c>
      <c r="G23" s="15"/>
      <c r="H23" s="15"/>
      <c r="I23" s="11" t="s">
        <v>107</v>
      </c>
      <c r="J23" s="16"/>
      <c r="K23" s="17"/>
      <c r="L23" s="17">
        <v>21</v>
      </c>
      <c r="M23" s="13" t="s">
        <v>108</v>
      </c>
      <c r="N23" s="13" t="s">
        <v>119</v>
      </c>
      <c r="O23" s="11" t="s">
        <v>110</v>
      </c>
    </row>
    <row r="24" spans="1:15">
      <c r="A24" s="18" t="s">
        <v>168</v>
      </c>
      <c r="B24" s="19" t="s">
        <v>104</v>
      </c>
      <c r="C24" s="20" t="s">
        <v>105</v>
      </c>
      <c r="D24" s="18" t="s">
        <v>169</v>
      </c>
      <c r="E24" s="21">
        <v>46250</v>
      </c>
      <c r="F24" s="22">
        <v>2600</v>
      </c>
      <c r="G24" s="22">
        <v>2600</v>
      </c>
      <c r="H24" s="22">
        <v>2600</v>
      </c>
      <c r="I24" s="18" t="s">
        <v>107</v>
      </c>
      <c r="J24" s="23"/>
      <c r="K24" s="24"/>
      <c r="L24" s="24">
        <v>27</v>
      </c>
      <c r="M24" s="20" t="s">
        <v>108</v>
      </c>
      <c r="N24" s="20" t="s">
        <v>109</v>
      </c>
      <c r="O24" s="18" t="s">
        <v>110</v>
      </c>
    </row>
    <row r="25" spans="1:15">
      <c r="A25" s="11" t="s">
        <v>170</v>
      </c>
      <c r="B25" s="12" t="s">
        <v>116</v>
      </c>
      <c r="C25" s="13" t="s">
        <v>117</v>
      </c>
      <c r="D25" s="11" t="s">
        <v>171</v>
      </c>
      <c r="E25" s="14">
        <v>46251</v>
      </c>
      <c r="F25" s="15">
        <v>1400</v>
      </c>
      <c r="G25" s="15">
        <v>1400</v>
      </c>
      <c r="H25" s="15">
        <v>1400</v>
      </c>
      <c r="I25" s="11" t="s">
        <v>107</v>
      </c>
      <c r="J25" s="16"/>
      <c r="K25" s="17"/>
      <c r="L25" s="17">
        <v>26</v>
      </c>
      <c r="M25" s="13" t="s">
        <v>108</v>
      </c>
      <c r="N25" s="13" t="s">
        <v>119</v>
      </c>
      <c r="O25" s="11" t="s">
        <v>110</v>
      </c>
    </row>
    <row r="26" spans="1:15">
      <c r="A26" s="18" t="s">
        <v>172</v>
      </c>
      <c r="B26" s="19" t="s">
        <v>125</v>
      </c>
      <c r="C26" s="20" t="s">
        <v>126</v>
      </c>
      <c r="D26" s="18" t="s">
        <v>173</v>
      </c>
      <c r="E26" s="21">
        <v>46252</v>
      </c>
      <c r="F26" s="22">
        <v>1250</v>
      </c>
      <c r="G26" s="22"/>
      <c r="H26" s="22"/>
      <c r="I26" s="18" t="s">
        <v>107</v>
      </c>
      <c r="J26" s="23"/>
      <c r="K26" s="24"/>
      <c r="L26" s="24">
        <v>23</v>
      </c>
      <c r="M26" s="20" t="s">
        <v>108</v>
      </c>
      <c r="N26" s="20" t="s">
        <v>128</v>
      </c>
      <c r="O26" s="18" t="s">
        <v>110</v>
      </c>
    </row>
    <row r="28" spans="1:15" ht="15" customHeight="1">
      <c r="A28" s="112" t="s">
        <v>174</v>
      </c>
      <c r="B28" s="112"/>
      <c r="C28" s="112"/>
      <c r="D28" s="112"/>
      <c r="E28" s="112"/>
      <c r="F28" s="112"/>
      <c r="G28" s="112"/>
      <c r="H28" s="112"/>
      <c r="I28" s="112"/>
      <c r="J28" s="112"/>
      <c r="K28" s="112"/>
      <c r="L28" s="112"/>
      <c r="M28" s="112"/>
      <c r="N28" s="112"/>
      <c r="O28" s="112"/>
    </row>
    <row r="29" spans="1:15">
      <c r="A29" s="112"/>
      <c r="B29" s="112"/>
      <c r="C29" s="112"/>
      <c r="D29" s="112"/>
      <c r="E29" s="112"/>
      <c r="F29" s="112"/>
      <c r="G29" s="112"/>
      <c r="H29" s="112"/>
      <c r="I29" s="112"/>
      <c r="J29" s="112"/>
      <c r="K29" s="112"/>
      <c r="L29" s="112"/>
      <c r="M29" s="112"/>
      <c r="N29" s="112"/>
      <c r="O29" s="112"/>
    </row>
  </sheetData>
  <autoFilter ref="A4:O4" xr:uid="{00000000-0001-0000-0300-000000000000}"/>
  <mergeCells count="3">
    <mergeCell ref="A28:O29"/>
    <mergeCell ref="A1:O1"/>
    <mergeCell ref="A2:O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0"/>
  <sheetViews>
    <sheetView showGridLines="0" zoomScaleNormal="100" workbookViewId="0">
      <pane xSplit="4" ySplit="4" topLeftCell="E5" activePane="bottomRight" state="frozen"/>
      <selection pane="bottomRight" activeCell="T17" sqref="T17"/>
      <selection pane="bottomLeft" activeCell="A5" sqref="A5"/>
      <selection pane="topRight" activeCell="E1" sqref="E1"/>
    </sheetView>
  </sheetViews>
  <sheetFormatPr defaultColWidth="8.7109375" defaultRowHeight="15"/>
  <cols>
    <col min="1" max="1" width="6" customWidth="1"/>
    <col min="2" max="2" width="25" customWidth="1"/>
    <col min="3" max="3" width="13" customWidth="1"/>
    <col min="4" max="4" width="9" customWidth="1"/>
    <col min="5" max="8" width="8" customWidth="1"/>
    <col min="9" max="10" width="6" customWidth="1"/>
    <col min="11" max="11" width="20" customWidth="1"/>
    <col min="12" max="12" width="9" customWidth="1"/>
    <col min="13" max="13" width="11" customWidth="1"/>
    <col min="14" max="14" width="26" customWidth="1"/>
    <col min="15" max="15" width="8" customWidth="1"/>
    <col min="16" max="16" width="7" customWidth="1"/>
  </cols>
  <sheetData>
    <row r="1" spans="1:16" ht="20.25">
      <c r="A1" s="95" t="s">
        <v>175</v>
      </c>
      <c r="B1" s="95"/>
      <c r="C1" s="95"/>
      <c r="D1" s="95"/>
      <c r="E1" s="95"/>
      <c r="F1" s="95"/>
      <c r="G1" s="95"/>
      <c r="H1" s="95"/>
      <c r="I1" s="95"/>
      <c r="J1" s="95"/>
      <c r="K1" s="95"/>
      <c r="L1" s="95"/>
      <c r="M1" s="95"/>
      <c r="N1" s="95"/>
      <c r="O1" s="95"/>
      <c r="P1" s="95"/>
    </row>
    <row r="2" spans="1:16">
      <c r="A2" s="96" t="s">
        <v>176</v>
      </c>
      <c r="B2" s="96"/>
      <c r="C2" s="96"/>
      <c r="D2" s="96"/>
      <c r="E2" s="96"/>
      <c r="F2" s="96"/>
      <c r="G2" s="96"/>
      <c r="H2" s="96"/>
      <c r="I2" s="96"/>
      <c r="J2" s="96"/>
      <c r="K2" s="96"/>
      <c r="L2" s="96"/>
      <c r="M2" s="96"/>
      <c r="N2" s="96"/>
      <c r="O2" s="96"/>
      <c r="P2" s="96"/>
    </row>
    <row r="4" spans="1:16" ht="22.5">
      <c r="A4" s="91" t="s">
        <v>88</v>
      </c>
      <c r="B4" s="91" t="s">
        <v>89</v>
      </c>
      <c r="C4" s="91" t="s">
        <v>91</v>
      </c>
      <c r="D4" s="91" t="s">
        <v>93</v>
      </c>
      <c r="E4" s="91" t="s">
        <v>177</v>
      </c>
      <c r="F4" s="91" t="s">
        <v>178</v>
      </c>
      <c r="G4" s="91" t="s">
        <v>179</v>
      </c>
      <c r="H4" s="91" t="s">
        <v>180</v>
      </c>
      <c r="I4" s="91" t="s">
        <v>181</v>
      </c>
      <c r="J4" s="91" t="s">
        <v>182</v>
      </c>
      <c r="K4" s="91" t="s">
        <v>183</v>
      </c>
      <c r="L4" s="91" t="s">
        <v>184</v>
      </c>
      <c r="M4" s="91" t="s">
        <v>185</v>
      </c>
      <c r="N4" s="91" t="s">
        <v>186</v>
      </c>
      <c r="O4" s="91" t="s">
        <v>102</v>
      </c>
      <c r="P4" s="91" t="s">
        <v>187</v>
      </c>
    </row>
    <row r="5" spans="1:16">
      <c r="A5" s="34" t="str">
        <f>'02 AP Transactions'!A5</f>
        <v>T01</v>
      </c>
      <c r="B5" s="35" t="str">
        <f>'02 AP Transactions'!B5</f>
        <v>Shenzhen Micro Ltd</v>
      </c>
      <c r="C5" s="34" t="str">
        <f>'02 AP Transactions'!D5</f>
        <v>INV-8790</v>
      </c>
      <c r="D5" s="36">
        <f>'02 AP Transactions'!F5</f>
        <v>2200</v>
      </c>
      <c r="E5" s="37">
        <f>COUNTIF('02 AP Transactions'!$D$5:$D$26,'02 AP Transactions'!D5)</f>
        <v>1</v>
      </c>
      <c r="F5" s="37">
        <f>IF(COUNTIF('02 AP Transactions'!$D$5:$D5,'02 AP Transactions'!D5)&gt;1,1,0)</f>
        <v>0</v>
      </c>
      <c r="G5" s="38">
        <f>IF(AND('02 AP Transactions'!G5&gt;0,'02 AP Transactions'!H5&gt;0),MAX(0,'02 AP Transactions'!F5-MIN('02 AP Transactions'!G5,'02 AP Transactions'!H5)),0)</f>
        <v>0</v>
      </c>
      <c r="H5" s="38">
        <f>IF(AND('02 AP Transactions'!J5&gt;0,'02 AP Transactions'!L5&gt;'02 AP Transactions'!K5,'02 AP Transactions'!O5="Paid"),'02 AP Transactions'!J5*'02 AP Transactions'!F5,0)</f>
        <v>0</v>
      </c>
      <c r="I5" s="37">
        <f>IF('02 AP Transactions'!M5="Yes",1,0)</f>
        <v>0</v>
      </c>
      <c r="J5" s="37">
        <f>IF(AND('02 AP Transactions'!F5&gt;='01 Assumptions'!$B$6*'01 Assumptions'!$B$7,'02 AP Transactions'!F5&lt;'01 Assumptions'!$B$6,COUNTIFS('02 AP Transactions'!$B$5:$B$26,'02 AP Transactions'!B5,'02 AP Transactions'!$E$5:$E$26,'02 AP Transactions'!E5)&gt;1),1,0)</f>
        <v>0</v>
      </c>
      <c r="K5" s="39" t="str">
        <f t="shared" ref="K5:K26" si="0">IF(I5=1,"Bank-change fraud",IF(F5=1,"Duplicate payment",IF(G5&gt;0,"Overbilling (3-way)",IF(J5=1,"Split / threshold",IF(H5&gt;0,"Lost discount","-")))))</f>
        <v>-</v>
      </c>
      <c r="L5" s="40" t="str">
        <f t="shared" ref="L5:L26" si="1">IF(I5=1,"High",IF(F5=1,"High",IF(G5&gt;0,"Medium",IF(J5=1,"Medium",IF(H5&gt;0,"Low","-")))))</f>
        <v>-</v>
      </c>
      <c r="M5" s="41">
        <f t="shared" ref="M5:M26" si="2">IF(I5=1,D5,IF(F5=1,D5,IF(G5&gt;0,G5,IF(J5=1,0,IF(H5&gt;0,H5,0)))))</f>
        <v>0</v>
      </c>
      <c r="N5" s="12" t="str">
        <f>IF(I5=1,"Hold &amp; verify (callback)",IF(F5=1,IF('02 AP Transactions'!O5="Pending","Block payment","Recover / claw back"),IF(G5&gt;0,IF('02 AP Transactions'!O5="Pending","Short-pay to PO/GR","Recover overbilled"),IF(J5=1,"Investigate approval",IF(H5&gt;0,"Fix discount process","-")))))</f>
        <v>-</v>
      </c>
      <c r="O5" s="34" t="str">
        <f>'02 AP Transactions'!O5</f>
        <v>Paid</v>
      </c>
      <c r="P5" s="42" t="str">
        <f t="shared" ref="P5:P26" si="3">IF(K5="-","","FLAG")</f>
        <v/>
      </c>
    </row>
    <row r="6" spans="1:16">
      <c r="A6" s="34" t="str">
        <f>'02 AP Transactions'!A6</f>
        <v>T02</v>
      </c>
      <c r="B6" s="35" t="str">
        <f>'02 AP Transactions'!B6</f>
        <v>Taipei Semicon Co</v>
      </c>
      <c r="C6" s="34" t="str">
        <f>'02 AP Transactions'!D6</f>
        <v>INV-TS-540</v>
      </c>
      <c r="D6" s="36">
        <f>'02 AP Transactions'!F6</f>
        <v>1600</v>
      </c>
      <c r="E6" s="37">
        <f>COUNTIF('02 AP Transactions'!$D$5:$D$26,'02 AP Transactions'!D6)</f>
        <v>1</v>
      </c>
      <c r="F6" s="37">
        <f>IF(COUNTIF('02 AP Transactions'!$D$5:$D6,'02 AP Transactions'!D6)&gt;1,1,0)</f>
        <v>0</v>
      </c>
      <c r="G6" s="38">
        <f>IF(AND('02 AP Transactions'!G6&gt;0,'02 AP Transactions'!H6&gt;0),MAX(0,'02 AP Transactions'!F6-MIN('02 AP Transactions'!G6,'02 AP Transactions'!H6)),0)</f>
        <v>0</v>
      </c>
      <c r="H6" s="38">
        <f>IF(AND('02 AP Transactions'!J6&gt;0,'02 AP Transactions'!L6&gt;'02 AP Transactions'!K6,'02 AP Transactions'!O6="Paid"),'02 AP Transactions'!J6*'02 AP Transactions'!F6,0)</f>
        <v>0</v>
      </c>
      <c r="I6" s="37">
        <f>IF('02 AP Transactions'!M6="Yes",1,0)</f>
        <v>0</v>
      </c>
      <c r="J6" s="37">
        <f>IF(AND('02 AP Transactions'!F6&gt;='01 Assumptions'!$B$6*'01 Assumptions'!$B$7,'02 AP Transactions'!F6&lt;'01 Assumptions'!$B$6,COUNTIFS('02 AP Transactions'!$B$5:$B$26,'02 AP Transactions'!B6,'02 AP Transactions'!$E$5:$E$26,'02 AP Transactions'!E6)&gt;1),1,0)</f>
        <v>0</v>
      </c>
      <c r="K6" s="39" t="str">
        <f t="shared" si="0"/>
        <v>-</v>
      </c>
      <c r="L6" s="40" t="str">
        <f t="shared" si="1"/>
        <v>-</v>
      </c>
      <c r="M6" s="41">
        <f t="shared" si="2"/>
        <v>0</v>
      </c>
      <c r="N6" s="12" t="str">
        <f>IF(I6=1,"Hold &amp; verify (callback)",IF(F6=1,IF('02 AP Transactions'!O6="Pending","Block payment","Recover / claw back"),IF(G6&gt;0,IF('02 AP Transactions'!O6="Pending","Short-pay to PO/GR","Recover overbilled"),IF(J6=1,"Investigate approval",IF(H6&gt;0,"Fix discount process","-")))))</f>
        <v>-</v>
      </c>
      <c r="O6" s="34" t="str">
        <f>'02 AP Transactions'!O6</f>
        <v>Paid</v>
      </c>
      <c r="P6" s="42" t="str">
        <f t="shared" si="3"/>
        <v/>
      </c>
    </row>
    <row r="7" spans="1:16">
      <c r="A7" s="34" t="str">
        <f>'02 AP Transactions'!A7</f>
        <v>T03</v>
      </c>
      <c r="B7" s="35" t="str">
        <f>'02 AP Transactions'!B7</f>
        <v>PT Bahan Baku Lokal</v>
      </c>
      <c r="C7" s="34" t="str">
        <f>'02 AP Transactions'!D7</f>
        <v>INV-BBL-210</v>
      </c>
      <c r="D7" s="36">
        <f>'02 AP Transactions'!F7</f>
        <v>900</v>
      </c>
      <c r="E7" s="37">
        <f>COUNTIF('02 AP Transactions'!$D$5:$D$26,'02 AP Transactions'!D7)</f>
        <v>1</v>
      </c>
      <c r="F7" s="37">
        <f>IF(COUNTIF('02 AP Transactions'!$D$5:$D7,'02 AP Transactions'!D7)&gt;1,1,0)</f>
        <v>0</v>
      </c>
      <c r="G7" s="38">
        <f>IF(AND('02 AP Transactions'!G7&gt;0,'02 AP Transactions'!H7&gt;0),MAX(0,'02 AP Transactions'!F7-MIN('02 AP Transactions'!G7,'02 AP Transactions'!H7)),0)</f>
        <v>0</v>
      </c>
      <c r="H7" s="38">
        <f>IF(AND('02 AP Transactions'!J7&gt;0,'02 AP Transactions'!L7&gt;'02 AP Transactions'!K7,'02 AP Transactions'!O7="Paid"),'02 AP Transactions'!J7*'02 AP Transactions'!F7,0)</f>
        <v>0</v>
      </c>
      <c r="I7" s="37">
        <f>IF('02 AP Transactions'!M7="Yes",1,0)</f>
        <v>0</v>
      </c>
      <c r="J7" s="37">
        <f>IF(AND('02 AP Transactions'!F7&gt;='01 Assumptions'!$B$6*'01 Assumptions'!$B$7,'02 AP Transactions'!F7&lt;'01 Assumptions'!$B$6,COUNTIFS('02 AP Transactions'!$B$5:$B$26,'02 AP Transactions'!B7,'02 AP Transactions'!$E$5:$E$26,'02 AP Transactions'!E7)&gt;1),1,0)</f>
        <v>0</v>
      </c>
      <c r="K7" s="39" t="str">
        <f t="shared" si="0"/>
        <v>-</v>
      </c>
      <c r="L7" s="40" t="str">
        <f t="shared" si="1"/>
        <v>-</v>
      </c>
      <c r="M7" s="41">
        <f t="shared" si="2"/>
        <v>0</v>
      </c>
      <c r="N7" s="12" t="str">
        <f>IF(I7=1,"Hold &amp; verify (callback)",IF(F7=1,IF('02 AP Transactions'!O7="Pending","Block payment","Recover / claw back"),IF(G7&gt;0,IF('02 AP Transactions'!O7="Pending","Short-pay to PO/GR","Recover overbilled"),IF(J7=1,"Investigate approval",IF(H7&gt;0,"Fix discount process","-")))))</f>
        <v>-</v>
      </c>
      <c r="O7" s="34" t="str">
        <f>'02 AP Transactions'!O7</f>
        <v>Paid</v>
      </c>
      <c r="P7" s="42" t="str">
        <f t="shared" si="3"/>
        <v/>
      </c>
    </row>
    <row r="8" spans="1:16">
      <c r="A8" s="34" t="str">
        <f>'02 AP Transactions'!A8</f>
        <v>T04</v>
      </c>
      <c r="B8" s="35" t="str">
        <f>'02 AP Transactions'!B8</f>
        <v>PT Logistik Andalan</v>
      </c>
      <c r="C8" s="34" t="str">
        <f>'02 AP Transactions'!D8</f>
        <v>INV-LA-105</v>
      </c>
      <c r="D8" s="36">
        <f>'02 AP Transactions'!F8</f>
        <v>700</v>
      </c>
      <c r="E8" s="37">
        <f>COUNTIF('02 AP Transactions'!$D$5:$D$26,'02 AP Transactions'!D8)</f>
        <v>1</v>
      </c>
      <c r="F8" s="37">
        <f>IF(COUNTIF('02 AP Transactions'!$D$5:$D8,'02 AP Transactions'!D8)&gt;1,1,0)</f>
        <v>0</v>
      </c>
      <c r="G8" s="38">
        <f>IF(AND('02 AP Transactions'!G8&gt;0,'02 AP Transactions'!H8&gt;0),MAX(0,'02 AP Transactions'!F8-MIN('02 AP Transactions'!G8,'02 AP Transactions'!H8)),0)</f>
        <v>0</v>
      </c>
      <c r="H8" s="38">
        <f>IF(AND('02 AP Transactions'!J8&gt;0,'02 AP Transactions'!L8&gt;'02 AP Transactions'!K8,'02 AP Transactions'!O8="Paid"),'02 AP Transactions'!J8*'02 AP Transactions'!F8,0)</f>
        <v>0</v>
      </c>
      <c r="I8" s="37">
        <f>IF('02 AP Transactions'!M8="Yes",1,0)</f>
        <v>0</v>
      </c>
      <c r="J8" s="37">
        <f>IF(AND('02 AP Transactions'!F8&gt;='01 Assumptions'!$B$6*'01 Assumptions'!$B$7,'02 AP Transactions'!F8&lt;'01 Assumptions'!$B$6,COUNTIFS('02 AP Transactions'!$B$5:$B$26,'02 AP Transactions'!B8,'02 AP Transactions'!$E$5:$E$26,'02 AP Transactions'!E8)&gt;1),1,0)</f>
        <v>0</v>
      </c>
      <c r="K8" s="39" t="str">
        <f t="shared" si="0"/>
        <v>-</v>
      </c>
      <c r="L8" s="40" t="str">
        <f t="shared" si="1"/>
        <v>-</v>
      </c>
      <c r="M8" s="41">
        <f t="shared" si="2"/>
        <v>0</v>
      </c>
      <c r="N8" s="12" t="str">
        <f>IF(I8=1,"Hold &amp; verify (callback)",IF(F8=1,IF('02 AP Transactions'!O8="Pending","Block payment","Recover / claw back"),IF(G8&gt;0,IF('02 AP Transactions'!O8="Pending","Short-pay to PO/GR","Recover overbilled"),IF(J8=1,"Investigate approval",IF(H8&gt;0,"Fix discount process","-")))))</f>
        <v>-</v>
      </c>
      <c r="O8" s="34" t="str">
        <f>'02 AP Transactions'!O8</f>
        <v>Paid</v>
      </c>
      <c r="P8" s="42" t="str">
        <f t="shared" si="3"/>
        <v/>
      </c>
    </row>
    <row r="9" spans="1:16">
      <c r="A9" s="34" t="str">
        <f>'02 AP Transactions'!A9</f>
        <v>T05</v>
      </c>
      <c r="B9" s="35" t="str">
        <f>'02 AP Transactions'!B9</f>
        <v>PT Energi Pratama</v>
      </c>
      <c r="C9" s="34" t="str">
        <f>'02 AP Transactions'!D9</f>
        <v>INV-EP-133</v>
      </c>
      <c r="D9" s="36">
        <f>'02 AP Transactions'!F9</f>
        <v>1300</v>
      </c>
      <c r="E9" s="37">
        <f>COUNTIF('02 AP Transactions'!$D$5:$D$26,'02 AP Transactions'!D9)</f>
        <v>1</v>
      </c>
      <c r="F9" s="37">
        <f>IF(COUNTIF('02 AP Transactions'!$D$5:$D9,'02 AP Transactions'!D9)&gt;1,1,0)</f>
        <v>0</v>
      </c>
      <c r="G9" s="38">
        <f>IF(AND('02 AP Transactions'!G9&gt;0,'02 AP Transactions'!H9&gt;0),MAX(0,'02 AP Transactions'!F9-MIN('02 AP Transactions'!G9,'02 AP Transactions'!H9)),0)</f>
        <v>0</v>
      </c>
      <c r="H9" s="38">
        <f>IF(AND('02 AP Transactions'!J9&gt;0,'02 AP Transactions'!L9&gt;'02 AP Transactions'!K9,'02 AP Transactions'!O9="Paid"),'02 AP Transactions'!J9*'02 AP Transactions'!F9,0)</f>
        <v>0</v>
      </c>
      <c r="I9" s="37">
        <f>IF('02 AP Transactions'!M9="Yes",1,0)</f>
        <v>0</v>
      </c>
      <c r="J9" s="37">
        <f>IF(AND('02 AP Transactions'!F9&gt;='01 Assumptions'!$B$6*'01 Assumptions'!$B$7,'02 AP Transactions'!F9&lt;'01 Assumptions'!$B$6,COUNTIFS('02 AP Transactions'!$B$5:$B$26,'02 AP Transactions'!B9,'02 AP Transactions'!$E$5:$E$26,'02 AP Transactions'!E9)&gt;1),1,0)</f>
        <v>0</v>
      </c>
      <c r="K9" s="39" t="str">
        <f t="shared" si="0"/>
        <v>-</v>
      </c>
      <c r="L9" s="40" t="str">
        <f t="shared" si="1"/>
        <v>-</v>
      </c>
      <c r="M9" s="41">
        <f t="shared" si="2"/>
        <v>0</v>
      </c>
      <c r="N9" s="12" t="str">
        <f>IF(I9=1,"Hold &amp; verify (callback)",IF(F9=1,IF('02 AP Transactions'!O9="Pending","Block payment","Recover / claw back"),IF(G9&gt;0,IF('02 AP Transactions'!O9="Pending","Short-pay to PO/GR","Recover overbilled"),IF(J9=1,"Investigate approval",IF(H9&gt;0,"Fix discount process","-")))))</f>
        <v>-</v>
      </c>
      <c r="O9" s="34" t="str">
        <f>'02 AP Transactions'!O9</f>
        <v>Paid</v>
      </c>
      <c r="P9" s="42" t="str">
        <f t="shared" si="3"/>
        <v/>
      </c>
    </row>
    <row r="10" spans="1:16">
      <c r="A10" s="34" t="str">
        <f>'02 AP Transactions'!A10</f>
        <v>T06</v>
      </c>
      <c r="B10" s="35" t="str">
        <f>'02 AP Transactions'!B10</f>
        <v>Shenzhen Micro Ltd</v>
      </c>
      <c r="C10" s="34" t="str">
        <f>'02 AP Transactions'!D10</f>
        <v>INV-8801</v>
      </c>
      <c r="D10" s="36">
        <f>'02 AP Transactions'!F10</f>
        <v>1850</v>
      </c>
      <c r="E10" s="37">
        <f>COUNTIF('02 AP Transactions'!$D$5:$D$26,'02 AP Transactions'!D10)</f>
        <v>2</v>
      </c>
      <c r="F10" s="37">
        <f>IF(COUNTIF('02 AP Transactions'!$D$5:$D10,'02 AP Transactions'!D10)&gt;1,1,0)</f>
        <v>0</v>
      </c>
      <c r="G10" s="38">
        <f>IF(AND('02 AP Transactions'!G10&gt;0,'02 AP Transactions'!H10&gt;0),MAX(0,'02 AP Transactions'!F10-MIN('02 AP Transactions'!G10,'02 AP Transactions'!H10)),0)</f>
        <v>0</v>
      </c>
      <c r="H10" s="38">
        <f>IF(AND('02 AP Transactions'!J10&gt;0,'02 AP Transactions'!L10&gt;'02 AP Transactions'!K10,'02 AP Transactions'!O10="Paid"),'02 AP Transactions'!J10*'02 AP Transactions'!F10,0)</f>
        <v>0</v>
      </c>
      <c r="I10" s="37">
        <f>IF('02 AP Transactions'!M10="Yes",1,0)</f>
        <v>0</v>
      </c>
      <c r="J10" s="37">
        <f>IF(AND('02 AP Transactions'!F10&gt;='01 Assumptions'!$B$6*'01 Assumptions'!$B$7,'02 AP Transactions'!F10&lt;'01 Assumptions'!$B$6,COUNTIFS('02 AP Transactions'!$B$5:$B$26,'02 AP Transactions'!B10,'02 AP Transactions'!$E$5:$E$26,'02 AP Transactions'!E10)&gt;1),1,0)</f>
        <v>0</v>
      </c>
      <c r="K10" s="39" t="str">
        <f t="shared" si="0"/>
        <v>-</v>
      </c>
      <c r="L10" s="40" t="str">
        <f t="shared" si="1"/>
        <v>-</v>
      </c>
      <c r="M10" s="41">
        <f t="shared" si="2"/>
        <v>0</v>
      </c>
      <c r="N10" s="12" t="str">
        <f>IF(I10=1,"Hold &amp; verify (callback)",IF(F10=1,IF('02 AP Transactions'!O10="Pending","Block payment","Recover / claw back"),IF(G10&gt;0,IF('02 AP Transactions'!O10="Pending","Short-pay to PO/GR","Recover overbilled"),IF(J10=1,"Investigate approval",IF(H10&gt;0,"Fix discount process","-")))))</f>
        <v>-</v>
      </c>
      <c r="O10" s="34" t="str">
        <f>'02 AP Transactions'!O10</f>
        <v>Paid</v>
      </c>
      <c r="P10" s="42" t="str">
        <f t="shared" si="3"/>
        <v/>
      </c>
    </row>
    <row r="11" spans="1:16">
      <c r="A11" s="34" t="str">
        <f>'02 AP Transactions'!A11</f>
        <v>T07</v>
      </c>
      <c r="B11" s="35" t="str">
        <f>'02 AP Transactions'!B11</f>
        <v>Shenzhen Micro Ltd</v>
      </c>
      <c r="C11" s="34" t="str">
        <f>'02 AP Transactions'!D11</f>
        <v>INV-8801</v>
      </c>
      <c r="D11" s="36">
        <f>'02 AP Transactions'!F11</f>
        <v>1850</v>
      </c>
      <c r="E11" s="37">
        <f>COUNTIF('02 AP Transactions'!$D$5:$D$26,'02 AP Transactions'!D11)</f>
        <v>2</v>
      </c>
      <c r="F11" s="37">
        <f>IF(COUNTIF('02 AP Transactions'!$D$5:$D11,'02 AP Transactions'!D11)&gt;1,1,0)</f>
        <v>1</v>
      </c>
      <c r="G11" s="38">
        <f>IF(AND('02 AP Transactions'!G11&gt;0,'02 AP Transactions'!H11&gt;0),MAX(0,'02 AP Transactions'!F11-MIN('02 AP Transactions'!G11,'02 AP Transactions'!H11)),0)</f>
        <v>0</v>
      </c>
      <c r="H11" s="38">
        <f>IF(AND('02 AP Transactions'!J11&gt;0,'02 AP Transactions'!L11&gt;'02 AP Transactions'!K11,'02 AP Transactions'!O11="Paid"),'02 AP Transactions'!J11*'02 AP Transactions'!F11,0)</f>
        <v>0</v>
      </c>
      <c r="I11" s="37">
        <f>IF('02 AP Transactions'!M11="Yes",1,0)</f>
        <v>0</v>
      </c>
      <c r="J11" s="37">
        <f>IF(AND('02 AP Transactions'!F11&gt;='01 Assumptions'!$B$6*'01 Assumptions'!$B$7,'02 AP Transactions'!F11&lt;'01 Assumptions'!$B$6,COUNTIFS('02 AP Transactions'!$B$5:$B$26,'02 AP Transactions'!B11,'02 AP Transactions'!$E$5:$E$26,'02 AP Transactions'!E11)&gt;1),1,0)</f>
        <v>0</v>
      </c>
      <c r="K11" s="39" t="str">
        <f t="shared" si="0"/>
        <v>Duplicate payment</v>
      </c>
      <c r="L11" s="40" t="str">
        <f t="shared" si="1"/>
        <v>High</v>
      </c>
      <c r="M11" s="41">
        <f t="shared" si="2"/>
        <v>1850</v>
      </c>
      <c r="N11" s="12" t="str">
        <f>IF(I11=1,"Hold &amp; verify (callback)",IF(F11=1,IF('02 AP Transactions'!O11="Pending","Block payment","Recover / claw back"),IF(G11&gt;0,IF('02 AP Transactions'!O11="Pending","Short-pay to PO/GR","Recover overbilled"),IF(J11=1,"Investigate approval",IF(H11&gt;0,"Fix discount process","-")))))</f>
        <v>Recover / claw back</v>
      </c>
      <c r="O11" s="34" t="str">
        <f>'02 AP Transactions'!O11</f>
        <v>Paid</v>
      </c>
      <c r="P11" s="42" t="str">
        <f t="shared" si="3"/>
        <v>FLAG</v>
      </c>
    </row>
    <row r="12" spans="1:16">
      <c r="A12" s="34" t="str">
        <f>'02 AP Transactions'!A12</f>
        <v>T08</v>
      </c>
      <c r="B12" s="35" t="str">
        <f>'02 AP Transactions'!B12</f>
        <v>Taipei Semicon Co</v>
      </c>
      <c r="C12" s="34" t="str">
        <f>'02 AP Transactions'!D12</f>
        <v>INV-TS-551</v>
      </c>
      <c r="D12" s="36">
        <f>'02 AP Transactions'!F12</f>
        <v>3200</v>
      </c>
      <c r="E12" s="37">
        <f>COUNTIF('02 AP Transactions'!$D$5:$D$26,'02 AP Transactions'!D12)</f>
        <v>1</v>
      </c>
      <c r="F12" s="37">
        <f>IF(COUNTIF('02 AP Transactions'!$D$5:$D12,'02 AP Transactions'!D12)&gt;1,1,0)</f>
        <v>0</v>
      </c>
      <c r="G12" s="38">
        <f>IF(AND('02 AP Transactions'!G12&gt;0,'02 AP Transactions'!H12&gt;0),MAX(0,'02 AP Transactions'!F12-MIN('02 AP Transactions'!G12,'02 AP Transactions'!H12)),0)</f>
        <v>400</v>
      </c>
      <c r="H12" s="38">
        <f>IF(AND('02 AP Transactions'!J12&gt;0,'02 AP Transactions'!L12&gt;'02 AP Transactions'!K12,'02 AP Transactions'!O12="Paid"),'02 AP Transactions'!J12*'02 AP Transactions'!F12,0)</f>
        <v>0</v>
      </c>
      <c r="I12" s="37">
        <f>IF('02 AP Transactions'!M12="Yes",1,0)</f>
        <v>0</v>
      </c>
      <c r="J12" s="37">
        <f>IF(AND('02 AP Transactions'!F12&gt;='01 Assumptions'!$B$6*'01 Assumptions'!$B$7,'02 AP Transactions'!F12&lt;'01 Assumptions'!$B$6,COUNTIFS('02 AP Transactions'!$B$5:$B$26,'02 AP Transactions'!B12,'02 AP Transactions'!$E$5:$E$26,'02 AP Transactions'!E12)&gt;1),1,0)</f>
        <v>0</v>
      </c>
      <c r="K12" s="39" t="str">
        <f t="shared" si="0"/>
        <v>Overbilling (3-way)</v>
      </c>
      <c r="L12" s="40" t="str">
        <f t="shared" si="1"/>
        <v>Medium</v>
      </c>
      <c r="M12" s="41">
        <f t="shared" si="2"/>
        <v>400</v>
      </c>
      <c r="N12" s="12" t="str">
        <f>IF(I12=1,"Hold &amp; verify (callback)",IF(F12=1,IF('02 AP Transactions'!O12="Pending","Block payment","Recover / claw back"),IF(G12&gt;0,IF('02 AP Transactions'!O12="Pending","Short-pay to PO/GR","Recover overbilled"),IF(J12=1,"Investigate approval",IF(H12&gt;0,"Fix discount process","-")))))</f>
        <v>Recover overbilled</v>
      </c>
      <c r="O12" s="34" t="str">
        <f>'02 AP Transactions'!O12</f>
        <v>Paid</v>
      </c>
      <c r="P12" s="42" t="str">
        <f t="shared" si="3"/>
        <v>FLAG</v>
      </c>
    </row>
    <row r="13" spans="1:16">
      <c r="A13" s="34" t="str">
        <f>'02 AP Transactions'!A13</f>
        <v>T09</v>
      </c>
      <c r="B13" s="35" t="str">
        <f>'02 AP Transactions'!B13</f>
        <v>Osaka Precision KK</v>
      </c>
      <c r="C13" s="34" t="str">
        <f>'02 AP Transactions'!D13</f>
        <v>INV-OP-330</v>
      </c>
      <c r="D13" s="36">
        <f>'02 AP Transactions'!F13</f>
        <v>4500</v>
      </c>
      <c r="E13" s="37">
        <f>COUNTIF('02 AP Transactions'!$D$5:$D$26,'02 AP Transactions'!D13)</f>
        <v>1</v>
      </c>
      <c r="F13" s="37">
        <f>IF(COUNTIF('02 AP Transactions'!$D$5:$D13,'02 AP Transactions'!D13)&gt;1,1,0)</f>
        <v>0</v>
      </c>
      <c r="G13" s="38">
        <f>IF(AND('02 AP Transactions'!G13&gt;0,'02 AP Transactions'!H13&gt;0),MAX(0,'02 AP Transactions'!F13-MIN('02 AP Transactions'!G13,'02 AP Transactions'!H13)),0)</f>
        <v>500</v>
      </c>
      <c r="H13" s="38">
        <f>IF(AND('02 AP Transactions'!J13&gt;0,'02 AP Transactions'!L13&gt;'02 AP Transactions'!K13,'02 AP Transactions'!O13="Paid"),'02 AP Transactions'!J13*'02 AP Transactions'!F13,0)</f>
        <v>0</v>
      </c>
      <c r="I13" s="37">
        <f>IF('02 AP Transactions'!M13="Yes",1,0)</f>
        <v>0</v>
      </c>
      <c r="J13" s="37">
        <f>IF(AND('02 AP Transactions'!F13&gt;='01 Assumptions'!$B$6*'01 Assumptions'!$B$7,'02 AP Transactions'!F13&lt;'01 Assumptions'!$B$6,COUNTIFS('02 AP Transactions'!$B$5:$B$26,'02 AP Transactions'!B13,'02 AP Transactions'!$E$5:$E$26,'02 AP Transactions'!E13)&gt;1),1,0)</f>
        <v>0</v>
      </c>
      <c r="K13" s="39" t="str">
        <f t="shared" si="0"/>
        <v>Overbilling (3-way)</v>
      </c>
      <c r="L13" s="40" t="str">
        <f t="shared" si="1"/>
        <v>Medium</v>
      </c>
      <c r="M13" s="41">
        <f t="shared" si="2"/>
        <v>500</v>
      </c>
      <c r="N13" s="12" t="str">
        <f>IF(I13=1,"Hold &amp; verify (callback)",IF(F13=1,IF('02 AP Transactions'!O13="Pending","Block payment","Recover / claw back"),IF(G13&gt;0,IF('02 AP Transactions'!O13="Pending","Short-pay to PO/GR","Recover overbilled"),IF(J13=1,"Investigate approval",IF(H13&gt;0,"Fix discount process","-")))))</f>
        <v>Short-pay to PO/GR</v>
      </c>
      <c r="O13" s="34" t="str">
        <f>'02 AP Transactions'!O13</f>
        <v>Pending</v>
      </c>
      <c r="P13" s="42" t="str">
        <f t="shared" si="3"/>
        <v>FLAG</v>
      </c>
    </row>
    <row r="14" spans="1:16">
      <c r="A14" s="34" t="str">
        <f>'02 AP Transactions'!A14</f>
        <v>T10</v>
      </c>
      <c r="B14" s="35" t="str">
        <f>'02 AP Transactions'!B14</f>
        <v>PT Logistik Andalan</v>
      </c>
      <c r="C14" s="34" t="str">
        <f>'02 AP Transactions'!D14</f>
        <v>INV-LA-110</v>
      </c>
      <c r="D14" s="36">
        <f>'02 AP Transactions'!F14</f>
        <v>2000</v>
      </c>
      <c r="E14" s="37">
        <f>COUNTIF('02 AP Transactions'!$D$5:$D$26,'02 AP Transactions'!D14)</f>
        <v>1</v>
      </c>
      <c r="F14" s="37">
        <f>IF(COUNTIF('02 AP Transactions'!$D$5:$D14,'02 AP Transactions'!D14)&gt;1,1,0)</f>
        <v>0</v>
      </c>
      <c r="G14" s="38">
        <f>IF(AND('02 AP Transactions'!G14&gt;0,'02 AP Transactions'!H14&gt;0),MAX(0,'02 AP Transactions'!F14-MIN('02 AP Transactions'!G14,'02 AP Transactions'!H14)),0)</f>
        <v>0</v>
      </c>
      <c r="H14" s="38">
        <f>IF(AND('02 AP Transactions'!J14&gt;0,'02 AP Transactions'!L14&gt;'02 AP Transactions'!K14,'02 AP Transactions'!O14="Paid"),'02 AP Transactions'!J14*'02 AP Transactions'!F14,0)</f>
        <v>40</v>
      </c>
      <c r="I14" s="37">
        <f>IF('02 AP Transactions'!M14="Yes",1,0)</f>
        <v>0</v>
      </c>
      <c r="J14" s="37">
        <f>IF(AND('02 AP Transactions'!F14&gt;='01 Assumptions'!$B$6*'01 Assumptions'!$B$7,'02 AP Transactions'!F14&lt;'01 Assumptions'!$B$6,COUNTIFS('02 AP Transactions'!$B$5:$B$26,'02 AP Transactions'!B14,'02 AP Transactions'!$E$5:$E$26,'02 AP Transactions'!E14)&gt;1),1,0)</f>
        <v>0</v>
      </c>
      <c r="K14" s="39" t="str">
        <f t="shared" si="0"/>
        <v>Lost discount</v>
      </c>
      <c r="L14" s="40" t="str">
        <f t="shared" si="1"/>
        <v>Low</v>
      </c>
      <c r="M14" s="41">
        <f t="shared" si="2"/>
        <v>40</v>
      </c>
      <c r="N14" s="12" t="str">
        <f>IF(I14=1,"Hold &amp; verify (callback)",IF(F14=1,IF('02 AP Transactions'!O14="Pending","Block payment","Recover / claw back"),IF(G14&gt;0,IF('02 AP Transactions'!O14="Pending","Short-pay to PO/GR","Recover overbilled"),IF(J14=1,"Investigate approval",IF(H14&gt;0,"Fix discount process","-")))))</f>
        <v>Fix discount process</v>
      </c>
      <c r="O14" s="34" t="str">
        <f>'02 AP Transactions'!O14</f>
        <v>Paid</v>
      </c>
      <c r="P14" s="42" t="str">
        <f t="shared" si="3"/>
        <v>FLAG</v>
      </c>
    </row>
    <row r="15" spans="1:16">
      <c r="A15" s="34" t="str">
        <f>'02 AP Transactions'!A15</f>
        <v>T11</v>
      </c>
      <c r="B15" s="35" t="str">
        <f>'02 AP Transactions'!B15</f>
        <v>PT Energi Pratama</v>
      </c>
      <c r="C15" s="34" t="str">
        <f>'02 AP Transactions'!D15</f>
        <v>INV-EP-140</v>
      </c>
      <c r="D15" s="36">
        <f>'02 AP Transactions'!F15</f>
        <v>1500</v>
      </c>
      <c r="E15" s="37">
        <f>COUNTIF('02 AP Transactions'!$D$5:$D$26,'02 AP Transactions'!D15)</f>
        <v>1</v>
      </c>
      <c r="F15" s="37">
        <f>IF(COUNTIF('02 AP Transactions'!$D$5:$D15,'02 AP Transactions'!D15)&gt;1,1,0)</f>
        <v>0</v>
      </c>
      <c r="G15" s="38">
        <f>IF(AND('02 AP Transactions'!G15&gt;0,'02 AP Transactions'!H15&gt;0),MAX(0,'02 AP Transactions'!F15-MIN('02 AP Transactions'!G15,'02 AP Transactions'!H15)),0)</f>
        <v>0</v>
      </c>
      <c r="H15" s="38">
        <f>IF(AND('02 AP Transactions'!J15&gt;0,'02 AP Transactions'!L15&gt;'02 AP Transactions'!K15,'02 AP Transactions'!O15="Paid"),'02 AP Transactions'!J15*'02 AP Transactions'!F15,0)</f>
        <v>30</v>
      </c>
      <c r="I15" s="37">
        <f>IF('02 AP Transactions'!M15="Yes",1,0)</f>
        <v>0</v>
      </c>
      <c r="J15" s="37">
        <f>IF(AND('02 AP Transactions'!F15&gt;='01 Assumptions'!$B$6*'01 Assumptions'!$B$7,'02 AP Transactions'!F15&lt;'01 Assumptions'!$B$6,COUNTIFS('02 AP Transactions'!$B$5:$B$26,'02 AP Transactions'!B15,'02 AP Transactions'!$E$5:$E$26,'02 AP Transactions'!E15)&gt;1),1,0)</f>
        <v>0</v>
      </c>
      <c r="K15" s="39" t="str">
        <f t="shared" si="0"/>
        <v>Lost discount</v>
      </c>
      <c r="L15" s="40" t="str">
        <f t="shared" si="1"/>
        <v>Low</v>
      </c>
      <c r="M15" s="41">
        <f t="shared" si="2"/>
        <v>30</v>
      </c>
      <c r="N15" s="12" t="str">
        <f>IF(I15=1,"Hold &amp; verify (callback)",IF(F15=1,IF('02 AP Transactions'!O15="Pending","Block payment","Recover / claw back"),IF(G15&gt;0,IF('02 AP Transactions'!O15="Pending","Short-pay to PO/GR","Recover overbilled"),IF(J15=1,"Investigate approval",IF(H15&gt;0,"Fix discount process","-")))))</f>
        <v>Fix discount process</v>
      </c>
      <c r="O15" s="34" t="str">
        <f>'02 AP Transactions'!O15</f>
        <v>Paid</v>
      </c>
      <c r="P15" s="42" t="str">
        <f t="shared" si="3"/>
        <v>FLAG</v>
      </c>
    </row>
    <row r="16" spans="1:16">
      <c r="A16" s="34" t="str">
        <f>'02 AP Transactions'!A16</f>
        <v>T12</v>
      </c>
      <c r="B16" s="35" t="str">
        <f>'02 AP Transactions'!B16</f>
        <v>PT Bahan Baku Lokal</v>
      </c>
      <c r="C16" s="34" t="str">
        <f>'02 AP Transactions'!D16</f>
        <v>INV-BBL-260</v>
      </c>
      <c r="D16" s="36">
        <f>'02 AP Transactions'!F16</f>
        <v>2500</v>
      </c>
      <c r="E16" s="37">
        <f>COUNTIF('02 AP Transactions'!$D$5:$D$26,'02 AP Transactions'!D16)</f>
        <v>1</v>
      </c>
      <c r="F16" s="37">
        <f>IF(COUNTIF('02 AP Transactions'!$D$5:$D16,'02 AP Transactions'!D16)&gt;1,1,0)</f>
        <v>0</v>
      </c>
      <c r="G16" s="38">
        <f>IF(AND('02 AP Transactions'!G16&gt;0,'02 AP Transactions'!H16&gt;0),MAX(0,'02 AP Transactions'!F16-MIN('02 AP Transactions'!G16,'02 AP Transactions'!H16)),0)</f>
        <v>0</v>
      </c>
      <c r="H16" s="38">
        <f>IF(AND('02 AP Transactions'!J16&gt;0,'02 AP Transactions'!L16&gt;'02 AP Transactions'!K16,'02 AP Transactions'!O16="Paid"),'02 AP Transactions'!J16*'02 AP Transactions'!F16,0)</f>
        <v>25</v>
      </c>
      <c r="I16" s="37">
        <f>IF('02 AP Transactions'!M16="Yes",1,0)</f>
        <v>0</v>
      </c>
      <c r="J16" s="37">
        <f>IF(AND('02 AP Transactions'!F16&gt;='01 Assumptions'!$B$6*'01 Assumptions'!$B$7,'02 AP Transactions'!F16&lt;'01 Assumptions'!$B$6,COUNTIFS('02 AP Transactions'!$B$5:$B$26,'02 AP Transactions'!B16,'02 AP Transactions'!$E$5:$E$26,'02 AP Transactions'!E16)&gt;1),1,0)</f>
        <v>0</v>
      </c>
      <c r="K16" s="39" t="str">
        <f t="shared" si="0"/>
        <v>Lost discount</v>
      </c>
      <c r="L16" s="40" t="str">
        <f t="shared" si="1"/>
        <v>Low</v>
      </c>
      <c r="M16" s="41">
        <f t="shared" si="2"/>
        <v>25</v>
      </c>
      <c r="N16" s="12" t="str">
        <f>IF(I16=1,"Hold &amp; verify (callback)",IF(F16=1,IF('02 AP Transactions'!O16="Pending","Block payment","Recover / claw back"),IF(G16&gt;0,IF('02 AP Transactions'!O16="Pending","Short-pay to PO/GR","Recover overbilled"),IF(J16=1,"Investigate approval",IF(H16&gt;0,"Fix discount process","-")))))</f>
        <v>Fix discount process</v>
      </c>
      <c r="O16" s="34" t="str">
        <f>'02 AP Transactions'!O16</f>
        <v>Paid</v>
      </c>
      <c r="P16" s="42" t="str">
        <f t="shared" si="3"/>
        <v>FLAG</v>
      </c>
    </row>
    <row r="17" spans="1:16">
      <c r="A17" s="34" t="str">
        <f>'02 AP Transactions'!A17</f>
        <v>T13</v>
      </c>
      <c r="B17" s="35" t="str">
        <f>'02 AP Transactions'!B17</f>
        <v>Osaka Precision KK</v>
      </c>
      <c r="C17" s="34" t="str">
        <f>'02 AP Transactions'!D17</f>
        <v>INV-OP-345</v>
      </c>
      <c r="D17" s="36">
        <f>'02 AP Transactions'!F17</f>
        <v>3800</v>
      </c>
      <c r="E17" s="37">
        <f>COUNTIF('02 AP Transactions'!$D$5:$D$26,'02 AP Transactions'!D17)</f>
        <v>1</v>
      </c>
      <c r="F17" s="37">
        <f>IF(COUNTIF('02 AP Transactions'!$D$5:$D17,'02 AP Transactions'!D17)&gt;1,1,0)</f>
        <v>0</v>
      </c>
      <c r="G17" s="38">
        <f>IF(AND('02 AP Transactions'!G17&gt;0,'02 AP Transactions'!H17&gt;0),MAX(0,'02 AP Transactions'!F17-MIN('02 AP Transactions'!G17,'02 AP Transactions'!H17)),0)</f>
        <v>0</v>
      </c>
      <c r="H17" s="38">
        <f>IF(AND('02 AP Transactions'!J17&gt;0,'02 AP Transactions'!L17&gt;'02 AP Transactions'!K17,'02 AP Transactions'!O17="Paid"),'02 AP Transactions'!J17*'02 AP Transactions'!F17,0)</f>
        <v>0</v>
      </c>
      <c r="I17" s="37">
        <f>IF('02 AP Transactions'!M17="Yes",1,0)</f>
        <v>1</v>
      </c>
      <c r="J17" s="37">
        <f>IF(AND('02 AP Transactions'!F17&gt;='01 Assumptions'!$B$6*'01 Assumptions'!$B$7,'02 AP Transactions'!F17&lt;'01 Assumptions'!$B$6,COUNTIFS('02 AP Transactions'!$B$5:$B$26,'02 AP Transactions'!B17,'02 AP Transactions'!$E$5:$E$26,'02 AP Transactions'!E17)&gt;1),1,0)</f>
        <v>0</v>
      </c>
      <c r="K17" s="39" t="str">
        <f t="shared" si="0"/>
        <v>Bank-change fraud</v>
      </c>
      <c r="L17" s="40" t="str">
        <f t="shared" si="1"/>
        <v>High</v>
      </c>
      <c r="M17" s="41">
        <f t="shared" si="2"/>
        <v>3800</v>
      </c>
      <c r="N17" s="12" t="str">
        <f>IF(I17=1,"Hold &amp; verify (callback)",IF(F17=1,IF('02 AP Transactions'!O17="Pending","Block payment","Recover / claw back"),IF(G17&gt;0,IF('02 AP Transactions'!O17="Pending","Short-pay to PO/GR","Recover overbilled"),IF(J17=1,"Investigate approval",IF(H17&gt;0,"Fix discount process","-")))))</f>
        <v>Hold &amp; verify (callback)</v>
      </c>
      <c r="O17" s="34" t="str">
        <f>'02 AP Transactions'!O17</f>
        <v>Pending</v>
      </c>
      <c r="P17" s="42" t="str">
        <f t="shared" si="3"/>
        <v>FLAG</v>
      </c>
    </row>
    <row r="18" spans="1:16">
      <c r="A18" s="34" t="str">
        <f>'02 AP Transactions'!A18</f>
        <v>T14</v>
      </c>
      <c r="B18" s="35" t="str">
        <f>'02 AP Transactions'!B18</f>
        <v>PT Bahan Baku Lokal</v>
      </c>
      <c r="C18" s="34" t="str">
        <f>'02 AP Transactions'!D18</f>
        <v>INV-BBL-220</v>
      </c>
      <c r="D18" s="36">
        <f>'02 AP Transactions'!F18</f>
        <v>1200</v>
      </c>
      <c r="E18" s="37">
        <f>COUNTIF('02 AP Transactions'!$D$5:$D$26,'02 AP Transactions'!D18)</f>
        <v>2</v>
      </c>
      <c r="F18" s="37">
        <f>IF(COUNTIF('02 AP Transactions'!$D$5:$D18,'02 AP Transactions'!D18)&gt;1,1,0)</f>
        <v>0</v>
      </c>
      <c r="G18" s="38">
        <f>IF(AND('02 AP Transactions'!G18&gt;0,'02 AP Transactions'!H18&gt;0),MAX(0,'02 AP Transactions'!F18-MIN('02 AP Transactions'!G18,'02 AP Transactions'!H18)),0)</f>
        <v>0</v>
      </c>
      <c r="H18" s="38">
        <f>IF(AND('02 AP Transactions'!J18&gt;0,'02 AP Transactions'!L18&gt;'02 AP Transactions'!K18,'02 AP Transactions'!O18="Paid"),'02 AP Transactions'!J18*'02 AP Transactions'!F18,0)</f>
        <v>0</v>
      </c>
      <c r="I18" s="37">
        <f>IF('02 AP Transactions'!M18="Yes",1,0)</f>
        <v>0</v>
      </c>
      <c r="J18" s="37">
        <f>IF(AND('02 AP Transactions'!F18&gt;='01 Assumptions'!$B$6*'01 Assumptions'!$B$7,'02 AP Transactions'!F18&lt;'01 Assumptions'!$B$6,COUNTIFS('02 AP Transactions'!$B$5:$B$26,'02 AP Transactions'!B18,'02 AP Transactions'!$E$5:$E$26,'02 AP Transactions'!E18)&gt;1),1,0)</f>
        <v>0</v>
      </c>
      <c r="K18" s="39" t="str">
        <f t="shared" si="0"/>
        <v>-</v>
      </c>
      <c r="L18" s="40" t="str">
        <f t="shared" si="1"/>
        <v>-</v>
      </c>
      <c r="M18" s="41">
        <f t="shared" si="2"/>
        <v>0</v>
      </c>
      <c r="N18" s="12" t="str">
        <f>IF(I18=1,"Hold &amp; verify (callback)",IF(F18=1,IF('02 AP Transactions'!O18="Pending","Block payment","Recover / claw back"),IF(G18&gt;0,IF('02 AP Transactions'!O18="Pending","Short-pay to PO/GR","Recover overbilled"),IF(J18=1,"Investigate approval",IF(H18&gt;0,"Fix discount process","-")))))</f>
        <v>-</v>
      </c>
      <c r="O18" s="34" t="str">
        <f>'02 AP Transactions'!O18</f>
        <v>Paid</v>
      </c>
      <c r="P18" s="42" t="str">
        <f t="shared" si="3"/>
        <v/>
      </c>
    </row>
    <row r="19" spans="1:16">
      <c r="A19" s="34" t="str">
        <f>'02 AP Transactions'!A19</f>
        <v>T15</v>
      </c>
      <c r="B19" s="35" t="str">
        <f>'02 AP Transactions'!B19</f>
        <v>PT Bahan Baku Lokal (cabang)</v>
      </c>
      <c r="C19" s="34" t="str">
        <f>'02 AP Transactions'!D19</f>
        <v>INV-BBL-220</v>
      </c>
      <c r="D19" s="36">
        <f>'02 AP Transactions'!F19</f>
        <v>1200</v>
      </c>
      <c r="E19" s="37">
        <f>COUNTIF('02 AP Transactions'!$D$5:$D$26,'02 AP Transactions'!D19)</f>
        <v>2</v>
      </c>
      <c r="F19" s="37">
        <f>IF(COUNTIF('02 AP Transactions'!$D$5:$D19,'02 AP Transactions'!D19)&gt;1,1,0)</f>
        <v>1</v>
      </c>
      <c r="G19" s="38">
        <f>IF(AND('02 AP Transactions'!G19&gt;0,'02 AP Transactions'!H19&gt;0),MAX(0,'02 AP Transactions'!F19-MIN('02 AP Transactions'!G19,'02 AP Transactions'!H19)),0)</f>
        <v>0</v>
      </c>
      <c r="H19" s="38">
        <f>IF(AND('02 AP Transactions'!J19&gt;0,'02 AP Transactions'!L19&gt;'02 AP Transactions'!K19,'02 AP Transactions'!O19="Paid"),'02 AP Transactions'!J19*'02 AP Transactions'!F19,0)</f>
        <v>0</v>
      </c>
      <c r="I19" s="37">
        <f>IF('02 AP Transactions'!M19="Yes",1,0)</f>
        <v>0</v>
      </c>
      <c r="J19" s="37">
        <f>IF(AND('02 AP Transactions'!F19&gt;='01 Assumptions'!$B$6*'01 Assumptions'!$B$7,'02 AP Transactions'!F19&lt;'01 Assumptions'!$B$6,COUNTIFS('02 AP Transactions'!$B$5:$B$26,'02 AP Transactions'!B19,'02 AP Transactions'!$E$5:$E$26,'02 AP Transactions'!E19)&gt;1),1,0)</f>
        <v>0</v>
      </c>
      <c r="K19" s="39" t="str">
        <f t="shared" si="0"/>
        <v>Duplicate payment</v>
      </c>
      <c r="L19" s="40" t="str">
        <f t="shared" si="1"/>
        <v>High</v>
      </c>
      <c r="M19" s="41">
        <f t="shared" si="2"/>
        <v>1200</v>
      </c>
      <c r="N19" s="12" t="str">
        <f>IF(I19=1,"Hold &amp; verify (callback)",IF(F19=1,IF('02 AP Transactions'!O19="Pending","Block payment","Recover / claw back"),IF(G19&gt;0,IF('02 AP Transactions'!O19="Pending","Short-pay to PO/GR","Recover overbilled"),IF(J19=1,"Investigate approval",IF(H19&gt;0,"Fix discount process","-")))))</f>
        <v>Recover / claw back</v>
      </c>
      <c r="O19" s="34" t="str">
        <f>'02 AP Transactions'!O19</f>
        <v>Paid</v>
      </c>
      <c r="P19" s="42" t="str">
        <f t="shared" si="3"/>
        <v>FLAG</v>
      </c>
    </row>
    <row r="20" spans="1:16">
      <c r="A20" s="34" t="str">
        <f>'02 AP Transactions'!A20</f>
        <v>T16</v>
      </c>
      <c r="B20" s="35" t="str">
        <f>'02 AP Transactions'!B20</f>
        <v>PT Kemasan Prima</v>
      </c>
      <c r="C20" s="34" t="str">
        <f>'02 AP Transactions'!D20</f>
        <v>INV-KP-501</v>
      </c>
      <c r="D20" s="36">
        <f>'02 AP Transactions'!F20</f>
        <v>980</v>
      </c>
      <c r="E20" s="37">
        <f>COUNTIF('02 AP Transactions'!$D$5:$D$26,'02 AP Transactions'!D20)</f>
        <v>1</v>
      </c>
      <c r="F20" s="37">
        <f>IF(COUNTIF('02 AP Transactions'!$D$5:$D20,'02 AP Transactions'!D20)&gt;1,1,0)</f>
        <v>0</v>
      </c>
      <c r="G20" s="38">
        <f>IF(AND('02 AP Transactions'!G20&gt;0,'02 AP Transactions'!H20&gt;0),MAX(0,'02 AP Transactions'!F20-MIN('02 AP Transactions'!G20,'02 AP Transactions'!H20)),0)</f>
        <v>0</v>
      </c>
      <c r="H20" s="38">
        <f>IF(AND('02 AP Transactions'!J20&gt;0,'02 AP Transactions'!L20&gt;'02 AP Transactions'!K20,'02 AP Transactions'!O20="Paid"),'02 AP Transactions'!J20*'02 AP Transactions'!F20,0)</f>
        <v>0</v>
      </c>
      <c r="I20" s="37">
        <f>IF('02 AP Transactions'!M20="Yes",1,0)</f>
        <v>0</v>
      </c>
      <c r="J20" s="37">
        <f>IF(AND('02 AP Transactions'!F20&gt;='01 Assumptions'!$B$6*'01 Assumptions'!$B$7,'02 AP Transactions'!F20&lt;'01 Assumptions'!$B$6,COUNTIFS('02 AP Transactions'!$B$5:$B$26,'02 AP Transactions'!B20,'02 AP Transactions'!$E$5:$E$26,'02 AP Transactions'!E20)&gt;1),1,0)</f>
        <v>1</v>
      </c>
      <c r="K20" s="39" t="str">
        <f t="shared" si="0"/>
        <v>Split / threshold</v>
      </c>
      <c r="L20" s="40" t="str">
        <f t="shared" si="1"/>
        <v>Medium</v>
      </c>
      <c r="M20" s="41">
        <f t="shared" si="2"/>
        <v>0</v>
      </c>
      <c r="N20" s="12" t="str">
        <f>IF(I20=1,"Hold &amp; verify (callback)",IF(F20=1,IF('02 AP Transactions'!O20="Pending","Block payment","Recover / claw back"),IF(G20&gt;0,IF('02 AP Transactions'!O20="Pending","Short-pay to PO/GR","Recover overbilled"),IF(J20=1,"Investigate approval",IF(H20&gt;0,"Fix discount process","-")))))</f>
        <v>Investigate approval</v>
      </c>
      <c r="O20" s="34" t="str">
        <f>'02 AP Transactions'!O20</f>
        <v>Paid</v>
      </c>
      <c r="P20" s="42" t="str">
        <f t="shared" si="3"/>
        <v>FLAG</v>
      </c>
    </row>
    <row r="21" spans="1:16">
      <c r="A21" s="34" t="str">
        <f>'02 AP Transactions'!A21</f>
        <v>T17</v>
      </c>
      <c r="B21" s="35" t="str">
        <f>'02 AP Transactions'!B21</f>
        <v>PT Kemasan Prima</v>
      </c>
      <c r="C21" s="34" t="str">
        <f>'02 AP Transactions'!D21</f>
        <v>INV-KP-502</v>
      </c>
      <c r="D21" s="36">
        <f>'02 AP Transactions'!F21</f>
        <v>970</v>
      </c>
      <c r="E21" s="37">
        <f>COUNTIF('02 AP Transactions'!$D$5:$D$26,'02 AP Transactions'!D21)</f>
        <v>1</v>
      </c>
      <c r="F21" s="37">
        <f>IF(COUNTIF('02 AP Transactions'!$D$5:$D21,'02 AP Transactions'!D21)&gt;1,1,0)</f>
        <v>0</v>
      </c>
      <c r="G21" s="38">
        <f>IF(AND('02 AP Transactions'!G21&gt;0,'02 AP Transactions'!H21&gt;0),MAX(0,'02 AP Transactions'!F21-MIN('02 AP Transactions'!G21,'02 AP Transactions'!H21)),0)</f>
        <v>0</v>
      </c>
      <c r="H21" s="38">
        <f>IF(AND('02 AP Transactions'!J21&gt;0,'02 AP Transactions'!L21&gt;'02 AP Transactions'!K21,'02 AP Transactions'!O21="Paid"),'02 AP Transactions'!J21*'02 AP Transactions'!F21,0)</f>
        <v>0</v>
      </c>
      <c r="I21" s="37">
        <f>IF('02 AP Transactions'!M21="Yes",1,0)</f>
        <v>0</v>
      </c>
      <c r="J21" s="37">
        <f>IF(AND('02 AP Transactions'!F21&gt;='01 Assumptions'!$B$6*'01 Assumptions'!$B$7,'02 AP Transactions'!F21&lt;'01 Assumptions'!$B$6,COUNTIFS('02 AP Transactions'!$B$5:$B$26,'02 AP Transactions'!B21,'02 AP Transactions'!$E$5:$E$26,'02 AP Transactions'!E21)&gt;1),1,0)</f>
        <v>1</v>
      </c>
      <c r="K21" s="39" t="str">
        <f t="shared" si="0"/>
        <v>Split / threshold</v>
      </c>
      <c r="L21" s="40" t="str">
        <f t="shared" si="1"/>
        <v>Medium</v>
      </c>
      <c r="M21" s="41">
        <f t="shared" si="2"/>
        <v>0</v>
      </c>
      <c r="N21" s="12" t="str">
        <f>IF(I21=1,"Hold &amp; verify (callback)",IF(F21=1,IF('02 AP Transactions'!O21="Pending","Block payment","Recover / claw back"),IF(G21&gt;0,IF('02 AP Transactions'!O21="Pending","Short-pay to PO/GR","Recover overbilled"),IF(J21=1,"Investigate approval",IF(H21&gt;0,"Fix discount process","-")))))</f>
        <v>Investigate approval</v>
      </c>
      <c r="O21" s="34" t="str">
        <f>'02 AP Transactions'!O21</f>
        <v>Paid</v>
      </c>
      <c r="P21" s="42" t="str">
        <f t="shared" si="3"/>
        <v>FLAG</v>
      </c>
    </row>
    <row r="22" spans="1:16">
      <c r="A22" s="34" t="str">
        <f>'02 AP Transactions'!A22</f>
        <v>T18</v>
      </c>
      <c r="B22" s="35" t="str">
        <f>'02 AP Transactions'!B22</f>
        <v>Taipei Semicon Co</v>
      </c>
      <c r="C22" s="34" t="str">
        <f>'02 AP Transactions'!D22</f>
        <v>INV-TS-560</v>
      </c>
      <c r="D22" s="36">
        <f>'02 AP Transactions'!F22</f>
        <v>2100</v>
      </c>
      <c r="E22" s="37">
        <f>COUNTIF('02 AP Transactions'!$D$5:$D$26,'02 AP Transactions'!D22)</f>
        <v>1</v>
      </c>
      <c r="F22" s="37">
        <f>IF(COUNTIF('02 AP Transactions'!$D$5:$D22,'02 AP Transactions'!D22)&gt;1,1,0)</f>
        <v>0</v>
      </c>
      <c r="G22" s="38">
        <f>IF(AND('02 AP Transactions'!G22&gt;0,'02 AP Transactions'!H22&gt;0),MAX(0,'02 AP Transactions'!F22-MIN('02 AP Transactions'!G22,'02 AP Transactions'!H22)),0)</f>
        <v>0</v>
      </c>
      <c r="H22" s="38">
        <f>IF(AND('02 AP Transactions'!J22&gt;0,'02 AP Transactions'!L22&gt;'02 AP Transactions'!K22,'02 AP Transactions'!O22="Paid"),'02 AP Transactions'!J22*'02 AP Transactions'!F22,0)</f>
        <v>0</v>
      </c>
      <c r="I22" s="37">
        <f>IF('02 AP Transactions'!M22="Yes",1,0)</f>
        <v>0</v>
      </c>
      <c r="J22" s="37">
        <f>IF(AND('02 AP Transactions'!F22&gt;='01 Assumptions'!$B$6*'01 Assumptions'!$B$7,'02 AP Transactions'!F22&lt;'01 Assumptions'!$B$6,COUNTIFS('02 AP Transactions'!$B$5:$B$26,'02 AP Transactions'!B22,'02 AP Transactions'!$E$5:$E$26,'02 AP Transactions'!E22)&gt;1),1,0)</f>
        <v>0</v>
      </c>
      <c r="K22" s="39" t="str">
        <f t="shared" si="0"/>
        <v>-</v>
      </c>
      <c r="L22" s="40" t="str">
        <f t="shared" si="1"/>
        <v>-</v>
      </c>
      <c r="M22" s="41">
        <f t="shared" si="2"/>
        <v>0</v>
      </c>
      <c r="N22" s="12" t="str">
        <f>IF(I22=1,"Hold &amp; verify (callback)",IF(F22=1,IF('02 AP Transactions'!O22="Pending","Block payment","Recover / claw back"),IF(G22&gt;0,IF('02 AP Transactions'!O22="Pending","Short-pay to PO/GR","Recover overbilled"),IF(J22=1,"Investigate approval",IF(H22&gt;0,"Fix discount process","-")))))</f>
        <v>-</v>
      </c>
      <c r="O22" s="34" t="str">
        <f>'02 AP Transactions'!O22</f>
        <v>Paid</v>
      </c>
      <c r="P22" s="42" t="str">
        <f t="shared" si="3"/>
        <v/>
      </c>
    </row>
    <row r="23" spans="1:16">
      <c r="A23" s="34" t="str">
        <f>'02 AP Transactions'!A23</f>
        <v>T19</v>
      </c>
      <c r="B23" s="35" t="str">
        <f>'02 AP Transactions'!B23</f>
        <v>PT Logistik Andalan</v>
      </c>
      <c r="C23" s="34" t="str">
        <f>'02 AP Transactions'!D23</f>
        <v>INV-LA-120</v>
      </c>
      <c r="D23" s="36">
        <f>'02 AP Transactions'!F23</f>
        <v>850</v>
      </c>
      <c r="E23" s="37">
        <f>COUNTIF('02 AP Transactions'!$D$5:$D$26,'02 AP Transactions'!D23)</f>
        <v>1</v>
      </c>
      <c r="F23" s="37">
        <f>IF(COUNTIF('02 AP Transactions'!$D$5:$D23,'02 AP Transactions'!D23)&gt;1,1,0)</f>
        <v>0</v>
      </c>
      <c r="G23" s="38">
        <f>IF(AND('02 AP Transactions'!G23&gt;0,'02 AP Transactions'!H23&gt;0),MAX(0,'02 AP Transactions'!F23-MIN('02 AP Transactions'!G23,'02 AP Transactions'!H23)),0)</f>
        <v>0</v>
      </c>
      <c r="H23" s="38">
        <f>IF(AND('02 AP Transactions'!J23&gt;0,'02 AP Transactions'!L23&gt;'02 AP Transactions'!K23,'02 AP Transactions'!O23="Paid"),'02 AP Transactions'!J23*'02 AP Transactions'!F23,0)</f>
        <v>0</v>
      </c>
      <c r="I23" s="37">
        <f>IF('02 AP Transactions'!M23="Yes",1,0)</f>
        <v>0</v>
      </c>
      <c r="J23" s="37">
        <f>IF(AND('02 AP Transactions'!F23&gt;='01 Assumptions'!$B$6*'01 Assumptions'!$B$7,'02 AP Transactions'!F23&lt;'01 Assumptions'!$B$6,COUNTIFS('02 AP Transactions'!$B$5:$B$26,'02 AP Transactions'!B23,'02 AP Transactions'!$E$5:$E$26,'02 AP Transactions'!E23)&gt;1),1,0)</f>
        <v>0</v>
      </c>
      <c r="K23" s="39" t="str">
        <f t="shared" si="0"/>
        <v>-</v>
      </c>
      <c r="L23" s="40" t="str">
        <f t="shared" si="1"/>
        <v>-</v>
      </c>
      <c r="M23" s="41">
        <f t="shared" si="2"/>
        <v>0</v>
      </c>
      <c r="N23" s="12" t="str">
        <f>IF(I23=1,"Hold &amp; verify (callback)",IF(F23=1,IF('02 AP Transactions'!O23="Pending","Block payment","Recover / claw back"),IF(G23&gt;0,IF('02 AP Transactions'!O23="Pending","Short-pay to PO/GR","Recover overbilled"),IF(J23=1,"Investigate approval",IF(H23&gt;0,"Fix discount process","-")))))</f>
        <v>-</v>
      </c>
      <c r="O23" s="34" t="str">
        <f>'02 AP Transactions'!O23</f>
        <v>Paid</v>
      </c>
      <c r="P23" s="42" t="str">
        <f t="shared" si="3"/>
        <v/>
      </c>
    </row>
    <row r="24" spans="1:16">
      <c r="A24" s="34" t="str">
        <f>'02 AP Transactions'!A24</f>
        <v>T20</v>
      </c>
      <c r="B24" s="35" t="str">
        <f>'02 AP Transactions'!B24</f>
        <v>Shenzhen Micro Ltd</v>
      </c>
      <c r="C24" s="34" t="str">
        <f>'02 AP Transactions'!D24</f>
        <v>INV-8815</v>
      </c>
      <c r="D24" s="36">
        <f>'02 AP Transactions'!F24</f>
        <v>2600</v>
      </c>
      <c r="E24" s="37">
        <f>COUNTIF('02 AP Transactions'!$D$5:$D$26,'02 AP Transactions'!D24)</f>
        <v>1</v>
      </c>
      <c r="F24" s="37">
        <f>IF(COUNTIF('02 AP Transactions'!$D$5:$D24,'02 AP Transactions'!D24)&gt;1,1,0)</f>
        <v>0</v>
      </c>
      <c r="G24" s="38">
        <f>IF(AND('02 AP Transactions'!G24&gt;0,'02 AP Transactions'!H24&gt;0),MAX(0,'02 AP Transactions'!F24-MIN('02 AP Transactions'!G24,'02 AP Transactions'!H24)),0)</f>
        <v>0</v>
      </c>
      <c r="H24" s="38">
        <f>IF(AND('02 AP Transactions'!J24&gt;0,'02 AP Transactions'!L24&gt;'02 AP Transactions'!K24,'02 AP Transactions'!O24="Paid"),'02 AP Transactions'!J24*'02 AP Transactions'!F24,0)</f>
        <v>0</v>
      </c>
      <c r="I24" s="37">
        <f>IF('02 AP Transactions'!M24="Yes",1,0)</f>
        <v>0</v>
      </c>
      <c r="J24" s="37">
        <f>IF(AND('02 AP Transactions'!F24&gt;='01 Assumptions'!$B$6*'01 Assumptions'!$B$7,'02 AP Transactions'!F24&lt;'01 Assumptions'!$B$6,COUNTIFS('02 AP Transactions'!$B$5:$B$26,'02 AP Transactions'!B24,'02 AP Transactions'!$E$5:$E$26,'02 AP Transactions'!E24)&gt;1),1,0)</f>
        <v>0</v>
      </c>
      <c r="K24" s="39" t="str">
        <f t="shared" si="0"/>
        <v>-</v>
      </c>
      <c r="L24" s="40" t="str">
        <f t="shared" si="1"/>
        <v>-</v>
      </c>
      <c r="M24" s="41">
        <f t="shared" si="2"/>
        <v>0</v>
      </c>
      <c r="N24" s="12" t="str">
        <f>IF(I24=1,"Hold &amp; verify (callback)",IF(F24=1,IF('02 AP Transactions'!O24="Pending","Block payment","Recover / claw back"),IF(G24&gt;0,IF('02 AP Transactions'!O24="Pending","Short-pay to PO/GR","Recover overbilled"),IF(J24=1,"Investigate approval",IF(H24&gt;0,"Fix discount process","-")))))</f>
        <v>-</v>
      </c>
      <c r="O24" s="34" t="str">
        <f>'02 AP Transactions'!O24</f>
        <v>Paid</v>
      </c>
      <c r="P24" s="42" t="str">
        <f t="shared" si="3"/>
        <v/>
      </c>
    </row>
    <row r="25" spans="1:16">
      <c r="A25" s="34" t="str">
        <f>'02 AP Transactions'!A25</f>
        <v>T21</v>
      </c>
      <c r="B25" s="35" t="str">
        <f>'02 AP Transactions'!B25</f>
        <v>PT Bahan Baku Lokal</v>
      </c>
      <c r="C25" s="34" t="str">
        <f>'02 AP Transactions'!D25</f>
        <v>INV-BBL-275</v>
      </c>
      <c r="D25" s="36">
        <f>'02 AP Transactions'!F25</f>
        <v>1400</v>
      </c>
      <c r="E25" s="37">
        <f>COUNTIF('02 AP Transactions'!$D$5:$D$26,'02 AP Transactions'!D25)</f>
        <v>1</v>
      </c>
      <c r="F25" s="37">
        <f>IF(COUNTIF('02 AP Transactions'!$D$5:$D25,'02 AP Transactions'!D25)&gt;1,1,0)</f>
        <v>0</v>
      </c>
      <c r="G25" s="38">
        <f>IF(AND('02 AP Transactions'!G25&gt;0,'02 AP Transactions'!H25&gt;0),MAX(0,'02 AP Transactions'!F25-MIN('02 AP Transactions'!G25,'02 AP Transactions'!H25)),0)</f>
        <v>0</v>
      </c>
      <c r="H25" s="38">
        <f>IF(AND('02 AP Transactions'!J25&gt;0,'02 AP Transactions'!L25&gt;'02 AP Transactions'!K25,'02 AP Transactions'!O25="Paid"),'02 AP Transactions'!J25*'02 AP Transactions'!F25,0)</f>
        <v>0</v>
      </c>
      <c r="I25" s="37">
        <f>IF('02 AP Transactions'!M25="Yes",1,0)</f>
        <v>0</v>
      </c>
      <c r="J25" s="37">
        <f>IF(AND('02 AP Transactions'!F25&gt;='01 Assumptions'!$B$6*'01 Assumptions'!$B$7,'02 AP Transactions'!F25&lt;'01 Assumptions'!$B$6,COUNTIFS('02 AP Transactions'!$B$5:$B$26,'02 AP Transactions'!B25,'02 AP Transactions'!$E$5:$E$26,'02 AP Transactions'!E25)&gt;1),1,0)</f>
        <v>0</v>
      </c>
      <c r="K25" s="39" t="str">
        <f t="shared" si="0"/>
        <v>-</v>
      </c>
      <c r="L25" s="40" t="str">
        <f t="shared" si="1"/>
        <v>-</v>
      </c>
      <c r="M25" s="41">
        <f t="shared" si="2"/>
        <v>0</v>
      </c>
      <c r="N25" s="12" t="str">
        <f>IF(I25=1,"Hold &amp; verify (callback)",IF(F25=1,IF('02 AP Transactions'!O25="Pending","Block payment","Recover / claw back"),IF(G25&gt;0,IF('02 AP Transactions'!O25="Pending","Short-pay to PO/GR","Recover overbilled"),IF(J25=1,"Investigate approval",IF(H25&gt;0,"Fix discount process","-")))))</f>
        <v>-</v>
      </c>
      <c r="O25" s="34" t="str">
        <f>'02 AP Transactions'!O25</f>
        <v>Paid</v>
      </c>
      <c r="P25" s="42" t="str">
        <f t="shared" si="3"/>
        <v/>
      </c>
    </row>
    <row r="26" spans="1:16">
      <c r="A26" s="34" t="str">
        <f>'02 AP Transactions'!A26</f>
        <v>T22</v>
      </c>
      <c r="B26" s="35" t="str">
        <f>'02 AP Transactions'!B26</f>
        <v>PT Energi Pratama</v>
      </c>
      <c r="C26" s="34" t="str">
        <f>'02 AP Transactions'!D26</f>
        <v>INV-EP-155</v>
      </c>
      <c r="D26" s="36">
        <f>'02 AP Transactions'!F26</f>
        <v>1250</v>
      </c>
      <c r="E26" s="37">
        <f>COUNTIF('02 AP Transactions'!$D$5:$D$26,'02 AP Transactions'!D26)</f>
        <v>1</v>
      </c>
      <c r="F26" s="37">
        <f>IF(COUNTIF('02 AP Transactions'!$D$5:$D26,'02 AP Transactions'!D26)&gt;1,1,0)</f>
        <v>0</v>
      </c>
      <c r="G26" s="38">
        <f>IF(AND('02 AP Transactions'!G26&gt;0,'02 AP Transactions'!H26&gt;0),MAX(0,'02 AP Transactions'!F26-MIN('02 AP Transactions'!G26,'02 AP Transactions'!H26)),0)</f>
        <v>0</v>
      </c>
      <c r="H26" s="38">
        <f>IF(AND('02 AP Transactions'!J26&gt;0,'02 AP Transactions'!L26&gt;'02 AP Transactions'!K26,'02 AP Transactions'!O26="Paid"),'02 AP Transactions'!J26*'02 AP Transactions'!F26,0)</f>
        <v>0</v>
      </c>
      <c r="I26" s="37">
        <f>IF('02 AP Transactions'!M26="Yes",1,0)</f>
        <v>0</v>
      </c>
      <c r="J26" s="37">
        <f>IF(AND('02 AP Transactions'!F26&gt;='01 Assumptions'!$B$6*'01 Assumptions'!$B$7,'02 AP Transactions'!F26&lt;'01 Assumptions'!$B$6,COUNTIFS('02 AP Transactions'!$B$5:$B$26,'02 AP Transactions'!B26,'02 AP Transactions'!$E$5:$E$26,'02 AP Transactions'!E26)&gt;1),1,0)</f>
        <v>0</v>
      </c>
      <c r="K26" s="39" t="str">
        <f t="shared" si="0"/>
        <v>-</v>
      </c>
      <c r="L26" s="40" t="str">
        <f t="shared" si="1"/>
        <v>-</v>
      </c>
      <c r="M26" s="41">
        <f t="shared" si="2"/>
        <v>0</v>
      </c>
      <c r="N26" s="12" t="str">
        <f>IF(I26=1,"Hold &amp; verify (callback)",IF(F26=1,IF('02 AP Transactions'!O26="Pending","Block payment","Recover / claw back"),IF(G26&gt;0,IF('02 AP Transactions'!O26="Pending","Short-pay to PO/GR","Recover overbilled"),IF(J26=1,"Investigate approval",IF(H26&gt;0,"Fix discount process","-")))))</f>
        <v>-</v>
      </c>
      <c r="O26" s="34" t="str">
        <f>'02 AP Transactions'!O26</f>
        <v>Paid</v>
      </c>
      <c r="P26" s="42" t="str">
        <f t="shared" si="3"/>
        <v/>
      </c>
    </row>
    <row r="28" spans="1:16" ht="15" customHeight="1">
      <c r="A28" s="112" t="s">
        <v>188</v>
      </c>
      <c r="B28" s="112"/>
      <c r="C28" s="112"/>
      <c r="D28" s="112"/>
      <c r="E28" s="112"/>
      <c r="F28" s="112"/>
      <c r="G28" s="112"/>
      <c r="H28" s="112"/>
      <c r="I28" s="112"/>
      <c r="J28" s="112"/>
      <c r="K28" s="112"/>
      <c r="L28" s="112"/>
      <c r="M28" s="112"/>
      <c r="N28" s="112"/>
      <c r="O28" s="112"/>
      <c r="P28" s="112"/>
    </row>
    <row r="29" spans="1:16">
      <c r="A29" s="112"/>
      <c r="B29" s="112"/>
      <c r="C29" s="112"/>
      <c r="D29" s="112"/>
      <c r="E29" s="112"/>
      <c r="F29" s="112"/>
      <c r="G29" s="112"/>
      <c r="H29" s="112"/>
      <c r="I29" s="112"/>
      <c r="J29" s="112"/>
      <c r="K29" s="112"/>
      <c r="L29" s="112"/>
      <c r="M29" s="112"/>
      <c r="N29" s="112"/>
      <c r="O29" s="112"/>
      <c r="P29" s="112"/>
    </row>
    <row r="30" spans="1:16">
      <c r="A30" s="112"/>
      <c r="B30" s="112"/>
      <c r="C30" s="112"/>
      <c r="D30" s="112"/>
      <c r="E30" s="112"/>
      <c r="F30" s="112"/>
      <c r="G30" s="112"/>
      <c r="H30" s="112"/>
      <c r="I30" s="112"/>
      <c r="J30" s="112"/>
      <c r="K30" s="112"/>
      <c r="L30" s="112"/>
      <c r="M30" s="112"/>
      <c r="N30" s="112"/>
      <c r="O30" s="112"/>
      <c r="P30" s="112"/>
    </row>
  </sheetData>
  <mergeCells count="3">
    <mergeCell ref="A28:P30"/>
    <mergeCell ref="A1:P1"/>
    <mergeCell ref="A2:P2"/>
  </mergeCells>
  <conditionalFormatting sqref="A5:P26">
    <cfRule type="expression" dxfId="3" priority="5">
      <formula>$P5="FLAG"</formula>
    </cfRule>
  </conditionalFormatting>
  <conditionalFormatting sqref="L5:L26">
    <cfRule type="expression" dxfId="2" priority="2">
      <formula>$L5="High"</formula>
    </cfRule>
    <cfRule type="expression" dxfId="1" priority="3">
      <formula>$L5="Medium"</formula>
    </cfRule>
    <cfRule type="expression" dxfId="0" priority="4">
      <formula>$L5="Low"</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7"/>
  <sheetViews>
    <sheetView showGridLines="0" zoomScaleNormal="100" workbookViewId="0">
      <selection activeCell="I27" sqref="I27"/>
    </sheetView>
  </sheetViews>
  <sheetFormatPr defaultColWidth="8.7109375" defaultRowHeight="15"/>
  <cols>
    <col min="1" max="1" width="46" customWidth="1"/>
    <col min="2" max="2" width="14" customWidth="1"/>
    <col min="3" max="3" width="16" customWidth="1"/>
    <col min="4" max="4" width="20" customWidth="1"/>
    <col min="5" max="5" width="30" customWidth="1"/>
  </cols>
  <sheetData>
    <row r="1" spans="1:5" ht="20.25">
      <c r="A1" s="95" t="s">
        <v>189</v>
      </c>
      <c r="B1" s="95"/>
      <c r="C1" s="95"/>
      <c r="D1" s="95"/>
      <c r="E1" s="95"/>
    </row>
    <row r="2" spans="1:5">
      <c r="A2" s="96" t="s">
        <v>190</v>
      </c>
      <c r="B2" s="96"/>
      <c r="C2" s="96"/>
      <c r="D2" s="96"/>
      <c r="E2" s="96"/>
    </row>
    <row r="4" spans="1:5">
      <c r="A4" s="97" t="s">
        <v>191</v>
      </c>
      <c r="B4" s="97"/>
      <c r="C4" s="97"/>
      <c r="D4" s="97"/>
      <c r="E4" s="97"/>
    </row>
    <row r="5" spans="1:5">
      <c r="A5" s="10" t="s">
        <v>192</v>
      </c>
      <c r="B5" s="43">
        <f>'01 Assumptions'!$B$5</f>
        <v>1850</v>
      </c>
    </row>
    <row r="6" spans="1:5">
      <c r="A6" s="10" t="s">
        <v>193</v>
      </c>
      <c r="B6" s="44">
        <f>COUNTIF('03 Anomaly Detection'!$P$5:$P$26,"FLAG")</f>
        <v>10</v>
      </c>
    </row>
    <row r="7" spans="1:5">
      <c r="A7" s="10" t="s">
        <v>194</v>
      </c>
      <c r="B7" s="45">
        <f>B6/B5</f>
        <v>5.4054054054054057E-3</v>
      </c>
    </row>
    <row r="8" spans="1:5">
      <c r="A8" s="46" t="s">
        <v>195</v>
      </c>
      <c r="B8" s="47">
        <f>SUM('03 Anomaly Detection'!$M$5:$M$26)</f>
        <v>7845</v>
      </c>
    </row>
    <row r="10" spans="1:5">
      <c r="A10" s="113" t="s">
        <v>196</v>
      </c>
      <c r="B10" s="113"/>
      <c r="C10" s="113"/>
      <c r="D10" s="113"/>
      <c r="E10" s="113"/>
    </row>
    <row r="11" spans="1:5" ht="24">
      <c r="A11" s="92" t="s">
        <v>197</v>
      </c>
      <c r="B11" s="92" t="s">
        <v>198</v>
      </c>
      <c r="C11" s="92" t="s">
        <v>199</v>
      </c>
      <c r="D11" s="92" t="s">
        <v>200</v>
      </c>
      <c r="E11" s="92" t="s">
        <v>201</v>
      </c>
    </row>
    <row r="12" spans="1:5">
      <c r="A12" s="48" t="s">
        <v>202</v>
      </c>
      <c r="B12" s="49">
        <f>COUNTIF('03 Anomaly Detection'!$K$5:$K$26,A12)</f>
        <v>1</v>
      </c>
      <c r="C12" s="50">
        <f>SUMIF('03 Anomaly Detection'!$K$5:$K$26,A12,'03 Anomaly Detection'!$M$5:$M$26)</f>
        <v>3800</v>
      </c>
      <c r="D12" s="19" t="s">
        <v>203</v>
      </c>
      <c r="E12" s="51" t="s">
        <v>204</v>
      </c>
    </row>
    <row r="13" spans="1:5">
      <c r="A13" s="48" t="s">
        <v>205</v>
      </c>
      <c r="B13" s="52">
        <f>COUNTIF('03 Anomaly Detection'!$K$5:$K$26,A13)</f>
        <v>2</v>
      </c>
      <c r="C13" s="53">
        <f>SUMIF('03 Anomaly Detection'!$K$5:$K$26,A13,'03 Anomaly Detection'!$M$5:$M$26)</f>
        <v>3050</v>
      </c>
      <c r="D13" s="12" t="s">
        <v>206</v>
      </c>
      <c r="E13" s="54" t="s">
        <v>207</v>
      </c>
    </row>
    <row r="14" spans="1:5">
      <c r="A14" s="55" t="s">
        <v>208</v>
      </c>
      <c r="B14" s="49">
        <f>COUNTIF('03 Anomaly Detection'!$K$5:$K$26,A14)</f>
        <v>2</v>
      </c>
      <c r="C14" s="50">
        <f>SUMIF('03 Anomaly Detection'!$K$5:$K$26,A14,'03 Anomaly Detection'!$M$5:$M$26)</f>
        <v>900</v>
      </c>
      <c r="D14" s="19" t="s">
        <v>209</v>
      </c>
      <c r="E14" s="51" t="s">
        <v>210</v>
      </c>
    </row>
    <row r="15" spans="1:5">
      <c r="A15" s="56" t="s">
        <v>211</v>
      </c>
      <c r="B15" s="52">
        <f>COUNTIF('03 Anomaly Detection'!$K$5:$K$26,A15)</f>
        <v>3</v>
      </c>
      <c r="C15" s="53">
        <f>SUMIF('03 Anomaly Detection'!$K$5:$K$26,A15,'03 Anomaly Detection'!$M$5:$M$26)</f>
        <v>95</v>
      </c>
      <c r="D15" s="12" t="s">
        <v>212</v>
      </c>
      <c r="E15" s="54" t="s">
        <v>213</v>
      </c>
    </row>
    <row r="16" spans="1:5">
      <c r="A16" s="55" t="s">
        <v>214</v>
      </c>
      <c r="B16" s="49">
        <f>COUNTIF('03 Anomaly Detection'!$K$5:$K$26,A16)</f>
        <v>2</v>
      </c>
      <c r="C16" s="57">
        <f>SUMIF('03 Anomaly Detection'!$K$5:$K$26,A16,'03 Anomaly Detection'!$D$5:$D$26)</f>
        <v>1950</v>
      </c>
      <c r="D16" s="19" t="s">
        <v>215</v>
      </c>
      <c r="E16" s="51" t="s">
        <v>216</v>
      </c>
    </row>
    <row r="17" spans="1:5">
      <c r="A17" s="114" t="s">
        <v>217</v>
      </c>
      <c r="B17" s="114"/>
      <c r="C17" s="114"/>
      <c r="D17" s="114"/>
      <c r="E17" s="114"/>
    </row>
    <row r="19" spans="1:5">
      <c r="A19" s="97" t="s">
        <v>218</v>
      </c>
      <c r="B19" s="97"/>
      <c r="C19" s="97"/>
      <c r="D19" s="97"/>
      <c r="E19" s="97"/>
    </row>
    <row r="20" spans="1:5">
      <c r="A20" s="58" t="s">
        <v>219</v>
      </c>
      <c r="B20" s="59">
        <f>SUMIF('03 Anomaly Detection'!$O$5:$O$26,"Pending",'03 Anomaly Detection'!$M$5:$M$26)</f>
        <v>4300</v>
      </c>
      <c r="C20" s="114" t="s">
        <v>220</v>
      </c>
      <c r="D20" s="114"/>
      <c r="E20" s="114"/>
    </row>
    <row r="21" spans="1:5">
      <c r="A21" s="10" t="s">
        <v>221</v>
      </c>
      <c r="B21" s="60">
        <f>SUMIFS('03 Anomaly Detection'!$M$5:$M$26,'03 Anomaly Detection'!$K$5:$K$26,"Duplicate payment",'03 Anomaly Detection'!$O$5:$O$26,"Paid")+SUMIFS('03 Anomaly Detection'!$M$5:$M$26,'03 Anomaly Detection'!$K$5:$K$26,"Overbilling (3-way)",'03 Anomaly Detection'!$O$5:$O$26,"Paid")</f>
        <v>3450</v>
      </c>
      <c r="C21" s="114" t="s">
        <v>222</v>
      </c>
      <c r="D21" s="114"/>
      <c r="E21" s="114"/>
    </row>
    <row r="22" spans="1:5">
      <c r="A22" s="10" t="s">
        <v>223</v>
      </c>
      <c r="B22" s="60">
        <f>SUMIFS('03 Anomaly Detection'!$M$5:$M$26,'03 Anomaly Detection'!$K$5:$K$26,"Duplicate payment",'03 Anomaly Detection'!$O$5:$O$26,"Paid")*'01 Assumptions'!$B$11+SUMIFS('03 Anomaly Detection'!$M$5:$M$26,'03 Anomaly Detection'!$K$5:$K$26,"Overbilling (3-way)",'03 Anomaly Detection'!$O$5:$O$26,"Paid")*'01 Assumptions'!$B$12</f>
        <v>3257.5</v>
      </c>
      <c r="C22" s="115" t="s">
        <v>224</v>
      </c>
      <c r="D22" s="115"/>
      <c r="E22" s="115"/>
    </row>
    <row r="23" spans="1:5">
      <c r="A23" s="10" t="s">
        <v>225</v>
      </c>
      <c r="B23" s="61">
        <f>SUMIF('03 Anomaly Detection'!$K$5:$K$26,"Lost discount",'03 Anomaly Detection'!$M$5:$M$26)</f>
        <v>95</v>
      </c>
    </row>
    <row r="24" spans="1:5">
      <c r="A24" s="58" t="s">
        <v>226</v>
      </c>
      <c r="B24" s="59">
        <f>B20+B22</f>
        <v>7557.5</v>
      </c>
    </row>
    <row r="26" spans="1:5">
      <c r="A26" s="97" t="s">
        <v>227</v>
      </c>
      <c r="B26" s="97"/>
      <c r="C26" s="97"/>
      <c r="D26" s="97"/>
      <c r="E26" s="97"/>
    </row>
    <row r="27" spans="1:5">
      <c r="A27" s="10" t="s">
        <v>228</v>
      </c>
      <c r="B27" s="61">
        <f>B23/'01 Assumptions'!$B$14*'01 Assumptions'!$B$13</f>
        <v>2470</v>
      </c>
      <c r="C27" s="115" t="s">
        <v>229</v>
      </c>
      <c r="D27" s="115"/>
      <c r="E27" s="115"/>
    </row>
  </sheetData>
  <mergeCells count="11">
    <mergeCell ref="C20:E20"/>
    <mergeCell ref="C21:E21"/>
    <mergeCell ref="C22:E22"/>
    <mergeCell ref="C27:E27"/>
    <mergeCell ref="A26:E26"/>
    <mergeCell ref="A1:E1"/>
    <mergeCell ref="A2:E2"/>
    <mergeCell ref="A4:E4"/>
    <mergeCell ref="A10:E10"/>
    <mergeCell ref="A19:E19"/>
    <mergeCell ref="A17:E17"/>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8"/>
  <sheetViews>
    <sheetView showGridLines="0" zoomScaleNormal="100" workbookViewId="0">
      <pane xSplit="6" ySplit="4" topLeftCell="G5" activePane="bottomRight" state="frozen"/>
      <selection pane="bottomRight" activeCell="J21" sqref="J21"/>
      <selection pane="bottomLeft" activeCell="A5" sqref="A5"/>
      <selection pane="topRight" activeCell="G1" sqref="G1"/>
    </sheetView>
  </sheetViews>
  <sheetFormatPr defaultColWidth="8.7109375" defaultRowHeight="15"/>
  <cols>
    <col min="1" max="2" width="6" customWidth="1"/>
    <col min="3" max="3" width="25" customWidth="1"/>
    <col min="4" max="4" width="13" customWidth="1"/>
    <col min="5" max="5" width="20" customWidth="1"/>
    <col min="6" max="6" width="9" customWidth="1"/>
    <col min="7" max="7" width="12" customWidth="1"/>
    <col min="8" max="8" width="9" customWidth="1"/>
    <col min="9" max="9" width="26" customWidth="1"/>
    <col min="10" max="10" width="18" customWidth="1"/>
  </cols>
  <sheetData>
    <row r="1" spans="1:10" ht="20.25">
      <c r="A1" s="95" t="s">
        <v>230</v>
      </c>
      <c r="B1" s="95"/>
      <c r="C1" s="95"/>
      <c r="D1" s="95"/>
      <c r="E1" s="95"/>
      <c r="F1" s="95"/>
      <c r="G1" s="95"/>
      <c r="H1" s="95"/>
      <c r="I1" s="95"/>
      <c r="J1" s="95"/>
    </row>
    <row r="2" spans="1:10">
      <c r="A2" s="96" t="s">
        <v>231</v>
      </c>
      <c r="B2" s="96"/>
      <c r="C2" s="96"/>
      <c r="D2" s="96"/>
      <c r="E2" s="96"/>
      <c r="F2" s="96"/>
      <c r="G2" s="96"/>
      <c r="H2" s="96"/>
      <c r="I2" s="96"/>
      <c r="J2" s="96"/>
    </row>
    <row r="4" spans="1:10" ht="22.5">
      <c r="A4" s="91" t="s">
        <v>232</v>
      </c>
      <c r="B4" s="91" t="s">
        <v>88</v>
      </c>
      <c r="C4" s="91" t="s">
        <v>89</v>
      </c>
      <c r="D4" s="91" t="s">
        <v>91</v>
      </c>
      <c r="E4" s="91" t="s">
        <v>183</v>
      </c>
      <c r="F4" s="91" t="s">
        <v>184</v>
      </c>
      <c r="G4" s="91" t="s">
        <v>185</v>
      </c>
      <c r="H4" s="91" t="s">
        <v>102</v>
      </c>
      <c r="I4" s="91" t="s">
        <v>186</v>
      </c>
      <c r="J4" s="91" t="s">
        <v>233</v>
      </c>
    </row>
    <row r="5" spans="1:10">
      <c r="A5" s="62">
        <v>1</v>
      </c>
      <c r="B5" s="34" t="str">
        <f>'03 Anomaly Detection'!A17</f>
        <v>T13</v>
      </c>
      <c r="C5" s="35" t="str">
        <f>'03 Anomaly Detection'!B17</f>
        <v>Osaka Precision KK</v>
      </c>
      <c r="D5" s="34" t="str">
        <f>'03 Anomaly Detection'!C17</f>
        <v>INV-OP-345</v>
      </c>
      <c r="E5" s="63" t="str">
        <f>'03 Anomaly Detection'!K17</f>
        <v>Bank-change fraud</v>
      </c>
      <c r="F5" s="64" t="str">
        <f>'03 Anomaly Detection'!L17</f>
        <v>High</v>
      </c>
      <c r="G5" s="65">
        <f>'03 Anomaly Detection'!M17</f>
        <v>3800</v>
      </c>
      <c r="H5" s="34" t="str">
        <f>'03 Anomaly Detection'!O17</f>
        <v>Pending</v>
      </c>
      <c r="I5" s="35" t="str">
        <f>'03 Anomaly Detection'!N17</f>
        <v>Hold &amp; verify (callback)</v>
      </c>
      <c r="J5" s="66" t="s">
        <v>234</v>
      </c>
    </row>
    <row r="6" spans="1:10">
      <c r="A6" s="67">
        <v>2</v>
      </c>
      <c r="B6" s="68" t="str">
        <f>'03 Anomaly Detection'!A11</f>
        <v>T07</v>
      </c>
      <c r="C6" s="69" t="str">
        <f>'03 Anomaly Detection'!B11</f>
        <v>Shenzhen Micro Ltd</v>
      </c>
      <c r="D6" s="68" t="str">
        <f>'03 Anomaly Detection'!C11</f>
        <v>INV-8801</v>
      </c>
      <c r="E6" s="70" t="str">
        <f>'03 Anomaly Detection'!K11</f>
        <v>Duplicate payment</v>
      </c>
      <c r="F6" s="71" t="str">
        <f>'03 Anomaly Detection'!L11</f>
        <v>High</v>
      </c>
      <c r="G6" s="72">
        <f>'03 Anomaly Detection'!M11</f>
        <v>1850</v>
      </c>
      <c r="H6" s="68" t="str">
        <f>'03 Anomaly Detection'!O11</f>
        <v>Paid</v>
      </c>
      <c r="I6" s="69" t="str">
        <f>'03 Anomaly Detection'!N11</f>
        <v>Recover / claw back</v>
      </c>
      <c r="J6" s="73" t="s">
        <v>235</v>
      </c>
    </row>
    <row r="7" spans="1:10">
      <c r="A7" s="62">
        <v>3</v>
      </c>
      <c r="B7" s="34" t="str">
        <f>'03 Anomaly Detection'!A19</f>
        <v>T15</v>
      </c>
      <c r="C7" s="35" t="str">
        <f>'03 Anomaly Detection'!B19</f>
        <v>PT Bahan Baku Lokal (cabang)</v>
      </c>
      <c r="D7" s="34" t="str">
        <f>'03 Anomaly Detection'!C19</f>
        <v>INV-BBL-220</v>
      </c>
      <c r="E7" s="63" t="str">
        <f>'03 Anomaly Detection'!K19</f>
        <v>Duplicate payment</v>
      </c>
      <c r="F7" s="64" t="str">
        <f>'03 Anomaly Detection'!L19</f>
        <v>High</v>
      </c>
      <c r="G7" s="65">
        <f>'03 Anomaly Detection'!M19</f>
        <v>1200</v>
      </c>
      <c r="H7" s="34" t="str">
        <f>'03 Anomaly Detection'!O19</f>
        <v>Paid</v>
      </c>
      <c r="I7" s="35" t="str">
        <f>'03 Anomaly Detection'!N19</f>
        <v>Recover / claw back</v>
      </c>
      <c r="J7" s="66" t="s">
        <v>235</v>
      </c>
    </row>
    <row r="8" spans="1:10">
      <c r="A8" s="67">
        <v>4</v>
      </c>
      <c r="B8" s="68" t="str">
        <f>'03 Anomaly Detection'!A13</f>
        <v>T09</v>
      </c>
      <c r="C8" s="69" t="str">
        <f>'03 Anomaly Detection'!B13</f>
        <v>Osaka Precision KK</v>
      </c>
      <c r="D8" s="68" t="str">
        <f>'03 Anomaly Detection'!C13</f>
        <v>INV-OP-330</v>
      </c>
      <c r="E8" s="70" t="str">
        <f>'03 Anomaly Detection'!K13</f>
        <v>Overbilling (3-way)</v>
      </c>
      <c r="F8" s="71" t="str">
        <f>'03 Anomaly Detection'!L13</f>
        <v>Medium</v>
      </c>
      <c r="G8" s="72">
        <f>'03 Anomaly Detection'!M13</f>
        <v>500</v>
      </c>
      <c r="H8" s="68" t="str">
        <f>'03 Anomaly Detection'!O13</f>
        <v>Pending</v>
      </c>
      <c r="I8" s="69" t="str">
        <f>'03 Anomaly Detection'!N13</f>
        <v>Short-pay to PO/GR</v>
      </c>
      <c r="J8" s="73" t="s">
        <v>235</v>
      </c>
    </row>
    <row r="9" spans="1:10">
      <c r="A9" s="62">
        <v>5</v>
      </c>
      <c r="B9" s="34" t="str">
        <f>'03 Anomaly Detection'!A12</f>
        <v>T08</v>
      </c>
      <c r="C9" s="35" t="str">
        <f>'03 Anomaly Detection'!B12</f>
        <v>Taipei Semicon Co</v>
      </c>
      <c r="D9" s="34" t="str">
        <f>'03 Anomaly Detection'!C12</f>
        <v>INV-TS-551</v>
      </c>
      <c r="E9" s="63" t="str">
        <f>'03 Anomaly Detection'!K12</f>
        <v>Overbilling (3-way)</v>
      </c>
      <c r="F9" s="64" t="str">
        <f>'03 Anomaly Detection'!L12</f>
        <v>Medium</v>
      </c>
      <c r="G9" s="65">
        <f>'03 Anomaly Detection'!M12</f>
        <v>400</v>
      </c>
      <c r="H9" s="34" t="str">
        <f>'03 Anomaly Detection'!O12</f>
        <v>Paid</v>
      </c>
      <c r="I9" s="35" t="str">
        <f>'03 Anomaly Detection'!N12</f>
        <v>Recover overbilled</v>
      </c>
      <c r="J9" s="66" t="s">
        <v>235</v>
      </c>
    </row>
    <row r="10" spans="1:10">
      <c r="A10" s="67">
        <v>6</v>
      </c>
      <c r="B10" s="68" t="str">
        <f>'03 Anomaly Detection'!A14</f>
        <v>T10</v>
      </c>
      <c r="C10" s="69" t="str">
        <f>'03 Anomaly Detection'!B14</f>
        <v>PT Logistik Andalan</v>
      </c>
      <c r="D10" s="68" t="str">
        <f>'03 Anomaly Detection'!C14</f>
        <v>INV-LA-110</v>
      </c>
      <c r="E10" s="70" t="str">
        <f>'03 Anomaly Detection'!K14</f>
        <v>Lost discount</v>
      </c>
      <c r="F10" s="71" t="str">
        <f>'03 Anomaly Detection'!L14</f>
        <v>Low</v>
      </c>
      <c r="G10" s="72">
        <f>'03 Anomaly Detection'!M14</f>
        <v>40</v>
      </c>
      <c r="H10" s="68" t="str">
        <f>'03 Anomaly Detection'!O14</f>
        <v>Paid</v>
      </c>
      <c r="I10" s="69" t="str">
        <f>'03 Anomaly Detection'!N14</f>
        <v>Fix discount process</v>
      </c>
      <c r="J10" s="73" t="s">
        <v>236</v>
      </c>
    </row>
    <row r="11" spans="1:10">
      <c r="A11" s="62">
        <v>7</v>
      </c>
      <c r="B11" s="34" t="str">
        <f>'03 Anomaly Detection'!A15</f>
        <v>T11</v>
      </c>
      <c r="C11" s="35" t="str">
        <f>'03 Anomaly Detection'!B15</f>
        <v>PT Energi Pratama</v>
      </c>
      <c r="D11" s="34" t="str">
        <f>'03 Anomaly Detection'!C15</f>
        <v>INV-EP-140</v>
      </c>
      <c r="E11" s="63" t="str">
        <f>'03 Anomaly Detection'!K15</f>
        <v>Lost discount</v>
      </c>
      <c r="F11" s="64" t="str">
        <f>'03 Anomaly Detection'!L15</f>
        <v>Low</v>
      </c>
      <c r="G11" s="65">
        <f>'03 Anomaly Detection'!M15</f>
        <v>30</v>
      </c>
      <c r="H11" s="34" t="str">
        <f>'03 Anomaly Detection'!O15</f>
        <v>Paid</v>
      </c>
      <c r="I11" s="35" t="str">
        <f>'03 Anomaly Detection'!N15</f>
        <v>Fix discount process</v>
      </c>
      <c r="J11" s="66" t="s">
        <v>236</v>
      </c>
    </row>
    <row r="12" spans="1:10">
      <c r="A12" s="67">
        <v>8</v>
      </c>
      <c r="B12" s="68" t="str">
        <f>'03 Anomaly Detection'!A16</f>
        <v>T12</v>
      </c>
      <c r="C12" s="69" t="str">
        <f>'03 Anomaly Detection'!B16</f>
        <v>PT Bahan Baku Lokal</v>
      </c>
      <c r="D12" s="68" t="str">
        <f>'03 Anomaly Detection'!C16</f>
        <v>INV-BBL-260</v>
      </c>
      <c r="E12" s="70" t="str">
        <f>'03 Anomaly Detection'!K16</f>
        <v>Lost discount</v>
      </c>
      <c r="F12" s="71" t="str">
        <f>'03 Anomaly Detection'!L16</f>
        <v>Low</v>
      </c>
      <c r="G12" s="72">
        <f>'03 Anomaly Detection'!M16</f>
        <v>25</v>
      </c>
      <c r="H12" s="68" t="str">
        <f>'03 Anomaly Detection'!O16</f>
        <v>Paid</v>
      </c>
      <c r="I12" s="69" t="str">
        <f>'03 Anomaly Detection'!N16</f>
        <v>Fix discount process</v>
      </c>
      <c r="J12" s="73" t="s">
        <v>236</v>
      </c>
    </row>
    <row r="13" spans="1:10">
      <c r="A13" s="62">
        <v>9</v>
      </c>
      <c r="B13" s="34" t="str">
        <f>'03 Anomaly Detection'!A20</f>
        <v>T16</v>
      </c>
      <c r="C13" s="35" t="str">
        <f>'03 Anomaly Detection'!B20</f>
        <v>PT Kemasan Prima</v>
      </c>
      <c r="D13" s="34" t="str">
        <f>'03 Anomaly Detection'!C20</f>
        <v>INV-KP-501</v>
      </c>
      <c r="E13" s="63" t="str">
        <f>'03 Anomaly Detection'!K20</f>
        <v>Split / threshold</v>
      </c>
      <c r="F13" s="64" t="str">
        <f>'03 Anomaly Detection'!L20</f>
        <v>Medium</v>
      </c>
      <c r="G13" s="65">
        <f>'03 Anomaly Detection'!M20</f>
        <v>0</v>
      </c>
      <c r="H13" s="34" t="str">
        <f>'03 Anomaly Detection'!O20</f>
        <v>Paid</v>
      </c>
      <c r="I13" s="35" t="str">
        <f>'03 Anomaly Detection'!N20</f>
        <v>Investigate approval</v>
      </c>
      <c r="J13" s="66" t="s">
        <v>237</v>
      </c>
    </row>
    <row r="14" spans="1:10">
      <c r="A14" s="67">
        <v>10</v>
      </c>
      <c r="B14" s="68" t="str">
        <f>'03 Anomaly Detection'!A21</f>
        <v>T17</v>
      </c>
      <c r="C14" s="69" t="str">
        <f>'03 Anomaly Detection'!B21</f>
        <v>PT Kemasan Prima</v>
      </c>
      <c r="D14" s="68" t="str">
        <f>'03 Anomaly Detection'!C21</f>
        <v>INV-KP-502</v>
      </c>
      <c r="E14" s="70" t="str">
        <f>'03 Anomaly Detection'!K21</f>
        <v>Split / threshold</v>
      </c>
      <c r="F14" s="71" t="str">
        <f>'03 Anomaly Detection'!L21</f>
        <v>Medium</v>
      </c>
      <c r="G14" s="72">
        <f>'03 Anomaly Detection'!M21</f>
        <v>0</v>
      </c>
      <c r="H14" s="68" t="str">
        <f>'03 Anomaly Detection'!O21</f>
        <v>Paid</v>
      </c>
      <c r="I14" s="69" t="str">
        <f>'03 Anomaly Detection'!N21</f>
        <v>Investigate approval</v>
      </c>
      <c r="J14" s="73" t="s">
        <v>237</v>
      </c>
    </row>
    <row r="15" spans="1:10">
      <c r="C15" s="1" t="s">
        <v>238</v>
      </c>
      <c r="G15" s="74">
        <f>SUM(G5:G14)</f>
        <v>7845</v>
      </c>
    </row>
    <row r="17" spans="1:10" ht="15" customHeight="1">
      <c r="A17" s="112" t="s">
        <v>239</v>
      </c>
      <c r="B17" s="112"/>
      <c r="C17" s="112"/>
      <c r="D17" s="112"/>
      <c r="E17" s="112"/>
      <c r="F17" s="112"/>
      <c r="G17" s="112"/>
      <c r="H17" s="112"/>
      <c r="I17" s="112"/>
      <c r="J17" s="112"/>
    </row>
    <row r="18" spans="1:10">
      <c r="A18" s="112"/>
      <c r="B18" s="112"/>
      <c r="C18" s="112"/>
      <c r="D18" s="112"/>
      <c r="E18" s="112"/>
      <c r="F18" s="112"/>
      <c r="G18" s="112"/>
      <c r="H18" s="112"/>
      <c r="I18" s="112"/>
      <c r="J18" s="112"/>
    </row>
  </sheetData>
  <mergeCells count="3">
    <mergeCell ref="A17:J18"/>
    <mergeCell ref="A1:J1"/>
    <mergeCell ref="A2:J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1"/>
  <sheetViews>
    <sheetView showGridLines="0" tabSelected="1" zoomScaleNormal="100" workbookViewId="0">
      <selection activeCell="A34" sqref="A34:F34"/>
    </sheetView>
  </sheetViews>
  <sheetFormatPr defaultColWidth="8.7109375" defaultRowHeight="15"/>
  <cols>
    <col min="1" max="1" width="44" customWidth="1"/>
    <col min="2" max="2" width="24" customWidth="1"/>
    <col min="3" max="3" width="20" customWidth="1"/>
    <col min="4" max="6" width="18" customWidth="1"/>
  </cols>
  <sheetData>
    <row r="1" spans="1:6" ht="20.25">
      <c r="A1" s="95" t="s">
        <v>240</v>
      </c>
      <c r="B1" s="95"/>
      <c r="C1" s="95"/>
      <c r="D1" s="95"/>
      <c r="E1" s="95"/>
      <c r="F1" s="95"/>
    </row>
    <row r="2" spans="1:6">
      <c r="A2" s="96" t="s">
        <v>241</v>
      </c>
      <c r="B2" s="96"/>
      <c r="C2" s="96"/>
      <c r="D2" s="96"/>
      <c r="E2" s="96"/>
      <c r="F2" s="96"/>
    </row>
    <row r="4" spans="1:6">
      <c r="A4" s="97" t="s">
        <v>242</v>
      </c>
      <c r="B4" s="97"/>
      <c r="C4" s="97"/>
      <c r="D4" s="97"/>
      <c r="E4" s="97"/>
      <c r="F4" s="97"/>
    </row>
    <row r="5" spans="1:6">
      <c r="A5" s="46" t="s">
        <v>195</v>
      </c>
      <c r="B5" s="75">
        <f>'04 Leakage &amp; Fraud Summary'!B8</f>
        <v>7845</v>
      </c>
    </row>
    <row r="6" spans="1:6">
      <c r="A6" s="76" t="s">
        <v>243</v>
      </c>
      <c r="B6" s="77">
        <f>SUMIF('03 Anomaly Detection'!$K$5:$K$26,"Bank-change fraud",'03 Anomaly Detection'!$M$5:$M$26)</f>
        <v>3800</v>
      </c>
    </row>
    <row r="7" spans="1:6">
      <c r="A7" s="10" t="s">
        <v>244</v>
      </c>
      <c r="B7" s="61">
        <f>SUMIF('03 Anomaly Detection'!$K$5:$K$26,"Duplicate payment",'03 Anomaly Detection'!$M$5:$M$26)</f>
        <v>3050</v>
      </c>
    </row>
    <row r="8" spans="1:6">
      <c r="A8" s="10" t="s">
        <v>245</v>
      </c>
      <c r="B8" s="78">
        <f>'04 Leakage &amp; Fraud Summary'!B20</f>
        <v>4300</v>
      </c>
    </row>
    <row r="9" spans="1:6">
      <c r="A9" s="58" t="s">
        <v>246</v>
      </c>
      <c r="B9" s="59">
        <f>'04 Leakage &amp; Fraud Summary'!B24</f>
        <v>7557.5</v>
      </c>
    </row>
    <row r="11" spans="1:6">
      <c r="A11" s="98" t="s">
        <v>247</v>
      </c>
      <c r="B11" s="98"/>
      <c r="C11" s="98"/>
      <c r="D11" s="98"/>
      <c r="E11" s="98"/>
      <c r="F11" s="98"/>
    </row>
    <row r="12" spans="1:6">
      <c r="A12" s="79" t="s">
        <v>248</v>
      </c>
    </row>
    <row r="13" spans="1:6" ht="22.35" customHeight="1">
      <c r="A13" s="101" t="s">
        <v>249</v>
      </c>
      <c r="B13" s="101"/>
      <c r="C13" s="102" t="s">
        <v>250</v>
      </c>
      <c r="D13" s="102"/>
      <c r="E13" s="103" t="s">
        <v>251</v>
      </c>
      <c r="F13" s="103"/>
    </row>
    <row r="14" spans="1:6" ht="15" customHeight="1">
      <c r="A14" s="101" t="s">
        <v>252</v>
      </c>
      <c r="B14" s="101"/>
      <c r="C14" s="102" t="s">
        <v>253</v>
      </c>
      <c r="D14" s="102"/>
      <c r="E14" s="103" t="s">
        <v>254</v>
      </c>
      <c r="F14" s="103"/>
    </row>
    <row r="16" spans="1:6">
      <c r="A16" s="79" t="s">
        <v>255</v>
      </c>
    </row>
    <row r="17" spans="1:6" ht="22.35" customHeight="1">
      <c r="A17" s="101" t="s">
        <v>256</v>
      </c>
      <c r="B17" s="101"/>
      <c r="C17" s="102" t="s">
        <v>257</v>
      </c>
      <c r="D17" s="102"/>
      <c r="E17" s="103" t="s">
        <v>258</v>
      </c>
      <c r="F17" s="103"/>
    </row>
    <row r="18" spans="1:6" ht="15" customHeight="1">
      <c r="A18" s="101" t="s">
        <v>259</v>
      </c>
      <c r="B18" s="101"/>
      <c r="C18" s="102" t="s">
        <v>260</v>
      </c>
      <c r="D18" s="102"/>
      <c r="E18" s="103" t="s">
        <v>261</v>
      </c>
      <c r="F18" s="103"/>
    </row>
    <row r="19" spans="1:6" ht="15" customHeight="1">
      <c r="A19" s="101" t="s">
        <v>262</v>
      </c>
      <c r="B19" s="101"/>
      <c r="C19" s="102" t="s">
        <v>263</v>
      </c>
      <c r="D19" s="102"/>
      <c r="E19" s="103" t="s">
        <v>264</v>
      </c>
      <c r="F19" s="103"/>
    </row>
    <row r="21" spans="1:6">
      <c r="A21" s="79" t="s">
        <v>265</v>
      </c>
    </row>
    <row r="22" spans="1:6" ht="22.35" customHeight="1">
      <c r="A22" s="101" t="s">
        <v>266</v>
      </c>
      <c r="B22" s="101"/>
      <c r="C22" s="102" t="s">
        <v>267</v>
      </c>
      <c r="D22" s="102"/>
      <c r="E22" s="103" t="s">
        <v>268</v>
      </c>
      <c r="F22" s="103"/>
    </row>
    <row r="23" spans="1:6" ht="15" customHeight="1">
      <c r="A23" s="101" t="s">
        <v>269</v>
      </c>
      <c r="B23" s="101"/>
      <c r="C23" s="102" t="s">
        <v>270</v>
      </c>
      <c r="D23" s="102"/>
      <c r="E23" s="103" t="s">
        <v>271</v>
      </c>
      <c r="F23" s="103"/>
    </row>
    <row r="24" spans="1:6" ht="15" customHeight="1">
      <c r="A24" s="101" t="s">
        <v>272</v>
      </c>
      <c r="B24" s="101"/>
      <c r="C24" s="102" t="s">
        <v>273</v>
      </c>
      <c r="D24" s="102"/>
      <c r="E24" s="103" t="s">
        <v>274</v>
      </c>
      <c r="F24" s="103"/>
    </row>
    <row r="25" spans="1:6" ht="15" customHeight="1">
      <c r="A25" s="101" t="s">
        <v>275</v>
      </c>
      <c r="B25" s="101"/>
      <c r="C25" s="102" t="s">
        <v>276</v>
      </c>
      <c r="D25" s="102"/>
      <c r="E25" s="103" t="s">
        <v>277</v>
      </c>
      <c r="F25" s="103"/>
    </row>
    <row r="27" spans="1:6">
      <c r="A27" s="98" t="s">
        <v>278</v>
      </c>
      <c r="B27" s="98"/>
      <c r="C27" s="98"/>
      <c r="D27" s="98"/>
      <c r="E27" s="98"/>
      <c r="F27" s="98"/>
    </row>
    <row r="28" spans="1:6">
      <c r="A28" s="58" t="s">
        <v>279</v>
      </c>
      <c r="B28" s="59">
        <f>'04 Leakage &amp; Fraud Summary'!B20</f>
        <v>4300</v>
      </c>
    </row>
    <row r="29" spans="1:6">
      <c r="A29" s="10" t="s">
        <v>280</v>
      </c>
      <c r="B29" s="60">
        <f>'04 Leakage &amp; Fraud Summary'!B22</f>
        <v>3257.5</v>
      </c>
    </row>
    <row r="30" spans="1:6">
      <c r="A30" s="58" t="s">
        <v>246</v>
      </c>
      <c r="B30" s="59">
        <f>'04 Leakage &amp; Fraud Summary'!B24</f>
        <v>7557.5</v>
      </c>
    </row>
    <row r="32" spans="1:6">
      <c r="A32" s="98" t="s">
        <v>281</v>
      </c>
      <c r="B32" s="98"/>
      <c r="C32" s="98"/>
      <c r="D32" s="98"/>
      <c r="E32" s="98"/>
      <c r="F32" s="98"/>
    </row>
    <row r="33" spans="1:6">
      <c r="A33" s="104" t="s">
        <v>282</v>
      </c>
      <c r="B33" s="104"/>
      <c r="C33" s="104"/>
      <c r="D33" s="104"/>
      <c r="E33" s="104"/>
      <c r="F33" s="104"/>
    </row>
    <row r="34" spans="1:6">
      <c r="A34" s="105" t="s">
        <v>283</v>
      </c>
      <c r="B34" s="105"/>
      <c r="C34" s="105"/>
      <c r="D34" s="105"/>
      <c r="E34" s="105"/>
      <c r="F34" s="105"/>
    </row>
    <row r="36" spans="1:6">
      <c r="A36" s="97" t="s">
        <v>284</v>
      </c>
      <c r="B36" s="97"/>
      <c r="C36" s="97"/>
      <c r="D36" s="97"/>
      <c r="E36" s="97"/>
      <c r="F36" s="97"/>
    </row>
    <row r="37" spans="1:6">
      <c r="A37" s="99" t="s">
        <v>285</v>
      </c>
      <c r="B37" s="99"/>
      <c r="C37" s="99"/>
      <c r="D37" s="99"/>
      <c r="E37" s="99"/>
      <c r="F37" s="99"/>
    </row>
    <row r="38" spans="1:6">
      <c r="A38" s="1" t="s">
        <v>286</v>
      </c>
      <c r="B38" s="100" t="s">
        <v>287</v>
      </c>
      <c r="C38" s="100"/>
      <c r="D38" s="100"/>
      <c r="E38" s="99" t="s">
        <v>288</v>
      </c>
      <c r="F38" s="99"/>
    </row>
    <row r="39" spans="1:6">
      <c r="A39" s="1" t="s">
        <v>289</v>
      </c>
      <c r="B39" s="100" t="s">
        <v>290</v>
      </c>
      <c r="C39" s="100"/>
      <c r="D39" s="100"/>
      <c r="E39" s="99" t="s">
        <v>291</v>
      </c>
      <c r="F39" s="99"/>
    </row>
    <row r="40" spans="1:6" ht="15" customHeight="1">
      <c r="A40" s="94" t="s">
        <v>292</v>
      </c>
      <c r="B40" s="94"/>
      <c r="C40" s="94"/>
      <c r="D40" s="94"/>
      <c r="E40" s="94"/>
      <c r="F40" s="94"/>
    </row>
    <row r="41" spans="1:6">
      <c r="A41" s="94"/>
      <c r="B41" s="94"/>
      <c r="C41" s="94"/>
      <c r="D41" s="94"/>
      <c r="E41" s="94"/>
      <c r="F41" s="94"/>
    </row>
  </sheetData>
  <mergeCells count="42">
    <mergeCell ref="A13:B13"/>
    <mergeCell ref="C13:D13"/>
    <mergeCell ref="E13:F13"/>
    <mergeCell ref="A14:B14"/>
    <mergeCell ref="C14:D14"/>
    <mergeCell ref="E14:F14"/>
    <mergeCell ref="A17:B17"/>
    <mergeCell ref="C17:D17"/>
    <mergeCell ref="E17:F17"/>
    <mergeCell ref="A18:B18"/>
    <mergeCell ref="C18:D18"/>
    <mergeCell ref="E18:F18"/>
    <mergeCell ref="A19:B19"/>
    <mergeCell ref="C19:D19"/>
    <mergeCell ref="E19:F19"/>
    <mergeCell ref="A22:B22"/>
    <mergeCell ref="C22:D22"/>
    <mergeCell ref="E22:F22"/>
    <mergeCell ref="A33:F33"/>
    <mergeCell ref="A34:F34"/>
    <mergeCell ref="A23:B23"/>
    <mergeCell ref="C23:D23"/>
    <mergeCell ref="E23:F23"/>
    <mergeCell ref="A24:B24"/>
    <mergeCell ref="C24:D24"/>
    <mergeCell ref="E24:F24"/>
    <mergeCell ref="A40:F41"/>
    <mergeCell ref="A1:F1"/>
    <mergeCell ref="A2:F2"/>
    <mergeCell ref="A4:F4"/>
    <mergeCell ref="A11:F11"/>
    <mergeCell ref="A27:F27"/>
    <mergeCell ref="A32:F32"/>
    <mergeCell ref="A36:F36"/>
    <mergeCell ref="A37:F37"/>
    <mergeCell ref="B38:D38"/>
    <mergeCell ref="E38:F38"/>
    <mergeCell ref="B39:D39"/>
    <mergeCell ref="E39:F39"/>
    <mergeCell ref="A25:B25"/>
    <mergeCell ref="C25:D25"/>
    <mergeCell ref="E25:F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1</cp:revision>
  <dcterms:created xsi:type="dcterms:W3CDTF">2026-07-07T08:37:08Z</dcterms:created>
  <dcterms:modified xsi:type="dcterms:W3CDTF">2026-07-09T07:21:06Z</dcterms:modified>
  <cp:category/>
  <cp:contentStatus/>
</cp:coreProperties>
</file>