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esktop/python stuff/sample PLs/"/>
    </mc:Choice>
  </mc:AlternateContent>
  <xr:revisionPtr revIDLastSave="0" documentId="13_ncr:1_{A97F4DFA-DC0B-0D47-BAA6-85784B13D698}" xr6:coauthVersionLast="47" xr6:coauthVersionMax="47" xr10:uidLastSave="{00000000-0000-0000-0000-000000000000}"/>
  <bookViews>
    <workbookView xWindow="0" yWindow="500" windowWidth="40960" windowHeight="21000" xr2:uid="{00000000-000D-0000-FFFF-FFFF00000000}"/>
  </bookViews>
  <sheets>
    <sheet name="Profit and Loss 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1" l="1"/>
  <c r="E110" i="1" s="1"/>
  <c r="B110" i="1"/>
  <c r="D110" i="1" s="1"/>
  <c r="C109" i="1"/>
  <c r="E109" i="1" s="1"/>
  <c r="B109" i="1"/>
  <c r="D109" i="1" s="1"/>
  <c r="C108" i="1"/>
  <c r="E108" i="1" s="1"/>
  <c r="B108" i="1"/>
  <c r="D108" i="1" s="1"/>
  <c r="C105" i="1"/>
  <c r="E105" i="1" s="1"/>
  <c r="B105" i="1"/>
  <c r="D105" i="1" s="1"/>
  <c r="E104" i="1"/>
  <c r="B104" i="1"/>
  <c r="D104" i="1" s="1"/>
  <c r="E103" i="1"/>
  <c r="C103" i="1"/>
  <c r="B103" i="1"/>
  <c r="D103" i="1" s="1"/>
  <c r="E102" i="1"/>
  <c r="C102" i="1"/>
  <c r="B102" i="1"/>
  <c r="D102" i="1" s="1"/>
  <c r="E100" i="1"/>
  <c r="C100" i="1"/>
  <c r="B100" i="1"/>
  <c r="D100" i="1" s="1"/>
  <c r="E99" i="1"/>
  <c r="C99" i="1"/>
  <c r="C101" i="1" s="1"/>
  <c r="B99" i="1"/>
  <c r="D99" i="1" s="1"/>
  <c r="E98" i="1"/>
  <c r="D98" i="1"/>
  <c r="C96" i="1"/>
  <c r="E96" i="1" s="1"/>
  <c r="B96" i="1"/>
  <c r="C95" i="1"/>
  <c r="E95" i="1" s="1"/>
  <c r="B95" i="1"/>
  <c r="E94" i="1"/>
  <c r="B94" i="1"/>
  <c r="B97" i="1" s="1"/>
  <c r="E93" i="1"/>
  <c r="D93" i="1"/>
  <c r="E91" i="1"/>
  <c r="D91" i="1"/>
  <c r="C91" i="1"/>
  <c r="B91" i="1"/>
  <c r="E90" i="1"/>
  <c r="D90" i="1"/>
  <c r="C90" i="1"/>
  <c r="B90" i="1"/>
  <c r="E89" i="1"/>
  <c r="D89" i="1"/>
  <c r="C89" i="1"/>
  <c r="C92" i="1" s="1"/>
  <c r="B89" i="1"/>
  <c r="B92" i="1" s="1"/>
  <c r="D92" i="1" s="1"/>
  <c r="E88" i="1"/>
  <c r="D88" i="1"/>
  <c r="C86" i="1"/>
  <c r="E86" i="1" s="1"/>
  <c r="B86" i="1"/>
  <c r="D86" i="1" s="1"/>
  <c r="E85" i="1"/>
  <c r="D85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C84" i="1" s="1"/>
  <c r="B80" i="1"/>
  <c r="B84" i="1" s="1"/>
  <c r="D84" i="1" s="1"/>
  <c r="E79" i="1"/>
  <c r="D79" i="1"/>
  <c r="C77" i="1"/>
  <c r="E77" i="1" s="1"/>
  <c r="B77" i="1"/>
  <c r="D77" i="1" s="1"/>
  <c r="C76" i="1"/>
  <c r="E76" i="1" s="1"/>
  <c r="B76" i="1"/>
  <c r="D76" i="1" s="1"/>
  <c r="C75" i="1"/>
  <c r="E75" i="1" s="1"/>
  <c r="B75" i="1"/>
  <c r="D75" i="1" s="1"/>
  <c r="C74" i="1"/>
  <c r="E74" i="1" s="1"/>
  <c r="B74" i="1"/>
  <c r="D74" i="1" s="1"/>
  <c r="E73" i="1"/>
  <c r="D73" i="1"/>
  <c r="E71" i="1"/>
  <c r="D71" i="1"/>
  <c r="C71" i="1"/>
  <c r="B71" i="1"/>
  <c r="E70" i="1"/>
  <c r="D70" i="1"/>
  <c r="C70" i="1"/>
  <c r="B70" i="1"/>
  <c r="B72" i="1" s="1"/>
  <c r="D72" i="1" s="1"/>
  <c r="E69" i="1"/>
  <c r="D69" i="1"/>
  <c r="C69" i="1"/>
  <c r="C72" i="1" s="1"/>
  <c r="E68" i="1"/>
  <c r="D68" i="1"/>
  <c r="E66" i="1"/>
  <c r="C66" i="1"/>
  <c r="B66" i="1"/>
  <c r="D66" i="1" s="1"/>
  <c r="E65" i="1"/>
  <c r="C65" i="1"/>
  <c r="B65" i="1"/>
  <c r="D65" i="1" s="1"/>
  <c r="E64" i="1"/>
  <c r="C64" i="1"/>
  <c r="B64" i="1"/>
  <c r="D64" i="1" s="1"/>
  <c r="E63" i="1"/>
  <c r="B63" i="1"/>
  <c r="D63" i="1" s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5" i="1"/>
  <c r="E55" i="1" s="1"/>
  <c r="B55" i="1"/>
  <c r="D55" i="1" s="1"/>
  <c r="C54" i="1"/>
  <c r="E54" i="1" s="1"/>
  <c r="B54" i="1"/>
  <c r="D54" i="1" s="1"/>
  <c r="C53" i="1"/>
  <c r="E53" i="1" s="1"/>
  <c r="B53" i="1"/>
  <c r="D53" i="1" s="1"/>
  <c r="E52" i="1"/>
  <c r="D52" i="1"/>
  <c r="E51" i="1"/>
  <c r="D51" i="1"/>
  <c r="C48" i="1"/>
  <c r="E48" i="1" s="1"/>
  <c r="B48" i="1"/>
  <c r="D48" i="1" s="1"/>
  <c r="C47" i="1"/>
  <c r="E47" i="1" s="1"/>
  <c r="B47" i="1"/>
  <c r="D47" i="1" s="1"/>
  <c r="C46" i="1"/>
  <c r="E46" i="1" s="1"/>
  <c r="B46" i="1"/>
  <c r="D46" i="1" s="1"/>
  <c r="C42" i="1"/>
  <c r="E41" i="1"/>
  <c r="B41" i="1"/>
  <c r="D41" i="1" s="1"/>
  <c r="E40" i="1"/>
  <c r="C40" i="1"/>
  <c r="B40" i="1"/>
  <c r="D40" i="1" s="1"/>
  <c r="E39" i="1"/>
  <c r="C39" i="1"/>
  <c r="B39" i="1"/>
  <c r="D39" i="1" s="1"/>
  <c r="E38" i="1"/>
  <c r="C38" i="1"/>
  <c r="B38" i="1"/>
  <c r="D38" i="1" s="1"/>
  <c r="E37" i="1"/>
  <c r="C37" i="1"/>
  <c r="B37" i="1"/>
  <c r="D37" i="1" s="1"/>
  <c r="E36" i="1"/>
  <c r="C36" i="1"/>
  <c r="B36" i="1"/>
  <c r="D36" i="1" s="1"/>
  <c r="E35" i="1"/>
  <c r="D35" i="1"/>
  <c r="C34" i="1"/>
  <c r="C33" i="1"/>
  <c r="E33" i="1" s="1"/>
  <c r="B33" i="1"/>
  <c r="C32" i="1"/>
  <c r="E32" i="1" s="1"/>
  <c r="B32" i="1"/>
  <c r="C31" i="1"/>
  <c r="E31" i="1" s="1"/>
  <c r="B31" i="1"/>
  <c r="C30" i="1"/>
  <c r="D30" i="1" s="1"/>
  <c r="B30" i="1"/>
  <c r="C29" i="1"/>
  <c r="E29" i="1" s="1"/>
  <c r="B29" i="1"/>
  <c r="B34" i="1" s="1"/>
  <c r="D34" i="1" s="1"/>
  <c r="E28" i="1"/>
  <c r="D28" i="1"/>
  <c r="E26" i="1"/>
  <c r="C26" i="1"/>
  <c r="B26" i="1"/>
  <c r="D26" i="1" s="1"/>
  <c r="E24" i="1"/>
  <c r="C24" i="1"/>
  <c r="B24" i="1"/>
  <c r="D24" i="1" s="1"/>
  <c r="E23" i="1"/>
  <c r="C23" i="1"/>
  <c r="B23" i="1"/>
  <c r="D23" i="1" s="1"/>
  <c r="E22" i="1"/>
  <c r="C22" i="1"/>
  <c r="B22" i="1"/>
  <c r="D22" i="1" s="1"/>
  <c r="E21" i="1"/>
  <c r="C21" i="1"/>
  <c r="C25" i="1" s="1"/>
  <c r="B21" i="1"/>
  <c r="D21" i="1" s="1"/>
  <c r="E20" i="1"/>
  <c r="D20" i="1"/>
  <c r="C19" i="1"/>
  <c r="E19" i="1" s="1"/>
  <c r="B19" i="1"/>
  <c r="C18" i="1"/>
  <c r="B18" i="1"/>
  <c r="E17" i="1"/>
  <c r="D17" i="1"/>
  <c r="E14" i="1"/>
  <c r="C14" i="1"/>
  <c r="B14" i="1"/>
  <c r="D14" i="1" s="1"/>
  <c r="E13" i="1"/>
  <c r="C13" i="1"/>
  <c r="B13" i="1"/>
  <c r="D13" i="1" s="1"/>
  <c r="E12" i="1"/>
  <c r="C12" i="1"/>
  <c r="B12" i="1"/>
  <c r="D12" i="1" s="1"/>
  <c r="E11" i="1"/>
  <c r="C11" i="1"/>
  <c r="B11" i="1"/>
  <c r="D11" i="1" s="1"/>
  <c r="E10" i="1"/>
  <c r="C10" i="1"/>
  <c r="B10" i="1"/>
  <c r="D10" i="1" s="1"/>
  <c r="E9" i="1"/>
  <c r="C9" i="1"/>
  <c r="B9" i="1"/>
  <c r="D9" i="1" s="1"/>
  <c r="E8" i="1"/>
  <c r="C8" i="1"/>
  <c r="C15" i="1" s="1"/>
  <c r="B8" i="1"/>
  <c r="D8" i="1" s="1"/>
  <c r="E15" i="1" l="1"/>
  <c r="E25" i="1"/>
  <c r="E92" i="1"/>
  <c r="C27" i="1"/>
  <c r="E34" i="1"/>
  <c r="E72" i="1"/>
  <c r="E84" i="1"/>
  <c r="E101" i="1"/>
  <c r="B42" i="1"/>
  <c r="D42" i="1" s="1"/>
  <c r="B49" i="1"/>
  <c r="D49" i="1" s="1"/>
  <c r="B56" i="1"/>
  <c r="B78" i="1"/>
  <c r="D78" i="1" s="1"/>
  <c r="B87" i="1"/>
  <c r="C97" i="1"/>
  <c r="E97" i="1" s="1"/>
  <c r="B111" i="1"/>
  <c r="D31" i="1"/>
  <c r="C56" i="1"/>
  <c r="C78" i="1"/>
  <c r="C87" i="1"/>
  <c r="E87" i="1" s="1"/>
  <c r="D94" i="1"/>
  <c r="D95" i="1"/>
  <c r="D96" i="1"/>
  <c r="B101" i="1"/>
  <c r="D101" i="1" s="1"/>
  <c r="C111" i="1"/>
  <c r="E111" i="1" s="1"/>
  <c r="D19" i="1"/>
  <c r="D29" i="1"/>
  <c r="D33" i="1"/>
  <c r="E30" i="1"/>
  <c r="B15" i="1"/>
  <c r="D18" i="1"/>
  <c r="B25" i="1"/>
  <c r="D32" i="1"/>
  <c r="C49" i="1"/>
  <c r="E18" i="1"/>
  <c r="D25" i="1" l="1"/>
  <c r="B27" i="1"/>
  <c r="E27" i="1" s="1"/>
  <c r="D111" i="1"/>
  <c r="D56" i="1"/>
  <c r="B67" i="1"/>
  <c r="C43" i="1"/>
  <c r="E78" i="1"/>
  <c r="D97" i="1"/>
  <c r="E49" i="1"/>
  <c r="D15" i="1"/>
  <c r="E56" i="1"/>
  <c r="C67" i="1"/>
  <c r="D87" i="1"/>
  <c r="E42" i="1"/>
  <c r="C106" i="1" l="1"/>
  <c r="E67" i="1"/>
  <c r="C44" i="1"/>
  <c r="C112" i="1"/>
  <c r="D27" i="1"/>
  <c r="B43" i="1"/>
  <c r="D67" i="1"/>
  <c r="B106" i="1"/>
  <c r="D106" i="1" s="1"/>
  <c r="E44" i="1" l="1"/>
  <c r="D43" i="1"/>
  <c r="B44" i="1"/>
  <c r="D44" i="1" s="1"/>
  <c r="B112" i="1"/>
  <c r="D112" i="1" s="1"/>
  <c r="E43" i="1"/>
  <c r="E112" i="1"/>
  <c r="E106" i="1"/>
</calcChain>
</file>

<file path=xl/sharedStrings.xml><?xml version="1.0" encoding="utf-8"?>
<sst xmlns="http://schemas.openxmlformats.org/spreadsheetml/2006/main" count="115" uniqueCount="115">
  <si>
    <t>Total</t>
  </si>
  <si>
    <t>Jul 2022 - Jun 2023</t>
  </si>
  <si>
    <t>Jul 2021 - Jun 2022 (PP)</t>
  </si>
  <si>
    <t>Change</t>
  </si>
  <si>
    <t>% Change</t>
  </si>
  <si>
    <t>Income</t>
  </si>
  <si>
    <t xml:space="preserve">   17 Food only</t>
  </si>
  <si>
    <t xml:space="preserve">   18 Catering</t>
  </si>
  <si>
    <t xml:space="preserve">   19 Setup &amp; Services</t>
  </si>
  <si>
    <t xml:space="preserve">   20 Beverages</t>
  </si>
  <si>
    <t xml:space="preserve">   21 Additional Items</t>
  </si>
  <si>
    <t xml:space="preserve">   22 Marquee Rent</t>
  </si>
  <si>
    <t xml:space="preserve">   23 Heating/Cooling</t>
  </si>
  <si>
    <t>Total Income</t>
  </si>
  <si>
    <t>Cost of Sales</t>
  </si>
  <si>
    <t xml:space="preserve">   24 Supplies and Materials</t>
  </si>
  <si>
    <t xml:space="preserve">      2403 Outsourced Food</t>
  </si>
  <si>
    <t xml:space="preserve">      2406 Beverages &amp; Soft Drinks</t>
  </si>
  <si>
    <t xml:space="preserve">      2407 Other Consumables</t>
  </si>
  <si>
    <t xml:space="preserve">         240701 Charcoal</t>
  </si>
  <si>
    <t xml:space="preserve">         240702 Ice</t>
  </si>
  <si>
    <t xml:space="preserve">         240703 LPG</t>
  </si>
  <si>
    <t xml:space="preserve">         240704 Spirit</t>
  </si>
  <si>
    <t xml:space="preserve">      Total 2407 Other Consumables</t>
  </si>
  <si>
    <t xml:space="preserve">      2408 Disposible Materials</t>
  </si>
  <si>
    <t xml:space="preserve">   Total 24 Supplies and Materials</t>
  </si>
  <si>
    <t xml:space="preserve">   25 Cost of Labour</t>
  </si>
  <si>
    <t xml:space="preserve">      2501 Salaries- Operation Staff</t>
  </si>
  <si>
    <t xml:space="preserve">      2502 Labour Out Sourced</t>
  </si>
  <si>
    <t xml:space="preserve">      2503 Wages &amp; Allowance</t>
  </si>
  <si>
    <t xml:space="preserve">      2504 Party Waiters</t>
  </si>
  <si>
    <t xml:space="preserve">      2505 Valet Drivers</t>
  </si>
  <si>
    <t xml:space="preserve">   Total 25 Cost of Labour</t>
  </si>
  <si>
    <t xml:space="preserve">   26 Cost of Overheads</t>
  </si>
  <si>
    <t xml:space="preserve">      2601 Marquee &amp; Lawn Rent</t>
  </si>
  <si>
    <t xml:space="preserve">      2602 Utilitites</t>
  </si>
  <si>
    <t xml:space="preserve">      2603 Fuel for Genset</t>
  </si>
  <si>
    <t xml:space="preserve">      2604 Repair &amp; Maintinance</t>
  </si>
  <si>
    <t xml:space="preserve">      2605 Laundry</t>
  </si>
  <si>
    <t xml:space="preserve">      2606 Other Direct Cost</t>
  </si>
  <si>
    <t xml:space="preserve">   Total 26 Cost of Overheads</t>
  </si>
  <si>
    <t>Total Cost of Sales</t>
  </si>
  <si>
    <t>Gross Profit</t>
  </si>
  <si>
    <t>Other Income(Loss)</t>
  </si>
  <si>
    <t xml:space="preserve">   45 Outsourced Items</t>
  </si>
  <si>
    <t xml:space="preserve">   46 Decor Income</t>
  </si>
  <si>
    <t xml:space="preserve">   47 Others</t>
  </si>
  <si>
    <t>Total Other Income(Loss)</t>
  </si>
  <si>
    <t>Expenses</t>
  </si>
  <si>
    <t xml:space="preserve">   27 Salaries &amp; Other Benefits</t>
  </si>
  <si>
    <t xml:space="preserve">      2701 Salaries &amp; Wages - Non Operations</t>
  </si>
  <si>
    <t xml:space="preserve">         270101 Sales</t>
  </si>
  <si>
    <t xml:space="preserve">         270103 Accounts &amp; Finance</t>
  </si>
  <si>
    <t xml:space="preserve">         270104 Admin &amp; HR</t>
  </si>
  <si>
    <t xml:space="preserve">      Total 2701 Salaries &amp; Wages - Non Operations</t>
  </si>
  <si>
    <t xml:space="preserve">      2702 Other Benefits (Direct &amp; Indirect)</t>
  </si>
  <si>
    <t xml:space="preserve">         270201 EOBI &amp; Social Security</t>
  </si>
  <si>
    <t xml:space="preserve">         270202 Staff Accommodation Rent</t>
  </si>
  <si>
    <t xml:space="preserve">         270203 Staff Accommodation Utilities</t>
  </si>
  <si>
    <t xml:space="preserve">         270204 Leave Encashment</t>
  </si>
  <si>
    <t xml:space="preserve">         270205 Staff Fuel</t>
  </si>
  <si>
    <t xml:space="preserve">         270206 Staff Medical Allowance</t>
  </si>
  <si>
    <t xml:space="preserve">      Total 2702 Other Benefits (Direct &amp; Indirect)</t>
  </si>
  <si>
    <t xml:space="preserve">      2703 Sales Commission</t>
  </si>
  <si>
    <t xml:space="preserve">      2704 Salaries - Security Staff Col Nadeem</t>
  </si>
  <si>
    <t xml:space="preserve">   Total 27 Salaries &amp; Other Benefits</t>
  </si>
  <si>
    <t xml:space="preserve">   30 Legal &amp; Professional Charges</t>
  </si>
  <si>
    <t xml:space="preserve">      3002 Filing Fee</t>
  </si>
  <si>
    <t xml:space="preserve">      3003 Legal Fee</t>
  </si>
  <si>
    <t xml:space="preserve">      3006 Dues &amp; Subscriptions</t>
  </si>
  <si>
    <t xml:space="preserve">   Total 30 Legal &amp; Professional Charges</t>
  </si>
  <si>
    <t xml:space="preserve">   31 Communication Charges</t>
  </si>
  <si>
    <t xml:space="preserve">      3101 Internet Charges</t>
  </si>
  <si>
    <t xml:space="preserve">      3102 Mobile Charges</t>
  </si>
  <si>
    <t xml:space="preserve">      3104 Telephone Bill</t>
  </si>
  <si>
    <t xml:space="preserve">      3105 Cable Charges</t>
  </si>
  <si>
    <t xml:space="preserve">   Total 31 Communication Charges</t>
  </si>
  <si>
    <t xml:space="preserve">   32 Repair &amp; Maintenance</t>
  </si>
  <si>
    <t xml:space="preserve">      3201 Equipment Repair</t>
  </si>
  <si>
    <t xml:space="preserve">      3202 Office Repair</t>
  </si>
  <si>
    <t xml:space="preserve">      3203 Vehicles Repair</t>
  </si>
  <si>
    <t xml:space="preserve">      3204 Computer &amp; Accessories</t>
  </si>
  <si>
    <t xml:space="preserve">   Total 32 Repair &amp; Maintenance</t>
  </si>
  <si>
    <t xml:space="preserve">   33 Travelling &amp; Conveyance</t>
  </si>
  <si>
    <t xml:space="preserve">      3303 Fuel &amp; Transportation</t>
  </si>
  <si>
    <t xml:space="preserve">   Total 33 Travelling &amp; Conveyance</t>
  </si>
  <si>
    <t xml:space="preserve">   34 Office Supplies &amp; Stationary</t>
  </si>
  <si>
    <t xml:space="preserve">      3401 Office Supplies</t>
  </si>
  <si>
    <t xml:space="preserve">      3402 Printing &amp; Photocopying</t>
  </si>
  <si>
    <t xml:space="preserve">      3403 Stationary Expense</t>
  </si>
  <si>
    <t xml:space="preserve">   Total 34 Office Supplies &amp; Stationary</t>
  </si>
  <si>
    <t xml:space="preserve">   35 Advertisement &amp; Publicity</t>
  </si>
  <si>
    <t xml:space="preserve">      3501 Agency Fee</t>
  </si>
  <si>
    <t xml:space="preserve">      3502 Ad Spend</t>
  </si>
  <si>
    <t xml:space="preserve">      3503 Ad Production</t>
  </si>
  <si>
    <t xml:space="preserve">   Total 35 Advertisement &amp; Publicity</t>
  </si>
  <si>
    <t xml:space="preserve">   36 Food &amp; Entertainment</t>
  </si>
  <si>
    <t xml:space="preserve">      3601 Office Entertainment</t>
  </si>
  <si>
    <t xml:space="preserve">      3602 Staff Food</t>
  </si>
  <si>
    <t xml:space="preserve">   Total 36 Food &amp; Entertainment</t>
  </si>
  <si>
    <t xml:space="preserve">   37 Cleaning, Washing &amp; Janitorial Expense</t>
  </si>
  <si>
    <t xml:space="preserve">   38 Staff Uniform</t>
  </si>
  <si>
    <t xml:space="preserve">   39 Bad debts</t>
  </si>
  <si>
    <t xml:space="preserve">   40 Misc Expenses</t>
  </si>
  <si>
    <t>Total Expenses</t>
  </si>
  <si>
    <t>Other Expenses</t>
  </si>
  <si>
    <t xml:space="preserve">   48 Outsourced Items Rental</t>
  </si>
  <si>
    <t xml:space="preserve">   49 Bank Service Charges</t>
  </si>
  <si>
    <t xml:space="preserve">   50 Other</t>
  </si>
  <si>
    <t>Total Other Expenses</t>
  </si>
  <si>
    <t>Net Earnings</t>
  </si>
  <si>
    <t>Tuesday, Feb 27, 2024 01:45:16 AM GMT+5 - Accrual Basis</t>
  </si>
  <si>
    <t>The Pavilion Marquee</t>
  </si>
  <si>
    <t>Profit and Loss Comparison</t>
  </si>
  <si>
    <t>July 2022 -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</si>
</sst>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0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0" fontId="2" fillId="0" borderId="3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"/>
  <sheetViews>
    <sheetView tabSelected="1" workbookViewId="0">
      <selection activeCell="J19" sqref="J19"/>
    </sheetView>
  </sheetViews>
  <sheetFormatPr baseColWidth="10" defaultColWidth="8.83203125" defaultRowHeight="15" x14ac:dyDescent="0.2"/>
  <cols>
    <col min="1" max="1" width="44.6640625" customWidth="1"/>
    <col min="2" max="2" width="15.5" customWidth="1"/>
    <col min="3" max="4" width="14.6640625" customWidth="1"/>
    <col min="5" max="5" width="11.1640625" customWidth="1"/>
  </cols>
  <sheetData>
    <row r="1" spans="1:5" ht="18" x14ac:dyDescent="0.2">
      <c r="A1" s="15" t="s">
        <v>112</v>
      </c>
      <c r="B1" s="14"/>
      <c r="C1" s="14"/>
      <c r="D1" s="14"/>
      <c r="E1" s="14"/>
    </row>
    <row r="2" spans="1:5" ht="18" x14ac:dyDescent="0.2">
      <c r="A2" s="15" t="s">
        <v>113</v>
      </c>
      <c r="B2" s="14"/>
      <c r="C2" s="14"/>
      <c r="D2" s="14"/>
      <c r="E2" s="14"/>
    </row>
    <row r="3" spans="1:5" x14ac:dyDescent="0.2">
      <c r="A3" s="16" t="s">
        <v>114</v>
      </c>
      <c r="B3" s="14"/>
      <c r="C3" s="14"/>
      <c r="D3" s="14"/>
      <c r="E3" s="14"/>
    </row>
    <row r="5" spans="1:5" x14ac:dyDescent="0.2">
      <c r="A5" s="1"/>
      <c r="B5" s="11" t="s">
        <v>0</v>
      </c>
      <c r="C5" s="12"/>
      <c r="D5" s="12"/>
      <c r="E5" s="12"/>
    </row>
    <row r="6" spans="1:5" ht="27" x14ac:dyDescent="0.2">
      <c r="A6" s="1"/>
      <c r="B6" s="2" t="s">
        <v>1</v>
      </c>
      <c r="C6" s="2" t="s">
        <v>2</v>
      </c>
      <c r="D6" s="2" t="s">
        <v>3</v>
      </c>
      <c r="E6" s="2" t="s">
        <v>4</v>
      </c>
    </row>
    <row r="7" spans="1:5" x14ac:dyDescent="0.2">
      <c r="A7" s="3" t="s">
        <v>5</v>
      </c>
      <c r="B7" s="4"/>
      <c r="C7" s="4"/>
      <c r="D7" s="4"/>
      <c r="E7" s="4"/>
    </row>
    <row r="8" spans="1:5" x14ac:dyDescent="0.2">
      <c r="A8" s="3" t="s">
        <v>6</v>
      </c>
      <c r="B8" s="5">
        <f>2220000</f>
        <v>2220000</v>
      </c>
      <c r="C8" s="5">
        <f>927500</f>
        <v>927500</v>
      </c>
      <c r="D8" s="5">
        <f t="shared" ref="D8:D15" si="0">(B8)-(C8)</f>
        <v>1292500</v>
      </c>
      <c r="E8" s="6">
        <f t="shared" ref="E8:E15" si="1">IF(ABS((C8))=0,"",((B8)-(C8))/(ABS((C8))))</f>
        <v>1.3935309973045822</v>
      </c>
    </row>
    <row r="9" spans="1:5" x14ac:dyDescent="0.2">
      <c r="A9" s="3" t="s">
        <v>7</v>
      </c>
      <c r="B9" s="5">
        <f>107129989</f>
        <v>107129989</v>
      </c>
      <c r="C9" s="5">
        <f>46386006</f>
        <v>46386006</v>
      </c>
      <c r="D9" s="5">
        <f t="shared" si="0"/>
        <v>60743983</v>
      </c>
      <c r="E9" s="6">
        <f t="shared" si="1"/>
        <v>1.3095325128876152</v>
      </c>
    </row>
    <row r="10" spans="1:5" x14ac:dyDescent="0.2">
      <c r="A10" s="3" t="s">
        <v>8</v>
      </c>
      <c r="B10" s="5">
        <f>298000</f>
        <v>298000</v>
      </c>
      <c r="C10" s="5">
        <f>0</f>
        <v>0</v>
      </c>
      <c r="D10" s="5">
        <f t="shared" si="0"/>
        <v>298000</v>
      </c>
      <c r="E10" s="6" t="str">
        <f t="shared" si="1"/>
        <v/>
      </c>
    </row>
    <row r="11" spans="1:5" x14ac:dyDescent="0.2">
      <c r="A11" s="3" t="s">
        <v>9</v>
      </c>
      <c r="B11" s="5">
        <f>3726000</f>
        <v>3726000</v>
      </c>
      <c r="C11" s="5">
        <f>413185</f>
        <v>413185</v>
      </c>
      <c r="D11" s="5">
        <f t="shared" si="0"/>
        <v>3312815</v>
      </c>
      <c r="E11" s="6">
        <f t="shared" si="1"/>
        <v>8.0177523385408467</v>
      </c>
    </row>
    <row r="12" spans="1:5" x14ac:dyDescent="0.2">
      <c r="A12" s="3" t="s">
        <v>10</v>
      </c>
      <c r="B12" s="5">
        <f>96500</f>
        <v>96500</v>
      </c>
      <c r="C12" s="5">
        <f>28000</f>
        <v>28000</v>
      </c>
      <c r="D12" s="5">
        <f t="shared" si="0"/>
        <v>68500</v>
      </c>
      <c r="E12" s="6">
        <f t="shared" si="1"/>
        <v>2.4464285714285716</v>
      </c>
    </row>
    <row r="13" spans="1:5" x14ac:dyDescent="0.2">
      <c r="A13" s="3" t="s">
        <v>11</v>
      </c>
      <c r="B13" s="5">
        <f>3402524</f>
        <v>3402524</v>
      </c>
      <c r="C13" s="5">
        <f>691250</f>
        <v>691250</v>
      </c>
      <c r="D13" s="5">
        <f t="shared" si="0"/>
        <v>2711274</v>
      </c>
      <c r="E13" s="6">
        <f t="shared" si="1"/>
        <v>3.9222770343580469</v>
      </c>
    </row>
    <row r="14" spans="1:5" x14ac:dyDescent="0.2">
      <c r="A14" s="3" t="s">
        <v>12</v>
      </c>
      <c r="B14" s="5">
        <f>4685500</f>
        <v>4685500</v>
      </c>
      <c r="C14" s="5">
        <f>1580500</f>
        <v>1580500</v>
      </c>
      <c r="D14" s="5">
        <f t="shared" si="0"/>
        <v>3105000</v>
      </c>
      <c r="E14" s="6">
        <f t="shared" si="1"/>
        <v>1.9645681746282821</v>
      </c>
    </row>
    <row r="15" spans="1:5" x14ac:dyDescent="0.2">
      <c r="A15" s="3" t="s">
        <v>13</v>
      </c>
      <c r="B15" s="7">
        <f>((((((B8)+(B9))+(B10))+(B11))+(B12))+(B13))+(B14)</f>
        <v>121558513</v>
      </c>
      <c r="C15" s="7">
        <f>((((((C8)+(C9))+(C10))+(C11))+(C12))+(C13))+(C14)</f>
        <v>50026441</v>
      </c>
      <c r="D15" s="7">
        <f t="shared" si="0"/>
        <v>71532072</v>
      </c>
      <c r="E15" s="8">
        <f t="shared" si="1"/>
        <v>1.429885288061967</v>
      </c>
    </row>
    <row r="16" spans="1:5" x14ac:dyDescent="0.2">
      <c r="A16" s="3" t="s">
        <v>14</v>
      </c>
      <c r="B16" s="4"/>
      <c r="C16" s="4"/>
      <c r="D16" s="4"/>
      <c r="E16" s="4"/>
    </row>
    <row r="17" spans="1:5" x14ac:dyDescent="0.2">
      <c r="A17" s="3" t="s">
        <v>15</v>
      </c>
      <c r="B17" s="4"/>
      <c r="C17" s="4"/>
      <c r="D17" s="5">
        <f t="shared" ref="D17:D44" si="2">(B17)-(C17)</f>
        <v>0</v>
      </c>
      <c r="E17" s="6" t="str">
        <f t="shared" ref="E17:E44" si="3">IF(ABS((C17))=0,"",((B17)-(C17))/(ABS((C17))))</f>
        <v/>
      </c>
    </row>
    <row r="18" spans="1:5" x14ac:dyDescent="0.2">
      <c r="A18" s="3" t="s">
        <v>16</v>
      </c>
      <c r="B18" s="5">
        <f>62903081</f>
        <v>62903081</v>
      </c>
      <c r="C18" s="5">
        <f>27376598</f>
        <v>27376598</v>
      </c>
      <c r="D18" s="5">
        <f t="shared" si="2"/>
        <v>35526483</v>
      </c>
      <c r="E18" s="6">
        <f t="shared" si="3"/>
        <v>1.2976953162697571</v>
      </c>
    </row>
    <row r="19" spans="1:5" x14ac:dyDescent="0.2">
      <c r="A19" s="3" t="s">
        <v>17</v>
      </c>
      <c r="B19" s="5">
        <f>2770998</f>
        <v>2770998</v>
      </c>
      <c r="C19" s="5">
        <f>1047650</f>
        <v>1047650</v>
      </c>
      <c r="D19" s="5">
        <f t="shared" si="2"/>
        <v>1723348</v>
      </c>
      <c r="E19" s="6">
        <f t="shared" si="3"/>
        <v>1.6449653987495825</v>
      </c>
    </row>
    <row r="20" spans="1:5" x14ac:dyDescent="0.2">
      <c r="A20" s="3" t="s">
        <v>18</v>
      </c>
      <c r="B20" s="4"/>
      <c r="C20" s="4"/>
      <c r="D20" s="5">
        <f t="shared" si="2"/>
        <v>0</v>
      </c>
      <c r="E20" s="6" t="str">
        <f t="shared" si="3"/>
        <v/>
      </c>
    </row>
    <row r="21" spans="1:5" x14ac:dyDescent="0.2">
      <c r="A21" s="3" t="s">
        <v>19</v>
      </c>
      <c r="B21" s="5">
        <f>686000</f>
        <v>686000</v>
      </c>
      <c r="C21" s="5">
        <f>392200</f>
        <v>392200</v>
      </c>
      <c r="D21" s="5">
        <f t="shared" si="2"/>
        <v>293800</v>
      </c>
      <c r="E21" s="6">
        <f t="shared" si="3"/>
        <v>0.74910759816420192</v>
      </c>
    </row>
    <row r="22" spans="1:5" x14ac:dyDescent="0.2">
      <c r="A22" s="3" t="s">
        <v>20</v>
      </c>
      <c r="B22" s="5">
        <f>15000</f>
        <v>15000</v>
      </c>
      <c r="C22" s="5">
        <f>16570</f>
        <v>16570</v>
      </c>
      <c r="D22" s="5">
        <f t="shared" si="2"/>
        <v>-1570</v>
      </c>
      <c r="E22" s="6">
        <f t="shared" si="3"/>
        <v>-9.4749547374773688E-2</v>
      </c>
    </row>
    <row r="23" spans="1:5" x14ac:dyDescent="0.2">
      <c r="A23" s="3" t="s">
        <v>21</v>
      </c>
      <c r="B23" s="5">
        <f>515760</f>
        <v>515760</v>
      </c>
      <c r="C23" s="5">
        <f>266050</f>
        <v>266050</v>
      </c>
      <c r="D23" s="5">
        <f t="shared" si="2"/>
        <v>249710</v>
      </c>
      <c r="E23" s="6">
        <f t="shared" si="3"/>
        <v>0.93858297312535233</v>
      </c>
    </row>
    <row r="24" spans="1:5" x14ac:dyDescent="0.2">
      <c r="A24" s="3" t="s">
        <v>22</v>
      </c>
      <c r="B24" s="5">
        <f>279300</f>
        <v>279300</v>
      </c>
      <c r="C24" s="5">
        <f>104000</f>
        <v>104000</v>
      </c>
      <c r="D24" s="5">
        <f t="shared" si="2"/>
        <v>175300</v>
      </c>
      <c r="E24" s="6">
        <f t="shared" si="3"/>
        <v>1.6855769230769231</v>
      </c>
    </row>
    <row r="25" spans="1:5" x14ac:dyDescent="0.2">
      <c r="A25" s="3" t="s">
        <v>23</v>
      </c>
      <c r="B25" s="7">
        <f>((((B20)+(B21))+(B22))+(B23))+(B24)</f>
        <v>1496060</v>
      </c>
      <c r="C25" s="7">
        <f>((((C20)+(C21))+(C22))+(C23))+(C24)</f>
        <v>778820</v>
      </c>
      <c r="D25" s="7">
        <f t="shared" si="2"/>
        <v>717240</v>
      </c>
      <c r="E25" s="8">
        <f t="shared" si="3"/>
        <v>0.92093166585347064</v>
      </c>
    </row>
    <row r="26" spans="1:5" x14ac:dyDescent="0.2">
      <c r="A26" s="3" t="s">
        <v>24</v>
      </c>
      <c r="B26" s="5">
        <f>663838</f>
        <v>663838</v>
      </c>
      <c r="C26" s="5">
        <f>205216</f>
        <v>205216</v>
      </c>
      <c r="D26" s="5">
        <f t="shared" si="2"/>
        <v>458622</v>
      </c>
      <c r="E26" s="6">
        <f t="shared" si="3"/>
        <v>2.2348257445813191</v>
      </c>
    </row>
    <row r="27" spans="1:5" x14ac:dyDescent="0.2">
      <c r="A27" s="3" t="s">
        <v>25</v>
      </c>
      <c r="B27" s="7">
        <f>((((B17)+(B18))+(B19))+(B25))+(B26)</f>
        <v>67833977</v>
      </c>
      <c r="C27" s="7">
        <f>((((C17)+(C18))+(C19))+(C25))+(C26)</f>
        <v>29408284</v>
      </c>
      <c r="D27" s="7">
        <f t="shared" si="2"/>
        <v>38425693</v>
      </c>
      <c r="E27" s="8">
        <f t="shared" si="3"/>
        <v>1.3066281936069442</v>
      </c>
    </row>
    <row r="28" spans="1:5" x14ac:dyDescent="0.2">
      <c r="A28" s="3" t="s">
        <v>26</v>
      </c>
      <c r="B28" s="4"/>
      <c r="C28" s="4"/>
      <c r="D28" s="5">
        <f t="shared" si="2"/>
        <v>0</v>
      </c>
      <c r="E28" s="6" t="str">
        <f t="shared" si="3"/>
        <v/>
      </c>
    </row>
    <row r="29" spans="1:5" x14ac:dyDescent="0.2">
      <c r="A29" s="3" t="s">
        <v>27</v>
      </c>
      <c r="B29" s="5">
        <f>6668242</f>
        <v>6668242</v>
      </c>
      <c r="C29" s="5">
        <f>3058615</f>
        <v>3058615</v>
      </c>
      <c r="D29" s="5">
        <f t="shared" si="2"/>
        <v>3609627</v>
      </c>
      <c r="E29" s="6">
        <f t="shared" si="3"/>
        <v>1.180150819897241</v>
      </c>
    </row>
    <row r="30" spans="1:5" x14ac:dyDescent="0.2">
      <c r="A30" s="3" t="s">
        <v>28</v>
      </c>
      <c r="B30" s="5">
        <f>59260</f>
        <v>59260</v>
      </c>
      <c r="C30" s="5">
        <f>4400</f>
        <v>4400</v>
      </c>
      <c r="D30" s="5">
        <f t="shared" si="2"/>
        <v>54860</v>
      </c>
      <c r="E30" s="6">
        <f t="shared" si="3"/>
        <v>12.468181818181819</v>
      </c>
    </row>
    <row r="31" spans="1:5" x14ac:dyDescent="0.2">
      <c r="A31" s="3" t="s">
        <v>29</v>
      </c>
      <c r="B31" s="5">
        <f>1036660</f>
        <v>1036660</v>
      </c>
      <c r="C31" s="5">
        <f>480829</f>
        <v>480829</v>
      </c>
      <c r="D31" s="5">
        <f t="shared" si="2"/>
        <v>555831</v>
      </c>
      <c r="E31" s="6">
        <f t="shared" si="3"/>
        <v>1.1559847679736455</v>
      </c>
    </row>
    <row r="32" spans="1:5" x14ac:dyDescent="0.2">
      <c r="A32" s="3" t="s">
        <v>30</v>
      </c>
      <c r="B32" s="5">
        <f>857500</f>
        <v>857500</v>
      </c>
      <c r="C32" s="5">
        <f>508900</f>
        <v>508900</v>
      </c>
      <c r="D32" s="5">
        <f t="shared" si="2"/>
        <v>348600</v>
      </c>
      <c r="E32" s="6">
        <f t="shared" si="3"/>
        <v>0.68500687757909218</v>
      </c>
    </row>
    <row r="33" spans="1:5" x14ac:dyDescent="0.2">
      <c r="A33" s="3" t="s">
        <v>31</v>
      </c>
      <c r="B33" s="5">
        <f>633000</f>
        <v>633000</v>
      </c>
      <c r="C33" s="5">
        <f>347500</f>
        <v>347500</v>
      </c>
      <c r="D33" s="5">
        <f t="shared" si="2"/>
        <v>285500</v>
      </c>
      <c r="E33" s="6">
        <f t="shared" si="3"/>
        <v>0.82158273381294966</v>
      </c>
    </row>
    <row r="34" spans="1:5" x14ac:dyDescent="0.2">
      <c r="A34" s="3" t="s">
        <v>32</v>
      </c>
      <c r="B34" s="7">
        <f>(((((B28)+(B29))+(B30))+(B31))+(B32))+(B33)</f>
        <v>9254662</v>
      </c>
      <c r="C34" s="7">
        <f>(((((C28)+(C29))+(C30))+(C31))+(C32))+(C33)</f>
        <v>4400244</v>
      </c>
      <c r="D34" s="7">
        <f t="shared" si="2"/>
        <v>4854418</v>
      </c>
      <c r="E34" s="8">
        <f t="shared" si="3"/>
        <v>1.1032156398599715</v>
      </c>
    </row>
    <row r="35" spans="1:5" x14ac:dyDescent="0.2">
      <c r="A35" s="3" t="s">
        <v>33</v>
      </c>
      <c r="B35" s="4"/>
      <c r="C35" s="4"/>
      <c r="D35" s="5">
        <f t="shared" si="2"/>
        <v>0</v>
      </c>
      <c r="E35" s="6" t="str">
        <f t="shared" si="3"/>
        <v/>
      </c>
    </row>
    <row r="36" spans="1:5" x14ac:dyDescent="0.2">
      <c r="A36" s="3" t="s">
        <v>34</v>
      </c>
      <c r="B36" s="5">
        <f>12953875</f>
        <v>12953875</v>
      </c>
      <c r="C36" s="5">
        <f>6307500</f>
        <v>6307500</v>
      </c>
      <c r="D36" s="5">
        <f t="shared" si="2"/>
        <v>6646375</v>
      </c>
      <c r="E36" s="6">
        <f t="shared" si="3"/>
        <v>1.053725723345224</v>
      </c>
    </row>
    <row r="37" spans="1:5" x14ac:dyDescent="0.2">
      <c r="A37" s="3" t="s">
        <v>35</v>
      </c>
      <c r="B37" s="5">
        <f>2938818</f>
        <v>2938818</v>
      </c>
      <c r="C37" s="5">
        <f>1204430</f>
        <v>1204430</v>
      </c>
      <c r="D37" s="5">
        <f t="shared" si="2"/>
        <v>1734388</v>
      </c>
      <c r="E37" s="6">
        <f t="shared" si="3"/>
        <v>1.4400073063606851</v>
      </c>
    </row>
    <row r="38" spans="1:5" x14ac:dyDescent="0.2">
      <c r="A38" s="3" t="s">
        <v>36</v>
      </c>
      <c r="B38" s="5">
        <f>4235116</f>
        <v>4235116</v>
      </c>
      <c r="C38" s="5">
        <f>1031781</f>
        <v>1031781</v>
      </c>
      <c r="D38" s="5">
        <f t="shared" si="2"/>
        <v>3203335</v>
      </c>
      <c r="E38" s="6">
        <f t="shared" si="3"/>
        <v>3.104665621871308</v>
      </c>
    </row>
    <row r="39" spans="1:5" x14ac:dyDescent="0.2">
      <c r="A39" s="3" t="s">
        <v>37</v>
      </c>
      <c r="B39" s="5">
        <f>1925566</f>
        <v>1925566</v>
      </c>
      <c r="C39" s="5">
        <f>572777</f>
        <v>572777</v>
      </c>
      <c r="D39" s="5">
        <f t="shared" si="2"/>
        <v>1352789</v>
      </c>
      <c r="E39" s="6">
        <f t="shared" si="3"/>
        <v>2.361807474811314</v>
      </c>
    </row>
    <row r="40" spans="1:5" x14ac:dyDescent="0.2">
      <c r="A40" s="3" t="s">
        <v>38</v>
      </c>
      <c r="B40" s="5">
        <f>659810</f>
        <v>659810</v>
      </c>
      <c r="C40" s="5">
        <f>335936</f>
        <v>335936</v>
      </c>
      <c r="D40" s="5">
        <f t="shared" si="2"/>
        <v>323874</v>
      </c>
      <c r="E40" s="6">
        <f t="shared" si="3"/>
        <v>0.96409435130501053</v>
      </c>
    </row>
    <row r="41" spans="1:5" x14ac:dyDescent="0.2">
      <c r="A41" s="3" t="s">
        <v>39</v>
      </c>
      <c r="B41" s="5">
        <f>15876</f>
        <v>15876</v>
      </c>
      <c r="C41" s="4"/>
      <c r="D41" s="5">
        <f t="shared" si="2"/>
        <v>15876</v>
      </c>
      <c r="E41" s="6" t="str">
        <f t="shared" si="3"/>
        <v/>
      </c>
    </row>
    <row r="42" spans="1:5" x14ac:dyDescent="0.2">
      <c r="A42" s="3" t="s">
        <v>40</v>
      </c>
      <c r="B42" s="7">
        <f>((((((B35)+(B36))+(B37))+(B38))+(B39))+(B40))+(B41)</f>
        <v>22729061</v>
      </c>
      <c r="C42" s="7">
        <f>((((((C35)+(C36))+(C37))+(C38))+(C39))+(C40))+(C41)</f>
        <v>9452424</v>
      </c>
      <c r="D42" s="7">
        <f t="shared" si="2"/>
        <v>13276637</v>
      </c>
      <c r="E42" s="8">
        <f t="shared" si="3"/>
        <v>1.4045748476792832</v>
      </c>
    </row>
    <row r="43" spans="1:5" x14ac:dyDescent="0.2">
      <c r="A43" s="3" t="s">
        <v>41</v>
      </c>
      <c r="B43" s="7">
        <f>((B27)+(B34))+(B42)</f>
        <v>99817700</v>
      </c>
      <c r="C43" s="7">
        <f>((C27)+(C34))+(C42)</f>
        <v>43260952</v>
      </c>
      <c r="D43" s="7">
        <f t="shared" si="2"/>
        <v>56556748</v>
      </c>
      <c r="E43" s="8">
        <f t="shared" si="3"/>
        <v>1.3073394223964374</v>
      </c>
    </row>
    <row r="44" spans="1:5" x14ac:dyDescent="0.2">
      <c r="A44" s="3" t="s">
        <v>42</v>
      </c>
      <c r="B44" s="7">
        <f>(B15)-(B43)</f>
        <v>21740813</v>
      </c>
      <c r="C44" s="7">
        <f>(C15)-(C43)</f>
        <v>6765489</v>
      </c>
      <c r="D44" s="7">
        <f t="shared" si="2"/>
        <v>14975324</v>
      </c>
      <c r="E44" s="8">
        <f t="shared" si="3"/>
        <v>2.2134873029872639</v>
      </c>
    </row>
    <row r="45" spans="1:5" x14ac:dyDescent="0.2">
      <c r="A45" s="3" t="s">
        <v>43</v>
      </c>
      <c r="B45" s="4"/>
      <c r="C45" s="4"/>
      <c r="D45" s="4"/>
      <c r="E45" s="4"/>
    </row>
    <row r="46" spans="1:5" x14ac:dyDescent="0.2">
      <c r="A46" s="3" t="s">
        <v>44</v>
      </c>
      <c r="B46" s="5">
        <f>2461570</f>
        <v>2461570</v>
      </c>
      <c r="C46" s="5">
        <f>587100</f>
        <v>587100</v>
      </c>
      <c r="D46" s="5">
        <f>(B46)-(C46)</f>
        <v>1874470</v>
      </c>
      <c r="E46" s="6">
        <f>IF(ABS((C46))=0,"",((B46)-(C46))/(ABS((C46))))</f>
        <v>3.1927610287855561</v>
      </c>
    </row>
    <row r="47" spans="1:5" x14ac:dyDescent="0.2">
      <c r="A47" s="3" t="s">
        <v>45</v>
      </c>
      <c r="B47" s="5">
        <f>6821640</f>
        <v>6821640</v>
      </c>
      <c r="C47" s="5">
        <f>1809750</f>
        <v>1809750</v>
      </c>
      <c r="D47" s="5">
        <f>(B47)-(C47)</f>
        <v>5011890</v>
      </c>
      <c r="E47" s="6">
        <f>IF(ABS((C47))=0,"",((B47)-(C47))/(ABS((C47))))</f>
        <v>2.7693825113966017</v>
      </c>
    </row>
    <row r="48" spans="1:5" x14ac:dyDescent="0.2">
      <c r="A48" s="3" t="s">
        <v>46</v>
      </c>
      <c r="B48" s="5">
        <f>2400010</f>
        <v>2400010</v>
      </c>
      <c r="C48" s="5">
        <f>100000</f>
        <v>100000</v>
      </c>
      <c r="D48" s="5">
        <f>(B48)-(C48)</f>
        <v>2300010</v>
      </c>
      <c r="E48" s="6">
        <f>IF(ABS((C48))=0,"",((B48)-(C48))/(ABS((C48))))</f>
        <v>23.0001</v>
      </c>
    </row>
    <row r="49" spans="1:5" x14ac:dyDescent="0.2">
      <c r="A49" s="3" t="s">
        <v>47</v>
      </c>
      <c r="B49" s="7">
        <f>((B46)+(B47))+(B48)</f>
        <v>11683220</v>
      </c>
      <c r="C49" s="7">
        <f>((C46)+(C47))+(C48)</f>
        <v>2496850</v>
      </c>
      <c r="D49" s="7">
        <f>(B49)-(C49)</f>
        <v>9186370</v>
      </c>
      <c r="E49" s="8">
        <f>IF(ABS((C49))=0,"",((B49)-(C49))/(ABS((C49))))</f>
        <v>3.6791837715521556</v>
      </c>
    </row>
    <row r="50" spans="1:5" x14ac:dyDescent="0.2">
      <c r="A50" s="3" t="s">
        <v>48</v>
      </c>
      <c r="B50" s="4"/>
      <c r="C50" s="4"/>
      <c r="D50" s="4"/>
      <c r="E50" s="4"/>
    </row>
    <row r="51" spans="1:5" x14ac:dyDescent="0.2">
      <c r="A51" s="3" t="s">
        <v>49</v>
      </c>
      <c r="B51" s="4"/>
      <c r="C51" s="4"/>
      <c r="D51" s="5">
        <f t="shared" ref="D51:D82" si="4">(B51)-(C51)</f>
        <v>0</v>
      </c>
      <c r="E51" s="6" t="str">
        <f t="shared" ref="E51:E82" si="5">IF(ABS((C51))=0,"",((B51)-(C51))/(ABS((C51))))</f>
        <v/>
      </c>
    </row>
    <row r="52" spans="1:5" x14ac:dyDescent="0.2">
      <c r="A52" s="3" t="s">
        <v>50</v>
      </c>
      <c r="B52" s="4"/>
      <c r="C52" s="4"/>
      <c r="D52" s="5">
        <f t="shared" si="4"/>
        <v>0</v>
      </c>
      <c r="E52" s="6" t="str">
        <f t="shared" si="5"/>
        <v/>
      </c>
    </row>
    <row r="53" spans="1:5" x14ac:dyDescent="0.2">
      <c r="A53" s="3" t="s">
        <v>51</v>
      </c>
      <c r="B53" s="5">
        <f>2950667</f>
        <v>2950667</v>
      </c>
      <c r="C53" s="5">
        <f>1057000</f>
        <v>1057000</v>
      </c>
      <c r="D53" s="5">
        <f t="shared" si="4"/>
        <v>1893667</v>
      </c>
      <c r="E53" s="6">
        <f t="shared" si="5"/>
        <v>1.7915487228003784</v>
      </c>
    </row>
    <row r="54" spans="1:5" x14ac:dyDescent="0.2">
      <c r="A54" s="3" t="s">
        <v>52</v>
      </c>
      <c r="B54" s="5">
        <f>800250</f>
        <v>800250</v>
      </c>
      <c r="C54" s="5">
        <f>512033</f>
        <v>512033</v>
      </c>
      <c r="D54" s="5">
        <f t="shared" si="4"/>
        <v>288217</v>
      </c>
      <c r="E54" s="6">
        <f t="shared" si="5"/>
        <v>0.56288754826349086</v>
      </c>
    </row>
    <row r="55" spans="1:5" x14ac:dyDescent="0.2">
      <c r="A55" s="3" t="s">
        <v>53</v>
      </c>
      <c r="B55" s="5">
        <f>1045760</f>
        <v>1045760</v>
      </c>
      <c r="C55" s="5">
        <f>361165</f>
        <v>361165</v>
      </c>
      <c r="D55" s="5">
        <f t="shared" si="4"/>
        <v>684595</v>
      </c>
      <c r="E55" s="6">
        <f t="shared" si="5"/>
        <v>1.8955186687525092</v>
      </c>
    </row>
    <row r="56" spans="1:5" x14ac:dyDescent="0.2">
      <c r="A56" s="3" t="s">
        <v>54</v>
      </c>
      <c r="B56" s="7">
        <f>(((B52)+(B53))+(B54))+(B55)</f>
        <v>4796677</v>
      </c>
      <c r="C56" s="7">
        <f>(((C52)+(C53))+(C54))+(C55)</f>
        <v>1930198</v>
      </c>
      <c r="D56" s="7">
        <f t="shared" si="4"/>
        <v>2866479</v>
      </c>
      <c r="E56" s="8">
        <f t="shared" si="5"/>
        <v>1.485069925468786</v>
      </c>
    </row>
    <row r="57" spans="1:5" x14ac:dyDescent="0.2">
      <c r="A57" s="3" t="s">
        <v>55</v>
      </c>
      <c r="B57" s="4"/>
      <c r="C57" s="4"/>
      <c r="D57" s="5">
        <f t="shared" si="4"/>
        <v>0</v>
      </c>
      <c r="E57" s="6" t="str">
        <f t="shared" si="5"/>
        <v/>
      </c>
    </row>
    <row r="58" spans="1:5" x14ac:dyDescent="0.2">
      <c r="A58" s="3" t="s">
        <v>56</v>
      </c>
      <c r="B58" s="5">
        <f>89250</f>
        <v>89250</v>
      </c>
      <c r="C58" s="5">
        <f>38450</f>
        <v>38450</v>
      </c>
      <c r="D58" s="5">
        <f t="shared" si="4"/>
        <v>50800</v>
      </c>
      <c r="E58" s="6">
        <f t="shared" si="5"/>
        <v>1.3211963589076723</v>
      </c>
    </row>
    <row r="59" spans="1:5" x14ac:dyDescent="0.2">
      <c r="A59" s="3" t="s">
        <v>57</v>
      </c>
      <c r="B59" s="5">
        <f>319000</f>
        <v>319000</v>
      </c>
      <c r="C59" s="5">
        <f>145000</f>
        <v>145000</v>
      </c>
      <c r="D59" s="5">
        <f t="shared" si="4"/>
        <v>174000</v>
      </c>
      <c r="E59" s="6">
        <f t="shared" si="5"/>
        <v>1.2</v>
      </c>
    </row>
    <row r="60" spans="1:5" x14ac:dyDescent="0.2">
      <c r="A60" s="3" t="s">
        <v>58</v>
      </c>
      <c r="B60" s="5">
        <f>97014</f>
        <v>97014</v>
      </c>
      <c r="C60" s="5">
        <f>29233</f>
        <v>29233</v>
      </c>
      <c r="D60" s="5">
        <f t="shared" si="4"/>
        <v>67781</v>
      </c>
      <c r="E60" s="6">
        <f t="shared" si="5"/>
        <v>2.3186467348544455</v>
      </c>
    </row>
    <row r="61" spans="1:5" x14ac:dyDescent="0.2">
      <c r="A61" s="3" t="s">
        <v>59</v>
      </c>
      <c r="B61" s="5">
        <f>120100</f>
        <v>120100</v>
      </c>
      <c r="C61" s="5">
        <f>12000</f>
        <v>12000</v>
      </c>
      <c r="D61" s="5">
        <f t="shared" si="4"/>
        <v>108100</v>
      </c>
      <c r="E61" s="6">
        <f t="shared" si="5"/>
        <v>9.0083333333333329</v>
      </c>
    </row>
    <row r="62" spans="1:5" x14ac:dyDescent="0.2">
      <c r="A62" s="3" t="s">
        <v>60</v>
      </c>
      <c r="B62" s="5">
        <f>333739</f>
        <v>333739</v>
      </c>
      <c r="C62" s="5">
        <f>71348</f>
        <v>71348</v>
      </c>
      <c r="D62" s="5">
        <f t="shared" si="4"/>
        <v>262391</v>
      </c>
      <c r="E62" s="6">
        <f t="shared" si="5"/>
        <v>3.6776223580198466</v>
      </c>
    </row>
    <row r="63" spans="1:5" x14ac:dyDescent="0.2">
      <c r="A63" s="3" t="s">
        <v>61</v>
      </c>
      <c r="B63" s="5">
        <f>5400</f>
        <v>5400</v>
      </c>
      <c r="C63" s="4"/>
      <c r="D63" s="5">
        <f t="shared" si="4"/>
        <v>5400</v>
      </c>
      <c r="E63" s="6" t="str">
        <f t="shared" si="5"/>
        <v/>
      </c>
    </row>
    <row r="64" spans="1:5" x14ac:dyDescent="0.2">
      <c r="A64" s="3" t="s">
        <v>62</v>
      </c>
      <c r="B64" s="7">
        <f>((((((B57)+(B58))+(B59))+(B60))+(B61))+(B62))+(B63)</f>
        <v>964503</v>
      </c>
      <c r="C64" s="7">
        <f>((((((C57)+(C58))+(C59))+(C60))+(C61))+(C62))+(C63)</f>
        <v>296031</v>
      </c>
      <c r="D64" s="7">
        <f t="shared" si="4"/>
        <v>668472</v>
      </c>
      <c r="E64" s="8">
        <f t="shared" si="5"/>
        <v>2.2581148595924074</v>
      </c>
    </row>
    <row r="65" spans="1:5" x14ac:dyDescent="0.2">
      <c r="A65" s="3" t="s">
        <v>63</v>
      </c>
      <c r="B65" s="5">
        <f>1586027</f>
        <v>1586027</v>
      </c>
      <c r="C65" s="5">
        <f>496465</f>
        <v>496465</v>
      </c>
      <c r="D65" s="5">
        <f t="shared" si="4"/>
        <v>1089562</v>
      </c>
      <c r="E65" s="6">
        <f t="shared" si="5"/>
        <v>2.1946401055462119</v>
      </c>
    </row>
    <row r="66" spans="1:5" x14ac:dyDescent="0.2">
      <c r="A66" s="3" t="s">
        <v>64</v>
      </c>
      <c r="B66" s="5">
        <f>528000</f>
        <v>528000</v>
      </c>
      <c r="C66" s="5">
        <f>264000</f>
        <v>264000</v>
      </c>
      <c r="D66" s="5">
        <f t="shared" si="4"/>
        <v>264000</v>
      </c>
      <c r="E66" s="6">
        <f t="shared" si="5"/>
        <v>1</v>
      </c>
    </row>
    <row r="67" spans="1:5" x14ac:dyDescent="0.2">
      <c r="A67" s="3" t="s">
        <v>65</v>
      </c>
      <c r="B67" s="7">
        <f>((((B51)+(B56))+(B64))+(B65))+(B66)</f>
        <v>7875207</v>
      </c>
      <c r="C67" s="7">
        <f>((((C51)+(C56))+(C64))+(C65))+(C66)</f>
        <v>2986694</v>
      </c>
      <c r="D67" s="7">
        <f t="shared" si="4"/>
        <v>4888513</v>
      </c>
      <c r="E67" s="8">
        <f t="shared" si="5"/>
        <v>1.6367639269372758</v>
      </c>
    </row>
    <row r="68" spans="1:5" x14ac:dyDescent="0.2">
      <c r="A68" s="3" t="s">
        <v>66</v>
      </c>
      <c r="B68" s="4"/>
      <c r="C68" s="4"/>
      <c r="D68" s="5">
        <f t="shared" si="4"/>
        <v>0</v>
      </c>
      <c r="E68" s="6" t="str">
        <f t="shared" si="5"/>
        <v/>
      </c>
    </row>
    <row r="69" spans="1:5" x14ac:dyDescent="0.2">
      <c r="A69" s="3" t="s">
        <v>67</v>
      </c>
      <c r="B69" s="4"/>
      <c r="C69" s="5">
        <f>40000</f>
        <v>40000</v>
      </c>
      <c r="D69" s="5">
        <f t="shared" si="4"/>
        <v>-40000</v>
      </c>
      <c r="E69" s="6">
        <f t="shared" si="5"/>
        <v>-1</v>
      </c>
    </row>
    <row r="70" spans="1:5" x14ac:dyDescent="0.2">
      <c r="A70" s="3" t="s">
        <v>68</v>
      </c>
      <c r="B70" s="5">
        <f>230000</f>
        <v>230000</v>
      </c>
      <c r="C70" s="5">
        <f>30000</f>
        <v>30000</v>
      </c>
      <c r="D70" s="5">
        <f t="shared" si="4"/>
        <v>200000</v>
      </c>
      <c r="E70" s="6">
        <f t="shared" si="5"/>
        <v>6.666666666666667</v>
      </c>
    </row>
    <row r="71" spans="1:5" x14ac:dyDescent="0.2">
      <c r="A71" s="3" t="s">
        <v>69</v>
      </c>
      <c r="B71" s="5">
        <f>98123</f>
        <v>98123</v>
      </c>
      <c r="C71" s="5">
        <f>19448</f>
        <v>19448</v>
      </c>
      <c r="D71" s="5">
        <f t="shared" si="4"/>
        <v>78675</v>
      </c>
      <c r="E71" s="6">
        <f t="shared" si="5"/>
        <v>4.0454031262854793</v>
      </c>
    </row>
    <row r="72" spans="1:5" x14ac:dyDescent="0.2">
      <c r="A72" s="3" t="s">
        <v>70</v>
      </c>
      <c r="B72" s="7">
        <f>(((B68)+(B69))+(B70))+(B71)</f>
        <v>328123</v>
      </c>
      <c r="C72" s="7">
        <f>(((C68)+(C69))+(C70))+(C71)</f>
        <v>89448</v>
      </c>
      <c r="D72" s="7">
        <f t="shared" si="4"/>
        <v>238675</v>
      </c>
      <c r="E72" s="8">
        <f t="shared" si="5"/>
        <v>2.6683100795993204</v>
      </c>
    </row>
    <row r="73" spans="1:5" x14ac:dyDescent="0.2">
      <c r="A73" s="3" t="s">
        <v>71</v>
      </c>
      <c r="B73" s="4"/>
      <c r="C73" s="4"/>
      <c r="D73" s="5">
        <f t="shared" si="4"/>
        <v>0</v>
      </c>
      <c r="E73" s="6" t="str">
        <f t="shared" si="5"/>
        <v/>
      </c>
    </row>
    <row r="74" spans="1:5" x14ac:dyDescent="0.2">
      <c r="A74" s="3" t="s">
        <v>72</v>
      </c>
      <c r="B74" s="5">
        <f>36315</f>
        <v>36315</v>
      </c>
      <c r="C74" s="5">
        <f>16903</f>
        <v>16903</v>
      </c>
      <c r="D74" s="5">
        <f t="shared" si="4"/>
        <v>19412</v>
      </c>
      <c r="E74" s="6">
        <f t="shared" si="5"/>
        <v>1.1484351890197007</v>
      </c>
    </row>
    <row r="75" spans="1:5" x14ac:dyDescent="0.2">
      <c r="A75" s="3" t="s">
        <v>73</v>
      </c>
      <c r="B75" s="5">
        <f>135962</f>
        <v>135962</v>
      </c>
      <c r="C75" s="5">
        <f>31462</f>
        <v>31462</v>
      </c>
      <c r="D75" s="5">
        <f t="shared" si="4"/>
        <v>104500</v>
      </c>
      <c r="E75" s="6">
        <f t="shared" si="5"/>
        <v>3.3214671667408302</v>
      </c>
    </row>
    <row r="76" spans="1:5" x14ac:dyDescent="0.2">
      <c r="A76" s="3" t="s">
        <v>74</v>
      </c>
      <c r="B76" s="5">
        <f>36808</f>
        <v>36808</v>
      </c>
      <c r="C76" s="5">
        <f>17630</f>
        <v>17630</v>
      </c>
      <c r="D76" s="5">
        <f t="shared" si="4"/>
        <v>19178</v>
      </c>
      <c r="E76" s="6">
        <f t="shared" si="5"/>
        <v>1.0878048780487806</v>
      </c>
    </row>
    <row r="77" spans="1:5" x14ac:dyDescent="0.2">
      <c r="A77" s="3" t="s">
        <v>75</v>
      </c>
      <c r="B77" s="5">
        <f>3500</f>
        <v>3500</v>
      </c>
      <c r="C77" s="5">
        <f>1600</f>
        <v>1600</v>
      </c>
      <c r="D77" s="5">
        <f t="shared" si="4"/>
        <v>1900</v>
      </c>
      <c r="E77" s="6">
        <f t="shared" si="5"/>
        <v>1.1875</v>
      </c>
    </row>
    <row r="78" spans="1:5" x14ac:dyDescent="0.2">
      <c r="A78" s="3" t="s">
        <v>76</v>
      </c>
      <c r="B78" s="7">
        <f>((((B73)+(B74))+(B75))+(B76))+(B77)</f>
        <v>212585</v>
      </c>
      <c r="C78" s="7">
        <f>((((C73)+(C74))+(C75))+(C76))+(C77)</f>
        <v>67595</v>
      </c>
      <c r="D78" s="7">
        <f t="shared" si="4"/>
        <v>144990</v>
      </c>
      <c r="E78" s="8">
        <f t="shared" si="5"/>
        <v>2.1449811376581107</v>
      </c>
    </row>
    <row r="79" spans="1:5" x14ac:dyDescent="0.2">
      <c r="A79" s="3" t="s">
        <v>77</v>
      </c>
      <c r="B79" s="4"/>
      <c r="C79" s="4"/>
      <c r="D79" s="5">
        <f t="shared" si="4"/>
        <v>0</v>
      </c>
      <c r="E79" s="6" t="str">
        <f t="shared" si="5"/>
        <v/>
      </c>
    </row>
    <row r="80" spans="1:5" x14ac:dyDescent="0.2">
      <c r="A80" s="3" t="s">
        <v>78</v>
      </c>
      <c r="B80" s="5">
        <f>1288459</f>
        <v>1288459</v>
      </c>
      <c r="C80" s="5">
        <f>179342</f>
        <v>179342</v>
      </c>
      <c r="D80" s="5">
        <f t="shared" si="4"/>
        <v>1109117</v>
      </c>
      <c r="E80" s="6">
        <f t="shared" si="5"/>
        <v>6.1843684134223995</v>
      </c>
    </row>
    <row r="81" spans="1:5" x14ac:dyDescent="0.2">
      <c r="A81" s="3" t="s">
        <v>79</v>
      </c>
      <c r="B81" s="5">
        <f>300</f>
        <v>300</v>
      </c>
      <c r="C81" s="5">
        <f>58560</f>
        <v>58560</v>
      </c>
      <c r="D81" s="5">
        <f t="shared" si="4"/>
        <v>-58260</v>
      </c>
      <c r="E81" s="6">
        <f t="shared" si="5"/>
        <v>-0.99487704918032782</v>
      </c>
    </row>
    <row r="82" spans="1:5" x14ac:dyDescent="0.2">
      <c r="A82" s="3" t="s">
        <v>80</v>
      </c>
      <c r="B82" s="5">
        <f>20180</f>
        <v>20180</v>
      </c>
      <c r="C82" s="5">
        <f>31760</f>
        <v>31760</v>
      </c>
      <c r="D82" s="5">
        <f t="shared" si="4"/>
        <v>-11580</v>
      </c>
      <c r="E82" s="6">
        <f t="shared" si="5"/>
        <v>-0.36460957178841308</v>
      </c>
    </row>
    <row r="83" spans="1:5" x14ac:dyDescent="0.2">
      <c r="A83" s="3" t="s">
        <v>81</v>
      </c>
      <c r="B83" s="5">
        <f>25200</f>
        <v>25200</v>
      </c>
      <c r="C83" s="5">
        <f>36670</f>
        <v>36670</v>
      </c>
      <c r="D83" s="5">
        <f t="shared" ref="D83:D114" si="6">(B83)-(C83)</f>
        <v>-11470</v>
      </c>
      <c r="E83" s="6">
        <f t="shared" ref="E83:E106" si="7">IF(ABS((C83))=0,"",((B83)-(C83))/(ABS((C83))))</f>
        <v>-0.3127897463866921</v>
      </c>
    </row>
    <row r="84" spans="1:5" x14ac:dyDescent="0.2">
      <c r="A84" s="3" t="s">
        <v>82</v>
      </c>
      <c r="B84" s="7">
        <f>((((B79)+(B80))+(B81))+(B82))+(B83)</f>
        <v>1334139</v>
      </c>
      <c r="C84" s="7">
        <f>((((C79)+(C80))+(C81))+(C82))+(C83)</f>
        <v>306332</v>
      </c>
      <c r="D84" s="7">
        <f t="shared" si="6"/>
        <v>1027807</v>
      </c>
      <c r="E84" s="8">
        <f t="shared" si="7"/>
        <v>3.3552061162398967</v>
      </c>
    </row>
    <row r="85" spans="1:5" x14ac:dyDescent="0.2">
      <c r="A85" s="3" t="s">
        <v>83</v>
      </c>
      <c r="B85" s="4"/>
      <c r="C85" s="4"/>
      <c r="D85" s="5">
        <f t="shared" si="6"/>
        <v>0</v>
      </c>
      <c r="E85" s="6" t="str">
        <f t="shared" si="7"/>
        <v/>
      </c>
    </row>
    <row r="86" spans="1:5" x14ac:dyDescent="0.2">
      <c r="A86" s="3" t="s">
        <v>84</v>
      </c>
      <c r="B86" s="5">
        <f>159656</f>
        <v>159656</v>
      </c>
      <c r="C86" s="5">
        <f>52250</f>
        <v>52250</v>
      </c>
      <c r="D86" s="5">
        <f t="shared" si="6"/>
        <v>107406</v>
      </c>
      <c r="E86" s="6">
        <f t="shared" si="7"/>
        <v>2.0556172248803826</v>
      </c>
    </row>
    <row r="87" spans="1:5" x14ac:dyDescent="0.2">
      <c r="A87" s="3" t="s">
        <v>85</v>
      </c>
      <c r="B87" s="7">
        <f>(B85)+(B86)</f>
        <v>159656</v>
      </c>
      <c r="C87" s="7">
        <f>(C85)+(C86)</f>
        <v>52250</v>
      </c>
      <c r="D87" s="7">
        <f t="shared" si="6"/>
        <v>107406</v>
      </c>
      <c r="E87" s="8">
        <f t="shared" si="7"/>
        <v>2.0556172248803826</v>
      </c>
    </row>
    <row r="88" spans="1:5" x14ac:dyDescent="0.2">
      <c r="A88" s="3" t="s">
        <v>86</v>
      </c>
      <c r="B88" s="4"/>
      <c r="C88" s="4"/>
      <c r="D88" s="5">
        <f t="shared" si="6"/>
        <v>0</v>
      </c>
      <c r="E88" s="6" t="str">
        <f t="shared" si="7"/>
        <v/>
      </c>
    </row>
    <row r="89" spans="1:5" x14ac:dyDescent="0.2">
      <c r="A89" s="3" t="s">
        <v>87</v>
      </c>
      <c r="B89" s="5">
        <f>32160</f>
        <v>32160</v>
      </c>
      <c r="C89" s="5">
        <f>45500</f>
        <v>45500</v>
      </c>
      <c r="D89" s="5">
        <f t="shared" si="6"/>
        <v>-13340</v>
      </c>
      <c r="E89" s="6">
        <f t="shared" si="7"/>
        <v>-0.29318681318681317</v>
      </c>
    </row>
    <row r="90" spans="1:5" x14ac:dyDescent="0.2">
      <c r="A90" s="3" t="s">
        <v>88</v>
      </c>
      <c r="B90" s="5">
        <f>62780</f>
        <v>62780</v>
      </c>
      <c r="C90" s="5">
        <f>2800</f>
        <v>2800</v>
      </c>
      <c r="D90" s="5">
        <f t="shared" si="6"/>
        <v>59980</v>
      </c>
      <c r="E90" s="6">
        <f t="shared" si="7"/>
        <v>21.421428571428571</v>
      </c>
    </row>
    <row r="91" spans="1:5" x14ac:dyDescent="0.2">
      <c r="A91" s="3" t="s">
        <v>89</v>
      </c>
      <c r="B91" s="5">
        <f>73715</f>
        <v>73715</v>
      </c>
      <c r="C91" s="5">
        <f>25653</f>
        <v>25653</v>
      </c>
      <c r="D91" s="5">
        <f t="shared" si="6"/>
        <v>48062</v>
      </c>
      <c r="E91" s="6">
        <f t="shared" si="7"/>
        <v>1.8735430553931314</v>
      </c>
    </row>
    <row r="92" spans="1:5" x14ac:dyDescent="0.2">
      <c r="A92" s="3" t="s">
        <v>90</v>
      </c>
      <c r="B92" s="7">
        <f>(((B88)+(B89))+(B90))+(B91)</f>
        <v>168655</v>
      </c>
      <c r="C92" s="7">
        <f>(((C88)+(C89))+(C90))+(C91)</f>
        <v>73953</v>
      </c>
      <c r="D92" s="7">
        <f t="shared" si="6"/>
        <v>94702</v>
      </c>
      <c r="E92" s="8">
        <f t="shared" si="7"/>
        <v>1.2805700918150718</v>
      </c>
    </row>
    <row r="93" spans="1:5" x14ac:dyDescent="0.2">
      <c r="A93" s="3" t="s">
        <v>91</v>
      </c>
      <c r="B93" s="4"/>
      <c r="C93" s="4"/>
      <c r="D93" s="5">
        <f t="shared" si="6"/>
        <v>0</v>
      </c>
      <c r="E93" s="6" t="str">
        <f t="shared" si="7"/>
        <v/>
      </c>
    </row>
    <row r="94" spans="1:5" x14ac:dyDescent="0.2">
      <c r="A94" s="3" t="s">
        <v>92</v>
      </c>
      <c r="B94" s="5">
        <f>122000</f>
        <v>122000</v>
      </c>
      <c r="C94" s="4"/>
      <c r="D94" s="5">
        <f t="shared" si="6"/>
        <v>122000</v>
      </c>
      <c r="E94" s="6" t="str">
        <f t="shared" si="7"/>
        <v/>
      </c>
    </row>
    <row r="95" spans="1:5" x14ac:dyDescent="0.2">
      <c r="A95" s="3" t="s">
        <v>93</v>
      </c>
      <c r="B95" s="5">
        <f>348591</f>
        <v>348591</v>
      </c>
      <c r="C95" s="5">
        <f>152696</f>
        <v>152696</v>
      </c>
      <c r="D95" s="5">
        <f t="shared" si="6"/>
        <v>195895</v>
      </c>
      <c r="E95" s="6">
        <f t="shared" si="7"/>
        <v>1.2829085241263687</v>
      </c>
    </row>
    <row r="96" spans="1:5" x14ac:dyDescent="0.2">
      <c r="A96" s="3" t="s">
        <v>94</v>
      </c>
      <c r="B96" s="5">
        <f>50000</f>
        <v>50000</v>
      </c>
      <c r="C96" s="5">
        <f>5000</f>
        <v>5000</v>
      </c>
      <c r="D96" s="5">
        <f t="shared" si="6"/>
        <v>45000</v>
      </c>
      <c r="E96" s="6">
        <f t="shared" si="7"/>
        <v>9</v>
      </c>
    </row>
    <row r="97" spans="1:5" x14ac:dyDescent="0.2">
      <c r="A97" s="3" t="s">
        <v>95</v>
      </c>
      <c r="B97" s="7">
        <f>(((B93)+(B94))+(B95))+(B96)</f>
        <v>520591</v>
      </c>
      <c r="C97" s="7">
        <f>(((C93)+(C94))+(C95))+(C96)</f>
        <v>157696</v>
      </c>
      <c r="D97" s="7">
        <f t="shared" si="6"/>
        <v>362895</v>
      </c>
      <c r="E97" s="8">
        <f t="shared" si="7"/>
        <v>2.3012314833603895</v>
      </c>
    </row>
    <row r="98" spans="1:5" x14ac:dyDescent="0.2">
      <c r="A98" s="3" t="s">
        <v>96</v>
      </c>
      <c r="B98" s="4"/>
      <c r="C98" s="4"/>
      <c r="D98" s="5">
        <f t="shared" si="6"/>
        <v>0</v>
      </c>
      <c r="E98" s="6" t="str">
        <f t="shared" si="7"/>
        <v/>
      </c>
    </row>
    <row r="99" spans="1:5" x14ac:dyDescent="0.2">
      <c r="A99" s="3" t="s">
        <v>97</v>
      </c>
      <c r="B99" s="5">
        <f>235094</f>
        <v>235094</v>
      </c>
      <c r="C99" s="5">
        <f>72063</f>
        <v>72063</v>
      </c>
      <c r="D99" s="5">
        <f t="shared" si="6"/>
        <v>163031</v>
      </c>
      <c r="E99" s="6">
        <f t="shared" si="7"/>
        <v>2.2623398970345394</v>
      </c>
    </row>
    <row r="100" spans="1:5" x14ac:dyDescent="0.2">
      <c r="A100" s="3" t="s">
        <v>98</v>
      </c>
      <c r="B100" s="5">
        <f>2389006</f>
        <v>2389006</v>
      </c>
      <c r="C100" s="5">
        <f>818447</f>
        <v>818447</v>
      </c>
      <c r="D100" s="5">
        <f t="shared" si="6"/>
        <v>1570559</v>
      </c>
      <c r="E100" s="6">
        <f t="shared" si="7"/>
        <v>1.9189501580432209</v>
      </c>
    </row>
    <row r="101" spans="1:5" x14ac:dyDescent="0.2">
      <c r="A101" s="3" t="s">
        <v>99</v>
      </c>
      <c r="B101" s="7">
        <f>((B98)+(B99))+(B100)</f>
        <v>2624100</v>
      </c>
      <c r="C101" s="7">
        <f>((C98)+(C99))+(C100)</f>
        <v>890510</v>
      </c>
      <c r="D101" s="7">
        <f t="shared" si="6"/>
        <v>1733590</v>
      </c>
      <c r="E101" s="8">
        <f t="shared" si="7"/>
        <v>1.9467383858687719</v>
      </c>
    </row>
    <row r="102" spans="1:5" x14ac:dyDescent="0.2">
      <c r="A102" s="3" t="s">
        <v>100</v>
      </c>
      <c r="B102" s="5">
        <f>248190</f>
        <v>248190</v>
      </c>
      <c r="C102" s="5">
        <f>179420</f>
        <v>179420</v>
      </c>
      <c r="D102" s="5">
        <f t="shared" si="6"/>
        <v>68770</v>
      </c>
      <c r="E102" s="6">
        <f t="shared" si="7"/>
        <v>0.38329060305428603</v>
      </c>
    </row>
    <row r="103" spans="1:5" x14ac:dyDescent="0.2">
      <c r="A103" s="3" t="s">
        <v>101</v>
      </c>
      <c r="B103" s="5">
        <f>2050</f>
        <v>2050</v>
      </c>
      <c r="C103" s="5">
        <f>85550</f>
        <v>85550</v>
      </c>
      <c r="D103" s="5">
        <f t="shared" si="6"/>
        <v>-83500</v>
      </c>
      <c r="E103" s="6">
        <f t="shared" si="7"/>
        <v>-0.97603740502630043</v>
      </c>
    </row>
    <row r="104" spans="1:5" x14ac:dyDescent="0.2">
      <c r="A104" s="3" t="s">
        <v>102</v>
      </c>
      <c r="B104" s="5">
        <f>43000</f>
        <v>43000</v>
      </c>
      <c r="C104" s="4"/>
      <c r="D104" s="5">
        <f t="shared" si="6"/>
        <v>43000</v>
      </c>
      <c r="E104" s="6" t="str">
        <f t="shared" si="7"/>
        <v/>
      </c>
    </row>
    <row r="105" spans="1:5" x14ac:dyDescent="0.2">
      <c r="A105" s="3" t="s">
        <v>103</v>
      </c>
      <c r="B105" s="5">
        <f>93164</f>
        <v>93164</v>
      </c>
      <c r="C105" s="5">
        <f>4735</f>
        <v>4735</v>
      </c>
      <c r="D105" s="5">
        <f t="shared" si="6"/>
        <v>88429</v>
      </c>
      <c r="E105" s="6">
        <f t="shared" si="7"/>
        <v>18.675607180570221</v>
      </c>
    </row>
    <row r="106" spans="1:5" x14ac:dyDescent="0.2">
      <c r="A106" s="3" t="s">
        <v>104</v>
      </c>
      <c r="B106" s="7">
        <f>(((((((((((B67)+(B72))+(B78))+(B84))+(B87))+(B92))+(B97))+(B101))+(B102))+(B103))+(B104))+(B105)</f>
        <v>13609460</v>
      </c>
      <c r="C106" s="7">
        <f>(((((((((((C67)+(C72))+(C78))+(C84))+(C87))+(C92))+(C97))+(C101))+(C102))+(C103))+(C104))+(C105)</f>
        <v>4894183</v>
      </c>
      <c r="D106" s="7">
        <f t="shared" si="6"/>
        <v>8715277</v>
      </c>
      <c r="E106" s="8">
        <f t="shared" si="7"/>
        <v>1.7807419542751057</v>
      </c>
    </row>
    <row r="107" spans="1:5" x14ac:dyDescent="0.2">
      <c r="A107" s="3" t="s">
        <v>105</v>
      </c>
      <c r="B107" s="4"/>
      <c r="C107" s="4"/>
      <c r="D107" s="4"/>
      <c r="E107" s="4"/>
    </row>
    <row r="108" spans="1:5" x14ac:dyDescent="0.2">
      <c r="A108" s="3" t="s">
        <v>106</v>
      </c>
      <c r="B108" s="5">
        <f>2604500</f>
        <v>2604500</v>
      </c>
      <c r="C108" s="5">
        <f>532850</f>
        <v>532850</v>
      </c>
      <c r="D108" s="5">
        <f>(B108)-(C108)</f>
        <v>2071650</v>
      </c>
      <c r="E108" s="6">
        <f>IF(ABS((C108))=0,"",((B108)-(C108))/(ABS((C108))))</f>
        <v>3.8878671295861875</v>
      </c>
    </row>
    <row r="109" spans="1:5" x14ac:dyDescent="0.2">
      <c r="A109" s="3" t="s">
        <v>107</v>
      </c>
      <c r="B109" s="5">
        <f>5296</f>
        <v>5296</v>
      </c>
      <c r="C109" s="5">
        <f>500</f>
        <v>500</v>
      </c>
      <c r="D109" s="5">
        <f>(B109)-(C109)</f>
        <v>4796</v>
      </c>
      <c r="E109" s="6">
        <f>IF(ABS((C109))=0,"",((B109)-(C109))/(ABS((C109))))</f>
        <v>9.5920000000000005</v>
      </c>
    </row>
    <row r="110" spans="1:5" x14ac:dyDescent="0.2">
      <c r="A110" s="3" t="s">
        <v>108</v>
      </c>
      <c r="B110" s="5">
        <f>1966936</f>
        <v>1966936</v>
      </c>
      <c r="C110" s="5">
        <f>100000</f>
        <v>100000</v>
      </c>
      <c r="D110" s="5">
        <f>(B110)-(C110)</f>
        <v>1866936</v>
      </c>
      <c r="E110" s="6">
        <f>IF(ABS((C110))=0,"",((B110)-(C110))/(ABS((C110))))</f>
        <v>18.669360000000001</v>
      </c>
    </row>
    <row r="111" spans="1:5" x14ac:dyDescent="0.2">
      <c r="A111" s="3" t="s">
        <v>109</v>
      </c>
      <c r="B111" s="7">
        <f>((B108)+(B109))+(B110)</f>
        <v>4576732</v>
      </c>
      <c r="C111" s="7">
        <f>((C108)+(C109))+(C110)</f>
        <v>633350</v>
      </c>
      <c r="D111" s="7">
        <f>(B111)-(C111)</f>
        <v>3943382</v>
      </c>
      <c r="E111" s="8">
        <f>IF(ABS((C111))=0,"",((B111)-(C111))/(ABS((C111))))</f>
        <v>6.2262287834530667</v>
      </c>
    </row>
    <row r="112" spans="1:5" x14ac:dyDescent="0.2">
      <c r="A112" s="3" t="s">
        <v>110</v>
      </c>
      <c r="B112" s="9">
        <f>((((B15)+(B49))-(B43))-(B106))-(B111)</f>
        <v>15237841</v>
      </c>
      <c r="C112" s="9">
        <f>((((C15)+(C49))-(C43))-(C106))-(C111)</f>
        <v>3734806</v>
      </c>
      <c r="D112" s="9">
        <f>(B112)-(C112)</f>
        <v>11503035</v>
      </c>
      <c r="E112" s="10">
        <f>IF(ABS((C112))=0,"",((B112)-(C112))/(ABS((C112))))</f>
        <v>3.0799551569746861</v>
      </c>
    </row>
    <row r="113" spans="1:5" x14ac:dyDescent="0.2">
      <c r="A113" s="3"/>
      <c r="B113" s="4"/>
      <c r="C113" s="4"/>
      <c r="D113" s="4"/>
      <c r="E113" s="4"/>
    </row>
    <row r="116" spans="1:5" x14ac:dyDescent="0.2">
      <c r="A116" s="13" t="s">
        <v>111</v>
      </c>
      <c r="B116" s="14"/>
      <c r="C116" s="14"/>
      <c r="D116" s="14"/>
      <c r="E116" s="14"/>
    </row>
  </sheetData>
  <mergeCells count="5">
    <mergeCell ref="B5:E5"/>
    <mergeCell ref="A116:E116"/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Khan, Adnan</cp:lastModifiedBy>
  <dcterms:created xsi:type="dcterms:W3CDTF">2024-02-26T20:45:16Z</dcterms:created>
  <dcterms:modified xsi:type="dcterms:W3CDTF">2024-02-26T20:47:59Z</dcterms:modified>
</cp:coreProperties>
</file>