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dnan/Downloads/"/>
    </mc:Choice>
  </mc:AlternateContent>
  <xr:revisionPtr revIDLastSave="0" documentId="13_ncr:1_{5A076FE1-C356-0847-925D-092418EE086D}" xr6:coauthVersionLast="47" xr6:coauthVersionMax="47" xr10:uidLastSave="{00000000-0000-0000-0000-000000000000}"/>
  <bookViews>
    <workbookView xWindow="0" yWindow="500" windowWidth="40960" windowHeight="21000" xr2:uid="{00000000-000D-0000-FFFF-FFFF00000000}"/>
  </bookViews>
  <sheets>
    <sheet name="Budget vs. Actu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9" i="1" l="1"/>
  <c r="D129" i="1"/>
  <c r="C129" i="1"/>
  <c r="F129" i="1" s="1"/>
  <c r="B129" i="1"/>
  <c r="F128" i="1"/>
  <c r="C128" i="1"/>
  <c r="B128" i="1"/>
  <c r="E128" i="1" s="1"/>
  <c r="G128" i="1" s="1"/>
  <c r="E127" i="1"/>
  <c r="G127" i="1" s="1"/>
  <c r="D127" i="1"/>
  <c r="C127" i="1"/>
  <c r="F127" i="1" s="1"/>
  <c r="B127" i="1"/>
  <c r="F126" i="1"/>
  <c r="C126" i="1"/>
  <c r="C130" i="1" s="1"/>
  <c r="B126" i="1"/>
  <c r="E126" i="1" s="1"/>
  <c r="G126" i="1" s="1"/>
  <c r="F125" i="1"/>
  <c r="E125" i="1"/>
  <c r="G125" i="1" s="1"/>
  <c r="D125" i="1"/>
  <c r="F121" i="1"/>
  <c r="E121" i="1"/>
  <c r="G121" i="1" s="1"/>
  <c r="D121" i="1"/>
  <c r="C121" i="1"/>
  <c r="B121" i="1"/>
  <c r="F120" i="1"/>
  <c r="C120" i="1"/>
  <c r="C122" i="1" s="1"/>
  <c r="B120" i="1"/>
  <c r="E120" i="1" s="1"/>
  <c r="G120" i="1" s="1"/>
  <c r="F119" i="1"/>
  <c r="E119" i="1"/>
  <c r="G119" i="1" s="1"/>
  <c r="D119" i="1"/>
  <c r="F114" i="1"/>
  <c r="C114" i="1"/>
  <c r="B114" i="1"/>
  <c r="E114" i="1" s="1"/>
  <c r="G114" i="1" s="1"/>
  <c r="E113" i="1"/>
  <c r="D113" i="1"/>
  <c r="C113" i="1"/>
  <c r="C115" i="1" s="1"/>
  <c r="F115" i="1" s="1"/>
  <c r="B113" i="1"/>
  <c r="B115" i="1" s="1"/>
  <c r="F112" i="1"/>
  <c r="G112" i="1" s="1"/>
  <c r="E112" i="1"/>
  <c r="D112" i="1"/>
  <c r="B111" i="1"/>
  <c r="E111" i="1" s="1"/>
  <c r="E110" i="1"/>
  <c r="G110" i="1" s="1"/>
  <c r="D110" i="1"/>
  <c r="C110" i="1"/>
  <c r="F110" i="1" s="1"/>
  <c r="F109" i="1"/>
  <c r="E109" i="1"/>
  <c r="G109" i="1" s="1"/>
  <c r="C109" i="1"/>
  <c r="B109" i="1"/>
  <c r="D109" i="1" s="1"/>
  <c r="E108" i="1"/>
  <c r="C108" i="1"/>
  <c r="F108" i="1" s="1"/>
  <c r="G108" i="1" s="1"/>
  <c r="B108" i="1"/>
  <c r="F107" i="1"/>
  <c r="E107" i="1"/>
  <c r="G107" i="1" s="1"/>
  <c r="D107" i="1"/>
  <c r="E105" i="1"/>
  <c r="C105" i="1"/>
  <c r="F105" i="1" s="1"/>
  <c r="G105" i="1" s="1"/>
  <c r="B105" i="1"/>
  <c r="F104" i="1"/>
  <c r="E104" i="1"/>
  <c r="G104" i="1" s="1"/>
  <c r="C104" i="1"/>
  <c r="D104" i="1" s="1"/>
  <c r="F103" i="1"/>
  <c r="C103" i="1"/>
  <c r="C106" i="1" s="1"/>
  <c r="F106" i="1" s="1"/>
  <c r="B103" i="1"/>
  <c r="E103" i="1" s="1"/>
  <c r="G103" i="1" s="1"/>
  <c r="F102" i="1"/>
  <c r="E102" i="1"/>
  <c r="G102" i="1" s="1"/>
  <c r="D102" i="1"/>
  <c r="F100" i="1"/>
  <c r="G100" i="1" s="1"/>
  <c r="E100" i="1"/>
  <c r="C100" i="1"/>
  <c r="D100" i="1" s="1"/>
  <c r="E99" i="1"/>
  <c r="C99" i="1"/>
  <c r="C101" i="1" s="1"/>
  <c r="F101" i="1" s="1"/>
  <c r="B99" i="1"/>
  <c r="B101" i="1" s="1"/>
  <c r="F98" i="1"/>
  <c r="E98" i="1"/>
  <c r="G98" i="1" s="1"/>
  <c r="D98" i="1"/>
  <c r="C96" i="1"/>
  <c r="F96" i="1" s="1"/>
  <c r="B96" i="1"/>
  <c r="E96" i="1" s="1"/>
  <c r="G96" i="1" s="1"/>
  <c r="F95" i="1"/>
  <c r="E95" i="1"/>
  <c r="G95" i="1" s="1"/>
  <c r="C95" i="1"/>
  <c r="B95" i="1"/>
  <c r="D95" i="1" s="1"/>
  <c r="E94" i="1"/>
  <c r="C94" i="1"/>
  <c r="F94" i="1" s="1"/>
  <c r="G94" i="1" s="1"/>
  <c r="B94" i="1"/>
  <c r="F93" i="1"/>
  <c r="E93" i="1"/>
  <c r="G93" i="1" s="1"/>
  <c r="D93" i="1"/>
  <c r="E91" i="1"/>
  <c r="C91" i="1"/>
  <c r="F91" i="1" s="1"/>
  <c r="G91" i="1" s="1"/>
  <c r="B91" i="1"/>
  <c r="F90" i="1"/>
  <c r="E90" i="1"/>
  <c r="G90" i="1" s="1"/>
  <c r="C90" i="1"/>
  <c r="B90" i="1"/>
  <c r="D90" i="1" s="1"/>
  <c r="E89" i="1"/>
  <c r="C89" i="1"/>
  <c r="F89" i="1" s="1"/>
  <c r="G89" i="1" s="1"/>
  <c r="B89" i="1"/>
  <c r="F88" i="1"/>
  <c r="E88" i="1"/>
  <c r="G88" i="1" s="1"/>
  <c r="C88" i="1"/>
  <c r="C92" i="1" s="1"/>
  <c r="F92" i="1" s="1"/>
  <c r="B88" i="1"/>
  <c r="D88" i="1" s="1"/>
  <c r="G87" i="1"/>
  <c r="F87" i="1"/>
  <c r="E87" i="1"/>
  <c r="D87" i="1"/>
  <c r="F85" i="1"/>
  <c r="E85" i="1"/>
  <c r="G85" i="1" s="1"/>
  <c r="C85" i="1"/>
  <c r="B85" i="1"/>
  <c r="D85" i="1" s="1"/>
  <c r="E84" i="1"/>
  <c r="C84" i="1"/>
  <c r="B84" i="1"/>
  <c r="F83" i="1"/>
  <c r="E83" i="1"/>
  <c r="G83" i="1" s="1"/>
  <c r="B83" i="1"/>
  <c r="D83" i="1" s="1"/>
  <c r="F82" i="1"/>
  <c r="C82" i="1"/>
  <c r="B82" i="1"/>
  <c r="F81" i="1"/>
  <c r="E81" i="1"/>
  <c r="G81" i="1" s="1"/>
  <c r="D81" i="1"/>
  <c r="F79" i="1"/>
  <c r="C79" i="1"/>
  <c r="B79" i="1"/>
  <c r="F78" i="1"/>
  <c r="E78" i="1"/>
  <c r="G78" i="1" s="1"/>
  <c r="D78" i="1"/>
  <c r="B78" i="1"/>
  <c r="F77" i="1"/>
  <c r="E77" i="1"/>
  <c r="G77" i="1" s="1"/>
  <c r="C77" i="1"/>
  <c r="C80" i="1" s="1"/>
  <c r="F80" i="1" s="1"/>
  <c r="B77" i="1"/>
  <c r="D77" i="1" s="1"/>
  <c r="G76" i="1"/>
  <c r="F76" i="1"/>
  <c r="E76" i="1"/>
  <c r="D76" i="1"/>
  <c r="C75" i="1"/>
  <c r="F75" i="1" s="1"/>
  <c r="F74" i="1"/>
  <c r="E74" i="1"/>
  <c r="G74" i="1" s="1"/>
  <c r="C74" i="1"/>
  <c r="B74" i="1"/>
  <c r="D74" i="1" s="1"/>
  <c r="E73" i="1"/>
  <c r="C73" i="1"/>
  <c r="B73" i="1"/>
  <c r="B75" i="1" s="1"/>
  <c r="F72" i="1"/>
  <c r="E72" i="1"/>
  <c r="G72" i="1" s="1"/>
  <c r="D72" i="1"/>
  <c r="C70" i="1"/>
  <c r="F70" i="1" s="1"/>
  <c r="F69" i="1"/>
  <c r="E69" i="1"/>
  <c r="G69" i="1" s="1"/>
  <c r="C69" i="1"/>
  <c r="B69" i="1"/>
  <c r="B70" i="1" s="1"/>
  <c r="G68" i="1"/>
  <c r="F68" i="1"/>
  <c r="E68" i="1"/>
  <c r="D68" i="1"/>
  <c r="E67" i="1"/>
  <c r="C67" i="1"/>
  <c r="B67" i="1"/>
  <c r="F65" i="1"/>
  <c r="B65" i="1"/>
  <c r="F64" i="1"/>
  <c r="E64" i="1"/>
  <c r="G64" i="1" s="1"/>
  <c r="D64" i="1"/>
  <c r="B64" i="1"/>
  <c r="F63" i="1"/>
  <c r="E63" i="1"/>
  <c r="G63" i="1" s="1"/>
  <c r="C63" i="1"/>
  <c r="B63" i="1"/>
  <c r="D63" i="1" s="1"/>
  <c r="F62" i="1"/>
  <c r="B62" i="1"/>
  <c r="E61" i="1"/>
  <c r="D61" i="1"/>
  <c r="C61" i="1"/>
  <c r="C66" i="1" s="1"/>
  <c r="F60" i="1"/>
  <c r="E60" i="1"/>
  <c r="G60" i="1" s="1"/>
  <c r="D60" i="1"/>
  <c r="E55" i="1"/>
  <c r="C55" i="1"/>
  <c r="F54" i="1"/>
  <c r="E54" i="1"/>
  <c r="G54" i="1" s="1"/>
  <c r="D54" i="1"/>
  <c r="C54" i="1"/>
  <c r="B54" i="1"/>
  <c r="C53" i="1"/>
  <c r="F53" i="1" s="1"/>
  <c r="B53" i="1"/>
  <c r="E52" i="1"/>
  <c r="G52" i="1" s="1"/>
  <c r="D52" i="1"/>
  <c r="C52" i="1"/>
  <c r="F52" i="1" s="1"/>
  <c r="B52" i="1"/>
  <c r="C51" i="1"/>
  <c r="F51" i="1" s="1"/>
  <c r="B51" i="1"/>
  <c r="E50" i="1"/>
  <c r="G50" i="1" s="1"/>
  <c r="D50" i="1"/>
  <c r="C50" i="1"/>
  <c r="F50" i="1" s="1"/>
  <c r="B50" i="1"/>
  <c r="C49" i="1"/>
  <c r="F49" i="1" s="1"/>
  <c r="B49" i="1"/>
  <c r="E48" i="1"/>
  <c r="D48" i="1"/>
  <c r="C48" i="1"/>
  <c r="B48" i="1"/>
  <c r="G47" i="1"/>
  <c r="F47" i="1"/>
  <c r="E47" i="1"/>
  <c r="D47" i="1"/>
  <c r="E45" i="1"/>
  <c r="G45" i="1" s="1"/>
  <c r="D45" i="1"/>
  <c r="C45" i="1"/>
  <c r="F45" i="1" s="1"/>
  <c r="B45" i="1"/>
  <c r="C44" i="1"/>
  <c r="F44" i="1" s="1"/>
  <c r="B44" i="1"/>
  <c r="B46" i="1" s="1"/>
  <c r="G43" i="1"/>
  <c r="E43" i="1"/>
  <c r="C43" i="1"/>
  <c r="F43" i="1" s="1"/>
  <c r="B43" i="1"/>
  <c r="F42" i="1"/>
  <c r="E42" i="1"/>
  <c r="G42" i="1" s="1"/>
  <c r="D42" i="1"/>
  <c r="F40" i="1"/>
  <c r="C40" i="1"/>
  <c r="B40" i="1"/>
  <c r="E40" i="1" s="1"/>
  <c r="G40" i="1" s="1"/>
  <c r="F39" i="1"/>
  <c r="E39" i="1"/>
  <c r="G39" i="1" s="1"/>
  <c r="D39" i="1"/>
  <c r="C39" i="1"/>
  <c r="B39" i="1"/>
  <c r="F38" i="1"/>
  <c r="C38" i="1"/>
  <c r="B38" i="1"/>
  <c r="E38" i="1" s="1"/>
  <c r="G38" i="1" s="1"/>
  <c r="F37" i="1"/>
  <c r="E37" i="1"/>
  <c r="G37" i="1" s="1"/>
  <c r="D37" i="1"/>
  <c r="C37" i="1"/>
  <c r="B37" i="1"/>
  <c r="F36" i="1"/>
  <c r="C36" i="1"/>
  <c r="B36" i="1"/>
  <c r="E36" i="1" s="1"/>
  <c r="G36" i="1" s="1"/>
  <c r="F35" i="1"/>
  <c r="E35" i="1"/>
  <c r="G35" i="1" s="1"/>
  <c r="D35" i="1"/>
  <c r="C35" i="1"/>
  <c r="B35" i="1"/>
  <c r="F33" i="1"/>
  <c r="E33" i="1"/>
  <c r="G33" i="1" s="1"/>
  <c r="D33" i="1"/>
  <c r="C33" i="1"/>
  <c r="B33" i="1"/>
  <c r="F32" i="1"/>
  <c r="C32" i="1"/>
  <c r="B32" i="1"/>
  <c r="E32" i="1" s="1"/>
  <c r="G32" i="1" s="1"/>
  <c r="F31" i="1"/>
  <c r="E31" i="1"/>
  <c r="G31" i="1" s="1"/>
  <c r="D31" i="1"/>
  <c r="C31" i="1"/>
  <c r="B31" i="1"/>
  <c r="F30" i="1"/>
  <c r="C30" i="1"/>
  <c r="C34" i="1" s="1"/>
  <c r="F34" i="1" s="1"/>
  <c r="B30" i="1"/>
  <c r="E30" i="1" s="1"/>
  <c r="G30" i="1" s="1"/>
  <c r="F29" i="1"/>
  <c r="E29" i="1"/>
  <c r="G29" i="1" s="1"/>
  <c r="D29" i="1"/>
  <c r="C29" i="1"/>
  <c r="B29" i="1"/>
  <c r="F28" i="1"/>
  <c r="G28" i="1" s="1"/>
  <c r="E28" i="1"/>
  <c r="D28" i="1"/>
  <c r="F26" i="1"/>
  <c r="E26" i="1"/>
  <c r="G26" i="1" s="1"/>
  <c r="D26" i="1"/>
  <c r="C26" i="1"/>
  <c r="B26" i="1"/>
  <c r="F25" i="1"/>
  <c r="C25" i="1"/>
  <c r="B25" i="1"/>
  <c r="E25" i="1" s="1"/>
  <c r="G25" i="1" s="1"/>
  <c r="F24" i="1"/>
  <c r="E24" i="1"/>
  <c r="G24" i="1" s="1"/>
  <c r="D24" i="1"/>
  <c r="C24" i="1"/>
  <c r="B24" i="1"/>
  <c r="F23" i="1"/>
  <c r="C23" i="1"/>
  <c r="C27" i="1" s="1"/>
  <c r="B23" i="1"/>
  <c r="E23" i="1" s="1"/>
  <c r="G23" i="1" s="1"/>
  <c r="F22" i="1"/>
  <c r="E22" i="1"/>
  <c r="G22" i="1" s="1"/>
  <c r="D22" i="1"/>
  <c r="F21" i="1"/>
  <c r="E21" i="1"/>
  <c r="G21" i="1" s="1"/>
  <c r="D21" i="1"/>
  <c r="F18" i="1"/>
  <c r="B18" i="1"/>
  <c r="E18" i="1" s="1"/>
  <c r="G18" i="1" s="1"/>
  <c r="E17" i="1"/>
  <c r="C17" i="1"/>
  <c r="F17" i="1" s="1"/>
  <c r="G17" i="1" s="1"/>
  <c r="B17" i="1"/>
  <c r="F16" i="1"/>
  <c r="E16" i="1"/>
  <c r="G16" i="1" s="1"/>
  <c r="C16" i="1"/>
  <c r="B16" i="1"/>
  <c r="D16" i="1" s="1"/>
  <c r="F14" i="1"/>
  <c r="E14" i="1"/>
  <c r="G14" i="1" s="1"/>
  <c r="C14" i="1"/>
  <c r="B14" i="1"/>
  <c r="D14" i="1" s="1"/>
  <c r="E13" i="1"/>
  <c r="C13" i="1"/>
  <c r="F13" i="1" s="1"/>
  <c r="G13" i="1" s="1"/>
  <c r="B13" i="1"/>
  <c r="B15" i="1" s="1"/>
  <c r="F12" i="1"/>
  <c r="E12" i="1"/>
  <c r="G12" i="1" s="1"/>
  <c r="D12" i="1"/>
  <c r="E11" i="1"/>
  <c r="B11" i="1"/>
  <c r="E10" i="1"/>
  <c r="C10" i="1"/>
  <c r="F10" i="1" s="1"/>
  <c r="G10" i="1" s="1"/>
  <c r="B10" i="1"/>
  <c r="F9" i="1"/>
  <c r="E9" i="1"/>
  <c r="G9" i="1" s="1"/>
  <c r="D9" i="1"/>
  <c r="F8" i="1"/>
  <c r="E8" i="1"/>
  <c r="G8" i="1" s="1"/>
  <c r="C8" i="1"/>
  <c r="B8" i="1"/>
  <c r="D8" i="1" s="1"/>
  <c r="C41" i="1" l="1"/>
  <c r="F27" i="1"/>
  <c r="G11" i="1"/>
  <c r="E15" i="1"/>
  <c r="G15" i="1" s="1"/>
  <c r="E46" i="1"/>
  <c r="D46" i="1"/>
  <c r="C15" i="1"/>
  <c r="F15" i="1" s="1"/>
  <c r="C71" i="1"/>
  <c r="F66" i="1"/>
  <c r="E75" i="1"/>
  <c r="G75" i="1" s="1"/>
  <c r="D75" i="1"/>
  <c r="F84" i="1"/>
  <c r="G84" i="1" s="1"/>
  <c r="D84" i="1"/>
  <c r="C123" i="1"/>
  <c r="F122" i="1"/>
  <c r="B34" i="1"/>
  <c r="F73" i="1"/>
  <c r="G73" i="1" s="1"/>
  <c r="D73" i="1"/>
  <c r="B86" i="1"/>
  <c r="E82" i="1"/>
  <c r="G82" i="1" s="1"/>
  <c r="D82" i="1"/>
  <c r="E115" i="1"/>
  <c r="G115" i="1" s="1"/>
  <c r="D115" i="1"/>
  <c r="D13" i="1"/>
  <c r="D17" i="1"/>
  <c r="E44" i="1"/>
  <c r="G44" i="1" s="1"/>
  <c r="D44" i="1"/>
  <c r="E49" i="1"/>
  <c r="G49" i="1" s="1"/>
  <c r="D49" i="1"/>
  <c r="B56" i="1"/>
  <c r="C11" i="1"/>
  <c r="F11" i="1" s="1"/>
  <c r="D18" i="1"/>
  <c r="F55" i="1"/>
  <c r="G55" i="1" s="1"/>
  <c r="D55" i="1"/>
  <c r="B27" i="1"/>
  <c r="D10" i="1"/>
  <c r="E51" i="1"/>
  <c r="G51" i="1" s="1"/>
  <c r="D51" i="1"/>
  <c r="E53" i="1"/>
  <c r="G53" i="1" s="1"/>
  <c r="D53" i="1"/>
  <c r="B19" i="1"/>
  <c r="D23" i="1"/>
  <c r="D25" i="1"/>
  <c r="D30" i="1"/>
  <c r="D32" i="1"/>
  <c r="D36" i="1"/>
  <c r="D38" i="1"/>
  <c r="D40" i="1"/>
  <c r="D43" i="1"/>
  <c r="C46" i="1"/>
  <c r="F46" i="1" s="1"/>
  <c r="C56" i="1"/>
  <c r="F56" i="1" s="1"/>
  <c r="E65" i="1"/>
  <c r="G65" i="1" s="1"/>
  <c r="D65" i="1"/>
  <c r="E70" i="1"/>
  <c r="G70" i="1" s="1"/>
  <c r="D70" i="1"/>
  <c r="E79" i="1"/>
  <c r="G79" i="1" s="1"/>
  <c r="D79" i="1"/>
  <c r="E101" i="1"/>
  <c r="G101" i="1" s="1"/>
  <c r="D101" i="1"/>
  <c r="E62" i="1"/>
  <c r="G62" i="1" s="1"/>
  <c r="B66" i="1"/>
  <c r="D62" i="1"/>
  <c r="F67" i="1"/>
  <c r="G67" i="1" s="1"/>
  <c r="D67" i="1"/>
  <c r="C86" i="1"/>
  <c r="F86" i="1" s="1"/>
  <c r="C131" i="1"/>
  <c r="F131" i="1" s="1"/>
  <c r="F130" i="1"/>
  <c r="G129" i="1"/>
  <c r="B122" i="1"/>
  <c r="B130" i="1"/>
  <c r="D89" i="1"/>
  <c r="D91" i="1"/>
  <c r="B92" i="1"/>
  <c r="D94" i="1"/>
  <c r="D96" i="1"/>
  <c r="B97" i="1"/>
  <c r="D99" i="1"/>
  <c r="D105" i="1"/>
  <c r="B106" i="1"/>
  <c r="D108" i="1"/>
  <c r="C111" i="1"/>
  <c r="F111" i="1" s="1"/>
  <c r="G111" i="1" s="1"/>
  <c r="F48" i="1"/>
  <c r="G48" i="1" s="1"/>
  <c r="F61" i="1"/>
  <c r="G61" i="1" s="1"/>
  <c r="B80" i="1"/>
  <c r="C97" i="1"/>
  <c r="F97" i="1" s="1"/>
  <c r="D103" i="1"/>
  <c r="F113" i="1"/>
  <c r="G113" i="1" s="1"/>
  <c r="D114" i="1"/>
  <c r="D120" i="1"/>
  <c r="D126" i="1"/>
  <c r="D128" i="1"/>
  <c r="D69" i="1"/>
  <c r="F99" i="1"/>
  <c r="G99" i="1" s="1"/>
  <c r="E19" i="1" l="1"/>
  <c r="F123" i="1"/>
  <c r="C132" i="1"/>
  <c r="F132" i="1" s="1"/>
  <c r="G46" i="1"/>
  <c r="D92" i="1"/>
  <c r="E92" i="1"/>
  <c r="G92" i="1" s="1"/>
  <c r="D66" i="1"/>
  <c r="B71" i="1"/>
  <c r="E66" i="1"/>
  <c r="G66" i="1" s="1"/>
  <c r="D56" i="1"/>
  <c r="E56" i="1"/>
  <c r="G56" i="1" s="1"/>
  <c r="C116" i="1"/>
  <c r="F116" i="1" s="1"/>
  <c r="F71" i="1"/>
  <c r="E80" i="1"/>
  <c r="G80" i="1" s="1"/>
  <c r="D80" i="1"/>
  <c r="D97" i="1"/>
  <c r="E97" i="1"/>
  <c r="G97" i="1" s="1"/>
  <c r="D111" i="1"/>
  <c r="D106" i="1"/>
  <c r="E106" i="1"/>
  <c r="G106" i="1" s="1"/>
  <c r="E27" i="1"/>
  <c r="G27" i="1" s="1"/>
  <c r="B41" i="1"/>
  <c r="D27" i="1"/>
  <c r="D15" i="1"/>
  <c r="C57" i="1"/>
  <c r="F57" i="1" s="1"/>
  <c r="F41" i="1"/>
  <c r="E122" i="1"/>
  <c r="G122" i="1" s="1"/>
  <c r="B123" i="1"/>
  <c r="D122" i="1"/>
  <c r="E86" i="1"/>
  <c r="G86" i="1" s="1"/>
  <c r="D86" i="1"/>
  <c r="E130" i="1"/>
  <c r="G130" i="1" s="1"/>
  <c r="B131" i="1"/>
  <c r="D130" i="1"/>
  <c r="E34" i="1"/>
  <c r="G34" i="1" s="1"/>
  <c r="D34" i="1"/>
  <c r="C19" i="1"/>
  <c r="D11" i="1"/>
  <c r="B57" i="1" l="1"/>
  <c r="E41" i="1"/>
  <c r="G41" i="1" s="1"/>
  <c r="D41" i="1"/>
  <c r="C58" i="1"/>
  <c r="F19" i="1"/>
  <c r="E131" i="1"/>
  <c r="G131" i="1" s="1"/>
  <c r="D131" i="1"/>
  <c r="D19" i="1"/>
  <c r="E123" i="1"/>
  <c r="G123" i="1" s="1"/>
  <c r="B132" i="1"/>
  <c r="D123" i="1"/>
  <c r="D71" i="1"/>
  <c r="B116" i="1"/>
  <c r="E71" i="1"/>
  <c r="G71" i="1" s="1"/>
  <c r="G19" i="1"/>
  <c r="C117" i="1" l="1"/>
  <c r="F58" i="1"/>
  <c r="E132" i="1"/>
  <c r="G132" i="1" s="1"/>
  <c r="D132" i="1"/>
  <c r="E116" i="1"/>
  <c r="G116" i="1" s="1"/>
  <c r="D116" i="1"/>
  <c r="E57" i="1"/>
  <c r="G57" i="1" s="1"/>
  <c r="D57" i="1"/>
  <c r="B58" i="1"/>
  <c r="D58" i="1" l="1"/>
  <c r="B117" i="1"/>
  <c r="E58" i="1"/>
  <c r="G58" i="1" s="1"/>
  <c r="C133" i="1"/>
  <c r="F133" i="1" s="1"/>
  <c r="F117" i="1"/>
  <c r="B133" i="1" l="1"/>
  <c r="E117" i="1"/>
  <c r="G117" i="1" s="1"/>
  <c r="D117" i="1"/>
  <c r="E133" i="1" l="1"/>
  <c r="G133" i="1" s="1"/>
  <c r="D133" i="1"/>
</calcChain>
</file>

<file path=xl/sharedStrings.xml><?xml version="1.0" encoding="utf-8"?>
<sst xmlns="http://schemas.openxmlformats.org/spreadsheetml/2006/main" count="139" uniqueCount="136">
  <si>
    <t>Mar 2024</t>
  </si>
  <si>
    <t>Total</t>
  </si>
  <si>
    <t>Actual</t>
  </si>
  <si>
    <t>Budget</t>
  </si>
  <si>
    <t>over Budget</t>
  </si>
  <si>
    <t>Income</t>
  </si>
  <si>
    <t xml:space="preserve">   0801 Catering &amp; Décor (Menu Sale)</t>
  </si>
  <si>
    <t xml:space="preserve">   0802 Euphoria</t>
  </si>
  <si>
    <t xml:space="preserve">      080201 Euphoria Décor</t>
  </si>
  <si>
    <t xml:space="preserve">   Total 0802 Euphoria</t>
  </si>
  <si>
    <t xml:space="preserve">   0803 Food Sale</t>
  </si>
  <si>
    <t xml:space="preserve">      080301 Food/Kg/Box</t>
  </si>
  <si>
    <t xml:space="preserve">      080302 Additional Food &amp; Stations</t>
  </si>
  <si>
    <t xml:space="preserve">   Total 0803 Food Sale</t>
  </si>
  <si>
    <t xml:space="preserve">   0804 Beverages</t>
  </si>
  <si>
    <t xml:space="preserve">   0805 Additional Item &amp; Setups</t>
  </si>
  <si>
    <t xml:space="preserve">   0807 Kitchen Overhead Share</t>
  </si>
  <si>
    <t>Total Income</t>
  </si>
  <si>
    <t>Cost of Sales</t>
  </si>
  <si>
    <t xml:space="preserve">   0901 Supplies and materials - COS</t>
  </si>
  <si>
    <t xml:space="preserve">      090101 Meat</t>
  </si>
  <si>
    <t xml:space="preserve">         09010101 Mutton</t>
  </si>
  <si>
    <t xml:space="preserve">         09010102 Chicken</t>
  </si>
  <si>
    <t xml:space="preserve">         09010103 Beef</t>
  </si>
  <si>
    <t xml:space="preserve">         09010104 Fish &amp; Prawns</t>
  </si>
  <si>
    <t xml:space="preserve">      Total 090101 Meat</t>
  </si>
  <si>
    <t xml:space="preserve">      090102 Dry Stock</t>
  </si>
  <si>
    <t xml:space="preserve">         09010201 Oil</t>
  </si>
  <si>
    <t xml:space="preserve">         09010202 Flour</t>
  </si>
  <si>
    <t xml:space="preserve">         09010203 Rice</t>
  </si>
  <si>
    <t xml:space="preserve">         09010204 Sugar</t>
  </si>
  <si>
    <t xml:space="preserve">         09010205 Other Dry Stock</t>
  </si>
  <si>
    <t xml:space="preserve">      Total 090102 Dry Stock</t>
  </si>
  <si>
    <t xml:space="preserve">      090103 Outsourced Food</t>
  </si>
  <si>
    <t xml:space="preserve">      090104 Dairy &amp; Bakery Items</t>
  </si>
  <si>
    <t xml:space="preserve">      090105 Vegetables &amp; Fruits</t>
  </si>
  <si>
    <t xml:space="preserve">      090106 Beverages &amp; Soft drinks</t>
  </si>
  <si>
    <t xml:space="preserve">      090107 Other Consumables</t>
  </si>
  <si>
    <t xml:space="preserve">      090108 Disposible Material</t>
  </si>
  <si>
    <t xml:space="preserve">   Total 0901 Supplies and materials - COS</t>
  </si>
  <si>
    <t xml:space="preserve">   0902 Cost of labour-COS</t>
  </si>
  <si>
    <t xml:space="preserve">      090201 Salaries- Operation Staff</t>
  </si>
  <si>
    <t xml:space="preserve">      090202 Labour Out Sourced</t>
  </si>
  <si>
    <t xml:space="preserve">      090203 Wages &amp; Allowance</t>
  </si>
  <si>
    <t xml:space="preserve">   Total 0902 Cost of labour-COS</t>
  </si>
  <si>
    <t xml:space="preserve">   0903 Other costs of sales - COS</t>
  </si>
  <si>
    <t xml:space="preserve">      090301 Rents, rates &amp; taxes</t>
  </si>
  <si>
    <t xml:space="preserve">      090302 Utilitites</t>
  </si>
  <si>
    <t xml:space="preserve">      090303 Fuel &amp; Transporation</t>
  </si>
  <si>
    <t xml:space="preserve">      090304 Repair &amp; maintinance</t>
  </si>
  <si>
    <t xml:space="preserve">      090306 Boarding &amp; Lodging - COS</t>
  </si>
  <si>
    <t xml:space="preserve">      090307 Printing &amp; Stationary</t>
  </si>
  <si>
    <t xml:space="preserve">      090308 Laundry</t>
  </si>
  <si>
    <t xml:space="preserve">      090309 Staff Uniform</t>
  </si>
  <si>
    <t xml:space="preserve">   Total 0903 Other costs of sales - COS</t>
  </si>
  <si>
    <t>Total Cost of Sales</t>
  </si>
  <si>
    <t>Gross Profit</t>
  </si>
  <si>
    <t>Expenses</t>
  </si>
  <si>
    <t xml:space="preserve">   1001 Salaries &amp; Benefits</t>
  </si>
  <si>
    <t xml:space="preserve">      100101 Salaries &amp; Wages</t>
  </si>
  <si>
    <t xml:space="preserve">         10010101 Sales</t>
  </si>
  <si>
    <t xml:space="preserve">         10010102 Marketing</t>
  </si>
  <si>
    <t xml:space="preserve">         10010103 Accounts &amp; Finance</t>
  </si>
  <si>
    <t xml:space="preserve">         10010104 Admin &amp; HR</t>
  </si>
  <si>
    <t xml:space="preserve">      Total 100101 Salaries &amp; Wages</t>
  </si>
  <si>
    <t xml:space="preserve">      100102 Other benefits (Direct &amp; indrect)</t>
  </si>
  <si>
    <t xml:space="preserve">      100103 Sales Commission</t>
  </si>
  <si>
    <t xml:space="preserve">         10010301 Sales Rep Commission</t>
  </si>
  <si>
    <t xml:space="preserve">      Total 100103 Sales Commission</t>
  </si>
  <si>
    <t xml:space="preserve">   Total 1001 Salaries &amp; Benefits</t>
  </si>
  <si>
    <t xml:space="preserve">   1002 Rent, Rate &amp; Taxes</t>
  </si>
  <si>
    <t xml:space="preserve">      100201 Office Rent</t>
  </si>
  <si>
    <t xml:space="preserve">      100204 Toll Tax</t>
  </si>
  <si>
    <t xml:space="preserve">   Total 1002 Rent, Rate &amp; Taxes</t>
  </si>
  <si>
    <t xml:space="preserve">   1003 Utilities</t>
  </si>
  <si>
    <t xml:space="preserve">      100301 Elecricity Charges</t>
  </si>
  <si>
    <t xml:space="preserve">      100302 Gas Charges</t>
  </si>
  <si>
    <t xml:space="preserve">      100305 Water Charges</t>
  </si>
  <si>
    <t xml:space="preserve">   Total 1003 Utilities</t>
  </si>
  <si>
    <t xml:space="preserve">   1004 Legal &amp; Professional Charges</t>
  </si>
  <si>
    <t xml:space="preserve">      100402 Filing Fee</t>
  </si>
  <si>
    <t xml:space="preserve">      100403 Legal Services</t>
  </si>
  <si>
    <t xml:space="preserve">      100404 Professional Services</t>
  </si>
  <si>
    <t xml:space="preserve">      100406 Fee &amp; Subcription</t>
  </si>
  <si>
    <t xml:space="preserve">   Total 1004 Legal &amp; Professional Charges</t>
  </si>
  <si>
    <t xml:space="preserve">   1005 Communication Charges</t>
  </si>
  <si>
    <t xml:space="preserve">      100501 Internet Charges</t>
  </si>
  <si>
    <t xml:space="preserve">      100502 Mobile Charges</t>
  </si>
  <si>
    <t xml:space="preserve">      100503 Postage &amp; Courier</t>
  </si>
  <si>
    <t xml:space="preserve">      100504 Telephone Bill</t>
  </si>
  <si>
    <t xml:space="preserve">   Total 1005 Communication Charges</t>
  </si>
  <si>
    <t xml:space="preserve">   1006 Repair &amp; Maintenance</t>
  </si>
  <si>
    <t xml:space="preserve">      100602 Equipment Repair</t>
  </si>
  <si>
    <t xml:space="preserve">      100604 Office Repair</t>
  </si>
  <si>
    <t xml:space="preserve">      100605 Vehicles Repair</t>
  </si>
  <si>
    <t xml:space="preserve">   Total 1006 Repair &amp; Maintenance</t>
  </si>
  <si>
    <t xml:space="preserve">   1007 Travelling &amp; Conveyance</t>
  </si>
  <si>
    <t xml:space="preserve">      100703 Fuel Charges</t>
  </si>
  <si>
    <t xml:space="preserve">      100704 Local Traveling</t>
  </si>
  <si>
    <t xml:space="preserve">   Total 1007 Travelling &amp; Conveyance</t>
  </si>
  <si>
    <t xml:space="preserve">   1008 Office Supplies &amp; Stationary</t>
  </si>
  <si>
    <t xml:space="preserve">      100801 Office Supplies</t>
  </si>
  <si>
    <t xml:space="preserve">      100802 Other Printing</t>
  </si>
  <si>
    <t xml:space="preserve">      100804 Stationary Expense</t>
  </si>
  <si>
    <t xml:space="preserve">   Total 1008 Office Supplies &amp; Stationary</t>
  </si>
  <si>
    <t xml:space="preserve">   1009 Advertisement &amp; Publicity</t>
  </si>
  <si>
    <t xml:space="preserve">      100901 Agency Fee</t>
  </si>
  <si>
    <t xml:space="preserve">      100902 Ad Spend</t>
  </si>
  <si>
    <t xml:space="preserve">      100903 Ad Production</t>
  </si>
  <si>
    <t xml:space="preserve">   Total 1009 Advertisement &amp; Publicity</t>
  </si>
  <si>
    <t xml:space="preserve">   1010 Food &amp; Entertainment</t>
  </si>
  <si>
    <t xml:space="preserve">      101001 Office Entertainment</t>
  </si>
  <si>
    <t xml:space="preserve">      101002 Staff Food</t>
  </si>
  <si>
    <t xml:space="preserve">   Total 1010 Food &amp; Entertainment</t>
  </si>
  <si>
    <t>Total Expenses</t>
  </si>
  <si>
    <t>Net Operating Income</t>
  </si>
  <si>
    <t>Other Income</t>
  </si>
  <si>
    <t xml:space="preserve">   15 Other Income</t>
  </si>
  <si>
    <t xml:space="preserve">      1501 Outsourced Items</t>
  </si>
  <si>
    <t xml:space="preserve">      1503 Other</t>
  </si>
  <si>
    <t xml:space="preserve">   Total 15 Other Income</t>
  </si>
  <si>
    <t>Total Other Income</t>
  </si>
  <si>
    <t>Other Expenses</t>
  </si>
  <si>
    <t xml:space="preserve">   16 Other Expenses</t>
  </si>
  <si>
    <t xml:space="preserve">      1601 Outsourced Items Rental</t>
  </si>
  <si>
    <t xml:space="preserve">      1602 Bank Service Charges</t>
  </si>
  <si>
    <t xml:space="preserve">      1603 Other expenses-Other</t>
  </si>
  <si>
    <t xml:space="preserve">      1604 Euphoria Outsourced Items Rental</t>
  </si>
  <si>
    <t xml:space="preserve">   Total 16 Other Expenses</t>
  </si>
  <si>
    <t>Total Other Expenses</t>
  </si>
  <si>
    <t>Net Other Income</t>
  </si>
  <si>
    <t>Net Income</t>
  </si>
  <si>
    <t>Monday, Apr 08, 2024 03:29:32 PM GMT+5 - Accrual Basis</t>
  </si>
  <si>
    <t>Hanif Rajput Catering Services</t>
  </si>
  <si>
    <t xml:space="preserve">Budget vs. Actuals: Financial Budget 2023-2024 - FY24 P&amp;L </t>
  </si>
  <si>
    <t>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</si>
</sst>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_€"/>
    <numFmt numFmtId="165" formatCode="&quot;PRs&quot;* #,##0.00\ _€"/>
  </numFmts>
  <fonts count="6" x14ac:knownFonts="1">
    <font>
      <sz val="11"/>
      <color indexed="8"/>
      <name val="Aptos Narrow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16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right" wrapText="1"/>
    </xf>
    <xf numFmtId="165" fontId="2" fillId="0" borderId="2" xfId="0" applyNumberFormat="1" applyFont="1" applyBorder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7"/>
  <sheetViews>
    <sheetView tabSelected="1" workbookViewId="0">
      <selection activeCell="K16" sqref="K16"/>
    </sheetView>
  </sheetViews>
  <sheetFormatPr baseColWidth="10" defaultColWidth="8.83203125" defaultRowHeight="15" x14ac:dyDescent="0.2"/>
  <cols>
    <col min="1" max="1" width="40.33203125" customWidth="1"/>
    <col min="2" max="3" width="14.6640625" customWidth="1"/>
    <col min="4" max="4" width="15.5" customWidth="1"/>
    <col min="5" max="6" width="14.6640625" customWidth="1"/>
    <col min="7" max="7" width="15.5" customWidth="1"/>
  </cols>
  <sheetData>
    <row r="1" spans="1:7" ht="18" x14ac:dyDescent="0.2">
      <c r="A1" s="12" t="s">
        <v>133</v>
      </c>
      <c r="B1" s="11"/>
      <c r="C1" s="11"/>
      <c r="D1" s="11"/>
      <c r="E1" s="11"/>
      <c r="F1" s="11"/>
      <c r="G1" s="11"/>
    </row>
    <row r="2" spans="1:7" ht="18" x14ac:dyDescent="0.2">
      <c r="A2" s="12" t="s">
        <v>134</v>
      </c>
      <c r="B2" s="11"/>
      <c r="C2" s="11"/>
      <c r="D2" s="11"/>
      <c r="E2" s="11"/>
      <c r="F2" s="11"/>
      <c r="G2" s="11"/>
    </row>
    <row r="3" spans="1:7" x14ac:dyDescent="0.2">
      <c r="A3" s="13" t="s">
        <v>135</v>
      </c>
      <c r="B3" s="11"/>
      <c r="C3" s="11"/>
      <c r="D3" s="11"/>
      <c r="E3" s="11"/>
      <c r="F3" s="11"/>
      <c r="G3" s="11"/>
    </row>
    <row r="5" spans="1:7" x14ac:dyDescent="0.2">
      <c r="A5" s="1"/>
      <c r="B5" s="8" t="s">
        <v>0</v>
      </c>
      <c r="C5" s="9"/>
      <c r="D5" s="9"/>
      <c r="E5" s="8" t="s">
        <v>1</v>
      </c>
      <c r="F5" s="9"/>
      <c r="G5" s="9"/>
    </row>
    <row r="6" spans="1:7" x14ac:dyDescent="0.2">
      <c r="A6" s="1"/>
      <c r="B6" s="2" t="s">
        <v>2</v>
      </c>
      <c r="C6" s="2" t="s">
        <v>3</v>
      </c>
      <c r="D6" s="2" t="s">
        <v>4</v>
      </c>
      <c r="E6" s="2" t="s">
        <v>2</v>
      </c>
      <c r="F6" s="2" t="s">
        <v>3</v>
      </c>
      <c r="G6" s="2" t="s">
        <v>4</v>
      </c>
    </row>
    <row r="7" spans="1:7" x14ac:dyDescent="0.2">
      <c r="A7" s="3" t="s">
        <v>5</v>
      </c>
      <c r="B7" s="4"/>
      <c r="C7" s="4"/>
      <c r="D7" s="4"/>
      <c r="E7" s="4"/>
      <c r="F7" s="4"/>
      <c r="G7" s="4"/>
    </row>
    <row r="8" spans="1:7" x14ac:dyDescent="0.2">
      <c r="A8" s="3" t="s">
        <v>6</v>
      </c>
      <c r="B8" s="5">
        <f>33447253.2</f>
        <v>33447253.199999999</v>
      </c>
      <c r="C8" s="5">
        <f>24999600</f>
        <v>24999600</v>
      </c>
      <c r="D8" s="5">
        <f t="shared" ref="D8:D19" si="0">(B8)-(C8)</f>
        <v>8447653.1999999993</v>
      </c>
      <c r="E8" s="5">
        <f t="shared" ref="E8:E19" si="1">B8</f>
        <v>33447253.199999999</v>
      </c>
      <c r="F8" s="5">
        <f t="shared" ref="F8:F19" si="2">C8</f>
        <v>24999600</v>
      </c>
      <c r="G8" s="5">
        <f t="shared" ref="G8:G19" si="3">(E8)-(F8)</f>
        <v>8447653.1999999993</v>
      </c>
    </row>
    <row r="9" spans="1:7" x14ac:dyDescent="0.2">
      <c r="A9" s="3" t="s">
        <v>7</v>
      </c>
      <c r="B9" s="4"/>
      <c r="C9" s="4"/>
      <c r="D9" s="5">
        <f t="shared" si="0"/>
        <v>0</v>
      </c>
      <c r="E9" s="5">
        <f t="shared" si="1"/>
        <v>0</v>
      </c>
      <c r="F9" s="5">
        <f t="shared" si="2"/>
        <v>0</v>
      </c>
      <c r="G9" s="5">
        <f t="shared" si="3"/>
        <v>0</v>
      </c>
    </row>
    <row r="10" spans="1:7" x14ac:dyDescent="0.2">
      <c r="A10" s="3" t="s">
        <v>8</v>
      </c>
      <c r="B10" s="5">
        <f>200000</f>
        <v>200000</v>
      </c>
      <c r="C10" s="5">
        <f>4565000</f>
        <v>4565000</v>
      </c>
      <c r="D10" s="5">
        <f t="shared" si="0"/>
        <v>-4365000</v>
      </c>
      <c r="E10" s="5">
        <f t="shared" si="1"/>
        <v>200000</v>
      </c>
      <c r="F10" s="5">
        <f t="shared" si="2"/>
        <v>4565000</v>
      </c>
      <c r="G10" s="5">
        <f t="shared" si="3"/>
        <v>-4365000</v>
      </c>
    </row>
    <row r="11" spans="1:7" x14ac:dyDescent="0.2">
      <c r="A11" s="3" t="s">
        <v>9</v>
      </c>
      <c r="B11" s="6">
        <f>(B9)+(B10)</f>
        <v>200000</v>
      </c>
      <c r="C11" s="6">
        <f>(C9)+(C10)</f>
        <v>4565000</v>
      </c>
      <c r="D11" s="6">
        <f t="shared" si="0"/>
        <v>-4365000</v>
      </c>
      <c r="E11" s="6">
        <f t="shared" si="1"/>
        <v>200000</v>
      </c>
      <c r="F11" s="6">
        <f t="shared" si="2"/>
        <v>4565000</v>
      </c>
      <c r="G11" s="6">
        <f t="shared" si="3"/>
        <v>-4365000</v>
      </c>
    </row>
    <row r="12" spans="1:7" x14ac:dyDescent="0.2">
      <c r="A12" s="3" t="s">
        <v>10</v>
      </c>
      <c r="B12" s="4"/>
      <c r="C12" s="4"/>
      <c r="D12" s="5">
        <f t="shared" si="0"/>
        <v>0</v>
      </c>
      <c r="E12" s="5">
        <f t="shared" si="1"/>
        <v>0</v>
      </c>
      <c r="F12" s="5">
        <f t="shared" si="2"/>
        <v>0</v>
      </c>
      <c r="G12" s="5">
        <f t="shared" si="3"/>
        <v>0</v>
      </c>
    </row>
    <row r="13" spans="1:7" x14ac:dyDescent="0.2">
      <c r="A13" s="3" t="s">
        <v>11</v>
      </c>
      <c r="B13" s="5">
        <f>7651706.6</f>
        <v>7651706.5999999996</v>
      </c>
      <c r="C13" s="5">
        <f>10367500</f>
        <v>10367500</v>
      </c>
      <c r="D13" s="5">
        <f t="shared" si="0"/>
        <v>-2715793.4000000004</v>
      </c>
      <c r="E13" s="5">
        <f t="shared" si="1"/>
        <v>7651706.5999999996</v>
      </c>
      <c r="F13" s="5">
        <f t="shared" si="2"/>
        <v>10367500</v>
      </c>
      <c r="G13" s="5">
        <f t="shared" si="3"/>
        <v>-2715793.4000000004</v>
      </c>
    </row>
    <row r="14" spans="1:7" x14ac:dyDescent="0.2">
      <c r="A14" s="3" t="s">
        <v>12</v>
      </c>
      <c r="B14" s="5">
        <f>586939.3</f>
        <v>586939.30000000005</v>
      </c>
      <c r="C14" s="5">
        <f>299995</f>
        <v>299995</v>
      </c>
      <c r="D14" s="5">
        <f t="shared" si="0"/>
        <v>286944.30000000005</v>
      </c>
      <c r="E14" s="5">
        <f t="shared" si="1"/>
        <v>586939.30000000005</v>
      </c>
      <c r="F14" s="5">
        <f t="shared" si="2"/>
        <v>299995</v>
      </c>
      <c r="G14" s="5">
        <f t="shared" si="3"/>
        <v>286944.30000000005</v>
      </c>
    </row>
    <row r="15" spans="1:7" x14ac:dyDescent="0.2">
      <c r="A15" s="3" t="s">
        <v>13</v>
      </c>
      <c r="B15" s="6">
        <f>((B12)+(B13))+(B14)</f>
        <v>8238645.8999999994</v>
      </c>
      <c r="C15" s="6">
        <f>((C12)+(C13))+(C14)</f>
        <v>10667495</v>
      </c>
      <c r="D15" s="6">
        <f t="shared" si="0"/>
        <v>-2428849.1000000006</v>
      </c>
      <c r="E15" s="6">
        <f t="shared" si="1"/>
        <v>8238645.8999999994</v>
      </c>
      <c r="F15" s="6">
        <f t="shared" si="2"/>
        <v>10667495</v>
      </c>
      <c r="G15" s="6">
        <f t="shared" si="3"/>
        <v>-2428849.1000000006</v>
      </c>
    </row>
    <row r="16" spans="1:7" x14ac:dyDescent="0.2">
      <c r="A16" s="3" t="s">
        <v>14</v>
      </c>
      <c r="B16" s="5">
        <f>535880</f>
        <v>535880</v>
      </c>
      <c r="C16" s="5">
        <f>1199981</f>
        <v>1199981</v>
      </c>
      <c r="D16" s="5">
        <f t="shared" si="0"/>
        <v>-664101</v>
      </c>
      <c r="E16" s="5">
        <f t="shared" si="1"/>
        <v>535880</v>
      </c>
      <c r="F16" s="5">
        <f t="shared" si="2"/>
        <v>1199981</v>
      </c>
      <c r="G16" s="5">
        <f t="shared" si="3"/>
        <v>-664101</v>
      </c>
    </row>
    <row r="17" spans="1:7" x14ac:dyDescent="0.2">
      <c r="A17" s="3" t="s">
        <v>15</v>
      </c>
      <c r="B17" s="5">
        <f>2391088</f>
        <v>2391088</v>
      </c>
      <c r="C17" s="5">
        <f>2699957</f>
        <v>2699957</v>
      </c>
      <c r="D17" s="5">
        <f t="shared" si="0"/>
        <v>-308869</v>
      </c>
      <c r="E17" s="5">
        <f t="shared" si="1"/>
        <v>2391088</v>
      </c>
      <c r="F17" s="5">
        <f t="shared" si="2"/>
        <v>2699957</v>
      </c>
      <c r="G17" s="5">
        <f t="shared" si="3"/>
        <v>-308869</v>
      </c>
    </row>
    <row r="18" spans="1:7" x14ac:dyDescent="0.2">
      <c r="A18" s="3" t="s">
        <v>16</v>
      </c>
      <c r="B18" s="5">
        <f>39800</f>
        <v>39800</v>
      </c>
      <c r="C18" s="4"/>
      <c r="D18" s="5">
        <f t="shared" si="0"/>
        <v>39800</v>
      </c>
      <c r="E18" s="5">
        <f t="shared" si="1"/>
        <v>39800</v>
      </c>
      <c r="F18" s="5">
        <f t="shared" si="2"/>
        <v>0</v>
      </c>
      <c r="G18" s="5">
        <f t="shared" si="3"/>
        <v>39800</v>
      </c>
    </row>
    <row r="19" spans="1:7" x14ac:dyDescent="0.2">
      <c r="A19" s="3" t="s">
        <v>17</v>
      </c>
      <c r="B19" s="6">
        <f>(((((B8)+(B11))+(B15))+(B16))+(B17))+(B18)</f>
        <v>44852667.100000001</v>
      </c>
      <c r="C19" s="6">
        <f>(((((C8)+(C11))+(C15))+(C16))+(C17))+(C18)</f>
        <v>44132033</v>
      </c>
      <c r="D19" s="6">
        <f t="shared" si="0"/>
        <v>720634.10000000149</v>
      </c>
      <c r="E19" s="6">
        <f t="shared" si="1"/>
        <v>44852667.100000001</v>
      </c>
      <c r="F19" s="6">
        <f t="shared" si="2"/>
        <v>44132033</v>
      </c>
      <c r="G19" s="6">
        <f t="shared" si="3"/>
        <v>720634.10000000149</v>
      </c>
    </row>
    <row r="20" spans="1:7" x14ac:dyDescent="0.2">
      <c r="A20" s="3" t="s">
        <v>18</v>
      </c>
      <c r="B20" s="4"/>
      <c r="C20" s="4"/>
      <c r="D20" s="4"/>
      <c r="E20" s="4"/>
      <c r="F20" s="4"/>
      <c r="G20" s="4"/>
    </row>
    <row r="21" spans="1:7" x14ac:dyDescent="0.2">
      <c r="A21" s="3" t="s">
        <v>19</v>
      </c>
      <c r="B21" s="4"/>
      <c r="C21" s="4"/>
      <c r="D21" s="5">
        <f t="shared" ref="D21:D58" si="4">(B21)-(C21)</f>
        <v>0</v>
      </c>
      <c r="E21" s="5">
        <f t="shared" ref="E21:E58" si="5">B21</f>
        <v>0</v>
      </c>
      <c r="F21" s="5">
        <f t="shared" ref="F21:F58" si="6">C21</f>
        <v>0</v>
      </c>
      <c r="G21" s="5">
        <f t="shared" ref="G21:G58" si="7">(E21)-(F21)</f>
        <v>0</v>
      </c>
    </row>
    <row r="22" spans="1:7" x14ac:dyDescent="0.2">
      <c r="A22" s="3" t="s">
        <v>20</v>
      </c>
      <c r="B22" s="4"/>
      <c r="C22" s="4"/>
      <c r="D22" s="5">
        <f t="shared" si="4"/>
        <v>0</v>
      </c>
      <c r="E22" s="5">
        <f t="shared" si="5"/>
        <v>0</v>
      </c>
      <c r="F22" s="5">
        <f t="shared" si="6"/>
        <v>0</v>
      </c>
      <c r="G22" s="5">
        <f t="shared" si="7"/>
        <v>0</v>
      </c>
    </row>
    <row r="23" spans="1:7" x14ac:dyDescent="0.2">
      <c r="A23" s="3" t="s">
        <v>21</v>
      </c>
      <c r="B23" s="5">
        <f>1447064</f>
        <v>1447064</v>
      </c>
      <c r="C23" s="5">
        <f>2122026</f>
        <v>2122026</v>
      </c>
      <c r="D23" s="5">
        <f t="shared" si="4"/>
        <v>-674962</v>
      </c>
      <c r="E23" s="5">
        <f t="shared" si="5"/>
        <v>1447064</v>
      </c>
      <c r="F23" s="5">
        <f t="shared" si="6"/>
        <v>2122026</v>
      </c>
      <c r="G23" s="5">
        <f t="shared" si="7"/>
        <v>-674962</v>
      </c>
    </row>
    <row r="24" spans="1:7" x14ac:dyDescent="0.2">
      <c r="A24" s="3" t="s">
        <v>22</v>
      </c>
      <c r="B24" s="5">
        <f>6143251</f>
        <v>6143251</v>
      </c>
      <c r="C24" s="5">
        <f>4951394</f>
        <v>4951394</v>
      </c>
      <c r="D24" s="5">
        <f t="shared" si="4"/>
        <v>1191857</v>
      </c>
      <c r="E24" s="5">
        <f t="shared" si="5"/>
        <v>6143251</v>
      </c>
      <c r="F24" s="5">
        <f t="shared" si="6"/>
        <v>4951394</v>
      </c>
      <c r="G24" s="5">
        <f t="shared" si="7"/>
        <v>1191857</v>
      </c>
    </row>
    <row r="25" spans="1:7" x14ac:dyDescent="0.2">
      <c r="A25" s="3" t="s">
        <v>23</v>
      </c>
      <c r="B25" s="5">
        <f>1368629</f>
        <v>1368629</v>
      </c>
      <c r="C25" s="5">
        <f>353671</f>
        <v>353671</v>
      </c>
      <c r="D25" s="5">
        <f t="shared" si="4"/>
        <v>1014958</v>
      </c>
      <c r="E25" s="5">
        <f t="shared" si="5"/>
        <v>1368629</v>
      </c>
      <c r="F25" s="5">
        <f t="shared" si="6"/>
        <v>353671</v>
      </c>
      <c r="G25" s="5">
        <f t="shared" si="7"/>
        <v>1014958</v>
      </c>
    </row>
    <row r="26" spans="1:7" x14ac:dyDescent="0.2">
      <c r="A26" s="3" t="s">
        <v>24</v>
      </c>
      <c r="B26" s="5">
        <f>116469</f>
        <v>116469</v>
      </c>
      <c r="C26" s="5">
        <f>1061013</f>
        <v>1061013</v>
      </c>
      <c r="D26" s="5">
        <f t="shared" si="4"/>
        <v>-944544</v>
      </c>
      <c r="E26" s="5">
        <f t="shared" si="5"/>
        <v>116469</v>
      </c>
      <c r="F26" s="5">
        <f t="shared" si="6"/>
        <v>1061013</v>
      </c>
      <c r="G26" s="5">
        <f t="shared" si="7"/>
        <v>-944544</v>
      </c>
    </row>
    <row r="27" spans="1:7" x14ac:dyDescent="0.2">
      <c r="A27" s="3" t="s">
        <v>25</v>
      </c>
      <c r="B27" s="6">
        <f>((((B22)+(B23))+(B24))+(B25))+(B26)</f>
        <v>9075413</v>
      </c>
      <c r="C27" s="6">
        <f>((((C22)+(C23))+(C24))+(C25))+(C26)</f>
        <v>8488104</v>
      </c>
      <c r="D27" s="6">
        <f t="shared" si="4"/>
        <v>587309</v>
      </c>
      <c r="E27" s="6">
        <f t="shared" si="5"/>
        <v>9075413</v>
      </c>
      <c r="F27" s="6">
        <f t="shared" si="6"/>
        <v>8488104</v>
      </c>
      <c r="G27" s="6">
        <f t="shared" si="7"/>
        <v>587309</v>
      </c>
    </row>
    <row r="28" spans="1:7" x14ac:dyDescent="0.2">
      <c r="A28" s="3" t="s">
        <v>26</v>
      </c>
      <c r="B28" s="4"/>
      <c r="C28" s="4"/>
      <c r="D28" s="5">
        <f t="shared" si="4"/>
        <v>0</v>
      </c>
      <c r="E28" s="5">
        <f t="shared" si="5"/>
        <v>0</v>
      </c>
      <c r="F28" s="5">
        <f t="shared" si="6"/>
        <v>0</v>
      </c>
      <c r="G28" s="5">
        <f t="shared" si="7"/>
        <v>0</v>
      </c>
    </row>
    <row r="29" spans="1:7" x14ac:dyDescent="0.2">
      <c r="A29" s="3" t="s">
        <v>27</v>
      </c>
      <c r="B29" s="5">
        <f>1060796</f>
        <v>1060796</v>
      </c>
      <c r="C29" s="5">
        <f>1061013</f>
        <v>1061013</v>
      </c>
      <c r="D29" s="5">
        <f t="shared" si="4"/>
        <v>-217</v>
      </c>
      <c r="E29" s="5">
        <f t="shared" si="5"/>
        <v>1060796</v>
      </c>
      <c r="F29" s="5">
        <f t="shared" si="6"/>
        <v>1061013</v>
      </c>
      <c r="G29" s="5">
        <f t="shared" si="7"/>
        <v>-217</v>
      </c>
    </row>
    <row r="30" spans="1:7" x14ac:dyDescent="0.2">
      <c r="A30" s="3" t="s">
        <v>28</v>
      </c>
      <c r="B30" s="5">
        <f>547815</f>
        <v>547815</v>
      </c>
      <c r="C30" s="5">
        <f>353671</f>
        <v>353671</v>
      </c>
      <c r="D30" s="5">
        <f t="shared" si="4"/>
        <v>194144</v>
      </c>
      <c r="E30" s="5">
        <f t="shared" si="5"/>
        <v>547815</v>
      </c>
      <c r="F30" s="5">
        <f t="shared" si="6"/>
        <v>353671</v>
      </c>
      <c r="G30" s="5">
        <f t="shared" si="7"/>
        <v>194144</v>
      </c>
    </row>
    <row r="31" spans="1:7" x14ac:dyDescent="0.2">
      <c r="A31" s="3" t="s">
        <v>29</v>
      </c>
      <c r="B31" s="5">
        <f>1311313</f>
        <v>1311313</v>
      </c>
      <c r="C31" s="5">
        <f>353671</f>
        <v>353671</v>
      </c>
      <c r="D31" s="5">
        <f t="shared" si="4"/>
        <v>957642</v>
      </c>
      <c r="E31" s="5">
        <f t="shared" si="5"/>
        <v>1311313</v>
      </c>
      <c r="F31" s="5">
        <f t="shared" si="6"/>
        <v>353671</v>
      </c>
      <c r="G31" s="5">
        <f t="shared" si="7"/>
        <v>957642</v>
      </c>
    </row>
    <row r="32" spans="1:7" x14ac:dyDescent="0.2">
      <c r="A32" s="3" t="s">
        <v>30</v>
      </c>
      <c r="B32" s="5">
        <f>172885</f>
        <v>172885</v>
      </c>
      <c r="C32" s="5">
        <f>176836</f>
        <v>176836</v>
      </c>
      <c r="D32" s="5">
        <f t="shared" si="4"/>
        <v>-3951</v>
      </c>
      <c r="E32" s="5">
        <f t="shared" si="5"/>
        <v>172885</v>
      </c>
      <c r="F32" s="5">
        <f t="shared" si="6"/>
        <v>176836</v>
      </c>
      <c r="G32" s="5">
        <f t="shared" si="7"/>
        <v>-3951</v>
      </c>
    </row>
    <row r="33" spans="1:7" x14ac:dyDescent="0.2">
      <c r="A33" s="3" t="s">
        <v>31</v>
      </c>
      <c r="B33" s="5">
        <f>2163321</f>
        <v>2163321</v>
      </c>
      <c r="C33" s="5">
        <f>1414684</f>
        <v>1414684</v>
      </c>
      <c r="D33" s="5">
        <f t="shared" si="4"/>
        <v>748637</v>
      </c>
      <c r="E33" s="5">
        <f t="shared" si="5"/>
        <v>2163321</v>
      </c>
      <c r="F33" s="5">
        <f t="shared" si="6"/>
        <v>1414684</v>
      </c>
      <c r="G33" s="5">
        <f t="shared" si="7"/>
        <v>748637</v>
      </c>
    </row>
    <row r="34" spans="1:7" x14ac:dyDescent="0.2">
      <c r="A34" s="3" t="s">
        <v>32</v>
      </c>
      <c r="B34" s="6">
        <f>(((((B28)+(B29))+(B30))+(B31))+(B32))+(B33)</f>
        <v>5256130</v>
      </c>
      <c r="C34" s="6">
        <f>(((((C28)+(C29))+(C30))+(C31))+(C32))+(C33)</f>
        <v>3359875</v>
      </c>
      <c r="D34" s="6">
        <f t="shared" si="4"/>
        <v>1896255</v>
      </c>
      <c r="E34" s="6">
        <f t="shared" si="5"/>
        <v>5256130</v>
      </c>
      <c r="F34" s="6">
        <f t="shared" si="6"/>
        <v>3359875</v>
      </c>
      <c r="G34" s="6">
        <f t="shared" si="7"/>
        <v>1896255</v>
      </c>
    </row>
    <row r="35" spans="1:7" x14ac:dyDescent="0.2">
      <c r="A35" s="3" t="s">
        <v>33</v>
      </c>
      <c r="B35" s="5">
        <f>1043154</f>
        <v>1043154</v>
      </c>
      <c r="C35" s="5">
        <f>1061013</f>
        <v>1061013</v>
      </c>
      <c r="D35" s="5">
        <f t="shared" si="4"/>
        <v>-17859</v>
      </c>
      <c r="E35" s="5">
        <f t="shared" si="5"/>
        <v>1043154</v>
      </c>
      <c r="F35" s="5">
        <f t="shared" si="6"/>
        <v>1061013</v>
      </c>
      <c r="G35" s="5">
        <f t="shared" si="7"/>
        <v>-17859</v>
      </c>
    </row>
    <row r="36" spans="1:7" x14ac:dyDescent="0.2">
      <c r="A36" s="3" t="s">
        <v>34</v>
      </c>
      <c r="B36" s="5">
        <f>2323653</f>
        <v>2323653</v>
      </c>
      <c r="C36" s="5">
        <f>1414684</f>
        <v>1414684</v>
      </c>
      <c r="D36" s="5">
        <f t="shared" si="4"/>
        <v>908969</v>
      </c>
      <c r="E36" s="5">
        <f t="shared" si="5"/>
        <v>2323653</v>
      </c>
      <c r="F36" s="5">
        <f t="shared" si="6"/>
        <v>1414684</v>
      </c>
      <c r="G36" s="5">
        <f t="shared" si="7"/>
        <v>908969</v>
      </c>
    </row>
    <row r="37" spans="1:7" x14ac:dyDescent="0.2">
      <c r="A37" s="3" t="s">
        <v>35</v>
      </c>
      <c r="B37" s="5">
        <f>1246159</f>
        <v>1246159</v>
      </c>
      <c r="C37" s="5">
        <f>1061013</f>
        <v>1061013</v>
      </c>
      <c r="D37" s="5">
        <f t="shared" si="4"/>
        <v>185146</v>
      </c>
      <c r="E37" s="5">
        <f t="shared" si="5"/>
        <v>1246159</v>
      </c>
      <c r="F37" s="5">
        <f t="shared" si="6"/>
        <v>1061013</v>
      </c>
      <c r="G37" s="5">
        <f t="shared" si="7"/>
        <v>185146</v>
      </c>
    </row>
    <row r="38" spans="1:7" x14ac:dyDescent="0.2">
      <c r="A38" s="3" t="s">
        <v>36</v>
      </c>
      <c r="B38" s="5">
        <f>680603</f>
        <v>680603</v>
      </c>
      <c r="C38" s="5">
        <f>1079983</f>
        <v>1079983</v>
      </c>
      <c r="D38" s="5">
        <f t="shared" si="4"/>
        <v>-399380</v>
      </c>
      <c r="E38" s="5">
        <f t="shared" si="5"/>
        <v>680603</v>
      </c>
      <c r="F38" s="5">
        <f t="shared" si="6"/>
        <v>1079983</v>
      </c>
      <c r="G38" s="5">
        <f t="shared" si="7"/>
        <v>-399380</v>
      </c>
    </row>
    <row r="39" spans="1:7" x14ac:dyDescent="0.2">
      <c r="A39" s="3" t="s">
        <v>37</v>
      </c>
      <c r="B39" s="5">
        <f>1242308</f>
        <v>1242308</v>
      </c>
      <c r="C39" s="5">
        <f>353671</f>
        <v>353671</v>
      </c>
      <c r="D39" s="5">
        <f t="shared" si="4"/>
        <v>888637</v>
      </c>
      <c r="E39" s="5">
        <f t="shared" si="5"/>
        <v>1242308</v>
      </c>
      <c r="F39" s="5">
        <f t="shared" si="6"/>
        <v>353671</v>
      </c>
      <c r="G39" s="5">
        <f t="shared" si="7"/>
        <v>888637</v>
      </c>
    </row>
    <row r="40" spans="1:7" x14ac:dyDescent="0.2">
      <c r="A40" s="3" t="s">
        <v>38</v>
      </c>
      <c r="B40" s="5">
        <f>1378380</f>
        <v>1378380</v>
      </c>
      <c r="C40" s="5">
        <f>1061013</f>
        <v>1061013</v>
      </c>
      <c r="D40" s="5">
        <f t="shared" si="4"/>
        <v>317367</v>
      </c>
      <c r="E40" s="5">
        <f t="shared" si="5"/>
        <v>1378380</v>
      </c>
      <c r="F40" s="5">
        <f t="shared" si="6"/>
        <v>1061013</v>
      </c>
      <c r="G40" s="5">
        <f t="shared" si="7"/>
        <v>317367</v>
      </c>
    </row>
    <row r="41" spans="1:7" x14ac:dyDescent="0.2">
      <c r="A41" s="3" t="s">
        <v>39</v>
      </c>
      <c r="B41" s="6">
        <f>((((((((B21)+(B27))+(B34))+(B35))+(B36))+(B37))+(B38))+(B39))+(B40)</f>
        <v>22245800</v>
      </c>
      <c r="C41" s="6">
        <f>((((((((C21)+(C27))+(C34))+(C35))+(C36))+(C37))+(C38))+(C39))+(C40)</f>
        <v>17879356</v>
      </c>
      <c r="D41" s="6">
        <f t="shared" si="4"/>
        <v>4366444</v>
      </c>
      <c r="E41" s="6">
        <f t="shared" si="5"/>
        <v>22245800</v>
      </c>
      <c r="F41" s="6">
        <f t="shared" si="6"/>
        <v>17879356</v>
      </c>
      <c r="G41" s="6">
        <f t="shared" si="7"/>
        <v>4366444</v>
      </c>
    </row>
    <row r="42" spans="1:7" x14ac:dyDescent="0.2">
      <c r="A42" s="3" t="s">
        <v>40</v>
      </c>
      <c r="B42" s="4"/>
      <c r="C42" s="4"/>
      <c r="D42" s="5">
        <f t="shared" si="4"/>
        <v>0</v>
      </c>
      <c r="E42" s="5">
        <f t="shared" si="5"/>
        <v>0</v>
      </c>
      <c r="F42" s="5">
        <f t="shared" si="6"/>
        <v>0</v>
      </c>
      <c r="G42" s="5">
        <f t="shared" si="7"/>
        <v>0</v>
      </c>
    </row>
    <row r="43" spans="1:7" x14ac:dyDescent="0.2">
      <c r="A43" s="3" t="s">
        <v>41</v>
      </c>
      <c r="B43" s="5">
        <f>5168826</f>
        <v>5168826</v>
      </c>
      <c r="C43" s="5">
        <f>5050000</f>
        <v>5050000</v>
      </c>
      <c r="D43" s="5">
        <f t="shared" si="4"/>
        <v>118826</v>
      </c>
      <c r="E43" s="5">
        <f t="shared" si="5"/>
        <v>5168826</v>
      </c>
      <c r="F43" s="5">
        <f t="shared" si="6"/>
        <v>5050000</v>
      </c>
      <c r="G43" s="5">
        <f t="shared" si="7"/>
        <v>118826</v>
      </c>
    </row>
    <row r="44" spans="1:7" x14ac:dyDescent="0.2">
      <c r="A44" s="3" t="s">
        <v>42</v>
      </c>
      <c r="B44" s="5">
        <f>782410</f>
        <v>782410</v>
      </c>
      <c r="C44" s="5">
        <f>441320</f>
        <v>441320</v>
      </c>
      <c r="D44" s="5">
        <f t="shared" si="4"/>
        <v>341090</v>
      </c>
      <c r="E44" s="5">
        <f t="shared" si="5"/>
        <v>782410</v>
      </c>
      <c r="F44" s="5">
        <f t="shared" si="6"/>
        <v>441320</v>
      </c>
      <c r="G44" s="5">
        <f t="shared" si="7"/>
        <v>341090</v>
      </c>
    </row>
    <row r="45" spans="1:7" x14ac:dyDescent="0.2">
      <c r="A45" s="3" t="s">
        <v>43</v>
      </c>
      <c r="B45" s="5">
        <f>995572</f>
        <v>995572</v>
      </c>
      <c r="C45" s="5">
        <f>882641</f>
        <v>882641</v>
      </c>
      <c r="D45" s="5">
        <f t="shared" si="4"/>
        <v>112931</v>
      </c>
      <c r="E45" s="5">
        <f t="shared" si="5"/>
        <v>995572</v>
      </c>
      <c r="F45" s="5">
        <f t="shared" si="6"/>
        <v>882641</v>
      </c>
      <c r="G45" s="5">
        <f t="shared" si="7"/>
        <v>112931</v>
      </c>
    </row>
    <row r="46" spans="1:7" x14ac:dyDescent="0.2">
      <c r="A46" s="3" t="s">
        <v>44</v>
      </c>
      <c r="B46" s="6">
        <f>(((B42)+(B43))+(B44))+(B45)</f>
        <v>6946808</v>
      </c>
      <c r="C46" s="6">
        <f>(((C42)+(C43))+(C44))+(C45)</f>
        <v>6373961</v>
      </c>
      <c r="D46" s="6">
        <f t="shared" si="4"/>
        <v>572847</v>
      </c>
      <c r="E46" s="6">
        <f t="shared" si="5"/>
        <v>6946808</v>
      </c>
      <c r="F46" s="6">
        <f t="shared" si="6"/>
        <v>6373961</v>
      </c>
      <c r="G46" s="6">
        <f t="shared" si="7"/>
        <v>572847</v>
      </c>
    </row>
    <row r="47" spans="1:7" x14ac:dyDescent="0.2">
      <c r="A47" s="3" t="s">
        <v>45</v>
      </c>
      <c r="B47" s="4"/>
      <c r="C47" s="4"/>
      <c r="D47" s="5">
        <f t="shared" si="4"/>
        <v>0</v>
      </c>
      <c r="E47" s="5">
        <f t="shared" si="5"/>
        <v>0</v>
      </c>
      <c r="F47" s="5">
        <f t="shared" si="6"/>
        <v>0</v>
      </c>
      <c r="G47" s="5">
        <f t="shared" si="7"/>
        <v>0</v>
      </c>
    </row>
    <row r="48" spans="1:7" x14ac:dyDescent="0.2">
      <c r="A48" s="3" t="s">
        <v>46</v>
      </c>
      <c r="B48" s="5">
        <f>1500328</f>
        <v>1500328</v>
      </c>
      <c r="C48" s="5">
        <f>1320000</f>
        <v>1320000</v>
      </c>
      <c r="D48" s="5">
        <f t="shared" si="4"/>
        <v>180328</v>
      </c>
      <c r="E48" s="5">
        <f t="shared" si="5"/>
        <v>1500328</v>
      </c>
      <c r="F48" s="5">
        <f t="shared" si="6"/>
        <v>1320000</v>
      </c>
      <c r="G48" s="5">
        <f t="shared" si="7"/>
        <v>180328</v>
      </c>
    </row>
    <row r="49" spans="1:7" x14ac:dyDescent="0.2">
      <c r="A49" s="3" t="s">
        <v>47</v>
      </c>
      <c r="B49" s="5">
        <f>2711169</f>
        <v>2711169</v>
      </c>
      <c r="C49" s="5">
        <f>1544621</f>
        <v>1544621</v>
      </c>
      <c r="D49" s="5">
        <f t="shared" si="4"/>
        <v>1166548</v>
      </c>
      <c r="E49" s="5">
        <f t="shared" si="5"/>
        <v>2711169</v>
      </c>
      <c r="F49" s="5">
        <f t="shared" si="6"/>
        <v>1544621</v>
      </c>
      <c r="G49" s="5">
        <f t="shared" si="7"/>
        <v>1166548</v>
      </c>
    </row>
    <row r="50" spans="1:7" x14ac:dyDescent="0.2">
      <c r="A50" s="3" t="s">
        <v>48</v>
      </c>
      <c r="B50" s="5">
        <f>1375616</f>
        <v>1375616</v>
      </c>
      <c r="C50" s="5">
        <f>1103301</f>
        <v>1103301</v>
      </c>
      <c r="D50" s="5">
        <f t="shared" si="4"/>
        <v>272315</v>
      </c>
      <c r="E50" s="5">
        <f t="shared" si="5"/>
        <v>1375616</v>
      </c>
      <c r="F50" s="5">
        <f t="shared" si="6"/>
        <v>1103301</v>
      </c>
      <c r="G50" s="5">
        <f t="shared" si="7"/>
        <v>272315</v>
      </c>
    </row>
    <row r="51" spans="1:7" x14ac:dyDescent="0.2">
      <c r="A51" s="3" t="s">
        <v>49</v>
      </c>
      <c r="B51" s="5">
        <f>110202</f>
        <v>110202</v>
      </c>
      <c r="C51" s="5">
        <f>308924</f>
        <v>308924</v>
      </c>
      <c r="D51" s="5">
        <f t="shared" si="4"/>
        <v>-198722</v>
      </c>
      <c r="E51" s="5">
        <f t="shared" si="5"/>
        <v>110202</v>
      </c>
      <c r="F51" s="5">
        <f t="shared" si="6"/>
        <v>308924</v>
      </c>
      <c r="G51" s="5">
        <f t="shared" si="7"/>
        <v>-198722</v>
      </c>
    </row>
    <row r="52" spans="1:7" x14ac:dyDescent="0.2">
      <c r="A52" s="3" t="s">
        <v>50</v>
      </c>
      <c r="B52" s="5">
        <f>121011</f>
        <v>121011</v>
      </c>
      <c r="C52" s="5">
        <f>88264</f>
        <v>88264</v>
      </c>
      <c r="D52" s="5">
        <f t="shared" si="4"/>
        <v>32747</v>
      </c>
      <c r="E52" s="5">
        <f t="shared" si="5"/>
        <v>121011</v>
      </c>
      <c r="F52" s="5">
        <f t="shared" si="6"/>
        <v>88264</v>
      </c>
      <c r="G52" s="5">
        <f t="shared" si="7"/>
        <v>32747</v>
      </c>
    </row>
    <row r="53" spans="1:7" x14ac:dyDescent="0.2">
      <c r="A53" s="3" t="s">
        <v>51</v>
      </c>
      <c r="B53" s="5">
        <f>121875</f>
        <v>121875</v>
      </c>
      <c r="C53" s="5">
        <f>220660</f>
        <v>220660</v>
      </c>
      <c r="D53" s="5">
        <f t="shared" si="4"/>
        <v>-98785</v>
      </c>
      <c r="E53" s="5">
        <f t="shared" si="5"/>
        <v>121875</v>
      </c>
      <c r="F53" s="5">
        <f t="shared" si="6"/>
        <v>220660</v>
      </c>
      <c r="G53" s="5">
        <f t="shared" si="7"/>
        <v>-98785</v>
      </c>
    </row>
    <row r="54" spans="1:7" x14ac:dyDescent="0.2">
      <c r="A54" s="3" t="s">
        <v>52</v>
      </c>
      <c r="B54" s="5">
        <f>225246</f>
        <v>225246</v>
      </c>
      <c r="C54" s="5">
        <f>176528</f>
        <v>176528</v>
      </c>
      <c r="D54" s="5">
        <f t="shared" si="4"/>
        <v>48718</v>
      </c>
      <c r="E54" s="5">
        <f t="shared" si="5"/>
        <v>225246</v>
      </c>
      <c r="F54" s="5">
        <f t="shared" si="6"/>
        <v>176528</v>
      </c>
      <c r="G54" s="5">
        <f t="shared" si="7"/>
        <v>48718</v>
      </c>
    </row>
    <row r="55" spans="1:7" x14ac:dyDescent="0.2">
      <c r="A55" s="3" t="s">
        <v>53</v>
      </c>
      <c r="B55" s="4"/>
      <c r="C55" s="5">
        <f>44132</f>
        <v>44132</v>
      </c>
      <c r="D55" s="5">
        <f t="shared" si="4"/>
        <v>-44132</v>
      </c>
      <c r="E55" s="5">
        <f t="shared" si="5"/>
        <v>0</v>
      </c>
      <c r="F55" s="5">
        <f t="shared" si="6"/>
        <v>44132</v>
      </c>
      <c r="G55" s="5">
        <f t="shared" si="7"/>
        <v>-44132</v>
      </c>
    </row>
    <row r="56" spans="1:7" x14ac:dyDescent="0.2">
      <c r="A56" s="3" t="s">
        <v>54</v>
      </c>
      <c r="B56" s="6">
        <f>((((((((B47)+(B48))+(B49))+(B50))+(B51))+(B52))+(B53))+(B54))+(B55)</f>
        <v>6165447</v>
      </c>
      <c r="C56" s="6">
        <f>((((((((C47)+(C48))+(C49))+(C50))+(C51))+(C52))+(C53))+(C54))+(C55)</f>
        <v>4806430</v>
      </c>
      <c r="D56" s="6">
        <f t="shared" si="4"/>
        <v>1359017</v>
      </c>
      <c r="E56" s="6">
        <f t="shared" si="5"/>
        <v>6165447</v>
      </c>
      <c r="F56" s="6">
        <f t="shared" si="6"/>
        <v>4806430</v>
      </c>
      <c r="G56" s="6">
        <f t="shared" si="7"/>
        <v>1359017</v>
      </c>
    </row>
    <row r="57" spans="1:7" x14ac:dyDescent="0.2">
      <c r="A57" s="3" t="s">
        <v>55</v>
      </c>
      <c r="B57" s="6">
        <f>((B41)+(B46))+(B56)</f>
        <v>35358055</v>
      </c>
      <c r="C57" s="6">
        <f>((C41)+(C46))+(C56)</f>
        <v>29059747</v>
      </c>
      <c r="D57" s="6">
        <f t="shared" si="4"/>
        <v>6298308</v>
      </c>
      <c r="E57" s="6">
        <f t="shared" si="5"/>
        <v>35358055</v>
      </c>
      <c r="F57" s="6">
        <f t="shared" si="6"/>
        <v>29059747</v>
      </c>
      <c r="G57" s="6">
        <f t="shared" si="7"/>
        <v>6298308</v>
      </c>
    </row>
    <row r="58" spans="1:7" x14ac:dyDescent="0.2">
      <c r="A58" s="3" t="s">
        <v>56</v>
      </c>
      <c r="B58" s="6">
        <f>(B19)-(B57)</f>
        <v>9494612.1000000015</v>
      </c>
      <c r="C58" s="6">
        <f>(C19)-(C57)</f>
        <v>15072286</v>
      </c>
      <c r="D58" s="6">
        <f t="shared" si="4"/>
        <v>-5577673.8999999985</v>
      </c>
      <c r="E58" s="6">
        <f t="shared" si="5"/>
        <v>9494612.1000000015</v>
      </c>
      <c r="F58" s="6">
        <f t="shared" si="6"/>
        <v>15072286</v>
      </c>
      <c r="G58" s="6">
        <f t="shared" si="7"/>
        <v>-5577673.8999999985</v>
      </c>
    </row>
    <row r="59" spans="1:7" x14ac:dyDescent="0.2">
      <c r="A59" s="3" t="s">
        <v>57</v>
      </c>
      <c r="B59" s="4"/>
      <c r="C59" s="4"/>
      <c r="D59" s="4"/>
      <c r="E59" s="4"/>
      <c r="F59" s="4"/>
      <c r="G59" s="4"/>
    </row>
    <row r="60" spans="1:7" x14ac:dyDescent="0.2">
      <c r="A60" s="3" t="s">
        <v>58</v>
      </c>
      <c r="B60" s="4"/>
      <c r="C60" s="4"/>
      <c r="D60" s="5">
        <f t="shared" ref="D60:D91" si="8">(B60)-(C60)</f>
        <v>0</v>
      </c>
      <c r="E60" s="5">
        <f t="shared" ref="E60:E91" si="9">B60</f>
        <v>0</v>
      </c>
      <c r="F60" s="5">
        <f t="shared" ref="F60:F91" si="10">C60</f>
        <v>0</v>
      </c>
      <c r="G60" s="5">
        <f t="shared" ref="G60:G91" si="11">(E60)-(F60)</f>
        <v>0</v>
      </c>
    </row>
    <row r="61" spans="1:7" x14ac:dyDescent="0.2">
      <c r="A61" s="3" t="s">
        <v>59</v>
      </c>
      <c r="B61" s="4"/>
      <c r="C61" s="5">
        <f>2100000</f>
        <v>2100000</v>
      </c>
      <c r="D61" s="5">
        <f t="shared" si="8"/>
        <v>-2100000</v>
      </c>
      <c r="E61" s="5">
        <f t="shared" si="9"/>
        <v>0</v>
      </c>
      <c r="F61" s="5">
        <f t="shared" si="10"/>
        <v>2100000</v>
      </c>
      <c r="G61" s="5">
        <f t="shared" si="11"/>
        <v>-2100000</v>
      </c>
    </row>
    <row r="62" spans="1:7" x14ac:dyDescent="0.2">
      <c r="A62" s="3" t="s">
        <v>60</v>
      </c>
      <c r="B62" s="5">
        <f>411740</f>
        <v>411740</v>
      </c>
      <c r="C62" s="4"/>
      <c r="D62" s="5">
        <f t="shared" si="8"/>
        <v>411740</v>
      </c>
      <c r="E62" s="5">
        <f t="shared" si="9"/>
        <v>411740</v>
      </c>
      <c r="F62" s="5">
        <f t="shared" si="10"/>
        <v>0</v>
      </c>
      <c r="G62" s="5">
        <f t="shared" si="11"/>
        <v>411740</v>
      </c>
    </row>
    <row r="63" spans="1:7" x14ac:dyDescent="0.2">
      <c r="A63" s="3" t="s">
        <v>61</v>
      </c>
      <c r="B63" s="5">
        <f>0</f>
        <v>0</v>
      </c>
      <c r="C63" s="5">
        <f>270000</f>
        <v>270000</v>
      </c>
      <c r="D63" s="5">
        <f t="shared" si="8"/>
        <v>-270000</v>
      </c>
      <c r="E63" s="5">
        <f t="shared" si="9"/>
        <v>0</v>
      </c>
      <c r="F63" s="5">
        <f t="shared" si="10"/>
        <v>270000</v>
      </c>
      <c r="G63" s="5">
        <f t="shared" si="11"/>
        <v>-270000</v>
      </c>
    </row>
    <row r="64" spans="1:7" x14ac:dyDescent="0.2">
      <c r="A64" s="3" t="s">
        <v>62</v>
      </c>
      <c r="B64" s="5">
        <f>964438</f>
        <v>964438</v>
      </c>
      <c r="C64" s="4"/>
      <c r="D64" s="5">
        <f t="shared" si="8"/>
        <v>964438</v>
      </c>
      <c r="E64" s="5">
        <f t="shared" si="9"/>
        <v>964438</v>
      </c>
      <c r="F64" s="5">
        <f t="shared" si="10"/>
        <v>0</v>
      </c>
      <c r="G64" s="5">
        <f t="shared" si="11"/>
        <v>964438</v>
      </c>
    </row>
    <row r="65" spans="1:7" x14ac:dyDescent="0.2">
      <c r="A65" s="3" t="s">
        <v>63</v>
      </c>
      <c r="B65" s="5">
        <f>442080</f>
        <v>442080</v>
      </c>
      <c r="C65" s="4"/>
      <c r="D65" s="5">
        <f t="shared" si="8"/>
        <v>442080</v>
      </c>
      <c r="E65" s="5">
        <f t="shared" si="9"/>
        <v>442080</v>
      </c>
      <c r="F65" s="5">
        <f t="shared" si="10"/>
        <v>0</v>
      </c>
      <c r="G65" s="5">
        <f t="shared" si="11"/>
        <v>442080</v>
      </c>
    </row>
    <row r="66" spans="1:7" x14ac:dyDescent="0.2">
      <c r="A66" s="3" t="s">
        <v>64</v>
      </c>
      <c r="B66" s="6">
        <f>((((B61)+(B62))+(B63))+(B64))+(B65)</f>
        <v>1818258</v>
      </c>
      <c r="C66" s="6">
        <f>((((C61)+(C62))+(C63))+(C64))+(C65)</f>
        <v>2370000</v>
      </c>
      <c r="D66" s="6">
        <f t="shared" si="8"/>
        <v>-551742</v>
      </c>
      <c r="E66" s="6">
        <f t="shared" si="9"/>
        <v>1818258</v>
      </c>
      <c r="F66" s="6">
        <f t="shared" si="10"/>
        <v>2370000</v>
      </c>
      <c r="G66" s="6">
        <f t="shared" si="11"/>
        <v>-551742</v>
      </c>
    </row>
    <row r="67" spans="1:7" x14ac:dyDescent="0.2">
      <c r="A67" s="3" t="s">
        <v>65</v>
      </c>
      <c r="B67" s="5">
        <f>617090.25</f>
        <v>617090.25</v>
      </c>
      <c r="C67" s="5">
        <f>175000</f>
        <v>175000</v>
      </c>
      <c r="D67" s="5">
        <f t="shared" si="8"/>
        <v>442090.25</v>
      </c>
      <c r="E67" s="5">
        <f t="shared" si="9"/>
        <v>617090.25</v>
      </c>
      <c r="F67" s="5">
        <f t="shared" si="10"/>
        <v>175000</v>
      </c>
      <c r="G67" s="5">
        <f t="shared" si="11"/>
        <v>442090.25</v>
      </c>
    </row>
    <row r="68" spans="1:7" x14ac:dyDescent="0.2">
      <c r="A68" s="3" t="s">
        <v>66</v>
      </c>
      <c r="B68" s="4"/>
      <c r="C68" s="4"/>
      <c r="D68" s="5">
        <f t="shared" si="8"/>
        <v>0</v>
      </c>
      <c r="E68" s="5">
        <f t="shared" si="9"/>
        <v>0</v>
      </c>
      <c r="F68" s="5">
        <f t="shared" si="10"/>
        <v>0</v>
      </c>
      <c r="G68" s="5">
        <f t="shared" si="11"/>
        <v>0</v>
      </c>
    </row>
    <row r="69" spans="1:7" x14ac:dyDescent="0.2">
      <c r="A69" s="3" t="s">
        <v>67</v>
      </c>
      <c r="B69" s="5">
        <f>279110</f>
        <v>279110</v>
      </c>
      <c r="C69" s="5">
        <f>731131</f>
        <v>731131</v>
      </c>
      <c r="D69" s="5">
        <f t="shared" si="8"/>
        <v>-452021</v>
      </c>
      <c r="E69" s="5">
        <f t="shared" si="9"/>
        <v>279110</v>
      </c>
      <c r="F69" s="5">
        <f t="shared" si="10"/>
        <v>731131</v>
      </c>
      <c r="G69" s="5">
        <f t="shared" si="11"/>
        <v>-452021</v>
      </c>
    </row>
    <row r="70" spans="1:7" x14ac:dyDescent="0.2">
      <c r="A70" s="3" t="s">
        <v>68</v>
      </c>
      <c r="B70" s="6">
        <f>(B68)+(B69)</f>
        <v>279110</v>
      </c>
      <c r="C70" s="6">
        <f>(C68)+(C69)</f>
        <v>731131</v>
      </c>
      <c r="D70" s="6">
        <f t="shared" si="8"/>
        <v>-452021</v>
      </c>
      <c r="E70" s="6">
        <f t="shared" si="9"/>
        <v>279110</v>
      </c>
      <c r="F70" s="6">
        <f t="shared" si="10"/>
        <v>731131</v>
      </c>
      <c r="G70" s="6">
        <f t="shared" si="11"/>
        <v>-452021</v>
      </c>
    </row>
    <row r="71" spans="1:7" x14ac:dyDescent="0.2">
      <c r="A71" s="3" t="s">
        <v>69</v>
      </c>
      <c r="B71" s="6">
        <f>(((B60)+(B66))+(B67))+(B70)</f>
        <v>2714458.25</v>
      </c>
      <c r="C71" s="6">
        <f>(((C60)+(C66))+(C67))+(C70)</f>
        <v>3276131</v>
      </c>
      <c r="D71" s="6">
        <f t="shared" si="8"/>
        <v>-561672.75</v>
      </c>
      <c r="E71" s="6">
        <f t="shared" si="9"/>
        <v>2714458.25</v>
      </c>
      <c r="F71" s="6">
        <f t="shared" si="10"/>
        <v>3276131</v>
      </c>
      <c r="G71" s="6">
        <f t="shared" si="11"/>
        <v>-561672.75</v>
      </c>
    </row>
    <row r="72" spans="1:7" x14ac:dyDescent="0.2">
      <c r="A72" s="3" t="s">
        <v>70</v>
      </c>
      <c r="B72" s="4"/>
      <c r="C72" s="4"/>
      <c r="D72" s="5">
        <f t="shared" si="8"/>
        <v>0</v>
      </c>
      <c r="E72" s="5">
        <f t="shared" si="9"/>
        <v>0</v>
      </c>
      <c r="F72" s="5">
        <f t="shared" si="10"/>
        <v>0</v>
      </c>
      <c r="G72" s="5">
        <f t="shared" si="11"/>
        <v>0</v>
      </c>
    </row>
    <row r="73" spans="1:7" x14ac:dyDescent="0.2">
      <c r="A73" s="3" t="s">
        <v>71</v>
      </c>
      <c r="B73" s="5">
        <f>323800</f>
        <v>323800</v>
      </c>
      <c r="C73" s="5">
        <f>311000</f>
        <v>311000</v>
      </c>
      <c r="D73" s="5">
        <f t="shared" si="8"/>
        <v>12800</v>
      </c>
      <c r="E73" s="5">
        <f t="shared" si="9"/>
        <v>323800</v>
      </c>
      <c r="F73" s="5">
        <f t="shared" si="10"/>
        <v>311000</v>
      </c>
      <c r="G73" s="5">
        <f t="shared" si="11"/>
        <v>12800</v>
      </c>
    </row>
    <row r="74" spans="1:7" x14ac:dyDescent="0.2">
      <c r="A74" s="3" t="s">
        <v>72</v>
      </c>
      <c r="B74" s="5">
        <f>2680</f>
        <v>2680</v>
      </c>
      <c r="C74" s="5">
        <f>3000</f>
        <v>3000</v>
      </c>
      <c r="D74" s="5">
        <f t="shared" si="8"/>
        <v>-320</v>
      </c>
      <c r="E74" s="5">
        <f t="shared" si="9"/>
        <v>2680</v>
      </c>
      <c r="F74" s="5">
        <f t="shared" si="10"/>
        <v>3000</v>
      </c>
      <c r="G74" s="5">
        <f t="shared" si="11"/>
        <v>-320</v>
      </c>
    </row>
    <row r="75" spans="1:7" x14ac:dyDescent="0.2">
      <c r="A75" s="3" t="s">
        <v>73</v>
      </c>
      <c r="B75" s="6">
        <f>((B72)+(B73))+(B74)</f>
        <v>326480</v>
      </c>
      <c r="C75" s="6">
        <f>((C72)+(C73))+(C74)</f>
        <v>314000</v>
      </c>
      <c r="D75" s="6">
        <f t="shared" si="8"/>
        <v>12480</v>
      </c>
      <c r="E75" s="6">
        <f t="shared" si="9"/>
        <v>326480</v>
      </c>
      <c r="F75" s="6">
        <f t="shared" si="10"/>
        <v>314000</v>
      </c>
      <c r="G75" s="6">
        <f t="shared" si="11"/>
        <v>12480</v>
      </c>
    </row>
    <row r="76" spans="1:7" x14ac:dyDescent="0.2">
      <c r="A76" s="3" t="s">
        <v>74</v>
      </c>
      <c r="B76" s="4"/>
      <c r="C76" s="4"/>
      <c r="D76" s="5">
        <f t="shared" si="8"/>
        <v>0</v>
      </c>
      <c r="E76" s="5">
        <f t="shared" si="9"/>
        <v>0</v>
      </c>
      <c r="F76" s="5">
        <f t="shared" si="10"/>
        <v>0</v>
      </c>
      <c r="G76" s="5">
        <f t="shared" si="11"/>
        <v>0</v>
      </c>
    </row>
    <row r="77" spans="1:7" x14ac:dyDescent="0.2">
      <c r="A77" s="3" t="s">
        <v>75</v>
      </c>
      <c r="B77" s="5">
        <f>165566</f>
        <v>165566</v>
      </c>
      <c r="C77" s="5">
        <f>254258</f>
        <v>254258</v>
      </c>
      <c r="D77" s="5">
        <f t="shared" si="8"/>
        <v>-88692</v>
      </c>
      <c r="E77" s="5">
        <f t="shared" si="9"/>
        <v>165566</v>
      </c>
      <c r="F77" s="5">
        <f t="shared" si="10"/>
        <v>254258</v>
      </c>
      <c r="G77" s="5">
        <f t="shared" si="11"/>
        <v>-88692</v>
      </c>
    </row>
    <row r="78" spans="1:7" x14ac:dyDescent="0.2">
      <c r="A78" s="3" t="s">
        <v>76</v>
      </c>
      <c r="B78" s="5">
        <f>64645</f>
        <v>64645</v>
      </c>
      <c r="C78" s="4"/>
      <c r="D78" s="5">
        <f t="shared" si="8"/>
        <v>64645</v>
      </c>
      <c r="E78" s="5">
        <f t="shared" si="9"/>
        <v>64645</v>
      </c>
      <c r="F78" s="5">
        <f t="shared" si="10"/>
        <v>0</v>
      </c>
      <c r="G78" s="5">
        <f t="shared" si="11"/>
        <v>64645</v>
      </c>
    </row>
    <row r="79" spans="1:7" x14ac:dyDescent="0.2">
      <c r="A79" s="3" t="s">
        <v>77</v>
      </c>
      <c r="B79" s="5">
        <f>2000</f>
        <v>2000</v>
      </c>
      <c r="C79" s="5">
        <f>28251</f>
        <v>28251</v>
      </c>
      <c r="D79" s="5">
        <f t="shared" si="8"/>
        <v>-26251</v>
      </c>
      <c r="E79" s="5">
        <f t="shared" si="9"/>
        <v>2000</v>
      </c>
      <c r="F79" s="5">
        <f t="shared" si="10"/>
        <v>28251</v>
      </c>
      <c r="G79" s="5">
        <f t="shared" si="11"/>
        <v>-26251</v>
      </c>
    </row>
    <row r="80" spans="1:7" x14ac:dyDescent="0.2">
      <c r="A80" s="3" t="s">
        <v>78</v>
      </c>
      <c r="B80" s="6">
        <f>(((B76)+(B77))+(B78))+(B79)</f>
        <v>232211</v>
      </c>
      <c r="C80" s="6">
        <f>(((C76)+(C77))+(C78))+(C79)</f>
        <v>282509</v>
      </c>
      <c r="D80" s="6">
        <f t="shared" si="8"/>
        <v>-50298</v>
      </c>
      <c r="E80" s="6">
        <f t="shared" si="9"/>
        <v>232211</v>
      </c>
      <c r="F80" s="6">
        <f t="shared" si="10"/>
        <v>282509</v>
      </c>
      <c r="G80" s="6">
        <f t="shared" si="11"/>
        <v>-50298</v>
      </c>
    </row>
    <row r="81" spans="1:7" x14ac:dyDescent="0.2">
      <c r="A81" s="3" t="s">
        <v>79</v>
      </c>
      <c r="B81" s="4"/>
      <c r="C81" s="4"/>
      <c r="D81" s="5">
        <f t="shared" si="8"/>
        <v>0</v>
      </c>
      <c r="E81" s="5">
        <f t="shared" si="9"/>
        <v>0</v>
      </c>
      <c r="F81" s="5">
        <f t="shared" si="10"/>
        <v>0</v>
      </c>
      <c r="G81" s="5">
        <f t="shared" si="11"/>
        <v>0</v>
      </c>
    </row>
    <row r="82" spans="1:7" x14ac:dyDescent="0.2">
      <c r="A82" s="3" t="s">
        <v>80</v>
      </c>
      <c r="B82" s="5">
        <f>32000</f>
        <v>32000</v>
      </c>
      <c r="C82" s="5">
        <f>65000</f>
        <v>65000</v>
      </c>
      <c r="D82" s="5">
        <f t="shared" si="8"/>
        <v>-33000</v>
      </c>
      <c r="E82" s="5">
        <f t="shared" si="9"/>
        <v>32000</v>
      </c>
      <c r="F82" s="5">
        <f t="shared" si="10"/>
        <v>65000</v>
      </c>
      <c r="G82" s="5">
        <f t="shared" si="11"/>
        <v>-33000</v>
      </c>
    </row>
    <row r="83" spans="1:7" x14ac:dyDescent="0.2">
      <c r="A83" s="3" t="s">
        <v>81</v>
      </c>
      <c r="B83" s="5">
        <f>120000</f>
        <v>120000</v>
      </c>
      <c r="C83" s="4"/>
      <c r="D83" s="5">
        <f t="shared" si="8"/>
        <v>120000</v>
      </c>
      <c r="E83" s="5">
        <f t="shared" si="9"/>
        <v>120000</v>
      </c>
      <c r="F83" s="5">
        <f t="shared" si="10"/>
        <v>0</v>
      </c>
      <c r="G83" s="5">
        <f t="shared" si="11"/>
        <v>120000</v>
      </c>
    </row>
    <row r="84" spans="1:7" x14ac:dyDescent="0.2">
      <c r="A84" s="3" t="s">
        <v>82</v>
      </c>
      <c r="B84" s="5">
        <f>671600</f>
        <v>671600</v>
      </c>
      <c r="C84" s="5">
        <f>600000</f>
        <v>600000</v>
      </c>
      <c r="D84" s="5">
        <f t="shared" si="8"/>
        <v>71600</v>
      </c>
      <c r="E84" s="5">
        <f t="shared" si="9"/>
        <v>671600</v>
      </c>
      <c r="F84" s="5">
        <f t="shared" si="10"/>
        <v>600000</v>
      </c>
      <c r="G84" s="5">
        <f t="shared" si="11"/>
        <v>71600</v>
      </c>
    </row>
    <row r="85" spans="1:7" x14ac:dyDescent="0.2">
      <c r="A85" s="3" t="s">
        <v>83</v>
      </c>
      <c r="B85" s="5">
        <f>191629</f>
        <v>191629</v>
      </c>
      <c r="C85" s="5">
        <f>350000</f>
        <v>350000</v>
      </c>
      <c r="D85" s="5">
        <f t="shared" si="8"/>
        <v>-158371</v>
      </c>
      <c r="E85" s="5">
        <f t="shared" si="9"/>
        <v>191629</v>
      </c>
      <c r="F85" s="5">
        <f t="shared" si="10"/>
        <v>350000</v>
      </c>
      <c r="G85" s="5">
        <f t="shared" si="11"/>
        <v>-158371</v>
      </c>
    </row>
    <row r="86" spans="1:7" x14ac:dyDescent="0.2">
      <c r="A86" s="3" t="s">
        <v>84</v>
      </c>
      <c r="B86" s="6">
        <f>((((B81)+(B82))+(B83))+(B84))+(B85)</f>
        <v>1015229</v>
      </c>
      <c r="C86" s="6">
        <f>((((C81)+(C82))+(C83))+(C84))+(C85)</f>
        <v>1015000</v>
      </c>
      <c r="D86" s="6">
        <f t="shared" si="8"/>
        <v>229</v>
      </c>
      <c r="E86" s="6">
        <f t="shared" si="9"/>
        <v>1015229</v>
      </c>
      <c r="F86" s="6">
        <f t="shared" si="10"/>
        <v>1015000</v>
      </c>
      <c r="G86" s="6">
        <f t="shared" si="11"/>
        <v>229</v>
      </c>
    </row>
    <row r="87" spans="1:7" x14ac:dyDescent="0.2">
      <c r="A87" s="3" t="s">
        <v>85</v>
      </c>
      <c r="B87" s="4"/>
      <c r="C87" s="4"/>
      <c r="D87" s="5">
        <f t="shared" si="8"/>
        <v>0</v>
      </c>
      <c r="E87" s="5">
        <f t="shared" si="9"/>
        <v>0</v>
      </c>
      <c r="F87" s="5">
        <f t="shared" si="10"/>
        <v>0</v>
      </c>
      <c r="G87" s="5">
        <f t="shared" si="11"/>
        <v>0</v>
      </c>
    </row>
    <row r="88" spans="1:7" x14ac:dyDescent="0.2">
      <c r="A88" s="3" t="s">
        <v>86</v>
      </c>
      <c r="B88" s="5">
        <f>24905</f>
        <v>24905</v>
      </c>
      <c r="C88" s="5">
        <f>27000</f>
        <v>27000</v>
      </c>
      <c r="D88" s="5">
        <f t="shared" si="8"/>
        <v>-2095</v>
      </c>
      <c r="E88" s="5">
        <f t="shared" si="9"/>
        <v>24905</v>
      </c>
      <c r="F88" s="5">
        <f t="shared" si="10"/>
        <v>27000</v>
      </c>
      <c r="G88" s="5">
        <f t="shared" si="11"/>
        <v>-2095</v>
      </c>
    </row>
    <row r="89" spans="1:7" x14ac:dyDescent="0.2">
      <c r="A89" s="3" t="s">
        <v>87</v>
      </c>
      <c r="B89" s="5">
        <f>104173</f>
        <v>104173</v>
      </c>
      <c r="C89" s="5">
        <f>48000</f>
        <v>48000</v>
      </c>
      <c r="D89" s="5">
        <f t="shared" si="8"/>
        <v>56173</v>
      </c>
      <c r="E89" s="5">
        <f t="shared" si="9"/>
        <v>104173</v>
      </c>
      <c r="F89" s="5">
        <f t="shared" si="10"/>
        <v>48000</v>
      </c>
      <c r="G89" s="5">
        <f t="shared" si="11"/>
        <v>56173</v>
      </c>
    </row>
    <row r="90" spans="1:7" x14ac:dyDescent="0.2">
      <c r="A90" s="3" t="s">
        <v>88</v>
      </c>
      <c r="B90" s="5">
        <f>1460</f>
        <v>1460</v>
      </c>
      <c r="C90" s="5">
        <f>2000</f>
        <v>2000</v>
      </c>
      <c r="D90" s="5">
        <f t="shared" si="8"/>
        <v>-540</v>
      </c>
      <c r="E90" s="5">
        <f t="shared" si="9"/>
        <v>1460</v>
      </c>
      <c r="F90" s="5">
        <f t="shared" si="10"/>
        <v>2000</v>
      </c>
      <c r="G90" s="5">
        <f t="shared" si="11"/>
        <v>-540</v>
      </c>
    </row>
    <row r="91" spans="1:7" x14ac:dyDescent="0.2">
      <c r="A91" s="3" t="s">
        <v>89</v>
      </c>
      <c r="B91" s="5">
        <f>6420</f>
        <v>6420</v>
      </c>
      <c r="C91" s="5">
        <f>4300</f>
        <v>4300</v>
      </c>
      <c r="D91" s="5">
        <f t="shared" si="8"/>
        <v>2120</v>
      </c>
      <c r="E91" s="5">
        <f t="shared" si="9"/>
        <v>6420</v>
      </c>
      <c r="F91" s="5">
        <f t="shared" si="10"/>
        <v>4300</v>
      </c>
      <c r="G91" s="5">
        <f t="shared" si="11"/>
        <v>2120</v>
      </c>
    </row>
    <row r="92" spans="1:7" x14ac:dyDescent="0.2">
      <c r="A92" s="3" t="s">
        <v>90</v>
      </c>
      <c r="B92" s="6">
        <f>((((B87)+(B88))+(B89))+(B90))+(B91)</f>
        <v>136958</v>
      </c>
      <c r="C92" s="6">
        <f>((((C87)+(C88))+(C89))+(C90))+(C91)</f>
        <v>81300</v>
      </c>
      <c r="D92" s="6">
        <f t="shared" ref="D92:D123" si="12">(B92)-(C92)</f>
        <v>55658</v>
      </c>
      <c r="E92" s="6">
        <f t="shared" ref="E92:E117" si="13">B92</f>
        <v>136958</v>
      </c>
      <c r="F92" s="6">
        <f t="shared" ref="F92:F117" si="14">C92</f>
        <v>81300</v>
      </c>
      <c r="G92" s="6">
        <f t="shared" ref="G92:G123" si="15">(E92)-(F92)</f>
        <v>55658</v>
      </c>
    </row>
    <row r="93" spans="1:7" x14ac:dyDescent="0.2">
      <c r="A93" s="3" t="s">
        <v>91</v>
      </c>
      <c r="B93" s="4"/>
      <c r="C93" s="4"/>
      <c r="D93" s="5">
        <f t="shared" si="12"/>
        <v>0</v>
      </c>
      <c r="E93" s="5">
        <f t="shared" si="13"/>
        <v>0</v>
      </c>
      <c r="F93" s="5">
        <f t="shared" si="14"/>
        <v>0</v>
      </c>
      <c r="G93" s="5">
        <f t="shared" si="15"/>
        <v>0</v>
      </c>
    </row>
    <row r="94" spans="1:7" x14ac:dyDescent="0.2">
      <c r="A94" s="3" t="s">
        <v>92</v>
      </c>
      <c r="B94" s="5">
        <f>5600</f>
        <v>5600</v>
      </c>
      <c r="C94" s="5">
        <f>59316.19</f>
        <v>59316.19</v>
      </c>
      <c r="D94" s="5">
        <f t="shared" si="12"/>
        <v>-53716.19</v>
      </c>
      <c r="E94" s="5">
        <f t="shared" si="13"/>
        <v>5600</v>
      </c>
      <c r="F94" s="5">
        <f t="shared" si="14"/>
        <v>59316.19</v>
      </c>
      <c r="G94" s="5">
        <f t="shared" si="15"/>
        <v>-53716.19</v>
      </c>
    </row>
    <row r="95" spans="1:7" x14ac:dyDescent="0.2">
      <c r="A95" s="3" t="s">
        <v>93</v>
      </c>
      <c r="B95" s="5">
        <f>2200</f>
        <v>2200</v>
      </c>
      <c r="C95" s="5">
        <f>5000</f>
        <v>5000</v>
      </c>
      <c r="D95" s="5">
        <f t="shared" si="12"/>
        <v>-2800</v>
      </c>
      <c r="E95" s="5">
        <f t="shared" si="13"/>
        <v>2200</v>
      </c>
      <c r="F95" s="5">
        <f t="shared" si="14"/>
        <v>5000</v>
      </c>
      <c r="G95" s="5">
        <f t="shared" si="15"/>
        <v>-2800</v>
      </c>
    </row>
    <row r="96" spans="1:7" x14ac:dyDescent="0.2">
      <c r="A96" s="3" t="s">
        <v>94</v>
      </c>
      <c r="B96" s="5">
        <f>41446</f>
        <v>41446</v>
      </c>
      <c r="C96" s="5">
        <f>39544.13</f>
        <v>39544.129999999997</v>
      </c>
      <c r="D96" s="5">
        <f t="shared" si="12"/>
        <v>1901.8700000000026</v>
      </c>
      <c r="E96" s="5">
        <f t="shared" si="13"/>
        <v>41446</v>
      </c>
      <c r="F96" s="5">
        <f t="shared" si="14"/>
        <v>39544.129999999997</v>
      </c>
      <c r="G96" s="5">
        <f t="shared" si="15"/>
        <v>1901.8700000000026</v>
      </c>
    </row>
    <row r="97" spans="1:7" x14ac:dyDescent="0.2">
      <c r="A97" s="3" t="s">
        <v>95</v>
      </c>
      <c r="B97" s="6">
        <f>(((B93)+(B94))+(B95))+(B96)</f>
        <v>49246</v>
      </c>
      <c r="C97" s="6">
        <f>(((C93)+(C94))+(C95))+(C96)</f>
        <v>103860.32</v>
      </c>
      <c r="D97" s="6">
        <f t="shared" si="12"/>
        <v>-54614.320000000007</v>
      </c>
      <c r="E97" s="6">
        <f t="shared" si="13"/>
        <v>49246</v>
      </c>
      <c r="F97" s="6">
        <f t="shared" si="14"/>
        <v>103860.32</v>
      </c>
      <c r="G97" s="6">
        <f t="shared" si="15"/>
        <v>-54614.320000000007</v>
      </c>
    </row>
    <row r="98" spans="1:7" x14ac:dyDescent="0.2">
      <c r="A98" s="3" t="s">
        <v>96</v>
      </c>
      <c r="B98" s="4"/>
      <c r="C98" s="4"/>
      <c r="D98" s="5">
        <f t="shared" si="12"/>
        <v>0</v>
      </c>
      <c r="E98" s="5">
        <f t="shared" si="13"/>
        <v>0</v>
      </c>
      <c r="F98" s="5">
        <f t="shared" si="14"/>
        <v>0</v>
      </c>
      <c r="G98" s="5">
        <f t="shared" si="15"/>
        <v>0</v>
      </c>
    </row>
    <row r="99" spans="1:7" x14ac:dyDescent="0.2">
      <c r="A99" s="3" t="s">
        <v>97</v>
      </c>
      <c r="B99" s="5">
        <f>351259</f>
        <v>351259</v>
      </c>
      <c r="C99" s="5">
        <f>350000</f>
        <v>350000</v>
      </c>
      <c r="D99" s="5">
        <f t="shared" si="12"/>
        <v>1259</v>
      </c>
      <c r="E99" s="5">
        <f t="shared" si="13"/>
        <v>351259</v>
      </c>
      <c r="F99" s="5">
        <f t="shared" si="14"/>
        <v>350000</v>
      </c>
      <c r="G99" s="5">
        <f t="shared" si="15"/>
        <v>1259</v>
      </c>
    </row>
    <row r="100" spans="1:7" x14ac:dyDescent="0.2">
      <c r="A100" s="3" t="s">
        <v>98</v>
      </c>
      <c r="B100" s="4"/>
      <c r="C100" s="5">
        <f>20000</f>
        <v>20000</v>
      </c>
      <c r="D100" s="5">
        <f t="shared" si="12"/>
        <v>-20000</v>
      </c>
      <c r="E100" s="5">
        <f t="shared" si="13"/>
        <v>0</v>
      </c>
      <c r="F100" s="5">
        <f t="shared" si="14"/>
        <v>20000</v>
      </c>
      <c r="G100" s="5">
        <f t="shared" si="15"/>
        <v>-20000</v>
      </c>
    </row>
    <row r="101" spans="1:7" x14ac:dyDescent="0.2">
      <c r="A101" s="3" t="s">
        <v>99</v>
      </c>
      <c r="B101" s="6">
        <f>((B98)+(B99))+(B100)</f>
        <v>351259</v>
      </c>
      <c r="C101" s="6">
        <f>((C98)+(C99))+(C100)</f>
        <v>370000</v>
      </c>
      <c r="D101" s="6">
        <f t="shared" si="12"/>
        <v>-18741</v>
      </c>
      <c r="E101" s="6">
        <f t="shared" si="13"/>
        <v>351259</v>
      </c>
      <c r="F101" s="6">
        <f t="shared" si="14"/>
        <v>370000</v>
      </c>
      <c r="G101" s="6">
        <f t="shared" si="15"/>
        <v>-18741</v>
      </c>
    </row>
    <row r="102" spans="1:7" x14ac:dyDescent="0.2">
      <c r="A102" s="3" t="s">
        <v>100</v>
      </c>
      <c r="B102" s="4"/>
      <c r="C102" s="4"/>
      <c r="D102" s="5">
        <f t="shared" si="12"/>
        <v>0</v>
      </c>
      <c r="E102" s="5">
        <f t="shared" si="13"/>
        <v>0</v>
      </c>
      <c r="F102" s="5">
        <f t="shared" si="14"/>
        <v>0</v>
      </c>
      <c r="G102" s="5">
        <f t="shared" si="15"/>
        <v>0</v>
      </c>
    </row>
    <row r="103" spans="1:7" x14ac:dyDescent="0.2">
      <c r="A103" s="3" t="s">
        <v>101</v>
      </c>
      <c r="B103" s="5">
        <f>36675</f>
        <v>36675</v>
      </c>
      <c r="C103" s="5">
        <f>30000</f>
        <v>30000</v>
      </c>
      <c r="D103" s="5">
        <f t="shared" si="12"/>
        <v>6675</v>
      </c>
      <c r="E103" s="5">
        <f t="shared" si="13"/>
        <v>36675</v>
      </c>
      <c r="F103" s="5">
        <f t="shared" si="14"/>
        <v>30000</v>
      </c>
      <c r="G103" s="5">
        <f t="shared" si="15"/>
        <v>6675</v>
      </c>
    </row>
    <row r="104" spans="1:7" x14ac:dyDescent="0.2">
      <c r="A104" s="3" t="s">
        <v>102</v>
      </c>
      <c r="B104" s="4"/>
      <c r="C104" s="5">
        <f>0</f>
        <v>0</v>
      </c>
      <c r="D104" s="5">
        <f t="shared" si="12"/>
        <v>0</v>
      </c>
      <c r="E104" s="5">
        <f t="shared" si="13"/>
        <v>0</v>
      </c>
      <c r="F104" s="5">
        <f t="shared" si="14"/>
        <v>0</v>
      </c>
      <c r="G104" s="5">
        <f t="shared" si="15"/>
        <v>0</v>
      </c>
    </row>
    <row r="105" spans="1:7" x14ac:dyDescent="0.2">
      <c r="A105" s="3" t="s">
        <v>103</v>
      </c>
      <c r="B105" s="5">
        <f>9180</f>
        <v>9180</v>
      </c>
      <c r="C105" s="5">
        <f>30000</f>
        <v>30000</v>
      </c>
      <c r="D105" s="5">
        <f t="shared" si="12"/>
        <v>-20820</v>
      </c>
      <c r="E105" s="5">
        <f t="shared" si="13"/>
        <v>9180</v>
      </c>
      <c r="F105" s="5">
        <f t="shared" si="14"/>
        <v>30000</v>
      </c>
      <c r="G105" s="5">
        <f t="shared" si="15"/>
        <v>-20820</v>
      </c>
    </row>
    <row r="106" spans="1:7" x14ac:dyDescent="0.2">
      <c r="A106" s="3" t="s">
        <v>104</v>
      </c>
      <c r="B106" s="6">
        <f>(((B102)+(B103))+(B104))+(B105)</f>
        <v>45855</v>
      </c>
      <c r="C106" s="6">
        <f>(((C102)+(C103))+(C104))+(C105)</f>
        <v>60000</v>
      </c>
      <c r="D106" s="6">
        <f t="shared" si="12"/>
        <v>-14145</v>
      </c>
      <c r="E106" s="6">
        <f t="shared" si="13"/>
        <v>45855</v>
      </c>
      <c r="F106" s="6">
        <f t="shared" si="14"/>
        <v>60000</v>
      </c>
      <c r="G106" s="6">
        <f t="shared" si="15"/>
        <v>-14145</v>
      </c>
    </row>
    <row r="107" spans="1:7" x14ac:dyDescent="0.2">
      <c r="A107" s="3" t="s">
        <v>105</v>
      </c>
      <c r="B107" s="4"/>
      <c r="C107" s="4"/>
      <c r="D107" s="5">
        <f t="shared" si="12"/>
        <v>0</v>
      </c>
      <c r="E107" s="5">
        <f t="shared" si="13"/>
        <v>0</v>
      </c>
      <c r="F107" s="5">
        <f t="shared" si="14"/>
        <v>0</v>
      </c>
      <c r="G107" s="5">
        <f t="shared" si="15"/>
        <v>0</v>
      </c>
    </row>
    <row r="108" spans="1:7" x14ac:dyDescent="0.2">
      <c r="A108" s="3" t="s">
        <v>106</v>
      </c>
      <c r="B108" s="5">
        <f>140000</f>
        <v>140000</v>
      </c>
      <c r="C108" s="5">
        <f>150000</f>
        <v>150000</v>
      </c>
      <c r="D108" s="5">
        <f t="shared" si="12"/>
        <v>-10000</v>
      </c>
      <c r="E108" s="5">
        <f t="shared" si="13"/>
        <v>140000</v>
      </c>
      <c r="F108" s="5">
        <f t="shared" si="14"/>
        <v>150000</v>
      </c>
      <c r="G108" s="5">
        <f t="shared" si="15"/>
        <v>-10000</v>
      </c>
    </row>
    <row r="109" spans="1:7" x14ac:dyDescent="0.2">
      <c r="A109" s="3" t="s">
        <v>107</v>
      </c>
      <c r="B109" s="5">
        <f>167720</f>
        <v>167720</v>
      </c>
      <c r="C109" s="5">
        <f>150000</f>
        <v>150000</v>
      </c>
      <c r="D109" s="5">
        <f t="shared" si="12"/>
        <v>17720</v>
      </c>
      <c r="E109" s="5">
        <f t="shared" si="13"/>
        <v>167720</v>
      </c>
      <c r="F109" s="5">
        <f t="shared" si="14"/>
        <v>150000</v>
      </c>
      <c r="G109" s="5">
        <f t="shared" si="15"/>
        <v>17720</v>
      </c>
    </row>
    <row r="110" spans="1:7" x14ac:dyDescent="0.2">
      <c r="A110" s="3" t="s">
        <v>108</v>
      </c>
      <c r="B110" s="4"/>
      <c r="C110" s="5">
        <f>80000</f>
        <v>80000</v>
      </c>
      <c r="D110" s="5">
        <f t="shared" si="12"/>
        <v>-80000</v>
      </c>
      <c r="E110" s="5">
        <f t="shared" si="13"/>
        <v>0</v>
      </c>
      <c r="F110" s="5">
        <f t="shared" si="14"/>
        <v>80000</v>
      </c>
      <c r="G110" s="5">
        <f t="shared" si="15"/>
        <v>-80000</v>
      </c>
    </row>
    <row r="111" spans="1:7" x14ac:dyDescent="0.2">
      <c r="A111" s="3" t="s">
        <v>109</v>
      </c>
      <c r="B111" s="6">
        <f>(((B107)+(B108))+(B109))+(B110)</f>
        <v>307720</v>
      </c>
      <c r="C111" s="6">
        <f>(((C107)+(C108))+(C109))+(C110)</f>
        <v>380000</v>
      </c>
      <c r="D111" s="6">
        <f t="shared" si="12"/>
        <v>-72280</v>
      </c>
      <c r="E111" s="6">
        <f t="shared" si="13"/>
        <v>307720</v>
      </c>
      <c r="F111" s="6">
        <f t="shared" si="14"/>
        <v>380000</v>
      </c>
      <c r="G111" s="6">
        <f t="shared" si="15"/>
        <v>-72280</v>
      </c>
    </row>
    <row r="112" spans="1:7" x14ac:dyDescent="0.2">
      <c r="A112" s="3" t="s">
        <v>110</v>
      </c>
      <c r="B112" s="4"/>
      <c r="C112" s="4"/>
      <c r="D112" s="5">
        <f t="shared" si="12"/>
        <v>0</v>
      </c>
      <c r="E112" s="5">
        <f t="shared" si="13"/>
        <v>0</v>
      </c>
      <c r="F112" s="5">
        <f t="shared" si="14"/>
        <v>0</v>
      </c>
      <c r="G112" s="5">
        <f t="shared" si="15"/>
        <v>0</v>
      </c>
    </row>
    <row r="113" spans="1:7" x14ac:dyDescent="0.2">
      <c r="A113" s="3" t="s">
        <v>111</v>
      </c>
      <c r="B113" s="5">
        <f>65508</f>
        <v>65508</v>
      </c>
      <c r="C113" s="5">
        <f>20000</f>
        <v>20000</v>
      </c>
      <c r="D113" s="5">
        <f t="shared" si="12"/>
        <v>45508</v>
      </c>
      <c r="E113" s="5">
        <f t="shared" si="13"/>
        <v>65508</v>
      </c>
      <c r="F113" s="5">
        <f t="shared" si="14"/>
        <v>20000</v>
      </c>
      <c r="G113" s="5">
        <f t="shared" si="15"/>
        <v>45508</v>
      </c>
    </row>
    <row r="114" spans="1:7" x14ac:dyDescent="0.2">
      <c r="A114" s="3" t="s">
        <v>112</v>
      </c>
      <c r="B114" s="5">
        <f>24080</f>
        <v>24080</v>
      </c>
      <c r="C114" s="5">
        <f>20000</f>
        <v>20000</v>
      </c>
      <c r="D114" s="5">
        <f t="shared" si="12"/>
        <v>4080</v>
      </c>
      <c r="E114" s="5">
        <f t="shared" si="13"/>
        <v>24080</v>
      </c>
      <c r="F114" s="5">
        <f t="shared" si="14"/>
        <v>20000</v>
      </c>
      <c r="G114" s="5">
        <f t="shared" si="15"/>
        <v>4080</v>
      </c>
    </row>
    <row r="115" spans="1:7" x14ac:dyDescent="0.2">
      <c r="A115" s="3" t="s">
        <v>113</v>
      </c>
      <c r="B115" s="6">
        <f>((B112)+(B113))+(B114)</f>
        <v>89588</v>
      </c>
      <c r="C115" s="6">
        <f>((C112)+(C113))+(C114)</f>
        <v>40000</v>
      </c>
      <c r="D115" s="6">
        <f t="shared" si="12"/>
        <v>49588</v>
      </c>
      <c r="E115" s="6">
        <f t="shared" si="13"/>
        <v>89588</v>
      </c>
      <c r="F115" s="6">
        <f t="shared" si="14"/>
        <v>40000</v>
      </c>
      <c r="G115" s="6">
        <f t="shared" si="15"/>
        <v>49588</v>
      </c>
    </row>
    <row r="116" spans="1:7" x14ac:dyDescent="0.2">
      <c r="A116" s="3" t="s">
        <v>114</v>
      </c>
      <c r="B116" s="6">
        <f>(((((((((B71)+(B75))+(B80))+(B86))+(B92))+(B97))+(B101))+(B106))+(B111))+(B115)</f>
        <v>5269004.25</v>
      </c>
      <c r="C116" s="6">
        <f>(((((((((C71)+(C75))+(C80))+(C86))+(C92))+(C97))+(C101))+(C106))+(C111))+(C115)</f>
        <v>5922800.3200000003</v>
      </c>
      <c r="D116" s="6">
        <f t="shared" si="12"/>
        <v>-653796.0700000003</v>
      </c>
      <c r="E116" s="6">
        <f t="shared" si="13"/>
        <v>5269004.25</v>
      </c>
      <c r="F116" s="6">
        <f t="shared" si="14"/>
        <v>5922800.3200000003</v>
      </c>
      <c r="G116" s="6">
        <f t="shared" si="15"/>
        <v>-653796.0700000003</v>
      </c>
    </row>
    <row r="117" spans="1:7" x14ac:dyDescent="0.2">
      <c r="A117" s="3" t="s">
        <v>115</v>
      </c>
      <c r="B117" s="6">
        <f>(B58)-(B116)</f>
        <v>4225607.8500000015</v>
      </c>
      <c r="C117" s="6">
        <f>(C58)-(C116)</f>
        <v>9149485.6799999997</v>
      </c>
      <c r="D117" s="6">
        <f t="shared" si="12"/>
        <v>-4923877.8299999982</v>
      </c>
      <c r="E117" s="6">
        <f t="shared" si="13"/>
        <v>4225607.8500000015</v>
      </c>
      <c r="F117" s="6">
        <f t="shared" si="14"/>
        <v>9149485.6799999997</v>
      </c>
      <c r="G117" s="6">
        <f t="shared" si="15"/>
        <v>-4923877.8299999982</v>
      </c>
    </row>
    <row r="118" spans="1:7" x14ac:dyDescent="0.2">
      <c r="A118" s="3" t="s">
        <v>116</v>
      </c>
      <c r="B118" s="4"/>
      <c r="C118" s="4"/>
      <c r="D118" s="4"/>
      <c r="E118" s="4"/>
      <c r="F118" s="4"/>
      <c r="G118" s="4"/>
    </row>
    <row r="119" spans="1:7" x14ac:dyDescent="0.2">
      <c r="A119" s="3" t="s">
        <v>117</v>
      </c>
      <c r="B119" s="4"/>
      <c r="C119" s="4"/>
      <c r="D119" s="5">
        <f>(B119)-(C119)</f>
        <v>0</v>
      </c>
      <c r="E119" s="5">
        <f t="shared" ref="E119:F123" si="16">B119</f>
        <v>0</v>
      </c>
      <c r="F119" s="5">
        <f t="shared" si="16"/>
        <v>0</v>
      </c>
      <c r="G119" s="5">
        <f>(E119)-(F119)</f>
        <v>0</v>
      </c>
    </row>
    <row r="120" spans="1:7" x14ac:dyDescent="0.2">
      <c r="A120" s="3" t="s">
        <v>118</v>
      </c>
      <c r="B120" s="5">
        <f>6806986</f>
        <v>6806986</v>
      </c>
      <c r="C120" s="5">
        <f>5810000</f>
        <v>5810000</v>
      </c>
      <c r="D120" s="5">
        <f>(B120)-(C120)</f>
        <v>996986</v>
      </c>
      <c r="E120" s="5">
        <f t="shared" si="16"/>
        <v>6806986</v>
      </c>
      <c r="F120" s="5">
        <f t="shared" si="16"/>
        <v>5810000</v>
      </c>
      <c r="G120" s="5">
        <f>(E120)-(F120)</f>
        <v>996986</v>
      </c>
    </row>
    <row r="121" spans="1:7" x14ac:dyDescent="0.2">
      <c r="A121" s="3" t="s">
        <v>119</v>
      </c>
      <c r="B121" s="5">
        <f>921477</f>
        <v>921477</v>
      </c>
      <c r="C121" s="5">
        <f>88264</f>
        <v>88264</v>
      </c>
      <c r="D121" s="5">
        <f>(B121)-(C121)</f>
        <v>833213</v>
      </c>
      <c r="E121" s="5">
        <f t="shared" si="16"/>
        <v>921477</v>
      </c>
      <c r="F121" s="5">
        <f t="shared" si="16"/>
        <v>88264</v>
      </c>
      <c r="G121" s="5">
        <f>(E121)-(F121)</f>
        <v>833213</v>
      </c>
    </row>
    <row r="122" spans="1:7" x14ac:dyDescent="0.2">
      <c r="A122" s="3" t="s">
        <v>120</v>
      </c>
      <c r="B122" s="6">
        <f>((B119)+(B120))+(B121)</f>
        <v>7728463</v>
      </c>
      <c r="C122" s="6">
        <f>((C119)+(C120))+(C121)</f>
        <v>5898264</v>
      </c>
      <c r="D122" s="6">
        <f>(B122)-(C122)</f>
        <v>1830199</v>
      </c>
      <c r="E122" s="6">
        <f t="shared" si="16"/>
        <v>7728463</v>
      </c>
      <c r="F122" s="6">
        <f t="shared" si="16"/>
        <v>5898264</v>
      </c>
      <c r="G122" s="6">
        <f>(E122)-(F122)</f>
        <v>1830199</v>
      </c>
    </row>
    <row r="123" spans="1:7" x14ac:dyDescent="0.2">
      <c r="A123" s="3" t="s">
        <v>121</v>
      </c>
      <c r="B123" s="6">
        <f>B122</f>
        <v>7728463</v>
      </c>
      <c r="C123" s="6">
        <f>C122</f>
        <v>5898264</v>
      </c>
      <c r="D123" s="6">
        <f>(B123)-(C123)</f>
        <v>1830199</v>
      </c>
      <c r="E123" s="6">
        <f t="shared" si="16"/>
        <v>7728463</v>
      </c>
      <c r="F123" s="6">
        <f t="shared" si="16"/>
        <v>5898264</v>
      </c>
      <c r="G123" s="6">
        <f>(E123)-(F123)</f>
        <v>1830199</v>
      </c>
    </row>
    <row r="124" spans="1:7" x14ac:dyDescent="0.2">
      <c r="A124" s="3" t="s">
        <v>122</v>
      </c>
      <c r="B124" s="4"/>
      <c r="C124" s="4"/>
      <c r="D124" s="4"/>
      <c r="E124" s="4"/>
      <c r="F124" s="4"/>
      <c r="G124" s="4"/>
    </row>
    <row r="125" spans="1:7" x14ac:dyDescent="0.2">
      <c r="A125" s="3" t="s">
        <v>123</v>
      </c>
      <c r="B125" s="4"/>
      <c r="C125" s="4"/>
      <c r="D125" s="5">
        <f t="shared" ref="D125:D133" si="17">(B125)-(C125)</f>
        <v>0</v>
      </c>
      <c r="E125" s="5">
        <f t="shared" ref="E125:E133" si="18">B125</f>
        <v>0</v>
      </c>
      <c r="F125" s="5">
        <f t="shared" ref="F125:F133" si="19">C125</f>
        <v>0</v>
      </c>
      <c r="G125" s="5">
        <f t="shared" ref="G125:G133" si="20">(E125)-(F125)</f>
        <v>0</v>
      </c>
    </row>
    <row r="126" spans="1:7" x14ac:dyDescent="0.2">
      <c r="A126" s="3" t="s">
        <v>124</v>
      </c>
      <c r="B126" s="5">
        <f>2731660</f>
        <v>2731660</v>
      </c>
      <c r="C126" s="5">
        <f>4648000</f>
        <v>4648000</v>
      </c>
      <c r="D126" s="5">
        <f t="shared" si="17"/>
        <v>-1916340</v>
      </c>
      <c r="E126" s="5">
        <f t="shared" si="18"/>
        <v>2731660</v>
      </c>
      <c r="F126" s="5">
        <f t="shared" si="19"/>
        <v>4648000</v>
      </c>
      <c r="G126" s="5">
        <f t="shared" si="20"/>
        <v>-1916340</v>
      </c>
    </row>
    <row r="127" spans="1:7" x14ac:dyDescent="0.2">
      <c r="A127" s="3" t="s">
        <v>125</v>
      </c>
      <c r="B127" s="5">
        <f>25625.6</f>
        <v>25625.599999999999</v>
      </c>
      <c r="C127" s="5">
        <f>15005</f>
        <v>15005</v>
      </c>
      <c r="D127" s="5">
        <f t="shared" si="17"/>
        <v>10620.599999999999</v>
      </c>
      <c r="E127" s="5">
        <f t="shared" si="18"/>
        <v>25625.599999999999</v>
      </c>
      <c r="F127" s="5">
        <f t="shared" si="19"/>
        <v>15005</v>
      </c>
      <c r="G127" s="5">
        <f t="shared" si="20"/>
        <v>10620.599999999999</v>
      </c>
    </row>
    <row r="128" spans="1:7" x14ac:dyDescent="0.2">
      <c r="A128" s="3" t="s">
        <v>126</v>
      </c>
      <c r="B128" s="5">
        <f>44906</f>
        <v>44906</v>
      </c>
      <c r="C128" s="5">
        <f>441320</f>
        <v>441320</v>
      </c>
      <c r="D128" s="5">
        <f t="shared" si="17"/>
        <v>-396414</v>
      </c>
      <c r="E128" s="5">
        <f t="shared" si="18"/>
        <v>44906</v>
      </c>
      <c r="F128" s="5">
        <f t="shared" si="19"/>
        <v>441320</v>
      </c>
      <c r="G128" s="5">
        <f t="shared" si="20"/>
        <v>-396414</v>
      </c>
    </row>
    <row r="129" spans="1:7" x14ac:dyDescent="0.2">
      <c r="A129" s="3" t="s">
        <v>127</v>
      </c>
      <c r="B129" s="5">
        <f>1032204</f>
        <v>1032204</v>
      </c>
      <c r="C129" s="5">
        <f>1760000</f>
        <v>1760000</v>
      </c>
      <c r="D129" s="5">
        <f t="shared" si="17"/>
        <v>-727796</v>
      </c>
      <c r="E129" s="5">
        <f t="shared" si="18"/>
        <v>1032204</v>
      </c>
      <c r="F129" s="5">
        <f t="shared" si="19"/>
        <v>1760000</v>
      </c>
      <c r="G129" s="5">
        <f t="shared" si="20"/>
        <v>-727796</v>
      </c>
    </row>
    <row r="130" spans="1:7" x14ac:dyDescent="0.2">
      <c r="A130" s="3" t="s">
        <v>128</v>
      </c>
      <c r="B130" s="6">
        <f>((((B125)+(B126))+(B127))+(B128))+(B129)</f>
        <v>3834395.6</v>
      </c>
      <c r="C130" s="6">
        <f>((((C125)+(C126))+(C127))+(C128))+(C129)</f>
        <v>6864325</v>
      </c>
      <c r="D130" s="6">
        <f t="shared" si="17"/>
        <v>-3029929.4</v>
      </c>
      <c r="E130" s="6">
        <f t="shared" si="18"/>
        <v>3834395.6</v>
      </c>
      <c r="F130" s="6">
        <f t="shared" si="19"/>
        <v>6864325</v>
      </c>
      <c r="G130" s="6">
        <f t="shared" si="20"/>
        <v>-3029929.4</v>
      </c>
    </row>
    <row r="131" spans="1:7" x14ac:dyDescent="0.2">
      <c r="A131" s="3" t="s">
        <v>129</v>
      </c>
      <c r="B131" s="6">
        <f>B130</f>
        <v>3834395.6</v>
      </c>
      <c r="C131" s="6">
        <f>C130</f>
        <v>6864325</v>
      </c>
      <c r="D131" s="6">
        <f t="shared" si="17"/>
        <v>-3029929.4</v>
      </c>
      <c r="E131" s="6">
        <f t="shared" si="18"/>
        <v>3834395.6</v>
      </c>
      <c r="F131" s="6">
        <f t="shared" si="19"/>
        <v>6864325</v>
      </c>
      <c r="G131" s="6">
        <f t="shared" si="20"/>
        <v>-3029929.4</v>
      </c>
    </row>
    <row r="132" spans="1:7" x14ac:dyDescent="0.2">
      <c r="A132" s="3" t="s">
        <v>130</v>
      </c>
      <c r="B132" s="6">
        <f>(B123)-(B131)</f>
        <v>3894067.4</v>
      </c>
      <c r="C132" s="6">
        <f>(C123)-(C131)</f>
        <v>-966061</v>
      </c>
      <c r="D132" s="6">
        <f t="shared" si="17"/>
        <v>4860128.4000000004</v>
      </c>
      <c r="E132" s="6">
        <f t="shared" si="18"/>
        <v>3894067.4</v>
      </c>
      <c r="F132" s="6">
        <f t="shared" si="19"/>
        <v>-966061</v>
      </c>
      <c r="G132" s="6">
        <f t="shared" si="20"/>
        <v>4860128.4000000004</v>
      </c>
    </row>
    <row r="133" spans="1:7" x14ac:dyDescent="0.2">
      <c r="A133" s="3" t="s">
        <v>131</v>
      </c>
      <c r="B133" s="7">
        <f>(B117)+(B132)</f>
        <v>8119675.2500000019</v>
      </c>
      <c r="C133" s="7">
        <f>(C117)+(C132)</f>
        <v>8183424.6799999997</v>
      </c>
      <c r="D133" s="7">
        <f t="shared" si="17"/>
        <v>-63749.429999997839</v>
      </c>
      <c r="E133" s="7">
        <f t="shared" si="18"/>
        <v>8119675.2500000019</v>
      </c>
      <c r="F133" s="7">
        <f t="shared" si="19"/>
        <v>8183424.6799999997</v>
      </c>
      <c r="G133" s="7">
        <f t="shared" si="20"/>
        <v>-63749.429999997839</v>
      </c>
    </row>
    <row r="134" spans="1:7" x14ac:dyDescent="0.2">
      <c r="A134" s="3"/>
      <c r="B134" s="4"/>
      <c r="C134" s="4"/>
      <c r="D134" s="4"/>
      <c r="E134" s="4"/>
      <c r="F134" s="4"/>
      <c r="G134" s="4"/>
    </row>
    <row r="137" spans="1:7" x14ac:dyDescent="0.2">
      <c r="A137" s="10" t="s">
        <v>132</v>
      </c>
      <c r="B137" s="11"/>
      <c r="C137" s="11"/>
      <c r="D137" s="11"/>
      <c r="E137" s="11"/>
      <c r="F137" s="11"/>
      <c r="G137" s="11"/>
    </row>
  </sheetData>
  <mergeCells count="6">
    <mergeCell ref="B5:D5"/>
    <mergeCell ref="E5:G5"/>
    <mergeCell ref="A137:G137"/>
    <mergeCell ref="A1:G1"/>
    <mergeCell ref="A2:G2"/>
    <mergeCell ref="A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vs. 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Adnan Khan</cp:lastModifiedBy>
  <dcterms:created xsi:type="dcterms:W3CDTF">2024-04-08T10:29:32Z</dcterms:created>
  <dcterms:modified xsi:type="dcterms:W3CDTF">2024-04-08T10:29:38Z</dcterms:modified>
</cp:coreProperties>
</file>