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nan/Desktop/Python stuff/sample PLs/"/>
    </mc:Choice>
  </mc:AlternateContent>
  <xr:revisionPtr revIDLastSave="0" documentId="13_ncr:1_{741DD935-94E3-A244-B71B-577F62B0977A}" xr6:coauthVersionLast="47" xr6:coauthVersionMax="47" xr10:uidLastSave="{00000000-0000-0000-0000-000000000000}"/>
  <bookViews>
    <workbookView xWindow="5260" yWindow="960" windowWidth="35340" windowHeight="2032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9" i="1" l="1"/>
  <c r="D128" i="1"/>
  <c r="D127" i="1"/>
  <c r="D126" i="1"/>
  <c r="D121" i="1"/>
  <c r="D120" i="1"/>
  <c r="D122" i="1" s="1"/>
  <c r="D117" i="1"/>
  <c r="D118" i="1" s="1"/>
  <c r="D116" i="1"/>
  <c r="D115" i="1"/>
  <c r="D112" i="1"/>
  <c r="D113" i="1" s="1"/>
  <c r="D111" i="1"/>
  <c r="D108" i="1"/>
  <c r="D107" i="1"/>
  <c r="D104" i="1"/>
  <c r="D103" i="1"/>
  <c r="D102" i="1"/>
  <c r="D99" i="1"/>
  <c r="D98" i="1"/>
  <c r="D97" i="1"/>
  <c r="D96" i="1"/>
  <c r="D93" i="1"/>
  <c r="D91" i="1"/>
  <c r="D90" i="1"/>
  <c r="D87" i="1"/>
  <c r="D86" i="1"/>
  <c r="D83" i="1"/>
  <c r="D82" i="1"/>
  <c r="D81" i="1"/>
  <c r="D77" i="1"/>
  <c r="D76" i="1"/>
  <c r="D74" i="1"/>
  <c r="D72" i="1"/>
  <c r="D71" i="1"/>
  <c r="D70" i="1"/>
  <c r="D69" i="1"/>
  <c r="D68" i="1"/>
  <c r="D63" i="1"/>
  <c r="D62" i="1"/>
  <c r="D64" i="1" s="1"/>
  <c r="D65" i="1" s="1"/>
  <c r="D55" i="1"/>
  <c r="D54" i="1"/>
  <c r="D53" i="1"/>
  <c r="D52" i="1"/>
  <c r="D51" i="1"/>
  <c r="D50" i="1"/>
  <c r="D49" i="1"/>
  <c r="D46" i="1"/>
  <c r="D47" i="1" s="1"/>
  <c r="D45" i="1"/>
  <c r="D44" i="1"/>
  <c r="D41" i="1"/>
  <c r="D40" i="1"/>
  <c r="D39" i="1"/>
  <c r="D38" i="1"/>
  <c r="D37" i="1"/>
  <c r="D36" i="1"/>
  <c r="D34" i="1"/>
  <c r="D33" i="1"/>
  <c r="D32" i="1"/>
  <c r="D31" i="1"/>
  <c r="D30" i="1"/>
  <c r="D27" i="1"/>
  <c r="D26" i="1"/>
  <c r="D25" i="1"/>
  <c r="D24" i="1"/>
  <c r="D19" i="1"/>
  <c r="D18" i="1"/>
  <c r="D17" i="1"/>
  <c r="D16" i="1"/>
  <c r="D14" i="1"/>
  <c r="D13" i="1"/>
  <c r="D15" i="1" s="1"/>
  <c r="D10" i="1"/>
  <c r="D11" i="1" s="1"/>
  <c r="D8" i="1"/>
  <c r="C129" i="1"/>
  <c r="B129" i="1"/>
  <c r="C128" i="1"/>
  <c r="B128" i="1"/>
  <c r="C127" i="1"/>
  <c r="B127" i="1"/>
  <c r="C126" i="1"/>
  <c r="B126" i="1"/>
  <c r="C121" i="1"/>
  <c r="B121" i="1"/>
  <c r="C120" i="1"/>
  <c r="B120" i="1"/>
  <c r="C117" i="1"/>
  <c r="B117" i="1"/>
  <c r="C116" i="1"/>
  <c r="B116" i="1"/>
  <c r="C115" i="1"/>
  <c r="B115" i="1"/>
  <c r="C112" i="1"/>
  <c r="B112" i="1"/>
  <c r="C111" i="1"/>
  <c r="B111" i="1"/>
  <c r="C108" i="1"/>
  <c r="B108" i="1"/>
  <c r="C107" i="1"/>
  <c r="B107" i="1"/>
  <c r="C104" i="1"/>
  <c r="B104" i="1"/>
  <c r="C103" i="1"/>
  <c r="B103" i="1"/>
  <c r="C102" i="1"/>
  <c r="B102" i="1"/>
  <c r="C99" i="1"/>
  <c r="B99" i="1"/>
  <c r="C98" i="1"/>
  <c r="B98" i="1"/>
  <c r="C97" i="1"/>
  <c r="B97" i="1"/>
  <c r="C96" i="1"/>
  <c r="B96" i="1"/>
  <c r="C93" i="1"/>
  <c r="B93" i="1"/>
  <c r="B92" i="1"/>
  <c r="C91" i="1"/>
  <c r="B91" i="1"/>
  <c r="C90" i="1"/>
  <c r="B90" i="1"/>
  <c r="C87" i="1"/>
  <c r="B87" i="1"/>
  <c r="C86" i="1"/>
  <c r="B86" i="1"/>
  <c r="C83" i="1"/>
  <c r="B83" i="1"/>
  <c r="C82" i="1"/>
  <c r="C81" i="1"/>
  <c r="B81" i="1"/>
  <c r="C77" i="1"/>
  <c r="C76" i="1"/>
  <c r="B76" i="1"/>
  <c r="B78" i="1" s="1"/>
  <c r="C74" i="1"/>
  <c r="B74" i="1"/>
  <c r="C72" i="1"/>
  <c r="B72" i="1"/>
  <c r="C71" i="1"/>
  <c r="B71" i="1"/>
  <c r="C70" i="1"/>
  <c r="B70" i="1"/>
  <c r="C69" i="1"/>
  <c r="B69" i="1"/>
  <c r="C68" i="1"/>
  <c r="C63" i="1"/>
  <c r="B63" i="1"/>
  <c r="C62" i="1"/>
  <c r="B62" i="1"/>
  <c r="B57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6" i="1"/>
  <c r="B46" i="1"/>
  <c r="C45" i="1"/>
  <c r="B45" i="1"/>
  <c r="C44" i="1"/>
  <c r="B44" i="1"/>
  <c r="C41" i="1"/>
  <c r="B41" i="1"/>
  <c r="C40" i="1"/>
  <c r="B40" i="1"/>
  <c r="C39" i="1"/>
  <c r="B39" i="1"/>
  <c r="C38" i="1"/>
  <c r="B38" i="1"/>
  <c r="C37" i="1"/>
  <c r="B37" i="1"/>
  <c r="C36" i="1"/>
  <c r="B36" i="1"/>
  <c r="C34" i="1"/>
  <c r="B34" i="1"/>
  <c r="C33" i="1"/>
  <c r="B33" i="1"/>
  <c r="C32" i="1"/>
  <c r="B32" i="1"/>
  <c r="C31" i="1"/>
  <c r="B31" i="1"/>
  <c r="C30" i="1"/>
  <c r="B30" i="1"/>
  <c r="B35" i="1" s="1"/>
  <c r="C27" i="1"/>
  <c r="B27" i="1"/>
  <c r="C26" i="1"/>
  <c r="B26" i="1"/>
  <c r="C25" i="1"/>
  <c r="B25" i="1"/>
  <c r="C24" i="1"/>
  <c r="B24" i="1"/>
  <c r="C19" i="1"/>
  <c r="B19" i="1"/>
  <c r="C18" i="1"/>
  <c r="B18" i="1"/>
  <c r="C17" i="1"/>
  <c r="B17" i="1"/>
  <c r="C16" i="1"/>
  <c r="B16" i="1"/>
  <c r="C14" i="1"/>
  <c r="B14" i="1"/>
  <c r="C13" i="1"/>
  <c r="B13" i="1"/>
  <c r="C10" i="1"/>
  <c r="B10" i="1"/>
  <c r="B11" i="1" s="1"/>
  <c r="C8" i="1"/>
  <c r="B8" i="1"/>
  <c r="D78" i="1" l="1"/>
  <c r="D94" i="1"/>
  <c r="D73" i="1"/>
  <c r="D88" i="1"/>
  <c r="D100" i="1"/>
  <c r="D109" i="1"/>
  <c r="B84" i="1"/>
  <c r="D28" i="1"/>
  <c r="D42" i="1" s="1"/>
  <c r="D35" i="1"/>
  <c r="D57" i="1"/>
  <c r="D84" i="1"/>
  <c r="D105" i="1"/>
  <c r="D130" i="1"/>
  <c r="D131" i="1" s="1"/>
  <c r="D79" i="1"/>
  <c r="D20" i="1"/>
  <c r="D58" i="1"/>
  <c r="C57" i="1"/>
  <c r="B109" i="1"/>
  <c r="C88" i="1"/>
  <c r="C11" i="1"/>
  <c r="C35" i="1"/>
  <c r="B94" i="1"/>
  <c r="B105" i="1"/>
  <c r="C15" i="1"/>
  <c r="C47" i="1"/>
  <c r="C105" i="1"/>
  <c r="B113" i="1"/>
  <c r="B118" i="1"/>
  <c r="B122" i="1"/>
  <c r="B64" i="1"/>
  <c r="B65" i="1" s="1"/>
  <c r="C78" i="1"/>
  <c r="C94" i="1"/>
  <c r="B100" i="1"/>
  <c r="C113" i="1"/>
  <c r="C122" i="1"/>
  <c r="C20" i="1"/>
  <c r="C28" i="1"/>
  <c r="C84" i="1"/>
  <c r="B130" i="1"/>
  <c r="B15" i="1"/>
  <c r="B20" i="1" s="1"/>
  <c r="B47" i="1"/>
  <c r="C64" i="1"/>
  <c r="B73" i="1"/>
  <c r="B88" i="1"/>
  <c r="C100" i="1"/>
  <c r="C109" i="1"/>
  <c r="C118" i="1"/>
  <c r="C130" i="1"/>
  <c r="B28" i="1"/>
  <c r="C73" i="1"/>
  <c r="D123" i="1" l="1"/>
  <c r="D132" i="1"/>
  <c r="D59" i="1"/>
  <c r="C79" i="1"/>
  <c r="B79" i="1"/>
  <c r="C65" i="1"/>
  <c r="B131" i="1"/>
  <c r="B42" i="1"/>
  <c r="C131" i="1"/>
  <c r="C42" i="1"/>
  <c r="C58" i="1" l="1"/>
  <c r="B58" i="1"/>
  <c r="B123" i="1"/>
  <c r="C123" i="1"/>
  <c r="B132" i="1" l="1"/>
  <c r="B59" i="1"/>
  <c r="C132" i="1"/>
  <c r="C59" i="1"/>
</calcChain>
</file>

<file path=xl/sharedStrings.xml><?xml version="1.0" encoding="utf-8"?>
<sst xmlns="http://schemas.openxmlformats.org/spreadsheetml/2006/main" count="129" uniqueCount="129">
  <si>
    <t>Jul 2023 - Jan 2024</t>
  </si>
  <si>
    <t>Jul 2022 - Jan 2023 (PP)</t>
  </si>
  <si>
    <t>Income</t>
  </si>
  <si>
    <t xml:space="preserve">   0801 Catering &amp; Décor (Menu Sale)</t>
  </si>
  <si>
    <t xml:space="preserve">   0802 Euphoria</t>
  </si>
  <si>
    <t xml:space="preserve">      080201 Euphoria Décor</t>
  </si>
  <si>
    <t xml:space="preserve">   Total 0802 Euphoria</t>
  </si>
  <si>
    <t xml:space="preserve">   0803 Food Sale</t>
  </si>
  <si>
    <t xml:space="preserve">      080301 Food/Kg/Box</t>
  </si>
  <si>
    <t xml:space="preserve">      080302 Additional Food &amp; Stations</t>
  </si>
  <si>
    <t xml:space="preserve">   Total 0803 Food Sale</t>
  </si>
  <si>
    <t xml:space="preserve">   0804 Beverages</t>
  </si>
  <si>
    <t xml:space="preserve">   0805 Additional Item &amp; Setups</t>
  </si>
  <si>
    <t xml:space="preserve">   0806 Setup &amp; Services</t>
  </si>
  <si>
    <t xml:space="preserve">   0807 Kitchen Overhead Share</t>
  </si>
  <si>
    <t>Total Income</t>
  </si>
  <si>
    <t>Cost of Sales</t>
  </si>
  <si>
    <t xml:space="preserve">   0901 Supplies and materials - COS</t>
  </si>
  <si>
    <t xml:space="preserve">      090101 Meat</t>
  </si>
  <si>
    <t xml:space="preserve">         09010101 Mutton</t>
  </si>
  <si>
    <t xml:space="preserve">         09010102 Chicken</t>
  </si>
  <si>
    <t xml:space="preserve">         09010103 Beef</t>
  </si>
  <si>
    <t xml:space="preserve">         09010104 Fish &amp; Prawns</t>
  </si>
  <si>
    <t xml:space="preserve">      Total 090101 Meat</t>
  </si>
  <si>
    <t xml:space="preserve">      090102 Dry Stock</t>
  </si>
  <si>
    <t xml:space="preserve">         09010201 Oil</t>
  </si>
  <si>
    <t xml:space="preserve">         09010202 Flour</t>
  </si>
  <si>
    <t xml:space="preserve">         09010203 Rice</t>
  </si>
  <si>
    <t xml:space="preserve">         09010204 Sugar</t>
  </si>
  <si>
    <t xml:space="preserve">         09010205 Other Dry Stock</t>
  </si>
  <si>
    <t xml:space="preserve">      Total 090102 Dry Stock</t>
  </si>
  <si>
    <t xml:space="preserve">      090103 Outsourced Food</t>
  </si>
  <si>
    <t xml:space="preserve">      090104 Dairy &amp; Bakery Items</t>
  </si>
  <si>
    <t xml:space="preserve">      090105 Vegetables &amp; Fruits</t>
  </si>
  <si>
    <t xml:space="preserve">      090106 Beverages &amp; Soft drinks</t>
  </si>
  <si>
    <t xml:space="preserve">      090107 Other Consumables</t>
  </si>
  <si>
    <t xml:space="preserve">      090108 Disposible Material</t>
  </si>
  <si>
    <t xml:space="preserve">   Total 0901 Supplies and materials - COS</t>
  </si>
  <si>
    <t xml:space="preserve">   0902 Cost of labour-COS</t>
  </si>
  <si>
    <t xml:space="preserve">      090201 Salaries- Operation Staff</t>
  </si>
  <si>
    <t xml:space="preserve">      090202 Labour Out Sourced</t>
  </si>
  <si>
    <t xml:space="preserve">      090203 Wages &amp; Allowance</t>
  </si>
  <si>
    <t xml:space="preserve">   Total 0902 Cost of labour-COS</t>
  </si>
  <si>
    <t xml:space="preserve">   0903 Other costs of sales - COS</t>
  </si>
  <si>
    <t xml:space="preserve">      090301 Rents, rates &amp; taxes</t>
  </si>
  <si>
    <t xml:space="preserve">      090302 Utilitites</t>
  </si>
  <si>
    <t xml:space="preserve">      090303 Fuel &amp; Transporation</t>
  </si>
  <si>
    <t xml:space="preserve">      090304 Repair &amp; maintinance</t>
  </si>
  <si>
    <t xml:space="preserve">      090306 Boarding &amp; Lodging - COS</t>
  </si>
  <si>
    <t xml:space="preserve">      090307 Printing &amp; Stationary</t>
  </si>
  <si>
    <t xml:space="preserve">      090308 Laundry</t>
  </si>
  <si>
    <t xml:space="preserve">      090309 Staff Uniform</t>
  </si>
  <si>
    <t xml:space="preserve">   Total 0903 Other costs of sales - COS</t>
  </si>
  <si>
    <t>Total Cost of Sales</t>
  </si>
  <si>
    <t>Gross Profit</t>
  </si>
  <si>
    <t>Other Income(Loss)</t>
  </si>
  <si>
    <t xml:space="preserve">   15 Other Income</t>
  </si>
  <si>
    <t xml:space="preserve">      1501 Outsourced Items</t>
  </si>
  <si>
    <t xml:space="preserve">      1503 Other</t>
  </si>
  <si>
    <t xml:space="preserve">   Total 15 Other Income</t>
  </si>
  <si>
    <t>Total Other Income(Loss)</t>
  </si>
  <si>
    <t>Expenses</t>
  </si>
  <si>
    <t xml:space="preserve">   1001 Salaries &amp; Benefits</t>
  </si>
  <si>
    <t xml:space="preserve">      100101 Salaries &amp; Wages</t>
  </si>
  <si>
    <t xml:space="preserve">         10010101 Sales</t>
  </si>
  <si>
    <t xml:space="preserve">         10010102 Marketing</t>
  </si>
  <si>
    <t xml:space="preserve">         10010103 Accounts &amp; Finance</t>
  </si>
  <si>
    <t xml:space="preserve">         10010104 Admin &amp; HR</t>
  </si>
  <si>
    <t xml:space="preserve">      Total 100101 Salaries &amp; Wages</t>
  </si>
  <si>
    <t xml:space="preserve">      100102 Other benefits (Direct &amp; indrect)</t>
  </si>
  <si>
    <t xml:space="preserve">      100103 Sales Commission</t>
  </si>
  <si>
    <t xml:space="preserve">         10010301 Sales Rep Commission</t>
  </si>
  <si>
    <t xml:space="preserve">         10010302 Food Panda Commission</t>
  </si>
  <si>
    <t xml:space="preserve">      Total 100103 Sales Commission</t>
  </si>
  <si>
    <t xml:space="preserve">   Total 1001 Salaries &amp; Benefits</t>
  </si>
  <si>
    <t xml:space="preserve">   1002 Rent, Rate &amp; Taxes</t>
  </si>
  <si>
    <t xml:space="preserve">      100201 Office Rent</t>
  </si>
  <si>
    <t xml:space="preserve">      100203 Token Tax</t>
  </si>
  <si>
    <t xml:space="preserve">      100204 Toll Tax</t>
  </si>
  <si>
    <t xml:space="preserve">   Total 1002 Rent, Rate &amp; Taxes</t>
  </si>
  <si>
    <t xml:space="preserve">   1003 Utilities</t>
  </si>
  <si>
    <t xml:space="preserve">      100301 Elecricity Charges</t>
  </si>
  <si>
    <t xml:space="preserve">      100305 Water Charges</t>
  </si>
  <si>
    <t xml:space="preserve">   Total 1003 Utilities</t>
  </si>
  <si>
    <t xml:space="preserve">   1004 Legal &amp; Professional Charges</t>
  </si>
  <si>
    <t xml:space="preserve">      100402 Filing Fee</t>
  </si>
  <si>
    <t xml:space="preserve">      100404 Professional Services</t>
  </si>
  <si>
    <t xml:space="preserve">      100405 Registration Fee</t>
  </si>
  <si>
    <t xml:space="preserve">      100406 Fee &amp; Subcription</t>
  </si>
  <si>
    <t xml:space="preserve">   Total 1004 Legal &amp; Professional Charges</t>
  </si>
  <si>
    <t xml:space="preserve">   1005 Communication Charges</t>
  </si>
  <si>
    <t xml:space="preserve">      100501 Internet Charges</t>
  </si>
  <si>
    <t xml:space="preserve">      100502 Mobile Charges</t>
  </si>
  <si>
    <t xml:space="preserve">      100503 Postage &amp; Courier</t>
  </si>
  <si>
    <t xml:space="preserve">      100504 Telephone Bill</t>
  </si>
  <si>
    <t xml:space="preserve">   Total 1005 Communication Charges</t>
  </si>
  <si>
    <t xml:space="preserve">   1006 Repair &amp; Maintenance</t>
  </si>
  <si>
    <t xml:space="preserve">      100602 Equipment Repair</t>
  </si>
  <si>
    <t xml:space="preserve">      100604 Office Repair</t>
  </si>
  <si>
    <t xml:space="preserve">      100605 Vehicles Repair</t>
  </si>
  <si>
    <t xml:space="preserve">   Total 1006 Repair &amp; Maintenance</t>
  </si>
  <si>
    <t xml:space="preserve">   1007 Travelling &amp; Conveyance</t>
  </si>
  <si>
    <t xml:space="preserve">      100703 Fuel Charges</t>
  </si>
  <si>
    <t xml:space="preserve">      100704 Local Traveling</t>
  </si>
  <si>
    <t xml:space="preserve">   Total 1007 Travelling &amp; Conveyance</t>
  </si>
  <si>
    <t xml:space="preserve">   1008 Office Supplies &amp; Stationary</t>
  </si>
  <si>
    <t xml:space="preserve">      100801 Office Supplies</t>
  </si>
  <si>
    <t xml:space="preserve">      100804 Stationary Expense</t>
  </si>
  <si>
    <t xml:space="preserve">   Total 1008 Office Supplies &amp; Stationary</t>
  </si>
  <si>
    <t xml:space="preserve">   1009 Advertisement &amp; Publicity</t>
  </si>
  <si>
    <t xml:space="preserve">      100901 Agency Fee</t>
  </si>
  <si>
    <t xml:space="preserve">      100902 Ad Spend</t>
  </si>
  <si>
    <t xml:space="preserve">      100903 Ad Production</t>
  </si>
  <si>
    <t xml:space="preserve">   Total 1009 Advertisement &amp; Publicity</t>
  </si>
  <si>
    <t xml:space="preserve">   1010 Food &amp; Entertainment</t>
  </si>
  <si>
    <t xml:space="preserve">      101001 Office Entertainment</t>
  </si>
  <si>
    <t xml:space="preserve">      101002 Staff Food</t>
  </si>
  <si>
    <t xml:space="preserve">   Total 1010 Food &amp; Entertainment</t>
  </si>
  <si>
    <t>Total Expenses</t>
  </si>
  <si>
    <t>Other Expenses</t>
  </si>
  <si>
    <t xml:space="preserve">   16 Other Expenses</t>
  </si>
  <si>
    <t xml:space="preserve">      1601 Outsourced Items Rental</t>
  </si>
  <si>
    <t xml:space="preserve">      1602 Bank Service Charges</t>
  </si>
  <si>
    <t xml:space="preserve">      1603 Other expenses-Other</t>
  </si>
  <si>
    <t xml:space="preserve">      1604 Euphoria Outsourced Items Rental</t>
  </si>
  <si>
    <t xml:space="preserve">   Total 16 Other Expenses</t>
  </si>
  <si>
    <t>Total Other Expenses</t>
  </si>
  <si>
    <t>Net Earnings</t>
  </si>
  <si>
    <t>Jul 2021 - Jan 2022 (PP)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</si>
</sst>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PRs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36"/>
  <sheetViews>
    <sheetView tabSelected="1" zoomScale="150" zoomScaleNormal="150" workbookViewId="0">
      <selection activeCell="F6" sqref="F6"/>
    </sheetView>
  </sheetViews>
  <sheetFormatPr baseColWidth="10" defaultColWidth="8.83203125" defaultRowHeight="15" x14ac:dyDescent="0.2"/>
  <cols>
    <col min="1" max="1" width="40.33203125" customWidth="1"/>
    <col min="2" max="4" width="15.5" customWidth="1"/>
  </cols>
  <sheetData>
    <row r="2" spans="1:4" ht="18" x14ac:dyDescent="0.2">
      <c r="A2" s="10"/>
      <c r="B2" s="9"/>
      <c r="C2" s="9"/>
    </row>
    <row r="3" spans="1:4" ht="18" x14ac:dyDescent="0.2">
      <c r="A3" s="10"/>
      <c r="B3" s="9"/>
      <c r="C3" s="9"/>
    </row>
    <row r="4" spans="1:4" x14ac:dyDescent="0.2">
      <c r="A4" s="11"/>
      <c r="B4" s="9"/>
      <c r="C4" s="9"/>
    </row>
    <row r="6" spans="1:4" ht="27" x14ac:dyDescent="0.2">
      <c r="A6" s="1"/>
      <c r="B6" s="2" t="s">
        <v>0</v>
      </c>
      <c r="C6" s="2" t="s">
        <v>1</v>
      </c>
      <c r="D6" s="2" t="s">
        <v>128</v>
      </c>
    </row>
    <row r="7" spans="1:4" x14ac:dyDescent="0.2">
      <c r="A7" s="3" t="s">
        <v>2</v>
      </c>
      <c r="B7" s="4"/>
      <c r="C7" s="4"/>
      <c r="D7" s="4"/>
    </row>
    <row r="8" spans="1:4" x14ac:dyDescent="0.2">
      <c r="A8" s="3" t="s">
        <v>3</v>
      </c>
      <c r="B8" s="5">
        <f>146278941.69</f>
        <v>146278941.69</v>
      </c>
      <c r="C8" s="5">
        <f>112206319.35</f>
        <v>112206319.34999999</v>
      </c>
      <c r="D8" s="5">
        <f>112206319.35</f>
        <v>112206319.34999999</v>
      </c>
    </row>
    <row r="9" spans="1:4" x14ac:dyDescent="0.2">
      <c r="A9" s="3" t="s">
        <v>4</v>
      </c>
      <c r="B9" s="4"/>
      <c r="C9" s="4"/>
      <c r="D9" s="4"/>
    </row>
    <row r="10" spans="1:4" x14ac:dyDescent="0.2">
      <c r="A10" s="3" t="s">
        <v>5</v>
      </c>
      <c r="B10" s="5">
        <f>11385000</f>
        <v>11385000</v>
      </c>
      <c r="C10" s="5">
        <f>15945039</f>
        <v>15945039</v>
      </c>
      <c r="D10" s="5">
        <f>15945039</f>
        <v>15945039</v>
      </c>
    </row>
    <row r="11" spans="1:4" x14ac:dyDescent="0.2">
      <c r="A11" s="3" t="s">
        <v>6</v>
      </c>
      <c r="B11" s="6">
        <f>(B9)+(B10)</f>
        <v>11385000</v>
      </c>
      <c r="C11" s="6">
        <f>(C9)+(C10)</f>
        <v>15945039</v>
      </c>
      <c r="D11" s="6">
        <f>(D9)+(D10)</f>
        <v>15945039</v>
      </c>
    </row>
    <row r="12" spans="1:4" x14ac:dyDescent="0.2">
      <c r="A12" s="3" t="s">
        <v>7</v>
      </c>
      <c r="B12" s="4"/>
      <c r="C12" s="4"/>
      <c r="D12" s="4"/>
    </row>
    <row r="13" spans="1:4" x14ac:dyDescent="0.2">
      <c r="A13" s="3" t="s">
        <v>8</v>
      </c>
      <c r="B13" s="5">
        <f>64720595.5</f>
        <v>64720595.5</v>
      </c>
      <c r="C13" s="5">
        <f>60833533.72</f>
        <v>60833533.719999999</v>
      </c>
      <c r="D13" s="5">
        <f>60833533.72</f>
        <v>60833533.719999999</v>
      </c>
    </row>
    <row r="14" spans="1:4" x14ac:dyDescent="0.2">
      <c r="A14" s="3" t="s">
        <v>9</v>
      </c>
      <c r="B14" s="5">
        <f>4496071</f>
        <v>4496071</v>
      </c>
      <c r="C14" s="5">
        <f>4730969</f>
        <v>4730969</v>
      </c>
      <c r="D14" s="5">
        <f>4730969</f>
        <v>4730969</v>
      </c>
    </row>
    <row r="15" spans="1:4" x14ac:dyDescent="0.2">
      <c r="A15" s="3" t="s">
        <v>10</v>
      </c>
      <c r="B15" s="6">
        <f>((B12)+(B13))+(B14)</f>
        <v>69216666.5</v>
      </c>
      <c r="C15" s="6">
        <f>((C12)+(C13))+(C14)</f>
        <v>65564502.719999999</v>
      </c>
      <c r="D15" s="6">
        <f>((D12)+(D13))+(D14)</f>
        <v>65564502.719999999</v>
      </c>
    </row>
    <row r="16" spans="1:4" x14ac:dyDescent="0.2">
      <c r="A16" s="3" t="s">
        <v>11</v>
      </c>
      <c r="B16" s="5">
        <f>6654160</f>
        <v>6654160</v>
      </c>
      <c r="C16" s="5">
        <f>5038835</f>
        <v>5038835</v>
      </c>
      <c r="D16" s="5">
        <f>5038835</f>
        <v>5038835</v>
      </c>
    </row>
    <row r="17" spans="1:4" x14ac:dyDescent="0.2">
      <c r="A17" s="3" t="s">
        <v>12</v>
      </c>
      <c r="B17" s="5">
        <f>17646132</f>
        <v>17646132</v>
      </c>
      <c r="C17" s="5">
        <f>13594652.1</f>
        <v>13594652.1</v>
      </c>
      <c r="D17" s="5">
        <f>13594652.1</f>
        <v>13594652.1</v>
      </c>
    </row>
    <row r="18" spans="1:4" x14ac:dyDescent="0.2">
      <c r="A18" s="3" t="s">
        <v>13</v>
      </c>
      <c r="B18" s="5">
        <f>750750</f>
        <v>750750</v>
      </c>
      <c r="C18" s="5">
        <f>1176120</f>
        <v>1176120</v>
      </c>
      <c r="D18" s="5">
        <f>1176120</f>
        <v>1176120</v>
      </c>
    </row>
    <row r="19" spans="1:4" x14ac:dyDescent="0.2">
      <c r="A19" s="3" t="s">
        <v>14</v>
      </c>
      <c r="B19" s="5">
        <f>1139200</f>
        <v>1139200</v>
      </c>
      <c r="C19" s="5">
        <f>793200</f>
        <v>793200</v>
      </c>
      <c r="D19" s="5">
        <f>793200</f>
        <v>793200</v>
      </c>
    </row>
    <row r="20" spans="1:4" x14ac:dyDescent="0.2">
      <c r="A20" s="3" t="s">
        <v>15</v>
      </c>
      <c r="B20" s="6">
        <f>((((((B8)+(B11))+(B15))+(B16))+(B17))+(B18))+(B19)</f>
        <v>253070850.19</v>
      </c>
      <c r="C20" s="6">
        <f>((((((C8)+(C11))+(C15))+(C16))+(C17))+(C18))+(C19)</f>
        <v>214318668.16999999</v>
      </c>
      <c r="D20" s="6">
        <f>((((((D8)+(D11))+(D15))+(D16))+(D17))+(D18))+(D19)</f>
        <v>214318668.16999999</v>
      </c>
    </row>
    <row r="21" spans="1:4" x14ac:dyDescent="0.2">
      <c r="A21" s="3" t="s">
        <v>16</v>
      </c>
      <c r="B21" s="4"/>
      <c r="C21" s="4"/>
      <c r="D21" s="4"/>
    </row>
    <row r="22" spans="1:4" x14ac:dyDescent="0.2">
      <c r="A22" s="3" t="s">
        <v>17</v>
      </c>
      <c r="B22" s="4"/>
      <c r="C22" s="4"/>
      <c r="D22" s="4"/>
    </row>
    <row r="23" spans="1:4" x14ac:dyDescent="0.2">
      <c r="A23" s="3" t="s">
        <v>18</v>
      </c>
      <c r="B23" s="4"/>
      <c r="C23" s="4"/>
      <c r="D23" s="4"/>
    </row>
    <row r="24" spans="1:4" x14ac:dyDescent="0.2">
      <c r="A24" s="3" t="s">
        <v>19</v>
      </c>
      <c r="B24" s="5">
        <f>19838046</f>
        <v>19838046</v>
      </c>
      <c r="C24" s="5">
        <f>15768732</f>
        <v>15768732</v>
      </c>
      <c r="D24" s="5">
        <f>15768732</f>
        <v>15768732</v>
      </c>
    </row>
    <row r="25" spans="1:4" x14ac:dyDescent="0.2">
      <c r="A25" s="3" t="s">
        <v>20</v>
      </c>
      <c r="B25" s="5">
        <f>23248624</f>
        <v>23248624</v>
      </c>
      <c r="C25" s="5">
        <f>20023380.28</f>
        <v>20023380.280000001</v>
      </c>
      <c r="D25" s="5">
        <f>20023380.28</f>
        <v>20023380.280000001</v>
      </c>
    </row>
    <row r="26" spans="1:4" x14ac:dyDescent="0.2">
      <c r="A26" s="3" t="s">
        <v>21</v>
      </c>
      <c r="B26" s="5">
        <f>3800199</f>
        <v>3800199</v>
      </c>
      <c r="C26" s="5">
        <f>2373584</f>
        <v>2373584</v>
      </c>
      <c r="D26" s="5">
        <f>2373584</f>
        <v>2373584</v>
      </c>
    </row>
    <row r="27" spans="1:4" x14ac:dyDescent="0.2">
      <c r="A27" s="3" t="s">
        <v>22</v>
      </c>
      <c r="B27" s="5">
        <f>3522985</f>
        <v>3522985</v>
      </c>
      <c r="C27" s="5">
        <f>2799593</f>
        <v>2799593</v>
      </c>
      <c r="D27" s="5">
        <f>2799593</f>
        <v>2799593</v>
      </c>
    </row>
    <row r="28" spans="1:4" x14ac:dyDescent="0.2">
      <c r="A28" s="3" t="s">
        <v>23</v>
      </c>
      <c r="B28" s="6">
        <f>((((B23)+(B24))+(B25))+(B26))+(B27)</f>
        <v>50409854</v>
      </c>
      <c r="C28" s="6">
        <f>((((C23)+(C24))+(C25))+(C26))+(C27)</f>
        <v>40965289.280000001</v>
      </c>
      <c r="D28" s="6">
        <f>((((D23)+(D24))+(D25))+(D26))+(D27)</f>
        <v>40965289.280000001</v>
      </c>
    </row>
    <row r="29" spans="1:4" x14ac:dyDescent="0.2">
      <c r="A29" s="3" t="s">
        <v>24</v>
      </c>
      <c r="B29" s="4"/>
      <c r="C29" s="4"/>
      <c r="D29" s="4"/>
    </row>
    <row r="30" spans="1:4" x14ac:dyDescent="0.2">
      <c r="A30" s="3" t="s">
        <v>25</v>
      </c>
      <c r="B30" s="5">
        <f>5497890</f>
        <v>5497890</v>
      </c>
      <c r="C30" s="5">
        <f>6503007.76</f>
        <v>6503007.7599999998</v>
      </c>
      <c r="D30" s="5">
        <f>6503007.76</f>
        <v>6503007.7599999998</v>
      </c>
    </row>
    <row r="31" spans="1:4" x14ac:dyDescent="0.2">
      <c r="A31" s="3" t="s">
        <v>26</v>
      </c>
      <c r="B31" s="5">
        <f>2879966</f>
        <v>2879966</v>
      </c>
      <c r="C31" s="5">
        <f>2284149</f>
        <v>2284149</v>
      </c>
      <c r="D31" s="5">
        <f>2284149</f>
        <v>2284149</v>
      </c>
    </row>
    <row r="32" spans="1:4" x14ac:dyDescent="0.2">
      <c r="A32" s="3" t="s">
        <v>27</v>
      </c>
      <c r="B32" s="5">
        <f>4189321</f>
        <v>4189321</v>
      </c>
      <c r="C32" s="5">
        <f>3591436</f>
        <v>3591436</v>
      </c>
      <c r="D32" s="5">
        <f>3591436</f>
        <v>3591436</v>
      </c>
    </row>
    <row r="33" spans="1:4" x14ac:dyDescent="0.2">
      <c r="A33" s="3" t="s">
        <v>28</v>
      </c>
      <c r="B33" s="5">
        <f>1063278</f>
        <v>1063278</v>
      </c>
      <c r="C33" s="5">
        <f>559813</f>
        <v>559813</v>
      </c>
      <c r="D33" s="5">
        <f>559813</f>
        <v>559813</v>
      </c>
    </row>
    <row r="34" spans="1:4" x14ac:dyDescent="0.2">
      <c r="A34" s="3" t="s">
        <v>29</v>
      </c>
      <c r="B34" s="5">
        <f>11537065</f>
        <v>11537065</v>
      </c>
      <c r="C34" s="5">
        <f>7067364.78</f>
        <v>7067364.7800000003</v>
      </c>
      <c r="D34" s="5">
        <f>7067364.78</f>
        <v>7067364.7800000003</v>
      </c>
    </row>
    <row r="35" spans="1:4" x14ac:dyDescent="0.2">
      <c r="A35" s="3" t="s">
        <v>30</v>
      </c>
      <c r="B35" s="6">
        <f>(((((B29)+(B30))+(B31))+(B32))+(B33))+(B34)</f>
        <v>25167520</v>
      </c>
      <c r="C35" s="6">
        <f>(((((C29)+(C30))+(C31))+(C32))+(C33))+(C34)</f>
        <v>20005770.539999999</v>
      </c>
      <c r="D35" s="6">
        <f>(((((D29)+(D30))+(D31))+(D32))+(D33))+(D34)</f>
        <v>20005770.539999999</v>
      </c>
    </row>
    <row r="36" spans="1:4" x14ac:dyDescent="0.2">
      <c r="A36" s="3" t="s">
        <v>31</v>
      </c>
      <c r="B36" s="5">
        <f>5383087</f>
        <v>5383087</v>
      </c>
      <c r="C36" s="5">
        <f>5725174</f>
        <v>5725174</v>
      </c>
      <c r="D36" s="5">
        <f>5725174</f>
        <v>5725174</v>
      </c>
    </row>
    <row r="37" spans="1:4" x14ac:dyDescent="0.2">
      <c r="A37" s="3" t="s">
        <v>32</v>
      </c>
      <c r="B37" s="5">
        <f>11717227</f>
        <v>11717227</v>
      </c>
      <c r="C37" s="5">
        <f>8328739.74</f>
        <v>8328739.7400000002</v>
      </c>
      <c r="D37" s="5">
        <f>8328739.74</f>
        <v>8328739.7400000002</v>
      </c>
    </row>
    <row r="38" spans="1:4" x14ac:dyDescent="0.2">
      <c r="A38" s="3" t="s">
        <v>33</v>
      </c>
      <c r="B38" s="5">
        <f>6462248</f>
        <v>6462248</v>
      </c>
      <c r="C38" s="5">
        <f>5714227</f>
        <v>5714227</v>
      </c>
      <c r="D38" s="5">
        <f>5714227</f>
        <v>5714227</v>
      </c>
    </row>
    <row r="39" spans="1:4" x14ac:dyDescent="0.2">
      <c r="A39" s="3" t="s">
        <v>34</v>
      </c>
      <c r="B39" s="5">
        <f>3955092</f>
        <v>3955092</v>
      </c>
      <c r="C39" s="5">
        <f>2776860.65</f>
        <v>2776860.65</v>
      </c>
      <c r="D39" s="5">
        <f>2776860.65</f>
        <v>2776860.65</v>
      </c>
    </row>
    <row r="40" spans="1:4" x14ac:dyDescent="0.2">
      <c r="A40" s="3" t="s">
        <v>35</v>
      </c>
      <c r="B40" s="5">
        <f>5360259.4</f>
        <v>5360259.4000000004</v>
      </c>
      <c r="C40" s="5">
        <f>5022374</f>
        <v>5022374</v>
      </c>
      <c r="D40" s="5">
        <f>5022374</f>
        <v>5022374</v>
      </c>
    </row>
    <row r="41" spans="1:4" x14ac:dyDescent="0.2">
      <c r="A41" s="3" t="s">
        <v>36</v>
      </c>
      <c r="B41" s="5">
        <f>3883894</f>
        <v>3883894</v>
      </c>
      <c r="C41" s="5">
        <f>3188916</f>
        <v>3188916</v>
      </c>
      <c r="D41" s="5">
        <f>3188916</f>
        <v>3188916</v>
      </c>
    </row>
    <row r="42" spans="1:4" x14ac:dyDescent="0.2">
      <c r="A42" s="3" t="s">
        <v>37</v>
      </c>
      <c r="B42" s="6">
        <f>((((((((B22)+(B28))+(B35))+(B36))+(B37))+(B38))+(B39))+(B40))+(B41)</f>
        <v>112339181.40000001</v>
      </c>
      <c r="C42" s="6">
        <f>((((((((C22)+(C28))+(C35))+(C36))+(C37))+(C38))+(C39))+(C40))+(C41)</f>
        <v>91727351.210000008</v>
      </c>
      <c r="D42" s="6">
        <f>((((((((D22)+(D28))+(D35))+(D36))+(D37))+(D38))+(D39))+(D40))+(D41)</f>
        <v>91727351.210000008</v>
      </c>
    </row>
    <row r="43" spans="1:4" x14ac:dyDescent="0.2">
      <c r="A43" s="3" t="s">
        <v>38</v>
      </c>
      <c r="B43" s="4"/>
      <c r="C43" s="4"/>
      <c r="D43" s="4"/>
    </row>
    <row r="44" spans="1:4" x14ac:dyDescent="0.2">
      <c r="A44" s="3" t="s">
        <v>39</v>
      </c>
      <c r="B44" s="5">
        <f>31724243</f>
        <v>31724243</v>
      </c>
      <c r="C44" s="5">
        <f>31318401.33</f>
        <v>31318401.329999998</v>
      </c>
      <c r="D44" s="5">
        <f>31318401.33</f>
        <v>31318401.329999998</v>
      </c>
    </row>
    <row r="45" spans="1:4" x14ac:dyDescent="0.2">
      <c r="A45" s="3" t="s">
        <v>40</v>
      </c>
      <c r="B45" s="5">
        <f>5613330</f>
        <v>5613330</v>
      </c>
      <c r="C45" s="5">
        <f>3075870</f>
        <v>3075870</v>
      </c>
      <c r="D45" s="5">
        <f>3075870</f>
        <v>3075870</v>
      </c>
    </row>
    <row r="46" spans="1:4" x14ac:dyDescent="0.2">
      <c r="A46" s="3" t="s">
        <v>41</v>
      </c>
      <c r="B46" s="5">
        <f>5509755</f>
        <v>5509755</v>
      </c>
      <c r="C46" s="5">
        <f>6357741</f>
        <v>6357741</v>
      </c>
      <c r="D46" s="5">
        <f>6357741</f>
        <v>6357741</v>
      </c>
    </row>
    <row r="47" spans="1:4" x14ac:dyDescent="0.2">
      <c r="A47" s="3" t="s">
        <v>42</v>
      </c>
      <c r="B47" s="6">
        <f>(((B43)+(B44))+(B45))+(B46)</f>
        <v>42847328</v>
      </c>
      <c r="C47" s="6">
        <f>(((C43)+(C44))+(C45))+(C46)</f>
        <v>40752012.329999998</v>
      </c>
      <c r="D47" s="6">
        <f>(((D43)+(D44))+(D45))+(D46)</f>
        <v>40752012.329999998</v>
      </c>
    </row>
    <row r="48" spans="1:4" x14ac:dyDescent="0.2">
      <c r="A48" s="3" t="s">
        <v>43</v>
      </c>
      <c r="B48" s="4"/>
      <c r="C48" s="4"/>
      <c r="D48" s="4"/>
    </row>
    <row r="49" spans="1:4" x14ac:dyDescent="0.2">
      <c r="A49" s="3" t="s">
        <v>44</v>
      </c>
      <c r="B49" s="5">
        <f>10157791</f>
        <v>10157791</v>
      </c>
      <c r="C49" s="5">
        <f>8109391</f>
        <v>8109391</v>
      </c>
      <c r="D49" s="5">
        <f>8109391</f>
        <v>8109391</v>
      </c>
    </row>
    <row r="50" spans="1:4" x14ac:dyDescent="0.2">
      <c r="A50" s="3" t="s">
        <v>45</v>
      </c>
      <c r="B50" s="5">
        <f>11850509.79</f>
        <v>11850509.789999999</v>
      </c>
      <c r="C50" s="5">
        <f>7767374</f>
        <v>7767374</v>
      </c>
      <c r="D50" s="5">
        <f>7767374</f>
        <v>7767374</v>
      </c>
    </row>
    <row r="51" spans="1:4" x14ac:dyDescent="0.2">
      <c r="A51" s="3" t="s">
        <v>46</v>
      </c>
      <c r="B51" s="5">
        <f>9800315</f>
        <v>9800315</v>
      </c>
      <c r="C51" s="5">
        <f>9703143.3</f>
        <v>9703143.3000000007</v>
      </c>
      <c r="D51" s="5">
        <f>9703143.3</f>
        <v>9703143.3000000007</v>
      </c>
    </row>
    <row r="52" spans="1:4" x14ac:dyDescent="0.2">
      <c r="A52" s="3" t="s">
        <v>47</v>
      </c>
      <c r="B52" s="5">
        <f>1575561</f>
        <v>1575561</v>
      </c>
      <c r="C52" s="5">
        <f>1775331</f>
        <v>1775331</v>
      </c>
      <c r="D52" s="5">
        <f>1775331</f>
        <v>1775331</v>
      </c>
    </row>
    <row r="53" spans="1:4" x14ac:dyDescent="0.2">
      <c r="A53" s="3" t="s">
        <v>48</v>
      </c>
      <c r="B53" s="5">
        <f>703228</f>
        <v>703228</v>
      </c>
      <c r="C53" s="5">
        <f>962071</f>
        <v>962071</v>
      </c>
      <c r="D53" s="5">
        <f>962071</f>
        <v>962071</v>
      </c>
    </row>
    <row r="54" spans="1:4" x14ac:dyDescent="0.2">
      <c r="A54" s="3" t="s">
        <v>49</v>
      </c>
      <c r="B54" s="5">
        <f>1737493</f>
        <v>1737493</v>
      </c>
      <c r="C54" s="5">
        <f>1935156</f>
        <v>1935156</v>
      </c>
      <c r="D54" s="5">
        <f>1935156</f>
        <v>1935156</v>
      </c>
    </row>
    <row r="55" spans="1:4" x14ac:dyDescent="0.2">
      <c r="A55" s="3" t="s">
        <v>50</v>
      </c>
      <c r="B55" s="5">
        <f>1679206</f>
        <v>1679206</v>
      </c>
      <c r="C55" s="5">
        <f>1233257</f>
        <v>1233257</v>
      </c>
      <c r="D55" s="5">
        <f>1233257</f>
        <v>1233257</v>
      </c>
    </row>
    <row r="56" spans="1:4" x14ac:dyDescent="0.2">
      <c r="A56" s="3" t="s">
        <v>51</v>
      </c>
      <c r="B56" s="5">
        <f>883200</f>
        <v>883200</v>
      </c>
      <c r="C56" s="4"/>
      <c r="D56" s="4"/>
    </row>
    <row r="57" spans="1:4" x14ac:dyDescent="0.2">
      <c r="A57" s="3" t="s">
        <v>52</v>
      </c>
      <c r="B57" s="6">
        <f>((((((((B48)+(B49))+(B50))+(B51))+(B52))+(B53))+(B54))+(B55))+(B56)</f>
        <v>38387303.789999999</v>
      </c>
      <c r="C57" s="6">
        <f>((((((((C48)+(C49))+(C50))+(C51))+(C52))+(C53))+(C54))+(C55))+(C56)</f>
        <v>31485723.300000001</v>
      </c>
      <c r="D57" s="6">
        <f>((((((((D48)+(D49))+(D50))+(D51))+(D52))+(D53))+(D54))+(D55))+(D56)</f>
        <v>31485723.300000001</v>
      </c>
    </row>
    <row r="58" spans="1:4" x14ac:dyDescent="0.2">
      <c r="A58" s="3" t="s">
        <v>53</v>
      </c>
      <c r="B58" s="6">
        <f>((B42)+(B47))+(B57)</f>
        <v>193573813.19</v>
      </c>
      <c r="C58" s="6">
        <f>((C42)+(C47))+(C57)</f>
        <v>163965086.84</v>
      </c>
      <c r="D58" s="6">
        <f>((D42)+(D47))+(D57)</f>
        <v>163965086.84</v>
      </c>
    </row>
    <row r="59" spans="1:4" x14ac:dyDescent="0.2">
      <c r="A59" s="3" t="s">
        <v>54</v>
      </c>
      <c r="B59" s="6">
        <f>(B20)-(B58)</f>
        <v>59497037</v>
      </c>
      <c r="C59" s="6">
        <f>(C20)-(C58)</f>
        <v>50353581.329999983</v>
      </c>
      <c r="D59" s="6">
        <f>(D20)-(D58)</f>
        <v>50353581.329999983</v>
      </c>
    </row>
    <row r="60" spans="1:4" x14ac:dyDescent="0.2">
      <c r="A60" s="3" t="s">
        <v>55</v>
      </c>
      <c r="B60" s="4"/>
      <c r="C60" s="4"/>
      <c r="D60" s="4"/>
    </row>
    <row r="61" spans="1:4" x14ac:dyDescent="0.2">
      <c r="A61" s="3" t="s">
        <v>56</v>
      </c>
      <c r="B61" s="4"/>
      <c r="C61" s="4"/>
      <c r="D61" s="4"/>
    </row>
    <row r="62" spans="1:4" x14ac:dyDescent="0.2">
      <c r="A62" s="3" t="s">
        <v>57</v>
      </c>
      <c r="B62" s="5">
        <f>42288550</f>
        <v>42288550</v>
      </c>
      <c r="C62" s="5">
        <f>31788791</f>
        <v>31788791</v>
      </c>
      <c r="D62" s="5">
        <f>31788791</f>
        <v>31788791</v>
      </c>
    </row>
    <row r="63" spans="1:4" x14ac:dyDescent="0.2">
      <c r="A63" s="3" t="s">
        <v>58</v>
      </c>
      <c r="B63" s="5">
        <f>7202391.5</f>
        <v>7202391.5</v>
      </c>
      <c r="C63" s="5">
        <f>4953356.21</f>
        <v>4953356.21</v>
      </c>
      <c r="D63" s="5">
        <f>4953356.21</f>
        <v>4953356.21</v>
      </c>
    </row>
    <row r="64" spans="1:4" x14ac:dyDescent="0.2">
      <c r="A64" s="3" t="s">
        <v>59</v>
      </c>
      <c r="B64" s="6">
        <f>((B61)+(B62))+(B63)</f>
        <v>49490941.5</v>
      </c>
      <c r="C64" s="6">
        <f>((C61)+(C62))+(C63)</f>
        <v>36742147.210000001</v>
      </c>
      <c r="D64" s="6">
        <f>((D61)+(D62))+(D63)</f>
        <v>36742147.210000001</v>
      </c>
    </row>
    <row r="65" spans="1:4" x14ac:dyDescent="0.2">
      <c r="A65" s="3" t="s">
        <v>60</v>
      </c>
      <c r="B65" s="6">
        <f>B64</f>
        <v>49490941.5</v>
      </c>
      <c r="C65" s="6">
        <f>C64</f>
        <v>36742147.210000001</v>
      </c>
      <c r="D65" s="6">
        <f>D64</f>
        <v>36742147.210000001</v>
      </c>
    </row>
    <row r="66" spans="1:4" x14ac:dyDescent="0.2">
      <c r="A66" s="3" t="s">
        <v>61</v>
      </c>
      <c r="B66" s="4"/>
      <c r="C66" s="4"/>
      <c r="D66" s="4"/>
    </row>
    <row r="67" spans="1:4" x14ac:dyDescent="0.2">
      <c r="A67" s="3" t="s">
        <v>62</v>
      </c>
      <c r="B67" s="4"/>
      <c r="C67" s="4"/>
      <c r="D67" s="4"/>
    </row>
    <row r="68" spans="1:4" x14ac:dyDescent="0.2">
      <c r="A68" s="3" t="s">
        <v>63</v>
      </c>
      <c r="B68" s="4"/>
      <c r="C68" s="5">
        <f>8357523.67</f>
        <v>8357523.6699999999</v>
      </c>
      <c r="D68" s="5">
        <f>8357523.67</f>
        <v>8357523.6699999999</v>
      </c>
    </row>
    <row r="69" spans="1:4" x14ac:dyDescent="0.2">
      <c r="A69" s="3" t="s">
        <v>64</v>
      </c>
      <c r="B69" s="5">
        <f>4620050</f>
        <v>4620050</v>
      </c>
      <c r="C69" s="5">
        <f>1499583</f>
        <v>1499583</v>
      </c>
      <c r="D69" s="5">
        <f>1499583</f>
        <v>1499583</v>
      </c>
    </row>
    <row r="70" spans="1:4" x14ac:dyDescent="0.2">
      <c r="A70" s="3" t="s">
        <v>65</v>
      </c>
      <c r="B70" s="5">
        <f>403667</f>
        <v>403667</v>
      </c>
      <c r="C70" s="5">
        <f>623333</f>
        <v>623333</v>
      </c>
      <c r="D70" s="5">
        <f>623333</f>
        <v>623333</v>
      </c>
    </row>
    <row r="71" spans="1:4" x14ac:dyDescent="0.2">
      <c r="A71" s="3" t="s">
        <v>66</v>
      </c>
      <c r="B71" s="5">
        <f>7206153</f>
        <v>7206153</v>
      </c>
      <c r="C71" s="5">
        <f>1516220</f>
        <v>1516220</v>
      </c>
      <c r="D71" s="5">
        <f>1516220</f>
        <v>1516220</v>
      </c>
    </row>
    <row r="72" spans="1:4" x14ac:dyDescent="0.2">
      <c r="A72" s="3" t="s">
        <v>67</v>
      </c>
      <c r="B72" s="5">
        <f>2322271</f>
        <v>2322271</v>
      </c>
      <c r="C72" s="5">
        <f>674833</f>
        <v>674833</v>
      </c>
      <c r="D72" s="5">
        <f>674833</f>
        <v>674833</v>
      </c>
    </row>
    <row r="73" spans="1:4" x14ac:dyDescent="0.2">
      <c r="A73" s="3" t="s">
        <v>68</v>
      </c>
      <c r="B73" s="6">
        <f>((((B68)+(B69))+(B70))+(B71))+(B72)</f>
        <v>14552141</v>
      </c>
      <c r="C73" s="6">
        <f>((((C68)+(C69))+(C70))+(C71))+(C72)</f>
        <v>12671492.67</v>
      </c>
      <c r="D73" s="6">
        <f>((((D68)+(D69))+(D70))+(D71))+(D72)</f>
        <v>12671492.67</v>
      </c>
    </row>
    <row r="74" spans="1:4" x14ac:dyDescent="0.2">
      <c r="A74" s="3" t="s">
        <v>69</v>
      </c>
      <c r="B74" s="5">
        <f>1942145.75</f>
        <v>1942145.75</v>
      </c>
      <c r="C74" s="5">
        <f>1024096.25</f>
        <v>1024096.25</v>
      </c>
      <c r="D74" s="5">
        <f>1024096.25</f>
        <v>1024096.25</v>
      </c>
    </row>
    <row r="75" spans="1:4" x14ac:dyDescent="0.2">
      <c r="A75" s="3" t="s">
        <v>70</v>
      </c>
      <c r="B75" s="4"/>
      <c r="C75" s="4"/>
      <c r="D75" s="4"/>
    </row>
    <row r="76" spans="1:4" x14ac:dyDescent="0.2">
      <c r="A76" s="3" t="s">
        <v>71</v>
      </c>
      <c r="B76" s="5">
        <f>2790522</f>
        <v>2790522</v>
      </c>
      <c r="C76" s="5">
        <f>2068156</f>
        <v>2068156</v>
      </c>
      <c r="D76" s="5">
        <f>2068156</f>
        <v>2068156</v>
      </c>
    </row>
    <row r="77" spans="1:4" x14ac:dyDescent="0.2">
      <c r="A77" s="3" t="s">
        <v>72</v>
      </c>
      <c r="B77" s="4"/>
      <c r="C77" s="5">
        <f>2672536.67</f>
        <v>2672536.67</v>
      </c>
      <c r="D77" s="5">
        <f>2672536.67</f>
        <v>2672536.67</v>
      </c>
    </row>
    <row r="78" spans="1:4" x14ac:dyDescent="0.2">
      <c r="A78" s="3" t="s">
        <v>73</v>
      </c>
      <c r="B78" s="6">
        <f>((B75)+(B76))+(B77)</f>
        <v>2790522</v>
      </c>
      <c r="C78" s="6">
        <f>((C75)+(C76))+(C77)</f>
        <v>4740692.67</v>
      </c>
      <c r="D78" s="6">
        <f>((D75)+(D76))+(D77)</f>
        <v>4740692.67</v>
      </c>
    </row>
    <row r="79" spans="1:4" x14ac:dyDescent="0.2">
      <c r="A79" s="3" t="s">
        <v>74</v>
      </c>
      <c r="B79" s="6">
        <f>(((B67)+(B73))+(B74))+(B78)</f>
        <v>19284808.75</v>
      </c>
      <c r="C79" s="6">
        <f>(((C67)+(C73))+(C74))+(C78)</f>
        <v>18436281.59</v>
      </c>
      <c r="D79" s="6">
        <f>(((D67)+(D73))+(D74))+(D78)</f>
        <v>18436281.59</v>
      </c>
    </row>
    <row r="80" spans="1:4" x14ac:dyDescent="0.2">
      <c r="A80" s="3" t="s">
        <v>75</v>
      </c>
      <c r="B80" s="4"/>
      <c r="C80" s="4"/>
      <c r="D80" s="4"/>
    </row>
    <row r="81" spans="1:4" x14ac:dyDescent="0.2">
      <c r="A81" s="3" t="s">
        <v>76</v>
      </c>
      <c r="B81" s="5">
        <f>2153100</f>
        <v>2153100</v>
      </c>
      <c r="C81" s="5">
        <f>1232583</f>
        <v>1232583</v>
      </c>
      <c r="D81" s="5">
        <f>1232583</f>
        <v>1232583</v>
      </c>
    </row>
    <row r="82" spans="1:4" x14ac:dyDescent="0.2">
      <c r="A82" s="3" t="s">
        <v>77</v>
      </c>
      <c r="B82" s="4"/>
      <c r="C82" s="5">
        <f>27500</f>
        <v>27500</v>
      </c>
      <c r="D82" s="5">
        <f>27500</f>
        <v>27500</v>
      </c>
    </row>
    <row r="83" spans="1:4" x14ac:dyDescent="0.2">
      <c r="A83" s="3" t="s">
        <v>78</v>
      </c>
      <c r="B83" s="5">
        <f>4370</f>
        <v>4370</v>
      </c>
      <c r="C83" s="5">
        <f>6830</f>
        <v>6830</v>
      </c>
      <c r="D83" s="5">
        <f>6830</f>
        <v>6830</v>
      </c>
    </row>
    <row r="84" spans="1:4" x14ac:dyDescent="0.2">
      <c r="A84" s="3" t="s">
        <v>79</v>
      </c>
      <c r="B84" s="6">
        <f>(((B80)+(B81))+(B82))+(B83)</f>
        <v>2157470</v>
      </c>
      <c r="C84" s="6">
        <f>(((C80)+(C81))+(C82))+(C83)</f>
        <v>1266913</v>
      </c>
      <c r="D84" s="6">
        <f>(((D80)+(D81))+(D82))+(D83)</f>
        <v>1266913</v>
      </c>
    </row>
    <row r="85" spans="1:4" x14ac:dyDescent="0.2">
      <c r="A85" s="3" t="s">
        <v>80</v>
      </c>
      <c r="B85" s="4"/>
      <c r="C85" s="4"/>
      <c r="D85" s="4"/>
    </row>
    <row r="86" spans="1:4" x14ac:dyDescent="0.2">
      <c r="A86" s="3" t="s">
        <v>81</v>
      </c>
      <c r="B86" s="5">
        <f>1208835</f>
        <v>1208835</v>
      </c>
      <c r="C86" s="5">
        <f>527351</f>
        <v>527351</v>
      </c>
      <c r="D86" s="5">
        <f>527351</f>
        <v>527351</v>
      </c>
    </row>
    <row r="87" spans="1:4" x14ac:dyDescent="0.2">
      <c r="A87" s="3" t="s">
        <v>82</v>
      </c>
      <c r="B87" s="5">
        <f>44420</f>
        <v>44420</v>
      </c>
      <c r="C87" s="5">
        <f>61440</f>
        <v>61440</v>
      </c>
      <c r="D87" s="5">
        <f>61440</f>
        <v>61440</v>
      </c>
    </row>
    <row r="88" spans="1:4" x14ac:dyDescent="0.2">
      <c r="A88" s="3" t="s">
        <v>83</v>
      </c>
      <c r="B88" s="6">
        <f>((B85)+(B86))+(B87)</f>
        <v>1253255</v>
      </c>
      <c r="C88" s="6">
        <f>((C85)+(C86))+(C87)</f>
        <v>588791</v>
      </c>
      <c r="D88" s="6">
        <f>((D85)+(D86))+(D87)</f>
        <v>588791</v>
      </c>
    </row>
    <row r="89" spans="1:4" x14ac:dyDescent="0.2">
      <c r="A89" s="3" t="s">
        <v>84</v>
      </c>
      <c r="B89" s="4"/>
      <c r="C89" s="4"/>
      <c r="D89" s="4"/>
    </row>
    <row r="90" spans="1:4" x14ac:dyDescent="0.2">
      <c r="A90" s="3" t="s">
        <v>85</v>
      </c>
      <c r="B90" s="5">
        <f>224000</f>
        <v>224000</v>
      </c>
      <c r="C90" s="5">
        <f>224000</f>
        <v>224000</v>
      </c>
      <c r="D90" s="5">
        <f>224000</f>
        <v>224000</v>
      </c>
    </row>
    <row r="91" spans="1:4" x14ac:dyDescent="0.2">
      <c r="A91" s="3" t="s">
        <v>86</v>
      </c>
      <c r="B91" s="5">
        <f>3714037.5</f>
        <v>3714037.5</v>
      </c>
      <c r="C91" s="5">
        <f>3268620</f>
        <v>3268620</v>
      </c>
      <c r="D91" s="5">
        <f>3268620</f>
        <v>3268620</v>
      </c>
    </row>
    <row r="92" spans="1:4" x14ac:dyDescent="0.2">
      <c r="A92" s="3" t="s">
        <v>87</v>
      </c>
      <c r="B92" s="5">
        <f>30770</f>
        <v>30770</v>
      </c>
      <c r="C92" s="4"/>
      <c r="D92" s="4"/>
    </row>
    <row r="93" spans="1:4" x14ac:dyDescent="0.2">
      <c r="A93" s="3" t="s">
        <v>88</v>
      </c>
      <c r="B93" s="5">
        <f>2964370.47</f>
        <v>2964370.47</v>
      </c>
      <c r="C93" s="5">
        <f>2500856.29</f>
        <v>2500856.29</v>
      </c>
      <c r="D93" s="5">
        <f>2500856.29</f>
        <v>2500856.29</v>
      </c>
    </row>
    <row r="94" spans="1:4" x14ac:dyDescent="0.2">
      <c r="A94" s="3" t="s">
        <v>89</v>
      </c>
      <c r="B94" s="6">
        <f>((((B89)+(B90))+(B91))+(B92))+(B93)</f>
        <v>6933177.9700000007</v>
      </c>
      <c r="C94" s="6">
        <f>((((C89)+(C90))+(C91))+(C92))+(C93)</f>
        <v>5993476.29</v>
      </c>
      <c r="D94" s="6">
        <f>((((D89)+(D90))+(D91))+(D92))+(D93)</f>
        <v>5993476.29</v>
      </c>
    </row>
    <row r="95" spans="1:4" x14ac:dyDescent="0.2">
      <c r="A95" s="3" t="s">
        <v>90</v>
      </c>
      <c r="B95" s="4"/>
      <c r="C95" s="4"/>
      <c r="D95" s="4"/>
    </row>
    <row r="96" spans="1:4" x14ac:dyDescent="0.2">
      <c r="A96" s="3" t="s">
        <v>91</v>
      </c>
      <c r="B96" s="5">
        <f>167870</f>
        <v>167870</v>
      </c>
      <c r="C96" s="5">
        <f>162062</f>
        <v>162062</v>
      </c>
      <c r="D96" s="5">
        <f>162062</f>
        <v>162062</v>
      </c>
    </row>
    <row r="97" spans="1:4" x14ac:dyDescent="0.2">
      <c r="A97" s="3" t="s">
        <v>92</v>
      </c>
      <c r="B97" s="5">
        <f>554838.21</f>
        <v>554838.21</v>
      </c>
      <c r="C97" s="5">
        <f>352593</f>
        <v>352593</v>
      </c>
      <c r="D97" s="5">
        <f>352593</f>
        <v>352593</v>
      </c>
    </row>
    <row r="98" spans="1:4" x14ac:dyDescent="0.2">
      <c r="A98" s="3" t="s">
        <v>93</v>
      </c>
      <c r="B98" s="5">
        <f>7899</f>
        <v>7899</v>
      </c>
      <c r="C98" s="5">
        <f>20496</f>
        <v>20496</v>
      </c>
      <c r="D98" s="5">
        <f>20496</f>
        <v>20496</v>
      </c>
    </row>
    <row r="99" spans="1:4" x14ac:dyDescent="0.2">
      <c r="A99" s="3" t="s">
        <v>94</v>
      </c>
      <c r="B99" s="5">
        <f>36070</f>
        <v>36070</v>
      </c>
      <c r="C99" s="5">
        <f>30280</f>
        <v>30280</v>
      </c>
      <c r="D99" s="5">
        <f>30280</f>
        <v>30280</v>
      </c>
    </row>
    <row r="100" spans="1:4" x14ac:dyDescent="0.2">
      <c r="A100" s="3" t="s">
        <v>95</v>
      </c>
      <c r="B100" s="6">
        <f>((((B95)+(B96))+(B97))+(B98))+(B99)</f>
        <v>766677.21</v>
      </c>
      <c r="C100" s="6">
        <f>((((C95)+(C96))+(C97))+(C98))+(C99)</f>
        <v>565431</v>
      </c>
      <c r="D100" s="6">
        <f>((((D95)+(D96))+(D97))+(D98))+(D99)</f>
        <v>565431</v>
      </c>
    </row>
    <row r="101" spans="1:4" x14ac:dyDescent="0.2">
      <c r="A101" s="3" t="s">
        <v>96</v>
      </c>
      <c r="B101" s="4"/>
      <c r="C101" s="4"/>
      <c r="D101" s="4"/>
    </row>
    <row r="102" spans="1:4" x14ac:dyDescent="0.2">
      <c r="A102" s="3" t="s">
        <v>97</v>
      </c>
      <c r="B102" s="5">
        <f>229305</f>
        <v>229305</v>
      </c>
      <c r="C102" s="5">
        <f>36100</f>
        <v>36100</v>
      </c>
      <c r="D102" s="5">
        <f>36100</f>
        <v>36100</v>
      </c>
    </row>
    <row r="103" spans="1:4" x14ac:dyDescent="0.2">
      <c r="A103" s="3" t="s">
        <v>98</v>
      </c>
      <c r="B103" s="5">
        <f>252804</f>
        <v>252804</v>
      </c>
      <c r="C103" s="5">
        <f>179125</f>
        <v>179125</v>
      </c>
      <c r="D103" s="5">
        <f>179125</f>
        <v>179125</v>
      </c>
    </row>
    <row r="104" spans="1:4" x14ac:dyDescent="0.2">
      <c r="A104" s="3" t="s">
        <v>99</v>
      </c>
      <c r="B104" s="5">
        <f>415596</f>
        <v>415596</v>
      </c>
      <c r="C104" s="5">
        <f>207604</f>
        <v>207604</v>
      </c>
      <c r="D104" s="5">
        <f>207604</f>
        <v>207604</v>
      </c>
    </row>
    <row r="105" spans="1:4" x14ac:dyDescent="0.2">
      <c r="A105" s="3" t="s">
        <v>100</v>
      </c>
      <c r="B105" s="6">
        <f>(((B101)+(B102))+(B103))+(B104)</f>
        <v>897705</v>
      </c>
      <c r="C105" s="6">
        <f>(((C101)+(C102))+(C103))+(C104)</f>
        <v>422829</v>
      </c>
      <c r="D105" s="6">
        <f>(((D101)+(D102))+(D103))+(D104)</f>
        <v>422829</v>
      </c>
    </row>
    <row r="106" spans="1:4" x14ac:dyDescent="0.2">
      <c r="A106" s="3" t="s">
        <v>101</v>
      </c>
      <c r="B106" s="4"/>
      <c r="C106" s="4"/>
      <c r="D106" s="4"/>
    </row>
    <row r="107" spans="1:4" x14ac:dyDescent="0.2">
      <c r="A107" s="3" t="s">
        <v>102</v>
      </c>
      <c r="B107" s="5">
        <f>3322504</f>
        <v>3322504</v>
      </c>
      <c r="C107" s="5">
        <f>2530438</f>
        <v>2530438</v>
      </c>
      <c r="D107" s="5">
        <f>2530438</f>
        <v>2530438</v>
      </c>
    </row>
    <row r="108" spans="1:4" x14ac:dyDescent="0.2">
      <c r="A108" s="3" t="s">
        <v>103</v>
      </c>
      <c r="B108" s="5">
        <f>0</f>
        <v>0</v>
      </c>
      <c r="C108" s="5">
        <f>32530</f>
        <v>32530</v>
      </c>
      <c r="D108" s="5">
        <f>32530</f>
        <v>32530</v>
      </c>
    </row>
    <row r="109" spans="1:4" x14ac:dyDescent="0.2">
      <c r="A109" s="3" t="s">
        <v>104</v>
      </c>
      <c r="B109" s="6">
        <f>((B106)+(B107))+(B108)</f>
        <v>3322504</v>
      </c>
      <c r="C109" s="6">
        <f>((C106)+(C107))+(C108)</f>
        <v>2562968</v>
      </c>
      <c r="D109" s="6">
        <f>((D106)+(D107))+(D108)</f>
        <v>2562968</v>
      </c>
    </row>
    <row r="110" spans="1:4" x14ac:dyDescent="0.2">
      <c r="A110" s="3" t="s">
        <v>105</v>
      </c>
      <c r="B110" s="4"/>
      <c r="C110" s="4"/>
      <c r="D110" s="4"/>
    </row>
    <row r="111" spans="1:4" x14ac:dyDescent="0.2">
      <c r="A111" s="3" t="s">
        <v>106</v>
      </c>
      <c r="B111" s="5">
        <f>337506</f>
        <v>337506</v>
      </c>
      <c r="C111" s="5">
        <f>183168</f>
        <v>183168</v>
      </c>
      <c r="D111" s="5">
        <f>183168</f>
        <v>183168</v>
      </c>
    </row>
    <row r="112" spans="1:4" x14ac:dyDescent="0.2">
      <c r="A112" s="3" t="s">
        <v>107</v>
      </c>
      <c r="B112" s="5">
        <f>326125</f>
        <v>326125</v>
      </c>
      <c r="C112" s="5">
        <f>267854</f>
        <v>267854</v>
      </c>
      <c r="D112" s="5">
        <f>267854</f>
        <v>267854</v>
      </c>
    </row>
    <row r="113" spans="1:4" x14ac:dyDescent="0.2">
      <c r="A113" s="3" t="s">
        <v>108</v>
      </c>
      <c r="B113" s="6">
        <f>((B110)+(B111))+(B112)</f>
        <v>663631</v>
      </c>
      <c r="C113" s="6">
        <f>((C110)+(C111))+(C112)</f>
        <v>451022</v>
      </c>
      <c r="D113" s="6">
        <f>((D110)+(D111))+(D112)</f>
        <v>451022</v>
      </c>
    </row>
    <row r="114" spans="1:4" x14ac:dyDescent="0.2">
      <c r="A114" s="3" t="s">
        <v>109</v>
      </c>
      <c r="B114" s="4"/>
      <c r="C114" s="4"/>
      <c r="D114" s="4"/>
    </row>
    <row r="115" spans="1:4" x14ac:dyDescent="0.2">
      <c r="A115" s="3" t="s">
        <v>110</v>
      </c>
      <c r="B115" s="5">
        <f>1040000</f>
        <v>1040000</v>
      </c>
      <c r="C115" s="5">
        <f>783750</f>
        <v>783750</v>
      </c>
      <c r="D115" s="5">
        <f>783750</f>
        <v>783750</v>
      </c>
    </row>
    <row r="116" spans="1:4" x14ac:dyDescent="0.2">
      <c r="A116" s="3" t="s">
        <v>111</v>
      </c>
      <c r="B116" s="5">
        <f>1720191.52</f>
        <v>1720191.52</v>
      </c>
      <c r="C116" s="5">
        <f>1249578.61</f>
        <v>1249578.6100000001</v>
      </c>
      <c r="D116" s="5">
        <f>1249578.61</f>
        <v>1249578.6100000001</v>
      </c>
    </row>
    <row r="117" spans="1:4" x14ac:dyDescent="0.2">
      <c r="A117" s="3" t="s">
        <v>112</v>
      </c>
      <c r="B117" s="5">
        <f>40000</f>
        <v>40000</v>
      </c>
      <c r="C117" s="5">
        <f>94446</f>
        <v>94446</v>
      </c>
      <c r="D117" s="5">
        <f>94446</f>
        <v>94446</v>
      </c>
    </row>
    <row r="118" spans="1:4" x14ac:dyDescent="0.2">
      <c r="A118" s="3" t="s">
        <v>113</v>
      </c>
      <c r="B118" s="6">
        <f>(((B114)+(B115))+(B116))+(B117)</f>
        <v>2800191.52</v>
      </c>
      <c r="C118" s="6">
        <f>(((C114)+(C115))+(C116))+(C117)</f>
        <v>2127774.6100000003</v>
      </c>
      <c r="D118" s="6">
        <f>(((D114)+(D115))+(D116))+(D117)</f>
        <v>2127774.6100000003</v>
      </c>
    </row>
    <row r="119" spans="1:4" x14ac:dyDescent="0.2">
      <c r="A119" s="3" t="s">
        <v>114</v>
      </c>
      <c r="B119" s="4"/>
      <c r="C119" s="4"/>
      <c r="D119" s="4"/>
    </row>
    <row r="120" spans="1:4" x14ac:dyDescent="0.2">
      <c r="A120" s="3" t="s">
        <v>115</v>
      </c>
      <c r="B120" s="5">
        <f>95212.39</f>
        <v>95212.39</v>
      </c>
      <c r="C120" s="5">
        <f>135435</f>
        <v>135435</v>
      </c>
      <c r="D120" s="5">
        <f>135435</f>
        <v>135435</v>
      </c>
    </row>
    <row r="121" spans="1:4" x14ac:dyDescent="0.2">
      <c r="A121" s="3" t="s">
        <v>116</v>
      </c>
      <c r="B121" s="5">
        <f>177571</f>
        <v>177571</v>
      </c>
      <c r="C121" s="5">
        <f>175641</f>
        <v>175641</v>
      </c>
      <c r="D121" s="5">
        <f>175641</f>
        <v>175641</v>
      </c>
    </row>
    <row r="122" spans="1:4" x14ac:dyDescent="0.2">
      <c r="A122" s="3" t="s">
        <v>117</v>
      </c>
      <c r="B122" s="6">
        <f>((B119)+(B120))+(B121)</f>
        <v>272783.39</v>
      </c>
      <c r="C122" s="6">
        <f>((C119)+(C120))+(C121)</f>
        <v>311076</v>
      </c>
      <c r="D122" s="6">
        <f>((D119)+(D120))+(D121)</f>
        <v>311076</v>
      </c>
    </row>
    <row r="123" spans="1:4" x14ac:dyDescent="0.2">
      <c r="A123" s="3" t="s">
        <v>118</v>
      </c>
      <c r="B123" s="6">
        <f>(((((((((B79)+(B84))+(B88))+(B94))+(B100))+(B105))+(B109))+(B113))+(B118))+(B122)</f>
        <v>38352203.840000004</v>
      </c>
      <c r="C123" s="6">
        <f>(((((((((C79)+(C84))+(C88))+(C94))+(C100))+(C105))+(C109))+(C113))+(C118))+(C122)</f>
        <v>32726562.489999998</v>
      </c>
      <c r="D123" s="6">
        <f>(((((((((D79)+(D84))+(D88))+(D94))+(D100))+(D105))+(D109))+(D113))+(D118))+(D122)</f>
        <v>32726562.489999998</v>
      </c>
    </row>
    <row r="124" spans="1:4" x14ac:dyDescent="0.2">
      <c r="A124" s="3" t="s">
        <v>119</v>
      </c>
      <c r="B124" s="4"/>
      <c r="C124" s="4"/>
      <c r="D124" s="4"/>
    </row>
    <row r="125" spans="1:4" x14ac:dyDescent="0.2">
      <c r="A125" s="3" t="s">
        <v>120</v>
      </c>
      <c r="B125" s="4"/>
      <c r="C125" s="4"/>
      <c r="D125" s="4"/>
    </row>
    <row r="126" spans="1:4" x14ac:dyDescent="0.2">
      <c r="A126" s="3" t="s">
        <v>121</v>
      </c>
      <c r="B126" s="5">
        <f>21253146</f>
        <v>21253146</v>
      </c>
      <c r="C126" s="5">
        <f>26443113</f>
        <v>26443113</v>
      </c>
      <c r="D126" s="5">
        <f>26443113</f>
        <v>26443113</v>
      </c>
    </row>
    <row r="127" spans="1:4" x14ac:dyDescent="0.2">
      <c r="A127" s="3" t="s">
        <v>122</v>
      </c>
      <c r="B127" s="5">
        <f>234608.23</f>
        <v>234608.23</v>
      </c>
      <c r="C127" s="5">
        <f>66571.87</f>
        <v>66571.87</v>
      </c>
      <c r="D127" s="5">
        <f>66571.87</f>
        <v>66571.87</v>
      </c>
    </row>
    <row r="128" spans="1:4" x14ac:dyDescent="0.2">
      <c r="A128" s="3" t="s">
        <v>123</v>
      </c>
      <c r="B128" s="5">
        <f>33193</f>
        <v>33193</v>
      </c>
      <c r="C128" s="5">
        <f>4585273.96</f>
        <v>4585273.96</v>
      </c>
      <c r="D128" s="5">
        <f>4585273.96</f>
        <v>4585273.96</v>
      </c>
    </row>
    <row r="129" spans="1:4" x14ac:dyDescent="0.2">
      <c r="A129" s="3" t="s">
        <v>124</v>
      </c>
      <c r="B129" s="5">
        <f>11094616</f>
        <v>11094616</v>
      </c>
      <c r="C129" s="5">
        <f>5780314</f>
        <v>5780314</v>
      </c>
      <c r="D129" s="5">
        <f>5780314</f>
        <v>5780314</v>
      </c>
    </row>
    <row r="130" spans="1:4" x14ac:dyDescent="0.2">
      <c r="A130" s="3" t="s">
        <v>125</v>
      </c>
      <c r="B130" s="6">
        <f>((((B125)+(B126))+(B127))+(B128))+(B129)</f>
        <v>32615563.23</v>
      </c>
      <c r="C130" s="6">
        <f>((((C125)+(C126))+(C127))+(C128))+(C129)</f>
        <v>36875272.829999998</v>
      </c>
      <c r="D130" s="6">
        <f>((((D125)+(D126))+(D127))+(D128))+(D129)</f>
        <v>36875272.829999998</v>
      </c>
    </row>
    <row r="131" spans="1:4" x14ac:dyDescent="0.2">
      <c r="A131" s="3" t="s">
        <v>126</v>
      </c>
      <c r="B131" s="6">
        <f>B130</f>
        <v>32615563.23</v>
      </c>
      <c r="C131" s="6">
        <f>C130</f>
        <v>36875272.829999998</v>
      </c>
      <c r="D131" s="6">
        <f>D130</f>
        <v>36875272.829999998</v>
      </c>
    </row>
    <row r="132" spans="1:4" x14ac:dyDescent="0.2">
      <c r="A132" s="3" t="s">
        <v>127</v>
      </c>
      <c r="B132" s="7">
        <f>((((B20)+(B65))-(B58))-(B123))-(B131)</f>
        <v>38020211.429999992</v>
      </c>
      <c r="C132" s="7">
        <f>((((C20)+(C65))-(C58))-(C123))-(C131)</f>
        <v>17493893.219999999</v>
      </c>
      <c r="D132" s="7">
        <f>((((D20)+(D65))-(D58))-(D123))-(D131)</f>
        <v>17493893.219999999</v>
      </c>
    </row>
    <row r="133" spans="1:4" x14ac:dyDescent="0.2">
      <c r="A133" s="3"/>
      <c r="B133" s="4"/>
      <c r="C133" s="4"/>
      <c r="D133" s="4"/>
    </row>
    <row r="136" spans="1:4" x14ac:dyDescent="0.2">
      <c r="A136" s="8"/>
      <c r="B136" s="9"/>
      <c r="C136" s="9"/>
    </row>
  </sheetData>
  <mergeCells count="4">
    <mergeCell ref="A136:C136"/>
    <mergeCell ref="A2:C2"/>
    <mergeCell ref="A3:C3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Adnan Khan</cp:lastModifiedBy>
  <dcterms:created xsi:type="dcterms:W3CDTF">2024-02-14T16:56:33Z</dcterms:created>
  <dcterms:modified xsi:type="dcterms:W3CDTF">2024-03-14T22:12:52Z</dcterms:modified>
</cp:coreProperties>
</file>