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nan/Desktop/Python stuff/sample PLs/"/>
    </mc:Choice>
  </mc:AlternateContent>
  <xr:revisionPtr revIDLastSave="0" documentId="13_ncr:1_{D675B44B-BD92-4648-91FA-6C3493D337A0}" xr6:coauthVersionLast="47" xr6:coauthVersionMax="47" xr10:uidLastSave="{00000000-0000-0000-0000-000000000000}"/>
  <bookViews>
    <workbookView xWindow="0" yWindow="500" windowWidth="40960" windowHeight="21000" xr2:uid="{00000000-000D-0000-FFFF-FFFF00000000}"/>
  </bookViews>
  <sheets>
    <sheet name="Profit and Loss 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1" i="1" l="1"/>
  <c r="E111" i="1" s="1"/>
  <c r="E110" i="1"/>
  <c r="B110" i="1"/>
  <c r="D110" i="1" s="1"/>
  <c r="E109" i="1"/>
  <c r="B109" i="1"/>
  <c r="D109" i="1" s="1"/>
  <c r="E106" i="1"/>
  <c r="D106" i="1"/>
  <c r="C106" i="1"/>
  <c r="B106" i="1"/>
  <c r="E105" i="1"/>
  <c r="D105" i="1"/>
  <c r="C105" i="1"/>
  <c r="B105" i="1"/>
  <c r="E104" i="1"/>
  <c r="D104" i="1"/>
  <c r="C104" i="1"/>
  <c r="B104" i="1"/>
  <c r="E102" i="1"/>
  <c r="D102" i="1"/>
  <c r="C102" i="1"/>
  <c r="C103" i="1" s="1"/>
  <c r="E103" i="1" s="1"/>
  <c r="B102" i="1"/>
  <c r="B103" i="1" s="1"/>
  <c r="E101" i="1"/>
  <c r="D101" i="1"/>
  <c r="B101" i="1"/>
  <c r="E100" i="1"/>
  <c r="D100" i="1"/>
  <c r="E99" i="1"/>
  <c r="C99" i="1"/>
  <c r="E98" i="1"/>
  <c r="B98" i="1"/>
  <c r="D98" i="1" s="1"/>
  <c r="E97" i="1"/>
  <c r="D97" i="1"/>
  <c r="B97" i="1"/>
  <c r="E96" i="1"/>
  <c r="D96" i="1"/>
  <c r="B96" i="1"/>
  <c r="B99" i="1" s="1"/>
  <c r="D99" i="1" s="1"/>
  <c r="E95" i="1"/>
  <c r="D95" i="1"/>
  <c r="E93" i="1"/>
  <c r="D93" i="1"/>
  <c r="C93" i="1"/>
  <c r="C94" i="1" s="1"/>
  <c r="B93" i="1"/>
  <c r="E92" i="1"/>
  <c r="D92" i="1"/>
  <c r="B92" i="1"/>
  <c r="E91" i="1"/>
  <c r="D91" i="1"/>
  <c r="B91" i="1"/>
  <c r="B94" i="1" s="1"/>
  <c r="D94" i="1" s="1"/>
  <c r="E90" i="1"/>
  <c r="D90" i="1"/>
  <c r="E88" i="1"/>
  <c r="D88" i="1"/>
  <c r="C88" i="1"/>
  <c r="C89" i="1" s="1"/>
  <c r="B88" i="1"/>
  <c r="B89" i="1" s="1"/>
  <c r="D89" i="1" s="1"/>
  <c r="E87" i="1"/>
  <c r="D87" i="1"/>
  <c r="B87" i="1"/>
  <c r="E86" i="1"/>
  <c r="D86" i="1"/>
  <c r="C85" i="1"/>
  <c r="E84" i="1"/>
  <c r="B84" i="1"/>
  <c r="D84" i="1" s="1"/>
  <c r="E83" i="1"/>
  <c r="D83" i="1"/>
  <c r="C83" i="1"/>
  <c r="B83" i="1"/>
  <c r="E82" i="1"/>
  <c r="D82" i="1"/>
  <c r="B82" i="1"/>
  <c r="E81" i="1"/>
  <c r="D81" i="1"/>
  <c r="B81" i="1"/>
  <c r="B85" i="1" s="1"/>
  <c r="E80" i="1"/>
  <c r="D80" i="1"/>
  <c r="E78" i="1"/>
  <c r="D78" i="1"/>
  <c r="B78" i="1"/>
  <c r="E77" i="1"/>
  <c r="D77" i="1"/>
  <c r="B77" i="1"/>
  <c r="C76" i="1"/>
  <c r="C79" i="1" s="1"/>
  <c r="B76" i="1"/>
  <c r="B79" i="1" s="1"/>
  <c r="D79" i="1" s="1"/>
  <c r="E75" i="1"/>
  <c r="D75" i="1"/>
  <c r="E74" i="1"/>
  <c r="C74" i="1"/>
  <c r="E73" i="1"/>
  <c r="D73" i="1"/>
  <c r="B73" i="1"/>
  <c r="E72" i="1"/>
  <c r="D72" i="1"/>
  <c r="B72" i="1"/>
  <c r="E71" i="1"/>
  <c r="B71" i="1"/>
  <c r="B74" i="1" s="1"/>
  <c r="D74" i="1" s="1"/>
  <c r="E70" i="1"/>
  <c r="D70" i="1"/>
  <c r="D68" i="1"/>
  <c r="C68" i="1"/>
  <c r="E68" i="1" s="1"/>
  <c r="B68" i="1"/>
  <c r="B69" i="1" s="1"/>
  <c r="E67" i="1"/>
  <c r="D67" i="1"/>
  <c r="C65" i="1"/>
  <c r="B65" i="1"/>
  <c r="D65" i="1" s="1"/>
  <c r="C63" i="1"/>
  <c r="B63" i="1"/>
  <c r="D63" i="1" s="1"/>
  <c r="C62" i="1"/>
  <c r="B62" i="1"/>
  <c r="D62" i="1" s="1"/>
  <c r="C61" i="1"/>
  <c r="C64" i="1" s="1"/>
  <c r="B61" i="1"/>
  <c r="D61" i="1" s="1"/>
  <c r="E60" i="1"/>
  <c r="D60" i="1"/>
  <c r="E59" i="1"/>
  <c r="D59" i="1"/>
  <c r="E57" i="1"/>
  <c r="C57" i="1"/>
  <c r="B57" i="1"/>
  <c r="D57" i="1" s="1"/>
  <c r="E56" i="1"/>
  <c r="B56" i="1"/>
  <c r="D56" i="1" s="1"/>
  <c r="E55" i="1"/>
  <c r="D55" i="1"/>
  <c r="B55" i="1"/>
  <c r="C51" i="1"/>
  <c r="E50" i="1"/>
  <c r="B50" i="1"/>
  <c r="D50" i="1" s="1"/>
  <c r="E49" i="1"/>
  <c r="B49" i="1"/>
  <c r="D49" i="1" s="1"/>
  <c r="E48" i="1"/>
  <c r="B48" i="1"/>
  <c r="D48" i="1" s="1"/>
  <c r="E47" i="1"/>
  <c r="D47" i="1"/>
  <c r="C47" i="1"/>
  <c r="B47" i="1"/>
  <c r="E46" i="1"/>
  <c r="D46" i="1"/>
  <c r="C46" i="1"/>
  <c r="B46" i="1"/>
  <c r="E45" i="1"/>
  <c r="D45" i="1"/>
  <c r="B45" i="1"/>
  <c r="B51" i="1" s="1"/>
  <c r="D51" i="1" s="1"/>
  <c r="E44" i="1"/>
  <c r="D44" i="1"/>
  <c r="B43" i="1"/>
  <c r="E42" i="1"/>
  <c r="B42" i="1"/>
  <c r="D42" i="1" s="1"/>
  <c r="E41" i="1"/>
  <c r="D41" i="1"/>
  <c r="C41" i="1"/>
  <c r="C40" i="1"/>
  <c r="E40" i="1" s="1"/>
  <c r="B40" i="1"/>
  <c r="E39" i="1"/>
  <c r="D39" i="1"/>
  <c r="E37" i="1"/>
  <c r="C37" i="1"/>
  <c r="B37" i="1"/>
  <c r="D37" i="1" s="1"/>
  <c r="E36" i="1"/>
  <c r="C36" i="1"/>
  <c r="B36" i="1"/>
  <c r="D36" i="1" s="1"/>
  <c r="E35" i="1"/>
  <c r="B35" i="1"/>
  <c r="D35" i="1" s="1"/>
  <c r="E34" i="1"/>
  <c r="D34" i="1"/>
  <c r="C34" i="1"/>
  <c r="B34" i="1"/>
  <c r="E33" i="1"/>
  <c r="D33" i="1"/>
  <c r="C33" i="1"/>
  <c r="B33" i="1"/>
  <c r="E32" i="1"/>
  <c r="D32" i="1"/>
  <c r="C32" i="1"/>
  <c r="B32" i="1"/>
  <c r="E30" i="1"/>
  <c r="D30" i="1"/>
  <c r="C30" i="1"/>
  <c r="B30" i="1"/>
  <c r="E29" i="1"/>
  <c r="D29" i="1"/>
  <c r="B29" i="1"/>
  <c r="E28" i="1"/>
  <c r="B28" i="1"/>
  <c r="D28" i="1" s="1"/>
  <c r="E27" i="1"/>
  <c r="B27" i="1"/>
  <c r="D27" i="1" s="1"/>
  <c r="E26" i="1"/>
  <c r="C26" i="1"/>
  <c r="C31" i="1" s="1"/>
  <c r="B26" i="1"/>
  <c r="D26" i="1" s="1"/>
  <c r="E25" i="1"/>
  <c r="D25" i="1"/>
  <c r="C24" i="1"/>
  <c r="C38" i="1" s="1"/>
  <c r="E23" i="1"/>
  <c r="B23" i="1"/>
  <c r="D23" i="1" s="1"/>
  <c r="C22" i="1"/>
  <c r="E22" i="1" s="1"/>
  <c r="B22" i="1"/>
  <c r="D22" i="1" s="1"/>
  <c r="C21" i="1"/>
  <c r="E21" i="1" s="1"/>
  <c r="B21" i="1"/>
  <c r="D21" i="1" s="1"/>
  <c r="E20" i="1"/>
  <c r="B20" i="1"/>
  <c r="B24" i="1" s="1"/>
  <c r="E19" i="1"/>
  <c r="D19" i="1"/>
  <c r="E18" i="1"/>
  <c r="D18" i="1"/>
  <c r="E15" i="1"/>
  <c r="B15" i="1"/>
  <c r="D15" i="1" s="1"/>
  <c r="E14" i="1"/>
  <c r="D14" i="1"/>
  <c r="B14" i="1"/>
  <c r="E13" i="1"/>
  <c r="B13" i="1"/>
  <c r="D13" i="1" s="1"/>
  <c r="C12" i="1"/>
  <c r="E12" i="1" s="1"/>
  <c r="B12" i="1"/>
  <c r="D12" i="1" s="1"/>
  <c r="E11" i="1"/>
  <c r="B11" i="1"/>
  <c r="D11" i="1" s="1"/>
  <c r="E10" i="1"/>
  <c r="B10" i="1"/>
  <c r="D10" i="1" s="1"/>
  <c r="E9" i="1"/>
  <c r="D9" i="1"/>
  <c r="E8" i="1"/>
  <c r="B8" i="1"/>
  <c r="D8" i="1" s="1"/>
  <c r="D24" i="1" l="1"/>
  <c r="C66" i="1"/>
  <c r="D85" i="1"/>
  <c r="E85" i="1"/>
  <c r="D69" i="1"/>
  <c r="E51" i="1"/>
  <c r="E79" i="1"/>
  <c r="E89" i="1"/>
  <c r="E94" i="1"/>
  <c r="D103" i="1"/>
  <c r="E61" i="1"/>
  <c r="E62" i="1"/>
  <c r="E63" i="1"/>
  <c r="E65" i="1"/>
  <c r="C69" i="1"/>
  <c r="E69" i="1" s="1"/>
  <c r="B111" i="1"/>
  <c r="D111" i="1" s="1"/>
  <c r="B16" i="1"/>
  <c r="B64" i="1"/>
  <c r="D40" i="1"/>
  <c r="C16" i="1"/>
  <c r="C43" i="1"/>
  <c r="E43" i="1" s="1"/>
  <c r="D71" i="1"/>
  <c r="D76" i="1"/>
  <c r="D20" i="1"/>
  <c r="E24" i="1"/>
  <c r="B31" i="1"/>
  <c r="D31" i="1" s="1"/>
  <c r="E76" i="1"/>
  <c r="D64" i="1" l="1"/>
  <c r="B66" i="1"/>
  <c r="D16" i="1"/>
  <c r="D43" i="1"/>
  <c r="E64" i="1"/>
  <c r="C52" i="1"/>
  <c r="C53" i="1" s="1"/>
  <c r="E16" i="1"/>
  <c r="C107" i="1"/>
  <c r="E66" i="1"/>
  <c r="E31" i="1"/>
  <c r="B38" i="1"/>
  <c r="B52" i="1" l="1"/>
  <c r="D38" i="1"/>
  <c r="E38" i="1"/>
  <c r="D66" i="1"/>
  <c r="B107" i="1"/>
  <c r="D107" i="1" s="1"/>
  <c r="E52" i="1"/>
  <c r="C112" i="1"/>
  <c r="D52" i="1" l="1"/>
  <c r="B112" i="1"/>
  <c r="D112" i="1" s="1"/>
  <c r="B53" i="1"/>
  <c r="E107" i="1"/>
  <c r="D53" i="1" l="1"/>
  <c r="E53" i="1"/>
  <c r="E112" i="1"/>
</calcChain>
</file>

<file path=xl/sharedStrings.xml><?xml version="1.0" encoding="utf-8"?>
<sst xmlns="http://schemas.openxmlformats.org/spreadsheetml/2006/main" count="115" uniqueCount="115">
  <si>
    <t>Total</t>
  </si>
  <si>
    <t>Jul 2023 - Jan 2024</t>
  </si>
  <si>
    <t>Jul 2022 - Jan 2023 (PP)</t>
  </si>
  <si>
    <t>Change</t>
  </si>
  <si>
    <t>% Change</t>
  </si>
  <si>
    <t>Income</t>
  </si>
  <si>
    <t xml:space="preserve">   19 Food &amp; Menu Sale</t>
  </si>
  <si>
    <t xml:space="preserve">   20 Beverages</t>
  </si>
  <si>
    <t xml:space="preserve">      2001 Bar</t>
  </si>
  <si>
    <t xml:space="preserve">      2002 Other Beverages</t>
  </si>
  <si>
    <t xml:space="preserve">   Total 20 Beverages</t>
  </si>
  <si>
    <t xml:space="preserve">   21 Dawat Box</t>
  </si>
  <si>
    <t xml:space="preserve">   22 Food Panda</t>
  </si>
  <si>
    <t xml:space="preserve">   24 Other Services</t>
  </si>
  <si>
    <t>Total Income</t>
  </si>
  <si>
    <t>Cost of Sales</t>
  </si>
  <si>
    <t xml:space="preserve">   25 Supplies and Materials</t>
  </si>
  <si>
    <t xml:space="preserve">      2501 Meat</t>
  </si>
  <si>
    <t xml:space="preserve">         250101 Mutton</t>
  </si>
  <si>
    <t xml:space="preserve">         250102 Chicken</t>
  </si>
  <si>
    <t xml:space="preserve">         250103 Beef</t>
  </si>
  <si>
    <t xml:space="preserve">         250104 Fish &amp; Prawns</t>
  </si>
  <si>
    <t xml:space="preserve">      Total 2501 Meat</t>
  </si>
  <si>
    <t xml:space="preserve">      2502 Dry Stock</t>
  </si>
  <si>
    <t xml:space="preserve">         250201 Oil</t>
  </si>
  <si>
    <t xml:space="preserve">         250202 Flour</t>
  </si>
  <si>
    <t xml:space="preserve">         250203 Rice</t>
  </si>
  <si>
    <t xml:space="preserve">         250204 Sugar</t>
  </si>
  <si>
    <t xml:space="preserve">         250205 Other Dry Stock</t>
  </si>
  <si>
    <t xml:space="preserve">      Total 2502 Dry Stock</t>
  </si>
  <si>
    <t xml:space="preserve">      2503 Outsourced Food</t>
  </si>
  <si>
    <t xml:space="preserve">      2504 Dairy &amp; Bakery Items</t>
  </si>
  <si>
    <t xml:space="preserve">      2505 Vegetables &amp; Fruits</t>
  </si>
  <si>
    <t xml:space="preserve">      2506 Beverages &amp; Soft Drinks</t>
  </si>
  <si>
    <t xml:space="preserve">      2507 Other Consumables</t>
  </si>
  <si>
    <t xml:space="preserve">      2508 Disposable Material</t>
  </si>
  <si>
    <t xml:space="preserve">   Total 25 Supplies and Materials</t>
  </si>
  <si>
    <t xml:space="preserve">   26 Cost of Labour</t>
  </si>
  <si>
    <t xml:space="preserve">      2601 Salaries- Operation Staff</t>
  </si>
  <si>
    <t xml:space="preserve">      2602 Labour Outsourced</t>
  </si>
  <si>
    <t xml:space="preserve">      2603 Wages &amp; Allowance</t>
  </si>
  <si>
    <t xml:space="preserve">   Total 26 Cost of Labour</t>
  </si>
  <si>
    <t xml:space="preserve">   27 Cost of Overheads</t>
  </si>
  <si>
    <t xml:space="preserve">      2701 Restaurant Rent</t>
  </si>
  <si>
    <t xml:space="preserve">      2702 Utilitites</t>
  </si>
  <si>
    <t xml:space="preserve">      2703 Fuel &amp; Transporation</t>
  </si>
  <si>
    <t xml:space="preserve">      2704 Repair &amp; Maintenance</t>
  </si>
  <si>
    <t xml:space="preserve">      2705 Laundry</t>
  </si>
  <si>
    <t xml:space="preserve">      2706 Other Direct Cost</t>
  </si>
  <si>
    <t xml:space="preserve">   Total 27 Cost of Overheads</t>
  </si>
  <si>
    <t>Total Cost of Sales</t>
  </si>
  <si>
    <t>Gross Profit</t>
  </si>
  <si>
    <t>Other Income(Loss)</t>
  </si>
  <si>
    <t xml:space="preserve">   45 Outsourced Items</t>
  </si>
  <si>
    <t xml:space="preserve">   47 Others</t>
  </si>
  <si>
    <t>Total Other Income(Loss)</t>
  </si>
  <si>
    <t>Expenses</t>
  </si>
  <si>
    <t xml:space="preserve">   28 Salaries &amp; Benefits</t>
  </si>
  <si>
    <t xml:space="preserve">      2801 Salaries - Non Operation Staff</t>
  </si>
  <si>
    <t xml:space="preserve">         280101 Sales</t>
  </si>
  <si>
    <t xml:space="preserve">         280103 Accounts &amp; Finance</t>
  </si>
  <si>
    <t xml:space="preserve">         280104 Admin &amp; HR</t>
  </si>
  <si>
    <t xml:space="preserve">      Total 2801 Salaries - Non Operation Staff</t>
  </si>
  <si>
    <t xml:space="preserve">      2802 Other Benefits (Direct &amp; Indirect)</t>
  </si>
  <si>
    <t xml:space="preserve">   Total 28 Salaries &amp; Benefits</t>
  </si>
  <si>
    <t xml:space="preserve">   29 Rent, Rate &amp; Taxes</t>
  </si>
  <si>
    <t xml:space="preserve">      2904 Toll Tax</t>
  </si>
  <si>
    <t xml:space="preserve">   Total 29 Rent, Rate &amp; Taxes</t>
  </si>
  <si>
    <t xml:space="preserve">   30 Legal &amp; Professional Charges</t>
  </si>
  <si>
    <t xml:space="preserve">      3003 Legal Services</t>
  </si>
  <si>
    <t xml:space="preserve">      3005 Registration Fee</t>
  </si>
  <si>
    <t xml:space="preserve">      3006 Dues &amp; Subscriptions</t>
  </si>
  <si>
    <t xml:space="preserve">   Total 30 Legal &amp; Professional Charges</t>
  </si>
  <si>
    <t xml:space="preserve">   31 Communication Charges</t>
  </si>
  <si>
    <t xml:space="preserve">      3102 Mobile Charges</t>
  </si>
  <si>
    <t xml:space="preserve">      3103 Postage &amp; Courier</t>
  </si>
  <si>
    <t xml:space="preserve">      3104 Telephone Bill</t>
  </si>
  <si>
    <t xml:space="preserve">   Total 31 Communication Charges</t>
  </si>
  <si>
    <t xml:space="preserve">   32 Repair &amp; Maintenance</t>
  </si>
  <si>
    <t xml:space="preserve">      3201 Equipment Repair &amp; Maintenance</t>
  </si>
  <si>
    <t xml:space="preserve">      3202 Vehicle Repair &amp; Maintenance</t>
  </si>
  <si>
    <t xml:space="preserve">      3203 Computer &amp; Accessories</t>
  </si>
  <si>
    <t xml:space="preserve">      3205 Building Repair &amp; Maintenance</t>
  </si>
  <si>
    <t xml:space="preserve">   Total 32 Repair &amp; Maintenance</t>
  </si>
  <si>
    <t xml:space="preserve">   33 Travelling &amp; Conveyance</t>
  </si>
  <si>
    <t xml:space="preserve">      3301 Fuel Charges</t>
  </si>
  <si>
    <t xml:space="preserve">      3303 Transportation &amp; Carriage</t>
  </si>
  <si>
    <t xml:space="preserve">   Total 33 Travelling &amp; Conveyance</t>
  </si>
  <si>
    <t xml:space="preserve">   34 Office Supplies &amp; Stationary</t>
  </si>
  <si>
    <t xml:space="preserve">      3401 Office Supplies</t>
  </si>
  <si>
    <t xml:space="preserve">      3402 Other Printing</t>
  </si>
  <si>
    <t xml:space="preserve">      3404 Stationary Expense</t>
  </si>
  <si>
    <t xml:space="preserve">   Total 34 Office Supplies &amp; Stationary</t>
  </si>
  <si>
    <t xml:space="preserve">   35 Advertisement &amp; Publicity</t>
  </si>
  <si>
    <t xml:space="preserve">      3501 Agency Fee</t>
  </si>
  <si>
    <t xml:space="preserve">      3502 Ad Spend</t>
  </si>
  <si>
    <t xml:space="preserve">      3503 Ad Production</t>
  </si>
  <si>
    <t xml:space="preserve">   Total 35 Advertisement &amp; Publicity</t>
  </si>
  <si>
    <t xml:space="preserve">   36 Food &amp; Entertainment</t>
  </si>
  <si>
    <t xml:space="preserve">      3601 Office Entertainment</t>
  </si>
  <si>
    <t xml:space="preserve">      3602 Staff Food</t>
  </si>
  <si>
    <t xml:space="preserve">   Total 36 Food &amp; Entertainment</t>
  </si>
  <si>
    <t xml:space="preserve">   37 Cleaning, Washing &amp; Janitorial Expenses</t>
  </si>
  <si>
    <t xml:space="preserve">   38 Staff Uniform</t>
  </si>
  <si>
    <t xml:space="preserve">   40 Misc Expenses</t>
  </si>
  <si>
    <t>Total Expenses</t>
  </si>
  <si>
    <t>Other Expenses</t>
  </si>
  <si>
    <t xml:space="preserve">   48 Outsourced Items Rental</t>
  </si>
  <si>
    <t xml:space="preserve">   49 Bank Service Charges</t>
  </si>
  <si>
    <t>Total Other Expenses</t>
  </si>
  <si>
    <t>Net Earnings</t>
  </si>
  <si>
    <t>Tuesday, Feb 27, 2024 04:51:27 PM GMT+5 - Accrual Basis</t>
  </si>
  <si>
    <t>Hanif Rajput-Roof Top Grill</t>
  </si>
  <si>
    <t>Profit and Loss Comparison</t>
  </si>
  <si>
    <t>July 2023 -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</si>
</sst>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PRs&quot;* #,##0.0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0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10" fontId="2" fillId="0" borderId="2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0" fontId="2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41.1640625" customWidth="1"/>
    <col min="2" max="2" width="14.6640625" customWidth="1"/>
    <col min="3" max="3" width="15.5" customWidth="1"/>
    <col min="4" max="4" width="14.6640625" customWidth="1"/>
    <col min="5" max="5" width="12.83203125" customWidth="1"/>
  </cols>
  <sheetData>
    <row r="1" spans="1:5" ht="18" x14ac:dyDescent="0.2">
      <c r="A1" s="15" t="s">
        <v>112</v>
      </c>
      <c r="B1" s="14"/>
      <c r="C1" s="14"/>
      <c r="D1" s="14"/>
      <c r="E1" s="14"/>
    </row>
    <row r="2" spans="1:5" ht="18" x14ac:dyDescent="0.2">
      <c r="A2" s="15" t="s">
        <v>113</v>
      </c>
      <c r="B2" s="14"/>
      <c r="C2" s="14"/>
      <c r="D2" s="14"/>
      <c r="E2" s="14"/>
    </row>
    <row r="3" spans="1:5" x14ac:dyDescent="0.2">
      <c r="A3" s="16" t="s">
        <v>114</v>
      </c>
      <c r="B3" s="14"/>
      <c r="C3" s="14"/>
      <c r="D3" s="14"/>
      <c r="E3" s="14"/>
    </row>
    <row r="5" spans="1:5" x14ac:dyDescent="0.2">
      <c r="A5" s="1"/>
      <c r="B5" s="11" t="s">
        <v>0</v>
      </c>
      <c r="C5" s="12"/>
      <c r="D5" s="12"/>
      <c r="E5" s="12"/>
    </row>
    <row r="6" spans="1:5" ht="27" x14ac:dyDescent="0.2">
      <c r="A6" s="1"/>
      <c r="B6" s="2" t="s">
        <v>1</v>
      </c>
      <c r="C6" s="2" t="s">
        <v>2</v>
      </c>
      <c r="D6" s="2" t="s">
        <v>3</v>
      </c>
      <c r="E6" s="2" t="s">
        <v>4</v>
      </c>
    </row>
    <row r="7" spans="1:5" x14ac:dyDescent="0.2">
      <c r="A7" s="3" t="s">
        <v>5</v>
      </c>
      <c r="B7" s="4"/>
      <c r="C7" s="4"/>
      <c r="D7" s="4"/>
      <c r="E7" s="4"/>
    </row>
    <row r="8" spans="1:5" x14ac:dyDescent="0.2">
      <c r="A8" s="3" t="s">
        <v>6</v>
      </c>
      <c r="B8" s="5">
        <f>68077093.02</f>
        <v>68077093.019999996</v>
      </c>
      <c r="C8" s="4"/>
      <c r="D8" s="5">
        <f t="shared" ref="D8:D16" si="0">(B8)-(C8)</f>
        <v>68077093.019999996</v>
      </c>
      <c r="E8" s="6" t="str">
        <f t="shared" ref="E8:E16" si="1">IF(ABS((C8))=0,"",((B8)-(C8))/(ABS((C8))))</f>
        <v/>
      </c>
    </row>
    <row r="9" spans="1:5" x14ac:dyDescent="0.2">
      <c r="A9" s="3" t="s">
        <v>7</v>
      </c>
      <c r="B9" s="4"/>
      <c r="C9" s="4"/>
      <c r="D9" s="5">
        <f t="shared" si="0"/>
        <v>0</v>
      </c>
      <c r="E9" s="6" t="str">
        <f t="shared" si="1"/>
        <v/>
      </c>
    </row>
    <row r="10" spans="1:5" x14ac:dyDescent="0.2">
      <c r="A10" s="3" t="s">
        <v>8</v>
      </c>
      <c r="B10" s="5">
        <f>583850.75</f>
        <v>583850.75</v>
      </c>
      <c r="C10" s="4"/>
      <c r="D10" s="5">
        <f t="shared" si="0"/>
        <v>583850.75</v>
      </c>
      <c r="E10" s="6" t="str">
        <f t="shared" si="1"/>
        <v/>
      </c>
    </row>
    <row r="11" spans="1:5" x14ac:dyDescent="0.2">
      <c r="A11" s="3" t="s">
        <v>9</v>
      </c>
      <c r="B11" s="5">
        <f>3626544.99</f>
        <v>3626544.99</v>
      </c>
      <c r="C11" s="4"/>
      <c r="D11" s="5">
        <f t="shared" si="0"/>
        <v>3626544.99</v>
      </c>
      <c r="E11" s="6" t="str">
        <f t="shared" si="1"/>
        <v/>
      </c>
    </row>
    <row r="12" spans="1:5" x14ac:dyDescent="0.2">
      <c r="A12" s="3" t="s">
        <v>10</v>
      </c>
      <c r="B12" s="7">
        <f>((B9)+(B10))+(B11)</f>
        <v>4210395.74</v>
      </c>
      <c r="C12" s="7">
        <f>((C9)+(C10))+(C11)</f>
        <v>0</v>
      </c>
      <c r="D12" s="7">
        <f t="shared" si="0"/>
        <v>4210395.74</v>
      </c>
      <c r="E12" s="8" t="str">
        <f t="shared" si="1"/>
        <v/>
      </c>
    </row>
    <row r="13" spans="1:5" x14ac:dyDescent="0.2">
      <c r="A13" s="3" t="s">
        <v>11</v>
      </c>
      <c r="B13" s="5">
        <f>3070303.5</f>
        <v>3070303.5</v>
      </c>
      <c r="C13" s="4"/>
      <c r="D13" s="5">
        <f t="shared" si="0"/>
        <v>3070303.5</v>
      </c>
      <c r="E13" s="6" t="str">
        <f t="shared" si="1"/>
        <v/>
      </c>
    </row>
    <row r="14" spans="1:5" x14ac:dyDescent="0.2">
      <c r="A14" s="3" t="s">
        <v>12</v>
      </c>
      <c r="B14" s="5">
        <f>255993.21</f>
        <v>255993.21</v>
      </c>
      <c r="C14" s="4"/>
      <c r="D14" s="5">
        <f t="shared" si="0"/>
        <v>255993.21</v>
      </c>
      <c r="E14" s="6" t="str">
        <f t="shared" si="1"/>
        <v/>
      </c>
    </row>
    <row r="15" spans="1:5" x14ac:dyDescent="0.2">
      <c r="A15" s="3" t="s">
        <v>13</v>
      </c>
      <c r="B15" s="5">
        <f>1228825.69</f>
        <v>1228825.69</v>
      </c>
      <c r="C15" s="4"/>
      <c r="D15" s="5">
        <f t="shared" si="0"/>
        <v>1228825.69</v>
      </c>
      <c r="E15" s="6" t="str">
        <f t="shared" si="1"/>
        <v/>
      </c>
    </row>
    <row r="16" spans="1:5" x14ac:dyDescent="0.2">
      <c r="A16" s="3" t="s">
        <v>14</v>
      </c>
      <c r="B16" s="7">
        <f>((((B8)+(B12))+(B13))+(B14))+(B15)</f>
        <v>76842611.159999982</v>
      </c>
      <c r="C16" s="7">
        <f>((((C8)+(C12))+(C13))+(C14))+(C15)</f>
        <v>0</v>
      </c>
      <c r="D16" s="7">
        <f t="shared" si="0"/>
        <v>76842611.159999982</v>
      </c>
      <c r="E16" s="8" t="str">
        <f t="shared" si="1"/>
        <v/>
      </c>
    </row>
    <row r="17" spans="1:5" x14ac:dyDescent="0.2">
      <c r="A17" s="3" t="s">
        <v>15</v>
      </c>
      <c r="B17" s="4"/>
      <c r="C17" s="4"/>
      <c r="D17" s="4"/>
      <c r="E17" s="4"/>
    </row>
    <row r="18" spans="1:5" x14ac:dyDescent="0.2">
      <c r="A18" s="3" t="s">
        <v>16</v>
      </c>
      <c r="B18" s="4"/>
      <c r="C18" s="4"/>
      <c r="D18" s="5">
        <f t="shared" ref="D18:D53" si="2">(B18)-(C18)</f>
        <v>0</v>
      </c>
      <c r="E18" s="6" t="str">
        <f t="shared" ref="E18:E53" si="3">IF(ABS((C18))=0,"",((B18)-(C18))/(ABS((C18))))</f>
        <v/>
      </c>
    </row>
    <row r="19" spans="1:5" x14ac:dyDescent="0.2">
      <c r="A19" s="3" t="s">
        <v>17</v>
      </c>
      <c r="B19" s="4"/>
      <c r="C19" s="4"/>
      <c r="D19" s="5">
        <f t="shared" si="2"/>
        <v>0</v>
      </c>
      <c r="E19" s="6" t="str">
        <f t="shared" si="3"/>
        <v/>
      </c>
    </row>
    <row r="20" spans="1:5" x14ac:dyDescent="0.2">
      <c r="A20" s="3" t="s">
        <v>18</v>
      </c>
      <c r="B20" s="5">
        <f>5350105</f>
        <v>5350105</v>
      </c>
      <c r="C20" s="4"/>
      <c r="D20" s="5">
        <f t="shared" si="2"/>
        <v>5350105</v>
      </c>
      <c r="E20" s="6" t="str">
        <f t="shared" si="3"/>
        <v/>
      </c>
    </row>
    <row r="21" spans="1:5" x14ac:dyDescent="0.2">
      <c r="A21" s="3" t="s">
        <v>19</v>
      </c>
      <c r="B21" s="5">
        <f>8881554</f>
        <v>8881554</v>
      </c>
      <c r="C21" s="5">
        <f>1050</f>
        <v>1050</v>
      </c>
      <c r="D21" s="5">
        <f t="shared" si="2"/>
        <v>8880504</v>
      </c>
      <c r="E21" s="6">
        <f t="shared" si="3"/>
        <v>8457.6228571428564</v>
      </c>
    </row>
    <row r="22" spans="1:5" x14ac:dyDescent="0.2">
      <c r="A22" s="3" t="s">
        <v>20</v>
      </c>
      <c r="B22" s="5">
        <f>1211849</f>
        <v>1211849</v>
      </c>
      <c r="C22" s="5">
        <f>750</f>
        <v>750</v>
      </c>
      <c r="D22" s="5">
        <f t="shared" si="2"/>
        <v>1211099</v>
      </c>
      <c r="E22" s="6">
        <f t="shared" si="3"/>
        <v>1614.7986666666666</v>
      </c>
    </row>
    <row r="23" spans="1:5" x14ac:dyDescent="0.2">
      <c r="A23" s="3" t="s">
        <v>21</v>
      </c>
      <c r="B23" s="5">
        <f>356014</f>
        <v>356014</v>
      </c>
      <c r="C23" s="4"/>
      <c r="D23" s="5">
        <f t="shared" si="2"/>
        <v>356014</v>
      </c>
      <c r="E23" s="6" t="str">
        <f t="shared" si="3"/>
        <v/>
      </c>
    </row>
    <row r="24" spans="1:5" x14ac:dyDescent="0.2">
      <c r="A24" s="3" t="s">
        <v>22</v>
      </c>
      <c r="B24" s="7">
        <f>((((B19)+(B20))+(B21))+(B22))+(B23)</f>
        <v>15799522</v>
      </c>
      <c r="C24" s="7">
        <f>((((C19)+(C20))+(C21))+(C22))+(C23)</f>
        <v>1800</v>
      </c>
      <c r="D24" s="7">
        <f t="shared" si="2"/>
        <v>15797722</v>
      </c>
      <c r="E24" s="8">
        <f t="shared" si="3"/>
        <v>8776.5122222222217</v>
      </c>
    </row>
    <row r="25" spans="1:5" x14ac:dyDescent="0.2">
      <c r="A25" s="3" t="s">
        <v>23</v>
      </c>
      <c r="B25" s="4"/>
      <c r="C25" s="4"/>
      <c r="D25" s="5">
        <f t="shared" si="2"/>
        <v>0</v>
      </c>
      <c r="E25" s="6" t="str">
        <f t="shared" si="3"/>
        <v/>
      </c>
    </row>
    <row r="26" spans="1:5" x14ac:dyDescent="0.2">
      <c r="A26" s="3" t="s">
        <v>24</v>
      </c>
      <c r="B26" s="5">
        <f>1880222</f>
        <v>1880222</v>
      </c>
      <c r="C26" s="5">
        <f>660</f>
        <v>660</v>
      </c>
      <c r="D26" s="5">
        <f t="shared" si="2"/>
        <v>1879562</v>
      </c>
      <c r="E26" s="6">
        <f t="shared" si="3"/>
        <v>2847.8212121212123</v>
      </c>
    </row>
    <row r="27" spans="1:5" x14ac:dyDescent="0.2">
      <c r="A27" s="3" t="s">
        <v>25</v>
      </c>
      <c r="B27" s="5">
        <f>1350528</f>
        <v>1350528</v>
      </c>
      <c r="C27" s="4"/>
      <c r="D27" s="5">
        <f t="shared" si="2"/>
        <v>1350528</v>
      </c>
      <c r="E27" s="6" t="str">
        <f t="shared" si="3"/>
        <v/>
      </c>
    </row>
    <row r="28" spans="1:5" x14ac:dyDescent="0.2">
      <c r="A28" s="3" t="s">
        <v>26</v>
      </c>
      <c r="B28" s="5">
        <f>500972</f>
        <v>500972</v>
      </c>
      <c r="C28" s="4"/>
      <c r="D28" s="5">
        <f t="shared" si="2"/>
        <v>500972</v>
      </c>
      <c r="E28" s="6" t="str">
        <f t="shared" si="3"/>
        <v/>
      </c>
    </row>
    <row r="29" spans="1:5" x14ac:dyDescent="0.2">
      <c r="A29" s="3" t="s">
        <v>27</v>
      </c>
      <c r="B29" s="5">
        <f>153009</f>
        <v>153009</v>
      </c>
      <c r="C29" s="4"/>
      <c r="D29" s="5">
        <f t="shared" si="2"/>
        <v>153009</v>
      </c>
      <c r="E29" s="6" t="str">
        <f t="shared" si="3"/>
        <v/>
      </c>
    </row>
    <row r="30" spans="1:5" x14ac:dyDescent="0.2">
      <c r="A30" s="3" t="s">
        <v>28</v>
      </c>
      <c r="B30" s="5">
        <f>4555582</f>
        <v>4555582</v>
      </c>
      <c r="C30" s="5">
        <f>36654</f>
        <v>36654</v>
      </c>
      <c r="D30" s="5">
        <f t="shared" si="2"/>
        <v>4518928</v>
      </c>
      <c r="E30" s="6">
        <f t="shared" si="3"/>
        <v>123.28608064604136</v>
      </c>
    </row>
    <row r="31" spans="1:5" x14ac:dyDescent="0.2">
      <c r="A31" s="3" t="s">
        <v>29</v>
      </c>
      <c r="B31" s="7">
        <f>(((((B25)+(B26))+(B27))+(B28))+(B29))+(B30)</f>
        <v>8440313</v>
      </c>
      <c r="C31" s="7">
        <f>(((((C25)+(C26))+(C27))+(C28))+(C29))+(C30)</f>
        <v>37314</v>
      </c>
      <c r="D31" s="7">
        <f t="shared" si="2"/>
        <v>8402999</v>
      </c>
      <c r="E31" s="8">
        <f t="shared" si="3"/>
        <v>225.19695020635686</v>
      </c>
    </row>
    <row r="32" spans="1:5" x14ac:dyDescent="0.2">
      <c r="A32" s="3" t="s">
        <v>30</v>
      </c>
      <c r="B32" s="5">
        <f>1024872</f>
        <v>1024872</v>
      </c>
      <c r="C32" s="5">
        <f>2638</f>
        <v>2638</v>
      </c>
      <c r="D32" s="5">
        <f t="shared" si="2"/>
        <v>1022234</v>
      </c>
      <c r="E32" s="6">
        <f t="shared" si="3"/>
        <v>387.50341167551176</v>
      </c>
    </row>
    <row r="33" spans="1:5" x14ac:dyDescent="0.2">
      <c r="A33" s="3" t="s">
        <v>31</v>
      </c>
      <c r="B33" s="5">
        <f>2954695</f>
        <v>2954695</v>
      </c>
      <c r="C33" s="5">
        <f>3831</f>
        <v>3831</v>
      </c>
      <c r="D33" s="5">
        <f t="shared" si="2"/>
        <v>2950864</v>
      </c>
      <c r="E33" s="6">
        <f t="shared" si="3"/>
        <v>770.25946228138866</v>
      </c>
    </row>
    <row r="34" spans="1:5" x14ac:dyDescent="0.2">
      <c r="A34" s="3" t="s">
        <v>32</v>
      </c>
      <c r="B34" s="5">
        <f>2603024</f>
        <v>2603024</v>
      </c>
      <c r="C34" s="5">
        <f>3934</f>
        <v>3934</v>
      </c>
      <c r="D34" s="5">
        <f t="shared" si="2"/>
        <v>2599090</v>
      </c>
      <c r="E34" s="6">
        <f t="shared" si="3"/>
        <v>660.67361464158614</v>
      </c>
    </row>
    <row r="35" spans="1:5" x14ac:dyDescent="0.2">
      <c r="A35" s="3" t="s">
        <v>33</v>
      </c>
      <c r="B35" s="5">
        <f>2109299</f>
        <v>2109299</v>
      </c>
      <c r="C35" s="4"/>
      <c r="D35" s="5">
        <f t="shared" si="2"/>
        <v>2109299</v>
      </c>
      <c r="E35" s="6" t="str">
        <f t="shared" si="3"/>
        <v/>
      </c>
    </row>
    <row r="36" spans="1:5" x14ac:dyDescent="0.2">
      <c r="A36" s="3" t="s">
        <v>34</v>
      </c>
      <c r="B36" s="5">
        <f>1564063</f>
        <v>1564063</v>
      </c>
      <c r="C36" s="5">
        <f>800</f>
        <v>800</v>
      </c>
      <c r="D36" s="5">
        <f t="shared" si="2"/>
        <v>1563263</v>
      </c>
      <c r="E36" s="6">
        <f t="shared" si="3"/>
        <v>1954.0787499999999</v>
      </c>
    </row>
    <row r="37" spans="1:5" x14ac:dyDescent="0.2">
      <c r="A37" s="3" t="s">
        <v>35</v>
      </c>
      <c r="B37" s="5">
        <f>938460</f>
        <v>938460</v>
      </c>
      <c r="C37" s="5">
        <f>10733</f>
        <v>10733</v>
      </c>
      <c r="D37" s="5">
        <f t="shared" si="2"/>
        <v>927727</v>
      </c>
      <c r="E37" s="6">
        <f t="shared" si="3"/>
        <v>86.436876921643531</v>
      </c>
    </row>
    <row r="38" spans="1:5" x14ac:dyDescent="0.2">
      <c r="A38" s="3" t="s">
        <v>36</v>
      </c>
      <c r="B38" s="7">
        <f>((((((((B18)+(B24))+(B31))+(B32))+(B33))+(B34))+(B35))+(B36))+(B37)</f>
        <v>35434248</v>
      </c>
      <c r="C38" s="7">
        <f>((((((((C18)+(C24))+(C31))+(C32))+(C33))+(C34))+(C35))+(C36))+(C37)</f>
        <v>61050</v>
      </c>
      <c r="D38" s="7">
        <f t="shared" si="2"/>
        <v>35373198</v>
      </c>
      <c r="E38" s="8">
        <f t="shared" si="3"/>
        <v>579.41356265356262</v>
      </c>
    </row>
    <row r="39" spans="1:5" x14ac:dyDescent="0.2">
      <c r="A39" s="3" t="s">
        <v>37</v>
      </c>
      <c r="B39" s="4"/>
      <c r="C39" s="4"/>
      <c r="D39" s="5">
        <f t="shared" si="2"/>
        <v>0</v>
      </c>
      <c r="E39" s="6" t="str">
        <f t="shared" si="3"/>
        <v/>
      </c>
    </row>
    <row r="40" spans="1:5" x14ac:dyDescent="0.2">
      <c r="A40" s="3" t="s">
        <v>38</v>
      </c>
      <c r="B40" s="5">
        <f>11210418</f>
        <v>11210418</v>
      </c>
      <c r="C40" s="5">
        <f>725649</f>
        <v>725649</v>
      </c>
      <c r="D40" s="5">
        <f t="shared" si="2"/>
        <v>10484769</v>
      </c>
      <c r="E40" s="6">
        <f t="shared" si="3"/>
        <v>14.448816163186335</v>
      </c>
    </row>
    <row r="41" spans="1:5" x14ac:dyDescent="0.2">
      <c r="A41" s="3" t="s">
        <v>39</v>
      </c>
      <c r="B41" s="4"/>
      <c r="C41" s="5">
        <f>1000</f>
        <v>1000</v>
      </c>
      <c r="D41" s="5">
        <f t="shared" si="2"/>
        <v>-1000</v>
      </c>
      <c r="E41" s="6">
        <f t="shared" si="3"/>
        <v>-1</v>
      </c>
    </row>
    <row r="42" spans="1:5" x14ac:dyDescent="0.2">
      <c r="A42" s="3" t="s">
        <v>40</v>
      </c>
      <c r="B42" s="5">
        <f>23860</f>
        <v>23860</v>
      </c>
      <c r="C42" s="4"/>
      <c r="D42" s="5">
        <f t="shared" si="2"/>
        <v>23860</v>
      </c>
      <c r="E42" s="6" t="str">
        <f t="shared" si="3"/>
        <v/>
      </c>
    </row>
    <row r="43" spans="1:5" x14ac:dyDescent="0.2">
      <c r="A43" s="3" t="s">
        <v>41</v>
      </c>
      <c r="B43" s="7">
        <f>(((B39)+(B40))+(B41))+(B42)</f>
        <v>11234278</v>
      </c>
      <c r="C43" s="7">
        <f>(((C39)+(C40))+(C41))+(C42)</f>
        <v>726649</v>
      </c>
      <c r="D43" s="7">
        <f t="shared" si="2"/>
        <v>10507629</v>
      </c>
      <c r="E43" s="8">
        <f t="shared" si="3"/>
        <v>14.460391468232944</v>
      </c>
    </row>
    <row r="44" spans="1:5" x14ac:dyDescent="0.2">
      <c r="A44" s="3" t="s">
        <v>42</v>
      </c>
      <c r="B44" s="4"/>
      <c r="C44" s="4"/>
      <c r="D44" s="5">
        <f t="shared" si="2"/>
        <v>0</v>
      </c>
      <c r="E44" s="6" t="str">
        <f t="shared" si="3"/>
        <v/>
      </c>
    </row>
    <row r="45" spans="1:5" x14ac:dyDescent="0.2">
      <c r="A45" s="3" t="s">
        <v>43</v>
      </c>
      <c r="B45" s="5">
        <f>7230000</f>
        <v>7230000</v>
      </c>
      <c r="C45" s="4"/>
      <c r="D45" s="5">
        <f t="shared" si="2"/>
        <v>7230000</v>
      </c>
      <c r="E45" s="6" t="str">
        <f t="shared" si="3"/>
        <v/>
      </c>
    </row>
    <row r="46" spans="1:5" x14ac:dyDescent="0.2">
      <c r="A46" s="3" t="s">
        <v>44</v>
      </c>
      <c r="B46" s="5">
        <f>9785957</f>
        <v>9785957</v>
      </c>
      <c r="C46" s="5">
        <f>82809</f>
        <v>82809</v>
      </c>
      <c r="D46" s="5">
        <f t="shared" si="2"/>
        <v>9703148</v>
      </c>
      <c r="E46" s="6">
        <f t="shared" si="3"/>
        <v>117.17504136023862</v>
      </c>
    </row>
    <row r="47" spans="1:5" x14ac:dyDescent="0.2">
      <c r="A47" s="3" t="s">
        <v>45</v>
      </c>
      <c r="B47" s="5">
        <f>262572</f>
        <v>262572</v>
      </c>
      <c r="C47" s="5">
        <f>6900</f>
        <v>6900</v>
      </c>
      <c r="D47" s="5">
        <f t="shared" si="2"/>
        <v>255672</v>
      </c>
      <c r="E47" s="6">
        <f t="shared" si="3"/>
        <v>37.053913043478261</v>
      </c>
    </row>
    <row r="48" spans="1:5" x14ac:dyDescent="0.2">
      <c r="A48" s="3" t="s">
        <v>46</v>
      </c>
      <c r="B48" s="5">
        <f>25470</f>
        <v>25470</v>
      </c>
      <c r="C48" s="4"/>
      <c r="D48" s="5">
        <f t="shared" si="2"/>
        <v>25470</v>
      </c>
      <c r="E48" s="6" t="str">
        <f t="shared" si="3"/>
        <v/>
      </c>
    </row>
    <row r="49" spans="1:5" x14ac:dyDescent="0.2">
      <c r="A49" s="3" t="s">
        <v>47</v>
      </c>
      <c r="B49" s="5">
        <f>361780</f>
        <v>361780</v>
      </c>
      <c r="C49" s="4"/>
      <c r="D49" s="5">
        <f t="shared" si="2"/>
        <v>361780</v>
      </c>
      <c r="E49" s="6" t="str">
        <f t="shared" si="3"/>
        <v/>
      </c>
    </row>
    <row r="50" spans="1:5" x14ac:dyDescent="0.2">
      <c r="A50" s="3" t="s">
        <v>48</v>
      </c>
      <c r="B50" s="5">
        <f>273115</f>
        <v>273115</v>
      </c>
      <c r="C50" s="4"/>
      <c r="D50" s="5">
        <f t="shared" si="2"/>
        <v>273115</v>
      </c>
      <c r="E50" s="6" t="str">
        <f t="shared" si="3"/>
        <v/>
      </c>
    </row>
    <row r="51" spans="1:5" x14ac:dyDescent="0.2">
      <c r="A51" s="3" t="s">
        <v>49</v>
      </c>
      <c r="B51" s="7">
        <f>((((((B44)+(B45))+(B46))+(B47))+(B48))+(B49))+(B50)</f>
        <v>17938894</v>
      </c>
      <c r="C51" s="7">
        <f>((((((C44)+(C45))+(C46))+(C47))+(C48))+(C49))+(C50)</f>
        <v>89709</v>
      </c>
      <c r="D51" s="7">
        <f t="shared" si="2"/>
        <v>17849185</v>
      </c>
      <c r="E51" s="8">
        <f t="shared" si="3"/>
        <v>198.96760637171298</v>
      </c>
    </row>
    <row r="52" spans="1:5" x14ac:dyDescent="0.2">
      <c r="A52" s="3" t="s">
        <v>50</v>
      </c>
      <c r="B52" s="7">
        <f>((B38)+(B43))+(B51)</f>
        <v>64607420</v>
      </c>
      <c r="C52" s="7">
        <f>((C38)+(C43))+(C51)</f>
        <v>877408</v>
      </c>
      <c r="D52" s="7">
        <f t="shared" si="2"/>
        <v>63730012</v>
      </c>
      <c r="E52" s="8">
        <f t="shared" si="3"/>
        <v>72.634409533535134</v>
      </c>
    </row>
    <row r="53" spans="1:5" x14ac:dyDescent="0.2">
      <c r="A53" s="3" t="s">
        <v>51</v>
      </c>
      <c r="B53" s="7">
        <f>(B16)-(B52)</f>
        <v>12235191.159999982</v>
      </c>
      <c r="C53" s="7">
        <f>(C16)-(C52)</f>
        <v>-877408</v>
      </c>
      <c r="D53" s="7">
        <f t="shared" si="2"/>
        <v>13112599.159999982</v>
      </c>
      <c r="E53" s="8">
        <f t="shared" si="3"/>
        <v>14.944699797585594</v>
      </c>
    </row>
    <row r="54" spans="1:5" x14ac:dyDescent="0.2">
      <c r="A54" s="3" t="s">
        <v>52</v>
      </c>
      <c r="B54" s="4"/>
      <c r="C54" s="4"/>
      <c r="D54" s="4"/>
      <c r="E54" s="4"/>
    </row>
    <row r="55" spans="1:5" x14ac:dyDescent="0.2">
      <c r="A55" s="3" t="s">
        <v>53</v>
      </c>
      <c r="B55" s="5">
        <f>3500</f>
        <v>3500</v>
      </c>
      <c r="C55" s="4"/>
      <c r="D55" s="5">
        <f>(B55)-(C55)</f>
        <v>3500</v>
      </c>
      <c r="E55" s="6" t="str">
        <f>IF(ABS((C55))=0,"",((B55)-(C55))/(ABS((C55))))</f>
        <v/>
      </c>
    </row>
    <row r="56" spans="1:5" x14ac:dyDescent="0.2">
      <c r="A56" s="3" t="s">
        <v>54</v>
      </c>
      <c r="B56" s="5">
        <f>85582</f>
        <v>85582</v>
      </c>
      <c r="C56" s="4"/>
      <c r="D56" s="5">
        <f>(B56)-(C56)</f>
        <v>85582</v>
      </c>
      <c r="E56" s="6" t="str">
        <f>IF(ABS((C56))=0,"",((B56)-(C56))/(ABS((C56))))</f>
        <v/>
      </c>
    </row>
    <row r="57" spans="1:5" x14ac:dyDescent="0.2">
      <c r="A57" s="3" t="s">
        <v>55</v>
      </c>
      <c r="B57" s="7">
        <f>(B55)+(B56)</f>
        <v>89082</v>
      </c>
      <c r="C57" s="7">
        <f>(C55)+(C56)</f>
        <v>0</v>
      </c>
      <c r="D57" s="7">
        <f>(B57)-(C57)</f>
        <v>89082</v>
      </c>
      <c r="E57" s="8" t="str">
        <f>IF(ABS((C57))=0,"",((B57)-(C57))/(ABS((C57))))</f>
        <v/>
      </c>
    </row>
    <row r="58" spans="1:5" x14ac:dyDescent="0.2">
      <c r="A58" s="3" t="s">
        <v>56</v>
      </c>
      <c r="B58" s="4"/>
      <c r="C58" s="4"/>
      <c r="D58" s="4"/>
      <c r="E58" s="4"/>
    </row>
    <row r="59" spans="1:5" x14ac:dyDescent="0.2">
      <c r="A59" s="3" t="s">
        <v>57</v>
      </c>
      <c r="B59" s="4"/>
      <c r="C59" s="4"/>
      <c r="D59" s="5">
        <f t="shared" ref="D59:D90" si="4">(B59)-(C59)</f>
        <v>0</v>
      </c>
      <c r="E59" s="6" t="str">
        <f t="shared" ref="E59:E90" si="5">IF(ABS((C59))=0,"",((B59)-(C59))/(ABS((C59))))</f>
        <v/>
      </c>
    </row>
    <row r="60" spans="1:5" x14ac:dyDescent="0.2">
      <c r="A60" s="3" t="s">
        <v>58</v>
      </c>
      <c r="B60" s="4"/>
      <c r="C60" s="4"/>
      <c r="D60" s="5">
        <f t="shared" si="4"/>
        <v>0</v>
      </c>
      <c r="E60" s="6" t="str">
        <f t="shared" si="5"/>
        <v/>
      </c>
    </row>
    <row r="61" spans="1:5" x14ac:dyDescent="0.2">
      <c r="A61" s="3" t="s">
        <v>59</v>
      </c>
      <c r="B61" s="5">
        <f>1161500</f>
        <v>1161500</v>
      </c>
      <c r="C61" s="5">
        <f>130000</f>
        <v>130000</v>
      </c>
      <c r="D61" s="5">
        <f t="shared" si="4"/>
        <v>1031500</v>
      </c>
      <c r="E61" s="6">
        <f t="shared" si="5"/>
        <v>7.9346153846153848</v>
      </c>
    </row>
    <row r="62" spans="1:5" x14ac:dyDescent="0.2">
      <c r="A62" s="3" t="s">
        <v>60</v>
      </c>
      <c r="B62" s="5">
        <f>837249</f>
        <v>837249</v>
      </c>
      <c r="C62" s="5">
        <f>53665</f>
        <v>53665</v>
      </c>
      <c r="D62" s="5">
        <f t="shared" si="4"/>
        <v>783584</v>
      </c>
      <c r="E62" s="6">
        <f t="shared" si="5"/>
        <v>14.601397558930401</v>
      </c>
    </row>
    <row r="63" spans="1:5" x14ac:dyDescent="0.2">
      <c r="A63" s="3" t="s">
        <v>61</v>
      </c>
      <c r="B63" s="5">
        <f>381500</f>
        <v>381500</v>
      </c>
      <c r="C63" s="5">
        <f>52500</f>
        <v>52500</v>
      </c>
      <c r="D63" s="5">
        <f t="shared" si="4"/>
        <v>329000</v>
      </c>
      <c r="E63" s="6">
        <f t="shared" si="5"/>
        <v>6.2666666666666666</v>
      </c>
    </row>
    <row r="64" spans="1:5" x14ac:dyDescent="0.2">
      <c r="A64" s="3" t="s">
        <v>62</v>
      </c>
      <c r="B64" s="7">
        <f>(((B60)+(B61))+(B62))+(B63)</f>
        <v>2380249</v>
      </c>
      <c r="C64" s="7">
        <f>(((C60)+(C61))+(C62))+(C63)</f>
        <v>236165</v>
      </c>
      <c r="D64" s="7">
        <f t="shared" si="4"/>
        <v>2144084</v>
      </c>
      <c r="E64" s="8">
        <f t="shared" si="5"/>
        <v>9.0787542607922429</v>
      </c>
    </row>
    <row r="65" spans="1:5" x14ac:dyDescent="0.2">
      <c r="A65" s="3" t="s">
        <v>63</v>
      </c>
      <c r="B65" s="5">
        <f>2258734</f>
        <v>2258734</v>
      </c>
      <c r="C65" s="5">
        <f>204825</f>
        <v>204825</v>
      </c>
      <c r="D65" s="5">
        <f t="shared" si="4"/>
        <v>2053909</v>
      </c>
      <c r="E65" s="6">
        <f t="shared" si="5"/>
        <v>10.027628463322348</v>
      </c>
    </row>
    <row r="66" spans="1:5" x14ac:dyDescent="0.2">
      <c r="A66" s="3" t="s">
        <v>64</v>
      </c>
      <c r="B66" s="7">
        <f>((B59)+(B64))+(B65)</f>
        <v>4638983</v>
      </c>
      <c r="C66" s="7">
        <f>((C59)+(C64))+(C65)</f>
        <v>440990</v>
      </c>
      <c r="D66" s="7">
        <f t="shared" si="4"/>
        <v>4197993</v>
      </c>
      <c r="E66" s="8">
        <f t="shared" si="5"/>
        <v>9.5194743644980608</v>
      </c>
    </row>
    <row r="67" spans="1:5" x14ac:dyDescent="0.2">
      <c r="A67" s="3" t="s">
        <v>65</v>
      </c>
      <c r="B67" s="4"/>
      <c r="C67" s="4"/>
      <c r="D67" s="5">
        <f t="shared" si="4"/>
        <v>0</v>
      </c>
      <c r="E67" s="6" t="str">
        <f t="shared" si="5"/>
        <v/>
      </c>
    </row>
    <row r="68" spans="1:5" x14ac:dyDescent="0.2">
      <c r="A68" s="3" t="s">
        <v>66</v>
      </c>
      <c r="B68" s="5">
        <f>60</f>
        <v>60</v>
      </c>
      <c r="C68" s="5">
        <f>450</f>
        <v>450</v>
      </c>
      <c r="D68" s="5">
        <f t="shared" si="4"/>
        <v>-390</v>
      </c>
      <c r="E68" s="6">
        <f t="shared" si="5"/>
        <v>-0.8666666666666667</v>
      </c>
    </row>
    <row r="69" spans="1:5" x14ac:dyDescent="0.2">
      <c r="A69" s="3" t="s">
        <v>67</v>
      </c>
      <c r="B69" s="7">
        <f>(B67)+(B68)</f>
        <v>60</v>
      </c>
      <c r="C69" s="7">
        <f>(C67)+(C68)</f>
        <v>450</v>
      </c>
      <c r="D69" s="7">
        <f t="shared" si="4"/>
        <v>-390</v>
      </c>
      <c r="E69" s="8">
        <f t="shared" si="5"/>
        <v>-0.8666666666666667</v>
      </c>
    </row>
    <row r="70" spans="1:5" x14ac:dyDescent="0.2">
      <c r="A70" s="3" t="s">
        <v>68</v>
      </c>
      <c r="B70" s="4"/>
      <c r="C70" s="4"/>
      <c r="D70" s="5">
        <f t="shared" si="4"/>
        <v>0</v>
      </c>
      <c r="E70" s="6" t="str">
        <f t="shared" si="5"/>
        <v/>
      </c>
    </row>
    <row r="71" spans="1:5" x14ac:dyDescent="0.2">
      <c r="A71" s="3" t="s">
        <v>69</v>
      </c>
      <c r="B71" s="5">
        <f>8615</f>
        <v>8615</v>
      </c>
      <c r="C71" s="4"/>
      <c r="D71" s="5">
        <f t="shared" si="4"/>
        <v>8615</v>
      </c>
      <c r="E71" s="6" t="str">
        <f t="shared" si="5"/>
        <v/>
      </c>
    </row>
    <row r="72" spans="1:5" x14ac:dyDescent="0.2">
      <c r="A72" s="3" t="s">
        <v>70</v>
      </c>
      <c r="B72" s="5">
        <f>130000</f>
        <v>130000</v>
      </c>
      <c r="C72" s="4"/>
      <c r="D72" s="5">
        <f t="shared" si="4"/>
        <v>130000</v>
      </c>
      <c r="E72" s="6" t="str">
        <f t="shared" si="5"/>
        <v/>
      </c>
    </row>
    <row r="73" spans="1:5" x14ac:dyDescent="0.2">
      <c r="A73" s="3" t="s">
        <v>71</v>
      </c>
      <c r="B73" s="5">
        <f>102837</f>
        <v>102837</v>
      </c>
      <c r="C73" s="4"/>
      <c r="D73" s="5">
        <f t="shared" si="4"/>
        <v>102837</v>
      </c>
      <c r="E73" s="6" t="str">
        <f t="shared" si="5"/>
        <v/>
      </c>
    </row>
    <row r="74" spans="1:5" x14ac:dyDescent="0.2">
      <c r="A74" s="3" t="s">
        <v>72</v>
      </c>
      <c r="B74" s="7">
        <f>(((B70)+(B71))+(B72))+(B73)</f>
        <v>241452</v>
      </c>
      <c r="C74" s="7">
        <f>(((C70)+(C71))+(C72))+(C73)</f>
        <v>0</v>
      </c>
      <c r="D74" s="7">
        <f t="shared" si="4"/>
        <v>241452</v>
      </c>
      <c r="E74" s="8" t="str">
        <f t="shared" si="5"/>
        <v/>
      </c>
    </row>
    <row r="75" spans="1:5" x14ac:dyDescent="0.2">
      <c r="A75" s="3" t="s">
        <v>73</v>
      </c>
      <c r="B75" s="4"/>
      <c r="C75" s="4"/>
      <c r="D75" s="5">
        <f t="shared" si="4"/>
        <v>0</v>
      </c>
      <c r="E75" s="6" t="str">
        <f t="shared" si="5"/>
        <v/>
      </c>
    </row>
    <row r="76" spans="1:5" x14ac:dyDescent="0.2">
      <c r="A76" s="3" t="s">
        <v>74</v>
      </c>
      <c r="B76" s="5">
        <f>167896</f>
        <v>167896</v>
      </c>
      <c r="C76" s="5">
        <f>4717</f>
        <v>4717</v>
      </c>
      <c r="D76" s="5">
        <f t="shared" si="4"/>
        <v>163179</v>
      </c>
      <c r="E76" s="6">
        <f t="shared" si="5"/>
        <v>34.593809624761498</v>
      </c>
    </row>
    <row r="77" spans="1:5" x14ac:dyDescent="0.2">
      <c r="A77" s="3" t="s">
        <v>75</v>
      </c>
      <c r="B77" s="5">
        <f>1690</f>
        <v>1690</v>
      </c>
      <c r="C77" s="4"/>
      <c r="D77" s="5">
        <f t="shared" si="4"/>
        <v>1690</v>
      </c>
      <c r="E77" s="6" t="str">
        <f t="shared" si="5"/>
        <v/>
      </c>
    </row>
    <row r="78" spans="1:5" x14ac:dyDescent="0.2">
      <c r="A78" s="3" t="s">
        <v>76</v>
      </c>
      <c r="B78" s="5">
        <f>50430</f>
        <v>50430</v>
      </c>
      <c r="C78" s="4"/>
      <c r="D78" s="5">
        <f t="shared" si="4"/>
        <v>50430</v>
      </c>
      <c r="E78" s="6" t="str">
        <f t="shared" si="5"/>
        <v/>
      </c>
    </row>
    <row r="79" spans="1:5" x14ac:dyDescent="0.2">
      <c r="A79" s="3" t="s">
        <v>77</v>
      </c>
      <c r="B79" s="7">
        <f>(((B75)+(B76))+(B77))+(B78)</f>
        <v>220016</v>
      </c>
      <c r="C79" s="7">
        <f>(((C75)+(C76))+(C77))+(C78)</f>
        <v>4717</v>
      </c>
      <c r="D79" s="7">
        <f t="shared" si="4"/>
        <v>215299</v>
      </c>
      <c r="E79" s="8">
        <f t="shared" si="5"/>
        <v>45.643205427178295</v>
      </c>
    </row>
    <row r="80" spans="1:5" x14ac:dyDescent="0.2">
      <c r="A80" s="3" t="s">
        <v>78</v>
      </c>
      <c r="B80" s="4"/>
      <c r="C80" s="4"/>
      <c r="D80" s="5">
        <f t="shared" si="4"/>
        <v>0</v>
      </c>
      <c r="E80" s="6" t="str">
        <f t="shared" si="5"/>
        <v/>
      </c>
    </row>
    <row r="81" spans="1:5" x14ac:dyDescent="0.2">
      <c r="A81" s="3" t="s">
        <v>79</v>
      </c>
      <c r="B81" s="5">
        <f>333671</f>
        <v>333671</v>
      </c>
      <c r="C81" s="4"/>
      <c r="D81" s="5">
        <f t="shared" si="4"/>
        <v>333671</v>
      </c>
      <c r="E81" s="6" t="str">
        <f t="shared" si="5"/>
        <v/>
      </c>
    </row>
    <row r="82" spans="1:5" x14ac:dyDescent="0.2">
      <c r="A82" s="3" t="s">
        <v>80</v>
      </c>
      <c r="B82" s="5">
        <f>30225</f>
        <v>30225</v>
      </c>
      <c r="C82" s="4"/>
      <c r="D82" s="5">
        <f t="shared" si="4"/>
        <v>30225</v>
      </c>
      <c r="E82" s="6" t="str">
        <f t="shared" si="5"/>
        <v/>
      </c>
    </row>
    <row r="83" spans="1:5" x14ac:dyDescent="0.2">
      <c r="A83" s="3" t="s">
        <v>81</v>
      </c>
      <c r="B83" s="5">
        <f>16300</f>
        <v>16300</v>
      </c>
      <c r="C83" s="5">
        <f>65000</f>
        <v>65000</v>
      </c>
      <c r="D83" s="5">
        <f t="shared" si="4"/>
        <v>-48700</v>
      </c>
      <c r="E83" s="6">
        <f t="shared" si="5"/>
        <v>-0.74923076923076926</v>
      </c>
    </row>
    <row r="84" spans="1:5" x14ac:dyDescent="0.2">
      <c r="A84" s="3" t="s">
        <v>82</v>
      </c>
      <c r="B84" s="5">
        <f>198870</f>
        <v>198870</v>
      </c>
      <c r="C84" s="4"/>
      <c r="D84" s="5">
        <f t="shared" si="4"/>
        <v>198870</v>
      </c>
      <c r="E84" s="6" t="str">
        <f t="shared" si="5"/>
        <v/>
      </c>
    </row>
    <row r="85" spans="1:5" x14ac:dyDescent="0.2">
      <c r="A85" s="3" t="s">
        <v>83</v>
      </c>
      <c r="B85" s="7">
        <f>((((B80)+(B81))+(B82))+(B83))+(B84)</f>
        <v>579066</v>
      </c>
      <c r="C85" s="7">
        <f>((((C80)+(C81))+(C82))+(C83))+(C84)</f>
        <v>65000</v>
      </c>
      <c r="D85" s="7">
        <f t="shared" si="4"/>
        <v>514066</v>
      </c>
      <c r="E85" s="8">
        <f t="shared" si="5"/>
        <v>7.9087076923076927</v>
      </c>
    </row>
    <row r="86" spans="1:5" x14ac:dyDescent="0.2">
      <c r="A86" s="3" t="s">
        <v>84</v>
      </c>
      <c r="B86" s="4"/>
      <c r="C86" s="4"/>
      <c r="D86" s="5">
        <f t="shared" si="4"/>
        <v>0</v>
      </c>
      <c r="E86" s="6" t="str">
        <f t="shared" si="5"/>
        <v/>
      </c>
    </row>
    <row r="87" spans="1:5" x14ac:dyDescent="0.2">
      <c r="A87" s="3" t="s">
        <v>85</v>
      </c>
      <c r="B87" s="5">
        <f>700</f>
        <v>700</v>
      </c>
      <c r="C87" s="4"/>
      <c r="D87" s="5">
        <f t="shared" si="4"/>
        <v>700</v>
      </c>
      <c r="E87" s="6" t="str">
        <f t="shared" si="5"/>
        <v/>
      </c>
    </row>
    <row r="88" spans="1:5" x14ac:dyDescent="0.2">
      <c r="A88" s="3" t="s">
        <v>86</v>
      </c>
      <c r="B88" s="5">
        <f>5370</f>
        <v>5370</v>
      </c>
      <c r="C88" s="5">
        <f>15345</f>
        <v>15345</v>
      </c>
      <c r="D88" s="5">
        <f t="shared" si="4"/>
        <v>-9975</v>
      </c>
      <c r="E88" s="6">
        <f t="shared" si="5"/>
        <v>-0.65004887585532745</v>
      </c>
    </row>
    <row r="89" spans="1:5" x14ac:dyDescent="0.2">
      <c r="A89" s="3" t="s">
        <v>87</v>
      </c>
      <c r="B89" s="7">
        <f>((B86)+(B87))+(B88)</f>
        <v>6070</v>
      </c>
      <c r="C89" s="7">
        <f>((C86)+(C87))+(C88)</f>
        <v>15345</v>
      </c>
      <c r="D89" s="7">
        <f t="shared" si="4"/>
        <v>-9275</v>
      </c>
      <c r="E89" s="8">
        <f t="shared" si="5"/>
        <v>-0.60443141088302377</v>
      </c>
    </row>
    <row r="90" spans="1:5" x14ac:dyDescent="0.2">
      <c r="A90" s="3" t="s">
        <v>88</v>
      </c>
      <c r="B90" s="4"/>
      <c r="C90" s="4"/>
      <c r="D90" s="5">
        <f t="shared" si="4"/>
        <v>0</v>
      </c>
      <c r="E90" s="6" t="str">
        <f t="shared" si="5"/>
        <v/>
      </c>
    </row>
    <row r="91" spans="1:5" x14ac:dyDescent="0.2">
      <c r="A91" s="3" t="s">
        <v>89</v>
      </c>
      <c r="B91" s="5">
        <f>6100</f>
        <v>6100</v>
      </c>
      <c r="C91" s="4"/>
      <c r="D91" s="5">
        <f t="shared" ref="D91:D122" si="6">(B91)-(C91)</f>
        <v>6100</v>
      </c>
      <c r="E91" s="6" t="str">
        <f t="shared" ref="E91:E107" si="7">IF(ABS((C91))=0,"",((B91)-(C91))/(ABS((C91))))</f>
        <v/>
      </c>
    </row>
    <row r="92" spans="1:5" x14ac:dyDescent="0.2">
      <c r="A92" s="3" t="s">
        <v>90</v>
      </c>
      <c r="B92" s="5">
        <f>115375</f>
        <v>115375</v>
      </c>
      <c r="C92" s="4"/>
      <c r="D92" s="5">
        <f t="shared" si="6"/>
        <v>115375</v>
      </c>
      <c r="E92" s="6" t="str">
        <f t="shared" si="7"/>
        <v/>
      </c>
    </row>
    <row r="93" spans="1:5" x14ac:dyDescent="0.2">
      <c r="A93" s="3" t="s">
        <v>91</v>
      </c>
      <c r="B93" s="5">
        <f>121720</f>
        <v>121720</v>
      </c>
      <c r="C93" s="5">
        <f>960</f>
        <v>960</v>
      </c>
      <c r="D93" s="5">
        <f t="shared" si="6"/>
        <v>120760</v>
      </c>
      <c r="E93" s="6">
        <f t="shared" si="7"/>
        <v>125.79166666666667</v>
      </c>
    </row>
    <row r="94" spans="1:5" x14ac:dyDescent="0.2">
      <c r="A94" s="3" t="s">
        <v>92</v>
      </c>
      <c r="B94" s="7">
        <f>(((B90)+(B91))+(B92))+(B93)</f>
        <v>243195</v>
      </c>
      <c r="C94" s="7">
        <f>(((C90)+(C91))+(C92))+(C93)</f>
        <v>960</v>
      </c>
      <c r="D94" s="7">
        <f t="shared" si="6"/>
        <v>242235</v>
      </c>
      <c r="E94" s="8">
        <f t="shared" si="7"/>
        <v>252.328125</v>
      </c>
    </row>
    <row r="95" spans="1:5" x14ac:dyDescent="0.2">
      <c r="A95" s="3" t="s">
        <v>93</v>
      </c>
      <c r="B95" s="4"/>
      <c r="C95" s="4"/>
      <c r="D95" s="5">
        <f t="shared" si="6"/>
        <v>0</v>
      </c>
      <c r="E95" s="6" t="str">
        <f t="shared" si="7"/>
        <v/>
      </c>
    </row>
    <row r="96" spans="1:5" x14ac:dyDescent="0.2">
      <c r="A96" s="3" t="s">
        <v>94</v>
      </c>
      <c r="B96" s="5">
        <f>595000</f>
        <v>595000</v>
      </c>
      <c r="C96" s="4"/>
      <c r="D96" s="5">
        <f t="shared" si="6"/>
        <v>595000</v>
      </c>
      <c r="E96" s="6" t="str">
        <f t="shared" si="7"/>
        <v/>
      </c>
    </row>
    <row r="97" spans="1:5" x14ac:dyDescent="0.2">
      <c r="A97" s="3" t="s">
        <v>95</v>
      </c>
      <c r="B97" s="5">
        <f>750439</f>
        <v>750439</v>
      </c>
      <c r="C97" s="4"/>
      <c r="D97" s="5">
        <f t="shared" si="6"/>
        <v>750439</v>
      </c>
      <c r="E97" s="6" t="str">
        <f t="shared" si="7"/>
        <v/>
      </c>
    </row>
    <row r="98" spans="1:5" x14ac:dyDescent="0.2">
      <c r="A98" s="3" t="s">
        <v>96</v>
      </c>
      <c r="B98" s="5">
        <f>2524</f>
        <v>2524</v>
      </c>
      <c r="C98" s="4"/>
      <c r="D98" s="5">
        <f t="shared" si="6"/>
        <v>2524</v>
      </c>
      <c r="E98" s="6" t="str">
        <f t="shared" si="7"/>
        <v/>
      </c>
    </row>
    <row r="99" spans="1:5" x14ac:dyDescent="0.2">
      <c r="A99" s="3" t="s">
        <v>97</v>
      </c>
      <c r="B99" s="7">
        <f>(((B95)+(B96))+(B97))+(B98)</f>
        <v>1347963</v>
      </c>
      <c r="C99" s="7">
        <f>(((C95)+(C96))+(C97))+(C98)</f>
        <v>0</v>
      </c>
      <c r="D99" s="7">
        <f t="shared" si="6"/>
        <v>1347963</v>
      </c>
      <c r="E99" s="8" t="str">
        <f t="shared" si="7"/>
        <v/>
      </c>
    </row>
    <row r="100" spans="1:5" x14ac:dyDescent="0.2">
      <c r="A100" s="3" t="s">
        <v>98</v>
      </c>
      <c r="B100" s="4"/>
      <c r="C100" s="4"/>
      <c r="D100" s="5">
        <f t="shared" si="6"/>
        <v>0</v>
      </c>
      <c r="E100" s="6" t="str">
        <f t="shared" si="7"/>
        <v/>
      </c>
    </row>
    <row r="101" spans="1:5" x14ac:dyDescent="0.2">
      <c r="A101" s="3" t="s">
        <v>99</v>
      </c>
      <c r="B101" s="5">
        <f>2101</f>
        <v>2101</v>
      </c>
      <c r="C101" s="4"/>
      <c r="D101" s="5">
        <f t="shared" si="6"/>
        <v>2101</v>
      </c>
      <c r="E101" s="6" t="str">
        <f t="shared" si="7"/>
        <v/>
      </c>
    </row>
    <row r="102" spans="1:5" x14ac:dyDescent="0.2">
      <c r="A102" s="3" t="s">
        <v>100</v>
      </c>
      <c r="B102" s="5">
        <f>43200</f>
        <v>43200</v>
      </c>
      <c r="C102" s="5">
        <f>135740</f>
        <v>135740</v>
      </c>
      <c r="D102" s="5">
        <f t="shared" si="6"/>
        <v>-92540</v>
      </c>
      <c r="E102" s="6">
        <f t="shared" si="7"/>
        <v>-0.68174451156622951</v>
      </c>
    </row>
    <row r="103" spans="1:5" x14ac:dyDescent="0.2">
      <c r="A103" s="3" t="s">
        <v>101</v>
      </c>
      <c r="B103" s="7">
        <f>((B100)+(B101))+(B102)</f>
        <v>45301</v>
      </c>
      <c r="C103" s="7">
        <f>((C100)+(C101))+(C102)</f>
        <v>135740</v>
      </c>
      <c r="D103" s="7">
        <f t="shared" si="6"/>
        <v>-90439</v>
      </c>
      <c r="E103" s="8">
        <f t="shared" si="7"/>
        <v>-0.66626639163105938</v>
      </c>
    </row>
    <row r="104" spans="1:5" x14ac:dyDescent="0.2">
      <c r="A104" s="3" t="s">
        <v>102</v>
      </c>
      <c r="B104" s="5">
        <f>931507</f>
        <v>931507</v>
      </c>
      <c r="C104" s="5">
        <f>2301</f>
        <v>2301</v>
      </c>
      <c r="D104" s="5">
        <f t="shared" si="6"/>
        <v>929206</v>
      </c>
      <c r="E104" s="6">
        <f t="shared" si="7"/>
        <v>403.82703172533684</v>
      </c>
    </row>
    <row r="105" spans="1:5" x14ac:dyDescent="0.2">
      <c r="A105" s="3" t="s">
        <v>103</v>
      </c>
      <c r="B105" s="5">
        <f>30500</f>
        <v>30500</v>
      </c>
      <c r="C105" s="5">
        <f>502100</f>
        <v>502100</v>
      </c>
      <c r="D105" s="5">
        <f t="shared" si="6"/>
        <v>-471600</v>
      </c>
      <c r="E105" s="6">
        <f t="shared" si="7"/>
        <v>-0.93925512846046599</v>
      </c>
    </row>
    <row r="106" spans="1:5" x14ac:dyDescent="0.2">
      <c r="A106" s="3" t="s">
        <v>104</v>
      </c>
      <c r="B106" s="5">
        <f>5060</f>
        <v>5060</v>
      </c>
      <c r="C106" s="5">
        <f>20000</f>
        <v>20000</v>
      </c>
      <c r="D106" s="5">
        <f t="shared" si="6"/>
        <v>-14940</v>
      </c>
      <c r="E106" s="6">
        <f t="shared" si="7"/>
        <v>-0.747</v>
      </c>
    </row>
    <row r="107" spans="1:5" x14ac:dyDescent="0.2">
      <c r="A107" s="3" t="s">
        <v>105</v>
      </c>
      <c r="B107" s="7">
        <f>(((((((((((B66)+(B69))+(B74))+(B79))+(B85))+(B89))+(B94))+(B99))+(B103))+(B104))+(B105))+(B106)</f>
        <v>8289173</v>
      </c>
      <c r="C107" s="7">
        <f>(((((((((((C66)+(C69))+(C74))+(C79))+(C85))+(C89))+(C94))+(C99))+(C103))+(C104))+(C105))+(C106)</f>
        <v>1187603</v>
      </c>
      <c r="D107" s="7">
        <f t="shared" si="6"/>
        <v>7101570</v>
      </c>
      <c r="E107" s="8">
        <f t="shared" si="7"/>
        <v>5.9797508089824634</v>
      </c>
    </row>
    <row r="108" spans="1:5" x14ac:dyDescent="0.2">
      <c r="A108" s="3" t="s">
        <v>106</v>
      </c>
      <c r="B108" s="4"/>
      <c r="C108" s="4"/>
      <c r="D108" s="4"/>
      <c r="E108" s="4"/>
    </row>
    <row r="109" spans="1:5" x14ac:dyDescent="0.2">
      <c r="A109" s="3" t="s">
        <v>107</v>
      </c>
      <c r="B109" s="5">
        <f>3500</f>
        <v>3500</v>
      </c>
      <c r="C109" s="4"/>
      <c r="D109" s="5">
        <f>(B109)-(C109)</f>
        <v>3500</v>
      </c>
      <c r="E109" s="6" t="str">
        <f>IF(ABS((C109))=0,"",((B109)-(C109))/(ABS((C109))))</f>
        <v/>
      </c>
    </row>
    <row r="110" spans="1:5" x14ac:dyDescent="0.2">
      <c r="A110" s="3" t="s">
        <v>108</v>
      </c>
      <c r="B110" s="5">
        <f>1014477.62</f>
        <v>1014477.62</v>
      </c>
      <c r="C110" s="4"/>
      <c r="D110" s="5">
        <f>(B110)-(C110)</f>
        <v>1014477.62</v>
      </c>
      <c r="E110" s="6" t="str">
        <f>IF(ABS((C110))=0,"",((B110)-(C110))/(ABS((C110))))</f>
        <v/>
      </c>
    </row>
    <row r="111" spans="1:5" x14ac:dyDescent="0.2">
      <c r="A111" s="3" t="s">
        <v>109</v>
      </c>
      <c r="B111" s="7">
        <f>(B109)+(B110)</f>
        <v>1017977.62</v>
      </c>
      <c r="C111" s="7">
        <f>(C109)+(C110)</f>
        <v>0</v>
      </c>
      <c r="D111" s="7">
        <f>(B111)-(C111)</f>
        <v>1017977.62</v>
      </c>
      <c r="E111" s="8" t="str">
        <f>IF(ABS((C111))=0,"",((B111)-(C111))/(ABS((C111))))</f>
        <v/>
      </c>
    </row>
    <row r="112" spans="1:5" x14ac:dyDescent="0.2">
      <c r="A112" s="3" t="s">
        <v>110</v>
      </c>
      <c r="B112" s="9">
        <f>((((B16)+(B57))-(B52))-(B107))-(B111)</f>
        <v>3017122.5399999814</v>
      </c>
      <c r="C112" s="9">
        <f>((((C16)+(C57))-(C52))-(C107))-(C111)</f>
        <v>-2065011</v>
      </c>
      <c r="D112" s="9">
        <f>(B112)-(C112)</f>
        <v>5082133.5399999814</v>
      </c>
      <c r="E112" s="10">
        <f>IF(ABS((C112))=0,"",((B112)-(C112))/(ABS((C112))))</f>
        <v>2.4610685076253742</v>
      </c>
    </row>
    <row r="113" spans="1:5" x14ac:dyDescent="0.2">
      <c r="A113" s="3"/>
      <c r="B113" s="4"/>
      <c r="C113" s="4"/>
      <c r="D113" s="4"/>
      <c r="E113" s="4"/>
    </row>
    <row r="116" spans="1:5" x14ac:dyDescent="0.2">
      <c r="A116" s="13" t="s">
        <v>111</v>
      </c>
      <c r="B116" s="14"/>
      <c r="C116" s="14"/>
      <c r="D116" s="14"/>
      <c r="E116" s="14"/>
    </row>
  </sheetData>
  <mergeCells count="5">
    <mergeCell ref="B5:E5"/>
    <mergeCell ref="A116:E116"/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Adnan Khan</cp:lastModifiedBy>
  <dcterms:created xsi:type="dcterms:W3CDTF">2024-02-27T11:51:27Z</dcterms:created>
  <dcterms:modified xsi:type="dcterms:W3CDTF">2024-03-14T23:38:39Z</dcterms:modified>
</cp:coreProperties>
</file>