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nan/Downloads/"/>
    </mc:Choice>
  </mc:AlternateContent>
  <xr:revisionPtr revIDLastSave="0" documentId="13_ncr:1_{C790FEEC-B558-0D4B-9E16-C1BBA4AA3CEE}" xr6:coauthVersionLast="47" xr6:coauthVersionMax="47" xr10:uidLastSave="{00000000-0000-0000-0000-000000000000}"/>
  <bookViews>
    <workbookView xWindow="0" yWindow="500" windowWidth="40960" windowHeight="21000" xr2:uid="{00000000-000D-0000-FFFF-FFFF00000000}"/>
  </bookViews>
  <sheets>
    <sheet name="Profit and Lo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6" i="1" l="1"/>
  <c r="B126" i="1"/>
  <c r="C125" i="1"/>
  <c r="B125" i="1"/>
  <c r="C124" i="1"/>
  <c r="B124" i="1"/>
  <c r="C123" i="1"/>
  <c r="C127" i="1" s="1"/>
  <c r="C128" i="1" s="1"/>
  <c r="B123" i="1"/>
  <c r="B127" i="1" s="1"/>
  <c r="B128" i="1" s="1"/>
  <c r="C118" i="1"/>
  <c r="B118" i="1"/>
  <c r="C117" i="1"/>
  <c r="C119" i="1" s="1"/>
  <c r="B117" i="1"/>
  <c r="B119" i="1" s="1"/>
  <c r="C114" i="1"/>
  <c r="B114" i="1"/>
  <c r="C113" i="1"/>
  <c r="C115" i="1" s="1"/>
  <c r="B113" i="1"/>
  <c r="B115" i="1" s="1"/>
  <c r="C110" i="1"/>
  <c r="B110" i="1"/>
  <c r="C109" i="1"/>
  <c r="C111" i="1" s="1"/>
  <c r="B109" i="1"/>
  <c r="B111" i="1" s="1"/>
  <c r="C107" i="1"/>
  <c r="B107" i="1"/>
  <c r="C106" i="1"/>
  <c r="B106" i="1"/>
  <c r="C104" i="1"/>
  <c r="B104" i="1"/>
  <c r="C103" i="1"/>
  <c r="B103" i="1"/>
  <c r="C102" i="1"/>
  <c r="B102" i="1"/>
  <c r="C101" i="1"/>
  <c r="B101" i="1"/>
  <c r="C98" i="1"/>
  <c r="B98" i="1"/>
  <c r="C97" i="1"/>
  <c r="B97" i="1"/>
  <c r="C96" i="1"/>
  <c r="B96" i="1"/>
  <c r="C95" i="1"/>
  <c r="C99" i="1" s="1"/>
  <c r="B95" i="1"/>
  <c r="B99" i="1" s="1"/>
  <c r="C92" i="1"/>
  <c r="B92" i="1"/>
  <c r="C91" i="1"/>
  <c r="B91" i="1"/>
  <c r="B90" i="1"/>
  <c r="B93" i="1" s="1"/>
  <c r="C89" i="1"/>
  <c r="B89" i="1"/>
  <c r="C88" i="1"/>
  <c r="C93" i="1" s="1"/>
  <c r="B86" i="1"/>
  <c r="C85" i="1"/>
  <c r="B85" i="1"/>
  <c r="C84" i="1"/>
  <c r="C83" i="1"/>
  <c r="C86" i="1" s="1"/>
  <c r="B83" i="1"/>
  <c r="B81" i="1"/>
  <c r="C80" i="1"/>
  <c r="C81" i="1" s="1"/>
  <c r="B80" i="1"/>
  <c r="C79" i="1"/>
  <c r="B79" i="1"/>
  <c r="B76" i="1"/>
  <c r="C75" i="1"/>
  <c r="C76" i="1" s="1"/>
  <c r="C73" i="1"/>
  <c r="B73" i="1"/>
  <c r="C71" i="1"/>
  <c r="B71" i="1"/>
  <c r="C70" i="1"/>
  <c r="B70" i="1"/>
  <c r="C69" i="1"/>
  <c r="B69" i="1"/>
  <c r="C68" i="1"/>
  <c r="C72" i="1" s="1"/>
  <c r="C77" i="1" s="1"/>
  <c r="B68" i="1"/>
  <c r="B72" i="1" s="1"/>
  <c r="B77" i="1" s="1"/>
  <c r="C62" i="1"/>
  <c r="B62" i="1"/>
  <c r="C61" i="1"/>
  <c r="C63" i="1" s="1"/>
  <c r="C64" i="1" s="1"/>
  <c r="B61" i="1"/>
  <c r="B63" i="1" s="1"/>
  <c r="B64" i="1" s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C56" i="1" s="1"/>
  <c r="B49" i="1"/>
  <c r="B56" i="1" s="1"/>
  <c r="C46" i="1"/>
  <c r="B46" i="1"/>
  <c r="C45" i="1"/>
  <c r="B45" i="1"/>
  <c r="C44" i="1"/>
  <c r="C47" i="1" s="1"/>
  <c r="B44" i="1"/>
  <c r="B47" i="1" s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C34" i="1"/>
  <c r="B34" i="1"/>
  <c r="C33" i="1"/>
  <c r="B33" i="1"/>
  <c r="C32" i="1"/>
  <c r="B32" i="1"/>
  <c r="C31" i="1"/>
  <c r="B31" i="1"/>
  <c r="B35" i="1" s="1"/>
  <c r="C30" i="1"/>
  <c r="B30" i="1"/>
  <c r="C27" i="1"/>
  <c r="B27" i="1"/>
  <c r="C26" i="1"/>
  <c r="B26" i="1"/>
  <c r="C25" i="1"/>
  <c r="B25" i="1"/>
  <c r="C24" i="1"/>
  <c r="C28" i="1" s="1"/>
  <c r="C42" i="1" s="1"/>
  <c r="B24" i="1"/>
  <c r="B28" i="1" s="1"/>
  <c r="C19" i="1"/>
  <c r="B19" i="1"/>
  <c r="C18" i="1"/>
  <c r="C17" i="1"/>
  <c r="B17" i="1"/>
  <c r="C16" i="1"/>
  <c r="B16" i="1"/>
  <c r="C14" i="1"/>
  <c r="B14" i="1"/>
  <c r="C13" i="1"/>
  <c r="C15" i="1" s="1"/>
  <c r="B13" i="1"/>
  <c r="B15" i="1" s="1"/>
  <c r="C11" i="1"/>
  <c r="C10" i="1"/>
  <c r="B10" i="1"/>
  <c r="B11" i="1" s="1"/>
  <c r="B20" i="1" s="1"/>
  <c r="C8" i="1"/>
  <c r="B8" i="1"/>
  <c r="B120" i="1" l="1"/>
  <c r="B42" i="1"/>
  <c r="B57" i="1" s="1"/>
  <c r="B58" i="1" s="1"/>
  <c r="C120" i="1"/>
  <c r="C20" i="1"/>
  <c r="C57" i="1"/>
  <c r="C129" i="1" l="1"/>
  <c r="C58" i="1"/>
  <c r="B129" i="1"/>
</calcChain>
</file>

<file path=xl/sharedStrings.xml><?xml version="1.0" encoding="utf-8"?>
<sst xmlns="http://schemas.openxmlformats.org/spreadsheetml/2006/main" count="130" uniqueCount="130">
  <si>
    <t>Total</t>
  </si>
  <si>
    <t>Mar 2024</t>
  </si>
  <si>
    <t>Feb 2024 (PP)</t>
  </si>
  <si>
    <t>Income</t>
  </si>
  <si>
    <t xml:space="preserve">   0801 Catering &amp; Décor (Menu Sale)</t>
  </si>
  <si>
    <t xml:space="preserve">   0802 Euphoria</t>
  </si>
  <si>
    <t xml:space="preserve">      080201 Euphoria Décor</t>
  </si>
  <si>
    <t xml:space="preserve">   Total 0802 Euphoria</t>
  </si>
  <si>
    <t xml:space="preserve">   0803 Food Sale</t>
  </si>
  <si>
    <t xml:space="preserve">      080301 Food/Kg/Box</t>
  </si>
  <si>
    <t xml:space="preserve">      080302 Additional Food &amp; Stations</t>
  </si>
  <si>
    <t xml:space="preserve">   Total 0803 Food Sale</t>
  </si>
  <si>
    <t xml:space="preserve">   0804 Beverages</t>
  </si>
  <si>
    <t xml:space="preserve">   0805 Additional Item &amp; Setups</t>
  </si>
  <si>
    <t xml:space="preserve">   0806 Setup &amp; Services</t>
  </si>
  <si>
    <t xml:space="preserve">   0807 Kitchen Overhead Share</t>
  </si>
  <si>
    <t>Total Income</t>
  </si>
  <si>
    <t>Cost of Sales</t>
  </si>
  <si>
    <t xml:space="preserve">   0901 Supplies and materials - COS</t>
  </si>
  <si>
    <t xml:space="preserve">      090101 Meat</t>
  </si>
  <si>
    <t xml:space="preserve">         09010101 Mutton</t>
  </si>
  <si>
    <t xml:space="preserve">         09010102 Chicken</t>
  </si>
  <si>
    <t xml:space="preserve">         09010103 Beef</t>
  </si>
  <si>
    <t xml:space="preserve">         09010104 Fish &amp; Prawns</t>
  </si>
  <si>
    <t xml:space="preserve">      Total 090101 Meat</t>
  </si>
  <si>
    <t xml:space="preserve">      090102 Dry Stock</t>
  </si>
  <si>
    <t xml:space="preserve">         09010201 Oil</t>
  </si>
  <si>
    <t xml:space="preserve">         09010202 Flour</t>
  </si>
  <si>
    <t xml:space="preserve">         09010203 Rice</t>
  </si>
  <si>
    <t xml:space="preserve">         09010204 Sugar</t>
  </si>
  <si>
    <t xml:space="preserve">         09010205 Other Dry Stock</t>
  </si>
  <si>
    <t xml:space="preserve">      Total 090102 Dry Stock</t>
  </si>
  <si>
    <t xml:space="preserve">      090103 Outsourced Food</t>
  </si>
  <si>
    <t xml:space="preserve">      090104 Dairy &amp; Bakery Items</t>
  </si>
  <si>
    <t xml:space="preserve">      090105 Vegetables &amp; Fruits</t>
  </si>
  <si>
    <t xml:space="preserve">      090106 Beverages &amp; Soft drinks</t>
  </si>
  <si>
    <t xml:space="preserve">      090107 Other Consumables</t>
  </si>
  <si>
    <t xml:space="preserve">      090108 Disposible Material</t>
  </si>
  <si>
    <t xml:space="preserve">   Total 0901 Supplies and materials - COS</t>
  </si>
  <si>
    <t xml:space="preserve">   0902 Cost of labour-COS</t>
  </si>
  <si>
    <t xml:space="preserve">      090201 Salaries- Operation Staff</t>
  </si>
  <si>
    <t xml:space="preserve">      090202 Labour Out Sourced</t>
  </si>
  <si>
    <t xml:space="preserve">      090203 Wages &amp; Allowance</t>
  </si>
  <si>
    <t xml:space="preserve">   Total 0902 Cost of labour-COS</t>
  </si>
  <si>
    <t xml:space="preserve">   0903 Other costs of sales - COS</t>
  </si>
  <si>
    <t xml:space="preserve">      090301 Rents, rates &amp; taxes</t>
  </si>
  <si>
    <t xml:space="preserve">      090302 Utilitites</t>
  </si>
  <si>
    <t xml:space="preserve">      090303 Fuel &amp; Transporation</t>
  </si>
  <si>
    <t xml:space="preserve">      090304 Repair &amp; maintinance</t>
  </si>
  <si>
    <t xml:space="preserve">      090306 Boarding &amp; Lodging - COS</t>
  </si>
  <si>
    <t xml:space="preserve">      090307 Printing &amp; Stationary</t>
  </si>
  <si>
    <t xml:space="preserve">      090308 Laundry</t>
  </si>
  <si>
    <t xml:space="preserve">   Total 0903 Other costs of sales - COS</t>
  </si>
  <si>
    <t>Total Cost of Sales</t>
  </si>
  <si>
    <t>Gross Profit</t>
  </si>
  <si>
    <t>Other Income(Loss)</t>
  </si>
  <si>
    <t xml:space="preserve">   15 Other Income</t>
  </si>
  <si>
    <t xml:space="preserve">      1501 Outsourced Items</t>
  </si>
  <si>
    <t xml:space="preserve">      1503 Other</t>
  </si>
  <si>
    <t xml:space="preserve">   Total 15 Other Income</t>
  </si>
  <si>
    <t>Total Other Income(Loss)</t>
  </si>
  <si>
    <t>Expenses</t>
  </si>
  <si>
    <t xml:space="preserve">   1001 Salaries &amp; Benefits</t>
  </si>
  <si>
    <t xml:space="preserve">      100101 Salaries &amp; Wages</t>
  </si>
  <si>
    <t xml:space="preserve">         10010101 Sales</t>
  </si>
  <si>
    <t xml:space="preserve">         10010102 Marketing</t>
  </si>
  <si>
    <t xml:space="preserve">         10010103 Accounts &amp; Finance</t>
  </si>
  <si>
    <t xml:space="preserve">         10010104 Admin &amp; HR</t>
  </si>
  <si>
    <t xml:space="preserve">      Total 100101 Salaries &amp; Wages</t>
  </si>
  <si>
    <t xml:space="preserve">      100102 Other benefits (Direct &amp; indrect)</t>
  </si>
  <si>
    <t xml:space="preserve">      100103 Sales Commission</t>
  </si>
  <si>
    <t xml:space="preserve">         10010301 Sales Rep Commission</t>
  </si>
  <si>
    <t xml:space="preserve">      Total 100103 Sales Commission</t>
  </si>
  <si>
    <t xml:space="preserve">   Total 1001 Salaries &amp; Benefits</t>
  </si>
  <si>
    <t xml:space="preserve">   1002 Rent, Rate &amp; Taxes</t>
  </si>
  <si>
    <t xml:space="preserve">      100201 Office Rent</t>
  </si>
  <si>
    <t xml:space="preserve">      100204 Toll Tax</t>
  </si>
  <si>
    <t xml:space="preserve">   Total 1002 Rent, Rate &amp; Taxes</t>
  </si>
  <si>
    <t xml:space="preserve">   1003 Utilities</t>
  </si>
  <si>
    <t xml:space="preserve">      100301 Elecricity Charges</t>
  </si>
  <si>
    <t xml:space="preserve">      100302 Gas Charges</t>
  </si>
  <si>
    <t xml:space="preserve">      100305 Water Charges</t>
  </si>
  <si>
    <t xml:space="preserve">   Total 1003 Utilities</t>
  </si>
  <si>
    <t xml:space="preserve">   1004 Legal &amp; Professional Charges</t>
  </si>
  <si>
    <t xml:space="preserve">      100401 Audit Fee</t>
  </si>
  <si>
    <t xml:space="preserve">      100402 Filing Fee</t>
  </si>
  <si>
    <t xml:space="preserve">      100403 Legal Services</t>
  </si>
  <si>
    <t xml:space="preserve">      100404 Professional Services</t>
  </si>
  <si>
    <t xml:space="preserve">      100406 Fee &amp; Subcription</t>
  </si>
  <si>
    <t xml:space="preserve">   Total 1004 Legal &amp; Professional Charges</t>
  </si>
  <si>
    <t xml:space="preserve">   1005 Communication Charges</t>
  </si>
  <si>
    <t xml:space="preserve">      100501 Internet Charges</t>
  </si>
  <si>
    <t xml:space="preserve">      100502 Mobile Charges</t>
  </si>
  <si>
    <t xml:space="preserve">      100503 Postage &amp; Courier</t>
  </si>
  <si>
    <t xml:space="preserve">      100504 Telephone Bill</t>
  </si>
  <si>
    <t xml:space="preserve">   Total 1005 Communication Charges</t>
  </si>
  <si>
    <t xml:space="preserve">   1006 Repair &amp; Maintenance</t>
  </si>
  <si>
    <t xml:space="preserve">      100602 Equipment Repair</t>
  </si>
  <si>
    <t xml:space="preserve">      100604 Office Repair</t>
  </si>
  <si>
    <t xml:space="preserve">      100605 Vehicles Repair</t>
  </si>
  <si>
    <t xml:space="preserve">   Total 1006 Repair &amp; Maintenance</t>
  </si>
  <si>
    <t xml:space="preserve">   1007 Travelling &amp; Conveyance</t>
  </si>
  <si>
    <t xml:space="preserve">      100703 Fuel Charges</t>
  </si>
  <si>
    <t xml:space="preserve">   Total 1007 Travelling &amp; Conveyance</t>
  </si>
  <si>
    <t xml:space="preserve">   1008 Office Supplies &amp; Stationary</t>
  </si>
  <si>
    <t xml:space="preserve">      100801 Office Supplies</t>
  </si>
  <si>
    <t xml:space="preserve">      100804 Stationary Expense</t>
  </si>
  <si>
    <t xml:space="preserve">   Total 1008 Office Supplies &amp; Stationary</t>
  </si>
  <si>
    <t xml:space="preserve">   1009 Advertisement &amp; Publicity</t>
  </si>
  <si>
    <t xml:space="preserve">      100901 Agency Fee</t>
  </si>
  <si>
    <t xml:space="preserve">      100902 Ad Spend</t>
  </si>
  <si>
    <t xml:space="preserve">   Total 1009 Advertisement &amp; Publicity</t>
  </si>
  <si>
    <t xml:space="preserve">   1010 Food &amp; Entertainment</t>
  </si>
  <si>
    <t xml:space="preserve">      101001 Office Entertainment</t>
  </si>
  <si>
    <t xml:space="preserve">      101002 Staff Food</t>
  </si>
  <si>
    <t xml:space="preserve">   Total 1010 Food &amp; Entertainment</t>
  </si>
  <si>
    <t>Total Expenses</t>
  </si>
  <si>
    <t>Other Expenses</t>
  </si>
  <si>
    <t xml:space="preserve">   16 Other Expenses</t>
  </si>
  <si>
    <t xml:space="preserve">      1601 Outsourced Items Rental</t>
  </si>
  <si>
    <t xml:space="preserve">      1602 Bank Service Charges</t>
  </si>
  <si>
    <t xml:space="preserve">      1603 Other expenses-Other</t>
  </si>
  <si>
    <t xml:space="preserve">      1604 Euphoria Outsourced Items Rental</t>
  </si>
  <si>
    <t xml:space="preserve">   Total 16 Other Expenses</t>
  </si>
  <si>
    <t>Total Other Expenses</t>
  </si>
  <si>
    <t>Net Earnings</t>
  </si>
  <si>
    <t>Monday, Apr 01, 2024 06:48:42 PM GMT+5 - Accrual Basis</t>
  </si>
  <si>
    <t>Hanif Rajput Catering Services</t>
  </si>
  <si>
    <t>Profit and Loss</t>
  </si>
  <si>
    <t>March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</si>
</sst>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€"/>
    <numFmt numFmtId="165" formatCode="&quot;PRs&quot;* #,##0.00\ _€"/>
  </numFmts>
  <fonts count="6" x14ac:knownFonts="1">
    <font>
      <sz val="11"/>
      <color indexed="8"/>
      <name val="Aptos Narrow"/>
      <family val="2"/>
      <scheme val="minor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164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right" wrapText="1"/>
    </xf>
    <xf numFmtId="165" fontId="2" fillId="0" borderId="2" xfId="0" applyNumberFormat="1" applyFont="1" applyBorder="1" applyAlignment="1">
      <alignment horizontal="right" wrapText="1"/>
    </xf>
    <xf numFmtId="165" fontId="2" fillId="0" borderId="3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3"/>
  <sheetViews>
    <sheetView tabSelected="1" workbookViewId="0">
      <selection activeCell="M16" sqref="M16"/>
    </sheetView>
  </sheetViews>
  <sheetFormatPr baseColWidth="10" defaultColWidth="8.83203125" defaultRowHeight="15" x14ac:dyDescent="0.2"/>
  <cols>
    <col min="1" max="1" width="40.33203125" customWidth="1"/>
    <col min="2" max="3" width="18" customWidth="1"/>
  </cols>
  <sheetData>
    <row r="1" spans="1:3" ht="18" x14ac:dyDescent="0.2">
      <c r="A1" s="12" t="s">
        <v>127</v>
      </c>
      <c r="B1" s="11"/>
      <c r="C1" s="11"/>
    </row>
    <row r="2" spans="1:3" ht="18" x14ac:dyDescent="0.2">
      <c r="A2" s="12" t="s">
        <v>128</v>
      </c>
      <c r="B2" s="11"/>
      <c r="C2" s="11"/>
    </row>
    <row r="3" spans="1:3" x14ac:dyDescent="0.2">
      <c r="A3" s="13" t="s">
        <v>129</v>
      </c>
      <c r="B3" s="11"/>
      <c r="C3" s="11"/>
    </row>
    <row r="5" spans="1:3" x14ac:dyDescent="0.2">
      <c r="A5" s="1"/>
      <c r="B5" s="8" t="s">
        <v>0</v>
      </c>
      <c r="C5" s="9"/>
    </row>
    <row r="6" spans="1:3" x14ac:dyDescent="0.2">
      <c r="A6" s="1"/>
      <c r="B6" s="2" t="s">
        <v>1</v>
      </c>
      <c r="C6" s="2" t="s">
        <v>2</v>
      </c>
    </row>
    <row r="7" spans="1:3" x14ac:dyDescent="0.2">
      <c r="A7" s="3" t="s">
        <v>3</v>
      </c>
      <c r="B7" s="4"/>
      <c r="C7" s="4"/>
    </row>
    <row r="8" spans="1:3" x14ac:dyDescent="0.2">
      <c r="A8" s="3" t="s">
        <v>4</v>
      </c>
      <c r="B8" s="5">
        <f>33608003.2</f>
        <v>33608003.200000003</v>
      </c>
      <c r="C8" s="5">
        <f>21502500</f>
        <v>21502500</v>
      </c>
    </row>
    <row r="9" spans="1:3" x14ac:dyDescent="0.2">
      <c r="A9" s="3" t="s">
        <v>5</v>
      </c>
      <c r="B9" s="4"/>
      <c r="C9" s="4"/>
    </row>
    <row r="10" spans="1:3" x14ac:dyDescent="0.2">
      <c r="A10" s="3" t="s">
        <v>6</v>
      </c>
      <c r="B10" s="5">
        <f>200000</f>
        <v>200000</v>
      </c>
      <c r="C10" s="5">
        <f>1141000</f>
        <v>1141000</v>
      </c>
    </row>
    <row r="11" spans="1:3" x14ac:dyDescent="0.2">
      <c r="A11" s="3" t="s">
        <v>7</v>
      </c>
      <c r="B11" s="6">
        <f>(B9)+(B10)</f>
        <v>200000</v>
      </c>
      <c r="C11" s="6">
        <f>(C9)+(C10)</f>
        <v>1141000</v>
      </c>
    </row>
    <row r="12" spans="1:3" x14ac:dyDescent="0.2">
      <c r="A12" s="3" t="s">
        <v>8</v>
      </c>
      <c r="B12" s="4"/>
      <c r="C12" s="4"/>
    </row>
    <row r="13" spans="1:3" x14ac:dyDescent="0.2">
      <c r="A13" s="3" t="s">
        <v>9</v>
      </c>
      <c r="B13" s="5">
        <f>7745123</f>
        <v>7745123</v>
      </c>
      <c r="C13" s="5">
        <f>9445710</f>
        <v>9445710</v>
      </c>
    </row>
    <row r="14" spans="1:3" x14ac:dyDescent="0.2">
      <c r="A14" s="3" t="s">
        <v>10</v>
      </c>
      <c r="B14" s="5">
        <f>586939.3</f>
        <v>586939.30000000005</v>
      </c>
      <c r="C14" s="5">
        <f>230310</f>
        <v>230310</v>
      </c>
    </row>
    <row r="15" spans="1:3" x14ac:dyDescent="0.2">
      <c r="A15" s="3" t="s">
        <v>11</v>
      </c>
      <c r="B15" s="6">
        <f>((B12)+(B13))+(B14)</f>
        <v>8332062.2999999998</v>
      </c>
      <c r="C15" s="6">
        <f>((C12)+(C13))+(C14)</f>
        <v>9676020</v>
      </c>
    </row>
    <row r="16" spans="1:3" x14ac:dyDescent="0.2">
      <c r="A16" s="3" t="s">
        <v>12</v>
      </c>
      <c r="B16" s="5">
        <f>535880</f>
        <v>535880</v>
      </c>
      <c r="C16" s="5">
        <f>700840</f>
        <v>700840</v>
      </c>
    </row>
    <row r="17" spans="1:3" x14ac:dyDescent="0.2">
      <c r="A17" s="3" t="s">
        <v>13</v>
      </c>
      <c r="B17" s="5">
        <f>2412988</f>
        <v>2412988</v>
      </c>
      <c r="C17" s="5">
        <f>2318160</f>
        <v>2318160</v>
      </c>
    </row>
    <row r="18" spans="1:3" x14ac:dyDescent="0.2">
      <c r="A18" s="3" t="s">
        <v>14</v>
      </c>
      <c r="B18" s="4"/>
      <c r="C18" s="5">
        <f>232000</f>
        <v>232000</v>
      </c>
    </row>
    <row r="19" spans="1:3" x14ac:dyDescent="0.2">
      <c r="A19" s="3" t="s">
        <v>15</v>
      </c>
      <c r="B19" s="5">
        <f>39800</f>
        <v>39800</v>
      </c>
      <c r="C19" s="5">
        <f>184800</f>
        <v>184800</v>
      </c>
    </row>
    <row r="20" spans="1:3" x14ac:dyDescent="0.2">
      <c r="A20" s="3" t="s">
        <v>16</v>
      </c>
      <c r="B20" s="6">
        <f>((((((B8)+(B11))+(B15))+(B16))+(B17))+(B18))+(B19)</f>
        <v>45128733.5</v>
      </c>
      <c r="C20" s="6">
        <f>((((((C8)+(C11))+(C15))+(C16))+(C17))+(C18))+(C19)</f>
        <v>35755320</v>
      </c>
    </row>
    <row r="21" spans="1:3" x14ac:dyDescent="0.2">
      <c r="A21" s="3" t="s">
        <v>17</v>
      </c>
      <c r="B21" s="4"/>
      <c r="C21" s="4"/>
    </row>
    <row r="22" spans="1:3" x14ac:dyDescent="0.2">
      <c r="A22" s="3" t="s">
        <v>18</v>
      </c>
      <c r="B22" s="4"/>
      <c r="C22" s="4"/>
    </row>
    <row r="23" spans="1:3" x14ac:dyDescent="0.2">
      <c r="A23" s="3" t="s">
        <v>19</v>
      </c>
      <c r="B23" s="4"/>
      <c r="C23" s="4"/>
    </row>
    <row r="24" spans="1:3" x14ac:dyDescent="0.2">
      <c r="A24" s="3" t="s">
        <v>20</v>
      </c>
      <c r="B24" s="5">
        <f>1378206</f>
        <v>1378206</v>
      </c>
      <c r="C24" s="5">
        <f>2559356</f>
        <v>2559356</v>
      </c>
    </row>
    <row r="25" spans="1:3" x14ac:dyDescent="0.2">
      <c r="A25" s="3" t="s">
        <v>21</v>
      </c>
      <c r="B25" s="5">
        <f>4222087</f>
        <v>4222087</v>
      </c>
      <c r="C25" s="5">
        <f>4113591</f>
        <v>4113591</v>
      </c>
    </row>
    <row r="26" spans="1:3" x14ac:dyDescent="0.2">
      <c r="A26" s="3" t="s">
        <v>22</v>
      </c>
      <c r="B26" s="5">
        <f>1437649</f>
        <v>1437649</v>
      </c>
      <c r="C26" s="5">
        <f>673301</f>
        <v>673301</v>
      </c>
    </row>
    <row r="27" spans="1:3" x14ac:dyDescent="0.2">
      <c r="A27" s="3" t="s">
        <v>23</v>
      </c>
      <c r="B27" s="5">
        <f>77000</f>
        <v>77000</v>
      </c>
      <c r="C27" s="5">
        <f>483172</f>
        <v>483172</v>
      </c>
    </row>
    <row r="28" spans="1:3" x14ac:dyDescent="0.2">
      <c r="A28" s="3" t="s">
        <v>24</v>
      </c>
      <c r="B28" s="6">
        <f>((((B23)+(B24))+(B25))+(B26))+(B27)</f>
        <v>7114942</v>
      </c>
      <c r="C28" s="6">
        <f>((((C23)+(C24))+(C25))+(C26))+(C27)</f>
        <v>7829420</v>
      </c>
    </row>
    <row r="29" spans="1:3" x14ac:dyDescent="0.2">
      <c r="A29" s="3" t="s">
        <v>25</v>
      </c>
      <c r="B29" s="4"/>
      <c r="C29" s="4"/>
    </row>
    <row r="30" spans="1:3" x14ac:dyDescent="0.2">
      <c r="A30" s="3" t="s">
        <v>26</v>
      </c>
      <c r="B30" s="5">
        <f>1112324</f>
        <v>1112324</v>
      </c>
      <c r="C30" s="5">
        <f>770802</f>
        <v>770802</v>
      </c>
    </row>
    <row r="31" spans="1:3" x14ac:dyDescent="0.2">
      <c r="A31" s="3" t="s">
        <v>27</v>
      </c>
      <c r="B31" s="5">
        <f>713040</f>
        <v>713040</v>
      </c>
      <c r="C31" s="5">
        <f>430281</f>
        <v>430281</v>
      </c>
    </row>
    <row r="32" spans="1:3" x14ac:dyDescent="0.2">
      <c r="A32" s="3" t="s">
        <v>28</v>
      </c>
      <c r="B32" s="5">
        <f>1495600</f>
        <v>1495600</v>
      </c>
      <c r="C32" s="5">
        <f>462461</f>
        <v>462461</v>
      </c>
    </row>
    <row r="33" spans="1:3" x14ac:dyDescent="0.2">
      <c r="A33" s="3" t="s">
        <v>29</v>
      </c>
      <c r="B33" s="5">
        <f>184600</f>
        <v>184600</v>
      </c>
      <c r="C33" s="5">
        <f>168128</f>
        <v>168128</v>
      </c>
    </row>
    <row r="34" spans="1:3" x14ac:dyDescent="0.2">
      <c r="A34" s="3" t="s">
        <v>30</v>
      </c>
      <c r="B34" s="5">
        <f>2465376</f>
        <v>2465376</v>
      </c>
      <c r="C34" s="5">
        <f>1703777</f>
        <v>1703777</v>
      </c>
    </row>
    <row r="35" spans="1:3" x14ac:dyDescent="0.2">
      <c r="A35" s="3" t="s">
        <v>31</v>
      </c>
      <c r="B35" s="6">
        <f>(((((B29)+(B30))+(B31))+(B32))+(B33))+(B34)</f>
        <v>5970940</v>
      </c>
      <c r="C35" s="6">
        <f>(((((C29)+(C30))+(C31))+(C32))+(C33))+(C34)</f>
        <v>3535449</v>
      </c>
    </row>
    <row r="36" spans="1:3" x14ac:dyDescent="0.2">
      <c r="A36" s="3" t="s">
        <v>32</v>
      </c>
      <c r="B36" s="5">
        <f>1003234</f>
        <v>1003234</v>
      </c>
      <c r="C36" s="5">
        <f>638306</f>
        <v>638306</v>
      </c>
    </row>
    <row r="37" spans="1:3" x14ac:dyDescent="0.2">
      <c r="A37" s="3" t="s">
        <v>33</v>
      </c>
      <c r="B37" s="5">
        <f>2026929</f>
        <v>2026929</v>
      </c>
      <c r="C37" s="5">
        <f>1644017</f>
        <v>1644017</v>
      </c>
    </row>
    <row r="38" spans="1:3" x14ac:dyDescent="0.2">
      <c r="A38" s="3" t="s">
        <v>34</v>
      </c>
      <c r="B38" s="5">
        <f>1246260</f>
        <v>1246260</v>
      </c>
      <c r="C38" s="5">
        <f>1116001</f>
        <v>1116001</v>
      </c>
    </row>
    <row r="39" spans="1:3" x14ac:dyDescent="0.2">
      <c r="A39" s="3" t="s">
        <v>35</v>
      </c>
      <c r="B39" s="5">
        <f>1247896</f>
        <v>1247896</v>
      </c>
      <c r="C39" s="5">
        <f>396814</f>
        <v>396814</v>
      </c>
    </row>
    <row r="40" spans="1:3" x14ac:dyDescent="0.2">
      <c r="A40" s="3" t="s">
        <v>36</v>
      </c>
      <c r="B40" s="5">
        <f>984735</f>
        <v>984735</v>
      </c>
      <c r="C40" s="5">
        <f>408318</f>
        <v>408318</v>
      </c>
    </row>
    <row r="41" spans="1:3" x14ac:dyDescent="0.2">
      <c r="A41" s="3" t="s">
        <v>37</v>
      </c>
      <c r="B41" s="5">
        <f>1897035</f>
        <v>1897035</v>
      </c>
      <c r="C41" s="5">
        <f>480005</f>
        <v>480005</v>
      </c>
    </row>
    <row r="42" spans="1:3" x14ac:dyDescent="0.2">
      <c r="A42" s="3" t="s">
        <v>38</v>
      </c>
      <c r="B42" s="6">
        <f>((((((((B22)+(B28))+(B35))+(B36))+(B37))+(B38))+(B39))+(B40))+(B41)</f>
        <v>21491971</v>
      </c>
      <c r="C42" s="6">
        <f>((((((((C22)+(C28))+(C35))+(C36))+(C37))+(C38))+(C39))+(C40))+(C41)</f>
        <v>16048330</v>
      </c>
    </row>
    <row r="43" spans="1:3" x14ac:dyDescent="0.2">
      <c r="A43" s="3" t="s">
        <v>39</v>
      </c>
      <c r="B43" s="4"/>
      <c r="C43" s="4"/>
    </row>
    <row r="44" spans="1:3" x14ac:dyDescent="0.2">
      <c r="A44" s="3" t="s">
        <v>40</v>
      </c>
      <c r="B44" s="5">
        <f>4811031</f>
        <v>4811031</v>
      </c>
      <c r="C44" s="5">
        <f>4811631</f>
        <v>4811631</v>
      </c>
    </row>
    <row r="45" spans="1:3" x14ac:dyDescent="0.2">
      <c r="A45" s="3" t="s">
        <v>41</v>
      </c>
      <c r="B45" s="5">
        <f>871410</f>
        <v>871410</v>
      </c>
      <c r="C45" s="5">
        <f>486360</f>
        <v>486360</v>
      </c>
    </row>
    <row r="46" spans="1:3" x14ac:dyDescent="0.2">
      <c r="A46" s="3" t="s">
        <v>42</v>
      </c>
      <c r="B46" s="5">
        <f>868432</f>
        <v>868432</v>
      </c>
      <c r="C46" s="5">
        <f>814738</f>
        <v>814738</v>
      </c>
    </row>
    <row r="47" spans="1:3" x14ac:dyDescent="0.2">
      <c r="A47" s="3" t="s">
        <v>43</v>
      </c>
      <c r="B47" s="6">
        <f>(((B43)+(B44))+(B45))+(B46)</f>
        <v>6550873</v>
      </c>
      <c r="C47" s="6">
        <f>(((C43)+(C44))+(C45))+(C46)</f>
        <v>6112729</v>
      </c>
    </row>
    <row r="48" spans="1:3" x14ac:dyDescent="0.2">
      <c r="A48" s="3" t="s">
        <v>44</v>
      </c>
      <c r="B48" s="4"/>
      <c r="C48" s="4"/>
    </row>
    <row r="49" spans="1:3" x14ac:dyDescent="0.2">
      <c r="A49" s="3" t="s">
        <v>45</v>
      </c>
      <c r="B49" s="5">
        <f>1500328</f>
        <v>1500328</v>
      </c>
      <c r="C49" s="5">
        <f>1508278</f>
        <v>1508278</v>
      </c>
    </row>
    <row r="50" spans="1:3" x14ac:dyDescent="0.2">
      <c r="A50" s="3" t="s">
        <v>46</v>
      </c>
      <c r="B50" s="5">
        <f>2849518</f>
        <v>2849518</v>
      </c>
      <c r="C50" s="5">
        <f>2897725</f>
        <v>2897725</v>
      </c>
    </row>
    <row r="51" spans="1:3" x14ac:dyDescent="0.2">
      <c r="A51" s="3" t="s">
        <v>47</v>
      </c>
      <c r="B51" s="5">
        <f>1384180</f>
        <v>1384180</v>
      </c>
      <c r="C51" s="5">
        <f>1225202</f>
        <v>1225202</v>
      </c>
    </row>
    <row r="52" spans="1:3" x14ac:dyDescent="0.2">
      <c r="A52" s="3" t="s">
        <v>48</v>
      </c>
      <c r="B52" s="5">
        <f>121150</f>
        <v>121150</v>
      </c>
      <c r="C52" s="5">
        <f>119429</f>
        <v>119429</v>
      </c>
    </row>
    <row r="53" spans="1:3" x14ac:dyDescent="0.2">
      <c r="A53" s="3" t="s">
        <v>49</v>
      </c>
      <c r="B53" s="5">
        <f>184821</f>
        <v>184821</v>
      </c>
      <c r="C53" s="5">
        <f>115085</f>
        <v>115085</v>
      </c>
    </row>
    <row r="54" spans="1:3" x14ac:dyDescent="0.2">
      <c r="A54" s="3" t="s">
        <v>50</v>
      </c>
      <c r="B54" s="5">
        <f>14625</f>
        <v>14625</v>
      </c>
      <c r="C54" s="5">
        <f>429480</f>
        <v>429480</v>
      </c>
    </row>
    <row r="55" spans="1:3" x14ac:dyDescent="0.2">
      <c r="A55" s="3" t="s">
        <v>51</v>
      </c>
      <c r="B55" s="5">
        <f>225246</f>
        <v>225246</v>
      </c>
      <c r="C55" s="5">
        <f>231100</f>
        <v>231100</v>
      </c>
    </row>
    <row r="56" spans="1:3" x14ac:dyDescent="0.2">
      <c r="A56" s="3" t="s">
        <v>52</v>
      </c>
      <c r="B56" s="6">
        <f>(((((((B48)+(B49))+(B50))+(B51))+(B52))+(B53))+(B54))+(B55)</f>
        <v>6279868</v>
      </c>
      <c r="C56" s="6">
        <f>(((((((C48)+(C49))+(C50))+(C51))+(C52))+(C53))+(C54))+(C55)</f>
        <v>6526299</v>
      </c>
    </row>
    <row r="57" spans="1:3" x14ac:dyDescent="0.2">
      <c r="A57" s="3" t="s">
        <v>53</v>
      </c>
      <c r="B57" s="6">
        <f>((B42)+(B47))+(B56)</f>
        <v>34322712</v>
      </c>
      <c r="C57" s="6">
        <f>((C42)+(C47))+(C56)</f>
        <v>28687358</v>
      </c>
    </row>
    <row r="58" spans="1:3" x14ac:dyDescent="0.2">
      <c r="A58" s="3" t="s">
        <v>54</v>
      </c>
      <c r="B58" s="6">
        <f>(B20)-(B57)</f>
        <v>10806021.5</v>
      </c>
      <c r="C58" s="6">
        <f>(C20)-(C57)</f>
        <v>7067962</v>
      </c>
    </row>
    <row r="59" spans="1:3" x14ac:dyDescent="0.2">
      <c r="A59" s="3" t="s">
        <v>55</v>
      </c>
      <c r="B59" s="4"/>
      <c r="C59" s="4"/>
    </row>
    <row r="60" spans="1:3" x14ac:dyDescent="0.2">
      <c r="A60" s="3" t="s">
        <v>56</v>
      </c>
      <c r="B60" s="4"/>
      <c r="C60" s="4"/>
    </row>
    <row r="61" spans="1:3" x14ac:dyDescent="0.2">
      <c r="A61" s="3" t="s">
        <v>57</v>
      </c>
      <c r="B61" s="5">
        <f>6806986</f>
        <v>6806986</v>
      </c>
      <c r="C61" s="5">
        <f>6438800</f>
        <v>6438800</v>
      </c>
    </row>
    <row r="62" spans="1:3" x14ac:dyDescent="0.2">
      <c r="A62" s="3" t="s">
        <v>58</v>
      </c>
      <c r="B62" s="5">
        <f>843803</f>
        <v>843803</v>
      </c>
      <c r="C62" s="5">
        <f>872291</f>
        <v>872291</v>
      </c>
    </row>
    <row r="63" spans="1:3" x14ac:dyDescent="0.2">
      <c r="A63" s="3" t="s">
        <v>59</v>
      </c>
      <c r="B63" s="6">
        <f>((B60)+(B61))+(B62)</f>
        <v>7650789</v>
      </c>
      <c r="C63" s="6">
        <f>((C60)+(C61))+(C62)</f>
        <v>7311091</v>
      </c>
    </row>
    <row r="64" spans="1:3" x14ac:dyDescent="0.2">
      <c r="A64" s="3" t="s">
        <v>60</v>
      </c>
      <c r="B64" s="6">
        <f>B63</f>
        <v>7650789</v>
      </c>
      <c r="C64" s="6">
        <f>C63</f>
        <v>7311091</v>
      </c>
    </row>
    <row r="65" spans="1:3" x14ac:dyDescent="0.2">
      <c r="A65" s="3" t="s">
        <v>61</v>
      </c>
      <c r="B65" s="4"/>
      <c r="C65" s="4"/>
    </row>
    <row r="66" spans="1:3" x14ac:dyDescent="0.2">
      <c r="A66" s="3" t="s">
        <v>62</v>
      </c>
      <c r="B66" s="4"/>
      <c r="C66" s="4"/>
    </row>
    <row r="67" spans="1:3" x14ac:dyDescent="0.2">
      <c r="A67" s="3" t="s">
        <v>63</v>
      </c>
      <c r="B67" s="4"/>
      <c r="C67" s="4"/>
    </row>
    <row r="68" spans="1:3" x14ac:dyDescent="0.2">
      <c r="A68" s="3" t="s">
        <v>64</v>
      </c>
      <c r="B68" s="5">
        <f>629600</f>
        <v>629600</v>
      </c>
      <c r="C68" s="5">
        <f>629600</f>
        <v>629600</v>
      </c>
    </row>
    <row r="69" spans="1:3" x14ac:dyDescent="0.2">
      <c r="A69" s="3" t="s">
        <v>65</v>
      </c>
      <c r="B69" s="5">
        <f>0</f>
        <v>0</v>
      </c>
      <c r="C69" s="5">
        <f>0</f>
        <v>0</v>
      </c>
    </row>
    <row r="70" spans="1:3" x14ac:dyDescent="0.2">
      <c r="A70" s="3" t="s">
        <v>66</v>
      </c>
      <c r="B70" s="5">
        <f>1179148</f>
        <v>1179148</v>
      </c>
      <c r="C70" s="5">
        <f>1254148</f>
        <v>1254148</v>
      </c>
    </row>
    <row r="71" spans="1:3" x14ac:dyDescent="0.2">
      <c r="A71" s="3" t="s">
        <v>67</v>
      </c>
      <c r="B71" s="5">
        <f>495000</f>
        <v>495000</v>
      </c>
      <c r="C71" s="5">
        <f>510500</f>
        <v>510500</v>
      </c>
    </row>
    <row r="72" spans="1:3" x14ac:dyDescent="0.2">
      <c r="A72" s="3" t="s">
        <v>68</v>
      </c>
      <c r="B72" s="6">
        <f>((((B67)+(B68))+(B69))+(B70))+(B71)</f>
        <v>2303748</v>
      </c>
      <c r="C72" s="6">
        <f>((((C67)+(C68))+(C69))+(C70))+(C71)</f>
        <v>2394248</v>
      </c>
    </row>
    <row r="73" spans="1:3" x14ac:dyDescent="0.2">
      <c r="A73" s="3" t="s">
        <v>69</v>
      </c>
      <c r="B73" s="5">
        <f>273649.25</f>
        <v>273649.25</v>
      </c>
      <c r="C73" s="5">
        <f>208569.25</f>
        <v>208569.25</v>
      </c>
    </row>
    <row r="74" spans="1:3" x14ac:dyDescent="0.2">
      <c r="A74" s="3" t="s">
        <v>70</v>
      </c>
      <c r="B74" s="4"/>
      <c r="C74" s="4"/>
    </row>
    <row r="75" spans="1:3" x14ac:dyDescent="0.2">
      <c r="A75" s="3" t="s">
        <v>71</v>
      </c>
      <c r="B75" s="4"/>
      <c r="C75" s="5">
        <f>232285</f>
        <v>232285</v>
      </c>
    </row>
    <row r="76" spans="1:3" x14ac:dyDescent="0.2">
      <c r="A76" s="3" t="s">
        <v>72</v>
      </c>
      <c r="B76" s="6">
        <f>(B74)+(B75)</f>
        <v>0</v>
      </c>
      <c r="C76" s="6">
        <f>(C74)+(C75)</f>
        <v>232285</v>
      </c>
    </row>
    <row r="77" spans="1:3" x14ac:dyDescent="0.2">
      <c r="A77" s="3" t="s">
        <v>73</v>
      </c>
      <c r="B77" s="6">
        <f>(((B66)+(B72))+(B73))+(B76)</f>
        <v>2577397.25</v>
      </c>
      <c r="C77" s="6">
        <f>(((C66)+(C72))+(C73))+(C76)</f>
        <v>2835102.25</v>
      </c>
    </row>
    <row r="78" spans="1:3" x14ac:dyDescent="0.2">
      <c r="A78" s="3" t="s">
        <v>74</v>
      </c>
      <c r="B78" s="4"/>
      <c r="C78" s="4"/>
    </row>
    <row r="79" spans="1:3" x14ac:dyDescent="0.2">
      <c r="A79" s="3" t="s">
        <v>75</v>
      </c>
      <c r="B79" s="5">
        <f>323800</f>
        <v>323800</v>
      </c>
      <c r="C79" s="5">
        <f>323800</f>
        <v>323800</v>
      </c>
    </row>
    <row r="80" spans="1:3" x14ac:dyDescent="0.2">
      <c r="A80" s="3" t="s">
        <v>76</v>
      </c>
      <c r="B80" s="5">
        <f>2680</f>
        <v>2680</v>
      </c>
      <c r="C80" s="5">
        <f>60</f>
        <v>60</v>
      </c>
    </row>
    <row r="81" spans="1:3" x14ac:dyDescent="0.2">
      <c r="A81" s="3" t="s">
        <v>77</v>
      </c>
      <c r="B81" s="6">
        <f>((B78)+(B79))+(B80)</f>
        <v>326480</v>
      </c>
      <c r="C81" s="6">
        <f>((C78)+(C79))+(C80)</f>
        <v>323860</v>
      </c>
    </row>
    <row r="82" spans="1:3" x14ac:dyDescent="0.2">
      <c r="A82" s="3" t="s">
        <v>78</v>
      </c>
      <c r="B82" s="4"/>
      <c r="C82" s="4"/>
    </row>
    <row r="83" spans="1:3" x14ac:dyDescent="0.2">
      <c r="A83" s="3" t="s">
        <v>79</v>
      </c>
      <c r="B83" s="5">
        <f>165566</f>
        <v>165566</v>
      </c>
      <c r="C83" s="5">
        <f>224127</f>
        <v>224127</v>
      </c>
    </row>
    <row r="84" spans="1:3" x14ac:dyDescent="0.2">
      <c r="A84" s="3" t="s">
        <v>80</v>
      </c>
      <c r="B84" s="4"/>
      <c r="C84" s="5">
        <f>129290</f>
        <v>129290</v>
      </c>
    </row>
    <row r="85" spans="1:3" x14ac:dyDescent="0.2">
      <c r="A85" s="3" t="s">
        <v>81</v>
      </c>
      <c r="B85" s="5">
        <f>2000</f>
        <v>2000</v>
      </c>
      <c r="C85" s="5">
        <f>5600</f>
        <v>5600</v>
      </c>
    </row>
    <row r="86" spans="1:3" x14ac:dyDescent="0.2">
      <c r="A86" s="3" t="s">
        <v>82</v>
      </c>
      <c r="B86" s="6">
        <f>(((B82)+(B83))+(B84))+(B85)</f>
        <v>167566</v>
      </c>
      <c r="C86" s="6">
        <f>(((C82)+(C83))+(C84))+(C85)</f>
        <v>359017</v>
      </c>
    </row>
    <row r="87" spans="1:3" x14ac:dyDescent="0.2">
      <c r="A87" s="3" t="s">
        <v>83</v>
      </c>
      <c r="B87" s="4"/>
      <c r="C87" s="4"/>
    </row>
    <row r="88" spans="1:3" x14ac:dyDescent="0.2">
      <c r="A88" s="3" t="s">
        <v>84</v>
      </c>
      <c r="B88" s="4"/>
      <c r="C88" s="5">
        <f>32000</f>
        <v>32000</v>
      </c>
    </row>
    <row r="89" spans="1:3" x14ac:dyDescent="0.2">
      <c r="A89" s="3" t="s">
        <v>85</v>
      </c>
      <c r="B89" s="5">
        <f>32000</f>
        <v>32000</v>
      </c>
      <c r="C89" s="5">
        <f>32000</f>
        <v>32000</v>
      </c>
    </row>
    <row r="90" spans="1:3" x14ac:dyDescent="0.2">
      <c r="A90" s="3" t="s">
        <v>86</v>
      </c>
      <c r="B90" s="5">
        <f>120000</f>
        <v>120000</v>
      </c>
      <c r="C90" s="4"/>
    </row>
    <row r="91" spans="1:3" x14ac:dyDescent="0.2">
      <c r="A91" s="3" t="s">
        <v>87</v>
      </c>
      <c r="B91" s="5">
        <f>591600</f>
        <v>591600</v>
      </c>
      <c r="C91" s="5">
        <f>484012.5</f>
        <v>484012.5</v>
      </c>
    </row>
    <row r="92" spans="1:3" x14ac:dyDescent="0.2">
      <c r="A92" s="3" t="s">
        <v>88</v>
      </c>
      <c r="B92" s="5">
        <f>191629</f>
        <v>191629</v>
      </c>
      <c r="C92" s="5">
        <f>51959</f>
        <v>51959</v>
      </c>
    </row>
    <row r="93" spans="1:3" x14ac:dyDescent="0.2">
      <c r="A93" s="3" t="s">
        <v>89</v>
      </c>
      <c r="B93" s="6">
        <f>(((((B87)+(B88))+(B89))+(B90))+(B91))+(B92)</f>
        <v>935229</v>
      </c>
      <c r="C93" s="6">
        <f>(((((C87)+(C88))+(C89))+(C90))+(C91))+(C92)</f>
        <v>599971.5</v>
      </c>
    </row>
    <row r="94" spans="1:3" x14ac:dyDescent="0.2">
      <c r="A94" s="3" t="s">
        <v>90</v>
      </c>
      <c r="B94" s="4"/>
      <c r="C94" s="4"/>
    </row>
    <row r="95" spans="1:3" x14ac:dyDescent="0.2">
      <c r="A95" s="3" t="s">
        <v>91</v>
      </c>
      <c r="B95" s="5">
        <f>24905</f>
        <v>24905</v>
      </c>
      <c r="C95" s="5">
        <f>27608</f>
        <v>27608</v>
      </c>
    </row>
    <row r="96" spans="1:3" x14ac:dyDescent="0.2">
      <c r="A96" s="3" t="s">
        <v>92</v>
      </c>
      <c r="B96" s="5">
        <f>104173</f>
        <v>104173</v>
      </c>
      <c r="C96" s="5">
        <f>88468</f>
        <v>88468</v>
      </c>
    </row>
    <row r="97" spans="1:3" x14ac:dyDescent="0.2">
      <c r="A97" s="3" t="s">
        <v>93</v>
      </c>
      <c r="B97" s="5">
        <f>1760</f>
        <v>1760</v>
      </c>
      <c r="C97" s="5">
        <f>3190</f>
        <v>3190</v>
      </c>
    </row>
    <row r="98" spans="1:3" x14ac:dyDescent="0.2">
      <c r="A98" s="3" t="s">
        <v>94</v>
      </c>
      <c r="B98" s="5">
        <f>6420</f>
        <v>6420</v>
      </c>
      <c r="C98" s="5">
        <f>6430</f>
        <v>6430</v>
      </c>
    </row>
    <row r="99" spans="1:3" x14ac:dyDescent="0.2">
      <c r="A99" s="3" t="s">
        <v>95</v>
      </c>
      <c r="B99" s="6">
        <f>((((B94)+(B95))+(B96))+(B97))+(B98)</f>
        <v>137258</v>
      </c>
      <c r="C99" s="6">
        <f>((((C94)+(C95))+(C96))+(C97))+(C98)</f>
        <v>125696</v>
      </c>
    </row>
    <row r="100" spans="1:3" x14ac:dyDescent="0.2">
      <c r="A100" s="3" t="s">
        <v>96</v>
      </c>
      <c r="B100" s="4"/>
      <c r="C100" s="4"/>
    </row>
    <row r="101" spans="1:3" x14ac:dyDescent="0.2">
      <c r="A101" s="3" t="s">
        <v>97</v>
      </c>
      <c r="B101" s="5">
        <f>5600</f>
        <v>5600</v>
      </c>
      <c r="C101" s="5">
        <f>23000</f>
        <v>23000</v>
      </c>
    </row>
    <row r="102" spans="1:3" x14ac:dyDescent="0.2">
      <c r="A102" s="3" t="s">
        <v>98</v>
      </c>
      <c r="B102" s="5">
        <f>4700</f>
        <v>4700</v>
      </c>
      <c r="C102" s="5">
        <f>18450</f>
        <v>18450</v>
      </c>
    </row>
    <row r="103" spans="1:3" x14ac:dyDescent="0.2">
      <c r="A103" s="3" t="s">
        <v>99</v>
      </c>
      <c r="B103" s="5">
        <f>12819</f>
        <v>12819</v>
      </c>
      <c r="C103" s="5">
        <f>65182</f>
        <v>65182</v>
      </c>
    </row>
    <row r="104" spans="1:3" x14ac:dyDescent="0.2">
      <c r="A104" s="3" t="s">
        <v>100</v>
      </c>
      <c r="B104" s="6">
        <f>(((B100)+(B101))+(B102))+(B103)</f>
        <v>23119</v>
      </c>
      <c r="C104" s="6">
        <f>(((C100)+(C101))+(C102))+(C103)</f>
        <v>106632</v>
      </c>
    </row>
    <row r="105" spans="1:3" x14ac:dyDescent="0.2">
      <c r="A105" s="3" t="s">
        <v>101</v>
      </c>
      <c r="B105" s="4"/>
      <c r="C105" s="4"/>
    </row>
    <row r="106" spans="1:3" x14ac:dyDescent="0.2">
      <c r="A106" s="3" t="s">
        <v>102</v>
      </c>
      <c r="B106" s="5">
        <f>177584</f>
        <v>177584</v>
      </c>
      <c r="C106" s="5">
        <f>423349</f>
        <v>423349</v>
      </c>
    </row>
    <row r="107" spans="1:3" x14ac:dyDescent="0.2">
      <c r="A107" s="3" t="s">
        <v>103</v>
      </c>
      <c r="B107" s="6">
        <f>(B105)+(B106)</f>
        <v>177584</v>
      </c>
      <c r="C107" s="6">
        <f>(C105)+(C106)</f>
        <v>423349</v>
      </c>
    </row>
    <row r="108" spans="1:3" x14ac:dyDescent="0.2">
      <c r="A108" s="3" t="s">
        <v>104</v>
      </c>
      <c r="B108" s="4"/>
      <c r="C108" s="4"/>
    </row>
    <row r="109" spans="1:3" x14ac:dyDescent="0.2">
      <c r="A109" s="3" t="s">
        <v>105</v>
      </c>
      <c r="B109" s="5">
        <f>91198</f>
        <v>91198</v>
      </c>
      <c r="C109" s="5">
        <f>34833</f>
        <v>34833</v>
      </c>
    </row>
    <row r="110" spans="1:3" x14ac:dyDescent="0.2">
      <c r="A110" s="3" t="s">
        <v>106</v>
      </c>
      <c r="B110" s="5">
        <f>2580</f>
        <v>2580</v>
      </c>
      <c r="C110" s="5">
        <f>24178</f>
        <v>24178</v>
      </c>
    </row>
    <row r="111" spans="1:3" x14ac:dyDescent="0.2">
      <c r="A111" s="3" t="s">
        <v>107</v>
      </c>
      <c r="B111" s="6">
        <f>((B108)+(B109))+(B110)</f>
        <v>93778</v>
      </c>
      <c r="C111" s="6">
        <f>((C108)+(C109))+(C110)</f>
        <v>59011</v>
      </c>
    </row>
    <row r="112" spans="1:3" x14ac:dyDescent="0.2">
      <c r="A112" s="3" t="s">
        <v>108</v>
      </c>
      <c r="B112" s="4"/>
      <c r="C112" s="4"/>
    </row>
    <row r="113" spans="1:3" x14ac:dyDescent="0.2">
      <c r="A113" s="3" t="s">
        <v>109</v>
      </c>
      <c r="B113" s="5">
        <f>140000</f>
        <v>140000</v>
      </c>
      <c r="C113" s="5">
        <f>140000</f>
        <v>140000</v>
      </c>
    </row>
    <row r="114" spans="1:3" x14ac:dyDescent="0.2">
      <c r="A114" s="3" t="s">
        <v>110</v>
      </c>
      <c r="B114" s="5">
        <f>120576</f>
        <v>120576</v>
      </c>
      <c r="C114" s="5">
        <f>333895</f>
        <v>333895</v>
      </c>
    </row>
    <row r="115" spans="1:3" x14ac:dyDescent="0.2">
      <c r="A115" s="3" t="s">
        <v>111</v>
      </c>
      <c r="B115" s="6">
        <f>((B112)+(B113))+(B114)</f>
        <v>260576</v>
      </c>
      <c r="C115" s="6">
        <f>((C112)+(C113))+(C114)</f>
        <v>473895</v>
      </c>
    </row>
    <row r="116" spans="1:3" x14ac:dyDescent="0.2">
      <c r="A116" s="3" t="s">
        <v>112</v>
      </c>
      <c r="B116" s="4"/>
      <c r="C116" s="4"/>
    </row>
    <row r="117" spans="1:3" x14ac:dyDescent="0.2">
      <c r="A117" s="3" t="s">
        <v>113</v>
      </c>
      <c r="B117" s="5">
        <f>38658</f>
        <v>38658</v>
      </c>
      <c r="C117" s="5">
        <f>10000</f>
        <v>10000</v>
      </c>
    </row>
    <row r="118" spans="1:3" x14ac:dyDescent="0.2">
      <c r="A118" s="3" t="s">
        <v>114</v>
      </c>
      <c r="B118" s="5">
        <f>13970</f>
        <v>13970</v>
      </c>
      <c r="C118" s="5">
        <f>20490</f>
        <v>20490</v>
      </c>
    </row>
    <row r="119" spans="1:3" x14ac:dyDescent="0.2">
      <c r="A119" s="3" t="s">
        <v>115</v>
      </c>
      <c r="B119" s="6">
        <f>((B116)+(B117))+(B118)</f>
        <v>52628</v>
      </c>
      <c r="C119" s="6">
        <f>((C116)+(C117))+(C118)</f>
        <v>30490</v>
      </c>
    </row>
    <row r="120" spans="1:3" x14ac:dyDescent="0.2">
      <c r="A120" s="3" t="s">
        <v>116</v>
      </c>
      <c r="B120" s="6">
        <f>(((((((((B77)+(B81))+(B86))+(B93))+(B99))+(B104))+(B107))+(B111))+(B115))+(B119)</f>
        <v>4751615.25</v>
      </c>
      <c r="C120" s="6">
        <f>(((((((((C77)+(C81))+(C86))+(C93))+(C99))+(C104))+(C107))+(C111))+(C115))+(C119)</f>
        <v>5337023.75</v>
      </c>
    </row>
    <row r="121" spans="1:3" x14ac:dyDescent="0.2">
      <c r="A121" s="3" t="s">
        <v>117</v>
      </c>
      <c r="B121" s="4"/>
      <c r="C121" s="4"/>
    </row>
    <row r="122" spans="1:3" x14ac:dyDescent="0.2">
      <c r="A122" s="3" t="s">
        <v>118</v>
      </c>
      <c r="B122" s="4"/>
      <c r="C122" s="4"/>
    </row>
    <row r="123" spans="1:3" x14ac:dyDescent="0.2">
      <c r="A123" s="3" t="s">
        <v>119</v>
      </c>
      <c r="B123" s="5">
        <f>2045660</f>
        <v>2045660</v>
      </c>
      <c r="C123" s="5">
        <f>3103700</f>
        <v>3103700</v>
      </c>
    </row>
    <row r="124" spans="1:3" x14ac:dyDescent="0.2">
      <c r="A124" s="3" t="s">
        <v>120</v>
      </c>
      <c r="B124" s="5">
        <f>25625.6</f>
        <v>25625.599999999999</v>
      </c>
      <c r="C124" s="5">
        <f>24491.4</f>
        <v>24491.4</v>
      </c>
    </row>
    <row r="125" spans="1:3" x14ac:dyDescent="0.2">
      <c r="A125" s="3" t="s">
        <v>121</v>
      </c>
      <c r="B125" s="5">
        <f>44906</f>
        <v>44906</v>
      </c>
      <c r="C125" s="5">
        <f>119362</f>
        <v>119362</v>
      </c>
    </row>
    <row r="126" spans="1:3" x14ac:dyDescent="0.2">
      <c r="A126" s="3" t="s">
        <v>122</v>
      </c>
      <c r="B126" s="5">
        <f>1193454</f>
        <v>1193454</v>
      </c>
      <c r="C126" s="5">
        <f>771180</f>
        <v>771180</v>
      </c>
    </row>
    <row r="127" spans="1:3" x14ac:dyDescent="0.2">
      <c r="A127" s="3" t="s">
        <v>123</v>
      </c>
      <c r="B127" s="6">
        <f>((((B122)+(B123))+(B124))+(B125))+(B126)</f>
        <v>3309645.6</v>
      </c>
      <c r="C127" s="6">
        <f>((((C122)+(C123))+(C124))+(C125))+(C126)</f>
        <v>4018733.4</v>
      </c>
    </row>
    <row r="128" spans="1:3" x14ac:dyDescent="0.2">
      <c r="A128" s="3" t="s">
        <v>124</v>
      </c>
      <c r="B128" s="6">
        <f>B127</f>
        <v>3309645.6</v>
      </c>
      <c r="C128" s="6">
        <f>C127</f>
        <v>4018733.4</v>
      </c>
    </row>
    <row r="129" spans="1:3" x14ac:dyDescent="0.2">
      <c r="A129" s="3" t="s">
        <v>125</v>
      </c>
      <c r="B129" s="7">
        <f>((((B20)+(B64))-(B57))-(B120))-(B128)</f>
        <v>10395549.65</v>
      </c>
      <c r="C129" s="7">
        <f>((((C20)+(C64))-(C57))-(C120))-(C128)</f>
        <v>5023295.8499999996</v>
      </c>
    </row>
    <row r="130" spans="1:3" x14ac:dyDescent="0.2">
      <c r="A130" s="3"/>
      <c r="B130" s="4"/>
      <c r="C130" s="4"/>
    </row>
    <row r="133" spans="1:3" x14ac:dyDescent="0.2">
      <c r="A133" s="10" t="s">
        <v>126</v>
      </c>
      <c r="B133" s="11"/>
      <c r="C133" s="11"/>
    </row>
  </sheetData>
  <mergeCells count="5">
    <mergeCell ref="B5:C5"/>
    <mergeCell ref="A133:C133"/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 and 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Adnan Khan</cp:lastModifiedBy>
  <dcterms:created xsi:type="dcterms:W3CDTF">2024-04-01T13:48:42Z</dcterms:created>
  <dcterms:modified xsi:type="dcterms:W3CDTF">2024-04-01T13:48:48Z</dcterms:modified>
</cp:coreProperties>
</file>