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nan/Desktop/Python stuff/sample PLs/"/>
    </mc:Choice>
  </mc:AlternateContent>
  <xr:revisionPtr revIDLastSave="0" documentId="13_ncr:1_{33C6867F-D0B7-514E-8804-1ACA0EAC59D8}" xr6:coauthVersionLast="47" xr6:coauthVersionMax="47" xr10:uidLastSave="{00000000-0000-0000-0000-000000000000}"/>
  <bookViews>
    <workbookView xWindow="0" yWindow="500" windowWidth="40960" windowHeight="21000" xr2:uid="{00000000-000D-0000-FFFF-FFFF00000000}"/>
  </bookViews>
  <sheets>
    <sheet name="Profit and 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9" i="1" l="1"/>
  <c r="H129" i="1"/>
  <c r="G129" i="1"/>
  <c r="F129" i="1"/>
  <c r="E129" i="1"/>
  <c r="D129" i="1"/>
  <c r="C129" i="1"/>
  <c r="B129" i="1"/>
  <c r="I128" i="1"/>
  <c r="G128" i="1"/>
  <c r="F128" i="1"/>
  <c r="E128" i="1"/>
  <c r="C128" i="1"/>
  <c r="B128" i="1"/>
  <c r="I127" i="1"/>
  <c r="H127" i="1"/>
  <c r="G127" i="1"/>
  <c r="F127" i="1"/>
  <c r="E127" i="1"/>
  <c r="D127" i="1"/>
  <c r="C127" i="1"/>
  <c r="B127" i="1"/>
  <c r="I126" i="1"/>
  <c r="H126" i="1"/>
  <c r="H130" i="1" s="1"/>
  <c r="H131" i="1" s="1"/>
  <c r="G126" i="1"/>
  <c r="F126" i="1"/>
  <c r="E126" i="1"/>
  <c r="D126" i="1"/>
  <c r="D130" i="1" s="1"/>
  <c r="D131" i="1" s="1"/>
  <c r="C126" i="1"/>
  <c r="B126" i="1"/>
  <c r="H122" i="1"/>
  <c r="D122" i="1"/>
  <c r="I121" i="1"/>
  <c r="H121" i="1"/>
  <c r="G121" i="1"/>
  <c r="F121" i="1"/>
  <c r="E121" i="1"/>
  <c r="D121" i="1"/>
  <c r="C121" i="1"/>
  <c r="B121" i="1"/>
  <c r="I120" i="1"/>
  <c r="I122" i="1" s="1"/>
  <c r="H120" i="1"/>
  <c r="G120" i="1"/>
  <c r="G122" i="1" s="1"/>
  <c r="F120" i="1"/>
  <c r="F122" i="1" s="1"/>
  <c r="E120" i="1"/>
  <c r="E122" i="1" s="1"/>
  <c r="D120" i="1"/>
  <c r="C120" i="1"/>
  <c r="C122" i="1" s="1"/>
  <c r="B120" i="1"/>
  <c r="B122" i="1" s="1"/>
  <c r="H117" i="1"/>
  <c r="E117" i="1"/>
  <c r="C117" i="1"/>
  <c r="I116" i="1"/>
  <c r="H116" i="1"/>
  <c r="G116" i="1"/>
  <c r="F116" i="1"/>
  <c r="E116" i="1"/>
  <c r="D116" i="1"/>
  <c r="C116" i="1"/>
  <c r="B116" i="1"/>
  <c r="I115" i="1"/>
  <c r="I118" i="1" s="1"/>
  <c r="H115" i="1"/>
  <c r="H118" i="1" s="1"/>
  <c r="G115" i="1"/>
  <c r="G118" i="1" s="1"/>
  <c r="F115" i="1"/>
  <c r="F118" i="1" s="1"/>
  <c r="E115" i="1"/>
  <c r="E118" i="1" s="1"/>
  <c r="D115" i="1"/>
  <c r="D118" i="1" s="1"/>
  <c r="C115" i="1"/>
  <c r="B115" i="1"/>
  <c r="I112" i="1"/>
  <c r="H112" i="1"/>
  <c r="G112" i="1"/>
  <c r="F112" i="1"/>
  <c r="E112" i="1"/>
  <c r="D112" i="1"/>
  <c r="C112" i="1"/>
  <c r="B112" i="1"/>
  <c r="I111" i="1"/>
  <c r="I113" i="1" s="1"/>
  <c r="H111" i="1"/>
  <c r="H113" i="1" s="1"/>
  <c r="G111" i="1"/>
  <c r="G113" i="1" s="1"/>
  <c r="F111" i="1"/>
  <c r="F113" i="1" s="1"/>
  <c r="E111" i="1"/>
  <c r="E113" i="1" s="1"/>
  <c r="D111" i="1"/>
  <c r="D113" i="1" s="1"/>
  <c r="C111" i="1"/>
  <c r="C113" i="1" s="1"/>
  <c r="B111" i="1"/>
  <c r="D108" i="1"/>
  <c r="C108" i="1"/>
  <c r="B108" i="1"/>
  <c r="I107" i="1"/>
  <c r="I109" i="1" s="1"/>
  <c r="H107" i="1"/>
  <c r="H109" i="1" s="1"/>
  <c r="G107" i="1"/>
  <c r="G109" i="1" s="1"/>
  <c r="F107" i="1"/>
  <c r="F109" i="1" s="1"/>
  <c r="E107" i="1"/>
  <c r="E109" i="1" s="1"/>
  <c r="D107" i="1"/>
  <c r="D109" i="1" s="1"/>
  <c r="C107" i="1"/>
  <c r="B107" i="1"/>
  <c r="B109" i="1" s="1"/>
  <c r="I104" i="1"/>
  <c r="H104" i="1"/>
  <c r="G104" i="1"/>
  <c r="F104" i="1"/>
  <c r="E104" i="1"/>
  <c r="D104" i="1"/>
  <c r="C104" i="1"/>
  <c r="B104" i="1"/>
  <c r="I103" i="1"/>
  <c r="H103" i="1"/>
  <c r="G103" i="1"/>
  <c r="F103" i="1"/>
  <c r="E103" i="1"/>
  <c r="D103" i="1"/>
  <c r="C103" i="1"/>
  <c r="B103" i="1"/>
  <c r="I102" i="1"/>
  <c r="I105" i="1" s="1"/>
  <c r="H102" i="1"/>
  <c r="H105" i="1" s="1"/>
  <c r="G102" i="1"/>
  <c r="G105" i="1" s="1"/>
  <c r="F102" i="1"/>
  <c r="F105" i="1" s="1"/>
  <c r="E102" i="1"/>
  <c r="E105" i="1" s="1"/>
  <c r="D102" i="1"/>
  <c r="D105" i="1" s="1"/>
  <c r="C102" i="1"/>
  <c r="C105" i="1" s="1"/>
  <c r="B102" i="1"/>
  <c r="B105" i="1" s="1"/>
  <c r="I99" i="1"/>
  <c r="H99" i="1"/>
  <c r="G99" i="1"/>
  <c r="F99" i="1"/>
  <c r="E99" i="1"/>
  <c r="D99" i="1"/>
  <c r="C99" i="1"/>
  <c r="B99" i="1"/>
  <c r="I98" i="1"/>
  <c r="H98" i="1"/>
  <c r="G98" i="1"/>
  <c r="F98" i="1"/>
  <c r="E98" i="1"/>
  <c r="D98" i="1"/>
  <c r="C98" i="1"/>
  <c r="B98" i="1"/>
  <c r="I97" i="1"/>
  <c r="H97" i="1"/>
  <c r="G97" i="1"/>
  <c r="F97" i="1"/>
  <c r="E97" i="1"/>
  <c r="D97" i="1"/>
  <c r="C97" i="1"/>
  <c r="B97" i="1"/>
  <c r="I96" i="1"/>
  <c r="I100" i="1" s="1"/>
  <c r="H96" i="1"/>
  <c r="H100" i="1" s="1"/>
  <c r="G96" i="1"/>
  <c r="G100" i="1" s="1"/>
  <c r="F96" i="1"/>
  <c r="F100" i="1" s="1"/>
  <c r="E96" i="1"/>
  <c r="E100" i="1" s="1"/>
  <c r="D96" i="1"/>
  <c r="D100" i="1" s="1"/>
  <c r="C96" i="1"/>
  <c r="C100" i="1" s="1"/>
  <c r="B96" i="1"/>
  <c r="B100" i="1" s="1"/>
  <c r="I93" i="1"/>
  <c r="H93" i="1"/>
  <c r="G93" i="1"/>
  <c r="F93" i="1"/>
  <c r="E93" i="1"/>
  <c r="D93" i="1"/>
  <c r="C93" i="1"/>
  <c r="B93" i="1"/>
  <c r="H92" i="1"/>
  <c r="I91" i="1"/>
  <c r="H91" i="1"/>
  <c r="G91" i="1"/>
  <c r="F91" i="1"/>
  <c r="E91" i="1"/>
  <c r="D91" i="1"/>
  <c r="C91" i="1"/>
  <c r="B91" i="1"/>
  <c r="I90" i="1"/>
  <c r="H90" i="1"/>
  <c r="G90" i="1"/>
  <c r="F90" i="1"/>
  <c r="E90" i="1"/>
  <c r="E94" i="1" s="1"/>
  <c r="D90" i="1"/>
  <c r="C90" i="1"/>
  <c r="B90" i="1"/>
  <c r="I89" i="1"/>
  <c r="I86" i="1"/>
  <c r="H86" i="1"/>
  <c r="G86" i="1"/>
  <c r="F86" i="1"/>
  <c r="E86" i="1"/>
  <c r="D86" i="1"/>
  <c r="C86" i="1"/>
  <c r="B86" i="1"/>
  <c r="I85" i="1"/>
  <c r="I84" i="1"/>
  <c r="H84" i="1"/>
  <c r="G84" i="1"/>
  <c r="G87" i="1" s="1"/>
  <c r="F84" i="1"/>
  <c r="E84" i="1"/>
  <c r="E87" i="1" s="1"/>
  <c r="D84" i="1"/>
  <c r="C84" i="1"/>
  <c r="C87" i="1" s="1"/>
  <c r="B84" i="1"/>
  <c r="I81" i="1"/>
  <c r="H81" i="1"/>
  <c r="G81" i="1"/>
  <c r="F81" i="1"/>
  <c r="E81" i="1"/>
  <c r="D81" i="1"/>
  <c r="C81" i="1"/>
  <c r="B81" i="1"/>
  <c r="I80" i="1"/>
  <c r="I82" i="1" s="1"/>
  <c r="H80" i="1"/>
  <c r="H82" i="1" s="1"/>
  <c r="G80" i="1"/>
  <c r="G82" i="1" s="1"/>
  <c r="F80" i="1"/>
  <c r="F82" i="1" s="1"/>
  <c r="E80" i="1"/>
  <c r="E82" i="1" s="1"/>
  <c r="D80" i="1"/>
  <c r="D82" i="1" s="1"/>
  <c r="C80" i="1"/>
  <c r="C82" i="1" s="1"/>
  <c r="B80" i="1"/>
  <c r="I76" i="1"/>
  <c r="I77" i="1" s="1"/>
  <c r="H76" i="1"/>
  <c r="H77" i="1" s="1"/>
  <c r="G76" i="1"/>
  <c r="G77" i="1" s="1"/>
  <c r="F76" i="1"/>
  <c r="F77" i="1" s="1"/>
  <c r="E76" i="1"/>
  <c r="E77" i="1" s="1"/>
  <c r="D76" i="1"/>
  <c r="D77" i="1" s="1"/>
  <c r="C76" i="1"/>
  <c r="C77" i="1" s="1"/>
  <c r="B76" i="1"/>
  <c r="I74" i="1"/>
  <c r="H74" i="1"/>
  <c r="G74" i="1"/>
  <c r="F74" i="1"/>
  <c r="E74" i="1"/>
  <c r="D74" i="1"/>
  <c r="C74" i="1"/>
  <c r="B74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0" i="1"/>
  <c r="H70" i="1"/>
  <c r="G70" i="1"/>
  <c r="F70" i="1"/>
  <c r="E70" i="1"/>
  <c r="D70" i="1"/>
  <c r="C70" i="1"/>
  <c r="B70" i="1"/>
  <c r="I69" i="1"/>
  <c r="I73" i="1" s="1"/>
  <c r="I78" i="1" s="1"/>
  <c r="H69" i="1"/>
  <c r="H73" i="1" s="1"/>
  <c r="G69" i="1"/>
  <c r="G73" i="1" s="1"/>
  <c r="F69" i="1"/>
  <c r="F73" i="1" s="1"/>
  <c r="E69" i="1"/>
  <c r="E73" i="1" s="1"/>
  <c r="E78" i="1" s="1"/>
  <c r="D69" i="1"/>
  <c r="D73" i="1" s="1"/>
  <c r="C69" i="1"/>
  <c r="C73" i="1" s="1"/>
  <c r="B69" i="1"/>
  <c r="B73" i="1" s="1"/>
  <c r="I63" i="1"/>
  <c r="H63" i="1"/>
  <c r="G63" i="1"/>
  <c r="F63" i="1"/>
  <c r="E63" i="1"/>
  <c r="D63" i="1"/>
  <c r="C63" i="1"/>
  <c r="B63" i="1"/>
  <c r="I62" i="1"/>
  <c r="I64" i="1" s="1"/>
  <c r="I65" i="1" s="1"/>
  <c r="H62" i="1"/>
  <c r="H64" i="1" s="1"/>
  <c r="H65" i="1" s="1"/>
  <c r="G62" i="1"/>
  <c r="G64" i="1" s="1"/>
  <c r="G65" i="1" s="1"/>
  <c r="F62" i="1"/>
  <c r="F64" i="1" s="1"/>
  <c r="F65" i="1" s="1"/>
  <c r="E62" i="1"/>
  <c r="E64" i="1" s="1"/>
  <c r="E65" i="1" s="1"/>
  <c r="D62" i="1"/>
  <c r="D64" i="1" s="1"/>
  <c r="D65" i="1" s="1"/>
  <c r="C62" i="1"/>
  <c r="C64" i="1" s="1"/>
  <c r="C65" i="1" s="1"/>
  <c r="B62" i="1"/>
  <c r="G56" i="1"/>
  <c r="F56" i="1"/>
  <c r="E56" i="1"/>
  <c r="C56" i="1"/>
  <c r="I55" i="1"/>
  <c r="H55" i="1"/>
  <c r="G55" i="1"/>
  <c r="F55" i="1"/>
  <c r="E55" i="1"/>
  <c r="D55" i="1"/>
  <c r="C55" i="1"/>
  <c r="B55" i="1"/>
  <c r="I54" i="1"/>
  <c r="H54" i="1"/>
  <c r="G54" i="1"/>
  <c r="F54" i="1"/>
  <c r="E54" i="1"/>
  <c r="D54" i="1"/>
  <c r="C54" i="1"/>
  <c r="B54" i="1"/>
  <c r="I53" i="1"/>
  <c r="H53" i="1"/>
  <c r="G53" i="1"/>
  <c r="F53" i="1"/>
  <c r="E53" i="1"/>
  <c r="D53" i="1"/>
  <c r="C53" i="1"/>
  <c r="B53" i="1"/>
  <c r="I52" i="1"/>
  <c r="H52" i="1"/>
  <c r="G52" i="1"/>
  <c r="F52" i="1"/>
  <c r="E52" i="1"/>
  <c r="D52" i="1"/>
  <c r="C52" i="1"/>
  <c r="B52" i="1"/>
  <c r="I51" i="1"/>
  <c r="H51" i="1"/>
  <c r="G51" i="1"/>
  <c r="F51" i="1"/>
  <c r="E51" i="1"/>
  <c r="D51" i="1"/>
  <c r="C51" i="1"/>
  <c r="B51" i="1"/>
  <c r="I50" i="1"/>
  <c r="H50" i="1"/>
  <c r="G50" i="1"/>
  <c r="F50" i="1"/>
  <c r="E50" i="1"/>
  <c r="D50" i="1"/>
  <c r="C50" i="1"/>
  <c r="B50" i="1"/>
  <c r="I49" i="1"/>
  <c r="I57" i="1" s="1"/>
  <c r="H49" i="1"/>
  <c r="G49" i="1"/>
  <c r="F49" i="1"/>
  <c r="E49" i="1"/>
  <c r="D49" i="1"/>
  <c r="C49" i="1"/>
  <c r="B49" i="1"/>
  <c r="B57" i="1" s="1"/>
  <c r="I46" i="1"/>
  <c r="H46" i="1"/>
  <c r="G46" i="1"/>
  <c r="F46" i="1"/>
  <c r="E46" i="1"/>
  <c r="D46" i="1"/>
  <c r="C46" i="1"/>
  <c r="B46" i="1"/>
  <c r="I45" i="1"/>
  <c r="H45" i="1"/>
  <c r="G45" i="1"/>
  <c r="F45" i="1"/>
  <c r="E45" i="1"/>
  <c r="D45" i="1"/>
  <c r="C45" i="1"/>
  <c r="B45" i="1"/>
  <c r="I44" i="1"/>
  <c r="I47" i="1" s="1"/>
  <c r="H44" i="1"/>
  <c r="H47" i="1" s="1"/>
  <c r="G44" i="1"/>
  <c r="G47" i="1" s="1"/>
  <c r="F44" i="1"/>
  <c r="F47" i="1" s="1"/>
  <c r="E44" i="1"/>
  <c r="E47" i="1" s="1"/>
  <c r="D44" i="1"/>
  <c r="D47" i="1" s="1"/>
  <c r="C44" i="1"/>
  <c r="C47" i="1" s="1"/>
  <c r="B44" i="1"/>
  <c r="B47" i="1" s="1"/>
  <c r="I41" i="1"/>
  <c r="H41" i="1"/>
  <c r="G41" i="1"/>
  <c r="F41" i="1"/>
  <c r="E41" i="1"/>
  <c r="D41" i="1"/>
  <c r="C41" i="1"/>
  <c r="B41" i="1"/>
  <c r="I40" i="1"/>
  <c r="H40" i="1"/>
  <c r="G40" i="1"/>
  <c r="F40" i="1"/>
  <c r="E40" i="1"/>
  <c r="D40" i="1"/>
  <c r="C40" i="1"/>
  <c r="B40" i="1"/>
  <c r="I39" i="1"/>
  <c r="H39" i="1"/>
  <c r="G39" i="1"/>
  <c r="F39" i="1"/>
  <c r="E39" i="1"/>
  <c r="D39" i="1"/>
  <c r="C39" i="1"/>
  <c r="B39" i="1"/>
  <c r="I38" i="1"/>
  <c r="H38" i="1"/>
  <c r="G38" i="1"/>
  <c r="F38" i="1"/>
  <c r="E38" i="1"/>
  <c r="D38" i="1"/>
  <c r="C38" i="1"/>
  <c r="B38" i="1"/>
  <c r="I37" i="1"/>
  <c r="H37" i="1"/>
  <c r="G37" i="1"/>
  <c r="F37" i="1"/>
  <c r="E37" i="1"/>
  <c r="D37" i="1"/>
  <c r="C37" i="1"/>
  <c r="B37" i="1"/>
  <c r="I36" i="1"/>
  <c r="H36" i="1"/>
  <c r="G36" i="1"/>
  <c r="F36" i="1"/>
  <c r="E36" i="1"/>
  <c r="D36" i="1"/>
  <c r="C36" i="1"/>
  <c r="B36" i="1"/>
  <c r="I34" i="1"/>
  <c r="H34" i="1"/>
  <c r="G34" i="1"/>
  <c r="F34" i="1"/>
  <c r="E34" i="1"/>
  <c r="D34" i="1"/>
  <c r="C34" i="1"/>
  <c r="B34" i="1"/>
  <c r="I33" i="1"/>
  <c r="H33" i="1"/>
  <c r="G33" i="1"/>
  <c r="F33" i="1"/>
  <c r="E33" i="1"/>
  <c r="D33" i="1"/>
  <c r="C33" i="1"/>
  <c r="B33" i="1"/>
  <c r="I32" i="1"/>
  <c r="H32" i="1"/>
  <c r="G32" i="1"/>
  <c r="F32" i="1"/>
  <c r="E32" i="1"/>
  <c r="D32" i="1"/>
  <c r="C32" i="1"/>
  <c r="B32" i="1"/>
  <c r="I31" i="1"/>
  <c r="H31" i="1"/>
  <c r="G31" i="1"/>
  <c r="F31" i="1"/>
  <c r="E31" i="1"/>
  <c r="D31" i="1"/>
  <c r="C31" i="1"/>
  <c r="B31" i="1"/>
  <c r="I30" i="1"/>
  <c r="I35" i="1" s="1"/>
  <c r="H30" i="1"/>
  <c r="G30" i="1"/>
  <c r="G35" i="1" s="1"/>
  <c r="F30" i="1"/>
  <c r="F35" i="1" s="1"/>
  <c r="E30" i="1"/>
  <c r="E35" i="1" s="1"/>
  <c r="D30" i="1"/>
  <c r="C30" i="1"/>
  <c r="C35" i="1" s="1"/>
  <c r="B30" i="1"/>
  <c r="B35" i="1" s="1"/>
  <c r="I27" i="1"/>
  <c r="H27" i="1"/>
  <c r="G27" i="1"/>
  <c r="F27" i="1"/>
  <c r="E27" i="1"/>
  <c r="D27" i="1"/>
  <c r="C27" i="1"/>
  <c r="B27" i="1"/>
  <c r="I26" i="1"/>
  <c r="H26" i="1"/>
  <c r="G26" i="1"/>
  <c r="F26" i="1"/>
  <c r="E26" i="1"/>
  <c r="D26" i="1"/>
  <c r="C26" i="1"/>
  <c r="B26" i="1"/>
  <c r="I25" i="1"/>
  <c r="H25" i="1"/>
  <c r="G25" i="1"/>
  <c r="F25" i="1"/>
  <c r="E25" i="1"/>
  <c r="D25" i="1"/>
  <c r="C25" i="1"/>
  <c r="B25" i="1"/>
  <c r="I24" i="1"/>
  <c r="I28" i="1" s="1"/>
  <c r="H24" i="1"/>
  <c r="H28" i="1" s="1"/>
  <c r="G24" i="1"/>
  <c r="G28" i="1" s="1"/>
  <c r="G42" i="1" s="1"/>
  <c r="F24" i="1"/>
  <c r="F28" i="1" s="1"/>
  <c r="E24" i="1"/>
  <c r="E28" i="1" s="1"/>
  <c r="D24" i="1"/>
  <c r="C24" i="1"/>
  <c r="B24" i="1"/>
  <c r="B28" i="1" s="1"/>
  <c r="I19" i="1"/>
  <c r="H19" i="1"/>
  <c r="G19" i="1"/>
  <c r="F19" i="1"/>
  <c r="E19" i="1"/>
  <c r="D19" i="1"/>
  <c r="C19" i="1"/>
  <c r="B19" i="1"/>
  <c r="I18" i="1"/>
  <c r="G18" i="1"/>
  <c r="F18" i="1"/>
  <c r="E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4" i="1"/>
  <c r="H14" i="1"/>
  <c r="G14" i="1"/>
  <c r="F14" i="1"/>
  <c r="E14" i="1"/>
  <c r="D14" i="1"/>
  <c r="C14" i="1"/>
  <c r="B14" i="1"/>
  <c r="I13" i="1"/>
  <c r="I15" i="1" s="1"/>
  <c r="H13" i="1"/>
  <c r="H15" i="1" s="1"/>
  <c r="G13" i="1"/>
  <c r="G15" i="1" s="1"/>
  <c r="F13" i="1"/>
  <c r="F15" i="1" s="1"/>
  <c r="E13" i="1"/>
  <c r="E15" i="1" s="1"/>
  <c r="D13" i="1"/>
  <c r="D15" i="1" s="1"/>
  <c r="C13" i="1"/>
  <c r="B13" i="1"/>
  <c r="B15" i="1" s="1"/>
  <c r="I10" i="1"/>
  <c r="I11" i="1" s="1"/>
  <c r="H10" i="1"/>
  <c r="H11" i="1" s="1"/>
  <c r="G10" i="1"/>
  <c r="G11" i="1" s="1"/>
  <c r="F10" i="1"/>
  <c r="F11" i="1" s="1"/>
  <c r="E10" i="1"/>
  <c r="E11" i="1" s="1"/>
  <c r="D10" i="1"/>
  <c r="D11" i="1" s="1"/>
  <c r="C10" i="1"/>
  <c r="C11" i="1" s="1"/>
  <c r="B10" i="1"/>
  <c r="B11" i="1" s="1"/>
  <c r="I8" i="1"/>
  <c r="H8" i="1"/>
  <c r="G8" i="1"/>
  <c r="F8" i="1"/>
  <c r="E8" i="1"/>
  <c r="D8" i="1"/>
  <c r="C8" i="1"/>
  <c r="B8" i="1"/>
  <c r="D28" i="1" l="1"/>
  <c r="F57" i="1"/>
  <c r="B87" i="1"/>
  <c r="F87" i="1"/>
  <c r="D94" i="1"/>
  <c r="B130" i="1"/>
  <c r="B131" i="1" s="1"/>
  <c r="F130" i="1"/>
  <c r="F131" i="1" s="1"/>
  <c r="E57" i="1"/>
  <c r="B94" i="1"/>
  <c r="F94" i="1"/>
  <c r="C130" i="1"/>
  <c r="C131" i="1" s="1"/>
  <c r="G130" i="1"/>
  <c r="G131" i="1" s="1"/>
  <c r="I87" i="1"/>
  <c r="H94" i="1"/>
  <c r="C57" i="1"/>
  <c r="G57" i="1"/>
  <c r="G58" i="1" s="1"/>
  <c r="B64" i="1"/>
  <c r="B65" i="1" s="1"/>
  <c r="F78" i="1"/>
  <c r="B82" i="1"/>
  <c r="C94" i="1"/>
  <c r="G94" i="1"/>
  <c r="C28" i="1"/>
  <c r="C42" i="1" s="1"/>
  <c r="D20" i="1"/>
  <c r="H20" i="1"/>
  <c r="C15" i="1"/>
  <c r="C20" i="1" s="1"/>
  <c r="D35" i="1"/>
  <c r="D42" i="1" s="1"/>
  <c r="H35" i="1"/>
  <c r="H42" i="1" s="1"/>
  <c r="H58" i="1" s="1"/>
  <c r="D57" i="1"/>
  <c r="H57" i="1"/>
  <c r="B77" i="1"/>
  <c r="B78" i="1" s="1"/>
  <c r="D87" i="1"/>
  <c r="H87" i="1"/>
  <c r="I94" i="1"/>
  <c r="C109" i="1"/>
  <c r="B113" i="1"/>
  <c r="C118" i="1"/>
  <c r="E130" i="1"/>
  <c r="E131" i="1" s="1"/>
  <c r="I130" i="1"/>
  <c r="I131" i="1" s="1"/>
  <c r="E20" i="1"/>
  <c r="C78" i="1"/>
  <c r="C123" i="1" s="1"/>
  <c r="G78" i="1"/>
  <c r="G123" i="1" s="1"/>
  <c r="I20" i="1"/>
  <c r="B20" i="1"/>
  <c r="F20" i="1"/>
  <c r="E42" i="1"/>
  <c r="I42" i="1"/>
  <c r="I58" i="1" s="1"/>
  <c r="D78" i="1"/>
  <c r="H78" i="1"/>
  <c r="H123" i="1" s="1"/>
  <c r="G20" i="1"/>
  <c r="B42" i="1"/>
  <c r="F42" i="1"/>
  <c r="F58" i="1" s="1"/>
  <c r="E123" i="1"/>
  <c r="B118" i="1"/>
  <c r="F123" i="1" l="1"/>
  <c r="I123" i="1"/>
  <c r="H59" i="1"/>
  <c r="D58" i="1"/>
  <c r="D59" i="1" s="1"/>
  <c r="C58" i="1"/>
  <c r="C59" i="1" s="1"/>
  <c r="E58" i="1"/>
  <c r="E59" i="1" s="1"/>
  <c r="D123" i="1"/>
  <c r="H132" i="1"/>
  <c r="B58" i="1"/>
  <c r="B59" i="1" s="1"/>
  <c r="F132" i="1"/>
  <c r="F59" i="1"/>
  <c r="E132" i="1"/>
  <c r="I132" i="1"/>
  <c r="I59" i="1"/>
  <c r="B123" i="1"/>
  <c r="G132" i="1"/>
  <c r="G59" i="1"/>
  <c r="D132" i="1" l="1"/>
  <c r="C132" i="1"/>
  <c r="B132" i="1"/>
</calcChain>
</file>

<file path=xl/sharedStrings.xml><?xml version="1.0" encoding="utf-8"?>
<sst xmlns="http://schemas.openxmlformats.org/spreadsheetml/2006/main" count="138" uniqueCount="138">
  <si>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</si>
  <si>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</si>
  <si>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</si>
  <si>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</si>
  <si>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</si>
  <si>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</si>
  <si>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</si>
  <si>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</si>
  <si>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Income</t>
  </si>
  <si>
    <t xml:space="preserve">   0801 Catering &amp; Décor (Menu Sale)</t>
  </si>
  <si>
    <t xml:space="preserve">   0802 Euphoria</t>
  </si>
  <si>
    <t xml:space="preserve">      080201 Euphoria Décor</t>
  </si>
  <si>
    <t xml:space="preserve">   Total 0802 Euphoria</t>
  </si>
  <si>
    <t xml:space="preserve">   0803 Food Sale</t>
  </si>
  <si>
    <t xml:space="preserve">      080301 Food/Kg/Box</t>
  </si>
  <si>
    <t xml:space="preserve">      080302 Additional Food &amp; Stations</t>
  </si>
  <si>
    <t xml:space="preserve">   Total 0803 Food Sale</t>
  </si>
  <si>
    <t xml:space="preserve">   0804 Beverages</t>
  </si>
  <si>
    <t xml:space="preserve">   0805 Additional Item &amp; Setups</t>
  </si>
  <si>
    <t xml:space="preserve">   0806 Setup &amp; Services</t>
  </si>
  <si>
    <t xml:space="preserve">   0807 Kitchen Overhead Share</t>
  </si>
  <si>
    <t>Total Income</t>
  </si>
  <si>
    <t>Cost of Sales</t>
  </si>
  <si>
    <t xml:space="preserve">   0901 Supplies and materials - COS</t>
  </si>
  <si>
    <t xml:space="preserve">      090101 Meat</t>
  </si>
  <si>
    <t xml:space="preserve">         09010101 Mutton</t>
  </si>
  <si>
    <t xml:space="preserve">         09010102 Chicken</t>
  </si>
  <si>
    <t xml:space="preserve">         09010103 Beef</t>
  </si>
  <si>
    <t xml:space="preserve">         09010104 Fish &amp; Prawns</t>
  </si>
  <si>
    <t xml:space="preserve">      Total 090101 Meat</t>
  </si>
  <si>
    <t xml:space="preserve">      090102 Dry Stock</t>
  </si>
  <si>
    <t xml:space="preserve">         09010201 Oil</t>
  </si>
  <si>
    <t xml:space="preserve">         09010202 Flour</t>
  </si>
  <si>
    <t xml:space="preserve">         09010203 Rice</t>
  </si>
  <si>
    <t xml:space="preserve">         09010204 Sugar</t>
  </si>
  <si>
    <t xml:space="preserve">         09010205 Other Dry Stock</t>
  </si>
  <si>
    <t xml:space="preserve">      Total 090102 Dry Stock</t>
  </si>
  <si>
    <t xml:space="preserve">      090103 Outsourced Food</t>
  </si>
  <si>
    <t xml:space="preserve">      090104 Dairy &amp; Bakery Items</t>
  </si>
  <si>
    <t xml:space="preserve">      090105 Vegetables &amp; Fruits</t>
  </si>
  <si>
    <t xml:space="preserve">      090106 Beverages &amp; Soft drinks</t>
  </si>
  <si>
    <t xml:space="preserve">      090107 Other Consumables</t>
  </si>
  <si>
    <t xml:space="preserve">      090108 Disposible Material</t>
  </si>
  <si>
    <t xml:space="preserve">   Total 0901 Supplies and materials - COS</t>
  </si>
  <si>
    <t xml:space="preserve">   0902 Cost of labour-COS</t>
  </si>
  <si>
    <t xml:space="preserve">      090201 Salaries- Operation Staff</t>
  </si>
  <si>
    <t xml:space="preserve">      090202 Labour Out Sourced</t>
  </si>
  <si>
    <t xml:space="preserve">      090203 Wages &amp; Allowance</t>
  </si>
  <si>
    <t xml:space="preserve">   Total 0902 Cost of labour-COS</t>
  </si>
  <si>
    <t xml:space="preserve">   0903 Other costs of sales - COS</t>
  </si>
  <si>
    <t xml:space="preserve">      090301 Rents, rates &amp; taxes</t>
  </si>
  <si>
    <t xml:space="preserve">      090302 Utilitites</t>
  </si>
  <si>
    <t xml:space="preserve">      090303 Fuel &amp; Transporation</t>
  </si>
  <si>
    <t xml:space="preserve">      090304 Repair &amp; maintinance</t>
  </si>
  <si>
    <t xml:space="preserve">      090306 Boarding &amp; Lodging - COS</t>
  </si>
  <si>
    <t xml:space="preserve">      090307 Printing &amp; Stationary</t>
  </si>
  <si>
    <t xml:space="preserve">      090308 Laundry</t>
  </si>
  <si>
    <t xml:space="preserve">      090309 Staff Uniform</t>
  </si>
  <si>
    <t xml:space="preserve">   Total 0903 Other costs of sales - COS</t>
  </si>
  <si>
    <t>Total Cost of Sales</t>
  </si>
  <si>
    <t>Gross Profit</t>
  </si>
  <si>
    <t>Other Income(Loss)</t>
  </si>
  <si>
    <t xml:space="preserve">   15 Other Income</t>
  </si>
  <si>
    <t xml:space="preserve">      1501 Outsourced Items</t>
  </si>
  <si>
    <t xml:space="preserve">      1503 Other</t>
  </si>
  <si>
    <t xml:space="preserve">   Total 15 Other Income</t>
  </si>
  <si>
    <t>Total Other Income(Loss)</t>
  </si>
  <si>
    <t>Expenses</t>
  </si>
  <si>
    <t xml:space="preserve">   1001 Salaries &amp; Benefits</t>
  </si>
  <si>
    <t xml:space="preserve">      100101 Salaries &amp; Wages</t>
  </si>
  <si>
    <t xml:space="preserve">         10010101 Sales</t>
  </si>
  <si>
    <t xml:space="preserve">         10010102 Marketing</t>
  </si>
  <si>
    <t xml:space="preserve">         10010103 Accounts &amp; Finance</t>
  </si>
  <si>
    <t xml:space="preserve">         10010104 Admin &amp; HR</t>
  </si>
  <si>
    <t xml:space="preserve">      Total 100101 Salaries &amp; Wages</t>
  </si>
  <si>
    <t xml:space="preserve">      100102 Other benefits (Direct &amp; indrect)</t>
  </si>
  <si>
    <t xml:space="preserve">      100103 Sales Commission</t>
  </si>
  <si>
    <t xml:space="preserve">         10010301 Sales Rep Commission</t>
  </si>
  <si>
    <t xml:space="preserve">      Total 100103 Sales Commission</t>
  </si>
  <si>
    <t xml:space="preserve">   Total 1001 Salaries &amp; Benefits</t>
  </si>
  <si>
    <t xml:space="preserve">   1002 Rent, Rate &amp; Taxes</t>
  </si>
  <si>
    <t xml:space="preserve">      100201 Office Rent</t>
  </si>
  <si>
    <t xml:space="preserve">      100204 Toll Tax</t>
  </si>
  <si>
    <t xml:space="preserve">   Total 1002 Rent, Rate &amp; Taxes</t>
  </si>
  <si>
    <t xml:space="preserve">   1003 Utilities</t>
  </si>
  <si>
    <t xml:space="preserve">      100301 Elecricity Charges</t>
  </si>
  <si>
    <t xml:space="preserve">      100302 Gas Charges</t>
  </si>
  <si>
    <t xml:space="preserve">      100305 Water Charges</t>
  </si>
  <si>
    <t xml:space="preserve">   Total 1003 Utilities</t>
  </si>
  <si>
    <t xml:space="preserve">   1004 Legal &amp; Professional Charges</t>
  </si>
  <si>
    <t xml:space="preserve">      100401 Audit Fee</t>
  </si>
  <si>
    <t xml:space="preserve">      100402 Filing Fee</t>
  </si>
  <si>
    <t xml:space="preserve">      100404 Professional Services</t>
  </si>
  <si>
    <t xml:space="preserve">      100405 Registration Fee</t>
  </si>
  <si>
    <t xml:space="preserve">      100406 Fee &amp; Subcription</t>
  </si>
  <si>
    <t xml:space="preserve">   Total 1004 Legal &amp; Professional Charges</t>
  </si>
  <si>
    <t xml:space="preserve">   1005 Communication Charges</t>
  </si>
  <si>
    <t xml:space="preserve">      100501 Internet Charges</t>
  </si>
  <si>
    <t xml:space="preserve">      100502 Mobile Charges</t>
  </si>
  <si>
    <t xml:space="preserve">      100503 Postage &amp; Courier</t>
  </si>
  <si>
    <t xml:space="preserve">      100504 Telephone Bill</t>
  </si>
  <si>
    <t xml:space="preserve">   Total 1005 Communication Charges</t>
  </si>
  <si>
    <t xml:space="preserve">   1006 Repair &amp; Maintenance</t>
  </si>
  <si>
    <t xml:space="preserve">      100602 Equipment Repair</t>
  </si>
  <si>
    <t xml:space="preserve">      100604 Office Repair</t>
  </si>
  <si>
    <t xml:space="preserve">      100605 Vehicles Repair</t>
  </si>
  <si>
    <t xml:space="preserve">   Total 1006 Repair &amp; Maintenance</t>
  </si>
  <si>
    <t xml:space="preserve">   1007 Travelling &amp; Conveyance</t>
  </si>
  <si>
    <t xml:space="preserve">      100703 Fuel Charges</t>
  </si>
  <si>
    <t xml:space="preserve">      100704 Local Traveling</t>
  </si>
  <si>
    <t xml:space="preserve">   Total 1007 Travelling &amp; Conveyance</t>
  </si>
  <si>
    <t xml:space="preserve">   1008 Office Supplies &amp; Stationary</t>
  </si>
  <si>
    <t xml:space="preserve">      100801 Office Supplies</t>
  </si>
  <si>
    <t xml:space="preserve">      100804 Stationary Expense</t>
  </si>
  <si>
    <t xml:space="preserve">   Total 1008 Office Supplies &amp; Stationary</t>
  </si>
  <si>
    <t xml:space="preserve">   1009 Advertisement &amp; Publicity</t>
  </si>
  <si>
    <t xml:space="preserve">      100901 Agency Fee</t>
  </si>
  <si>
    <t xml:space="preserve">      100902 Ad Spend</t>
  </si>
  <si>
    <t xml:space="preserve">      100903 Ad Production</t>
  </si>
  <si>
    <t xml:space="preserve">   Total 1009 Advertisement &amp; Publicity</t>
  </si>
  <si>
    <t xml:space="preserve">   1010 Food &amp; Entertainment</t>
  </si>
  <si>
    <t xml:space="preserve">      101001 Office Entertainment</t>
  </si>
  <si>
    <t xml:space="preserve">      101002 Staff Food</t>
  </si>
  <si>
    <t xml:space="preserve">   Total 1010 Food &amp; Entertainment</t>
  </si>
  <si>
    <t>Total Expenses</t>
  </si>
  <si>
    <t>Other Expenses</t>
  </si>
  <si>
    <t xml:space="preserve">   16 Other Expenses</t>
  </si>
  <si>
    <t xml:space="preserve">      1601 Outsourced Items Rental</t>
  </si>
  <si>
    <t xml:space="preserve">      1602 Bank Service Charges</t>
  </si>
  <si>
    <t xml:space="preserve">      1603 Other expenses-Other</t>
  </si>
  <si>
    <t xml:space="preserve">      1604 Euphoria Outsourced Items Rental</t>
  </si>
  <si>
    <t xml:space="preserve">   Total 16 Other Expenses</t>
  </si>
  <si>
    <t>Total Other Expenses</t>
  </si>
  <si>
    <t>Net Earnings</t>
  </si>
  <si>
    <t>Wednesday, Mar 06, 2024 03:13:10 AM GMT+5 - Accrual Basis</t>
  </si>
  <si>
    <t>Hanif Rajput Catering Services</t>
  </si>
  <si>
    <t>Profit and Loss</t>
  </si>
  <si>
    <t>1 July, 2023 - 6 March,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</si>
</sst>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PRs&quot;* 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6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40.33203125" customWidth="1"/>
    <col min="2" max="3" width="14.6640625" customWidth="1"/>
    <col min="4" max="4" width="15.5" customWidth="1"/>
    <col min="5" max="9" width="14.6640625" customWidth="1"/>
  </cols>
  <sheetData>
    <row r="2" spans="1:9" ht="18" x14ac:dyDescent="0.2">
      <c r="A2" s="10" t="s">
        <v>135</v>
      </c>
      <c r="B2" s="9"/>
      <c r="C2" s="9"/>
      <c r="D2" s="9"/>
      <c r="E2" s="9"/>
      <c r="F2" s="9"/>
      <c r="G2" s="9"/>
      <c r="H2" s="9"/>
      <c r="I2" s="9"/>
    </row>
    <row r="3" spans="1:9" ht="18" x14ac:dyDescent="0.2">
      <c r="A3" s="10" t="s">
        <v>136</v>
      </c>
      <c r="B3" s="9"/>
      <c r="C3" s="9"/>
      <c r="D3" s="9"/>
      <c r="E3" s="9"/>
      <c r="F3" s="9"/>
      <c r="G3" s="9"/>
      <c r="H3" s="9"/>
      <c r="I3" s="9"/>
    </row>
    <row r="4" spans="1:9" x14ac:dyDescent="0.2">
      <c r="A4" s="11" t="s">
        <v>137</v>
      </c>
      <c r="B4" s="9"/>
      <c r="C4" s="9"/>
      <c r="D4" s="9"/>
      <c r="E4" s="9"/>
      <c r="F4" s="9"/>
      <c r="G4" s="9"/>
      <c r="H4" s="9"/>
      <c r="I4" s="9"/>
    </row>
    <row r="6" spans="1:9" x14ac:dyDescent="0.2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9" x14ac:dyDescent="0.2">
      <c r="A7" s="3" t="s">
        <v>8</v>
      </c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9</v>
      </c>
      <c r="B8" s="5">
        <f>17836850</f>
        <v>17836850</v>
      </c>
      <c r="C8" s="5">
        <f>14454576.19</f>
        <v>14454576.189999999</v>
      </c>
      <c r="D8" s="5">
        <f>8001376</f>
        <v>8001376</v>
      </c>
      <c r="E8" s="5">
        <f>20927585</f>
        <v>20927585</v>
      </c>
      <c r="F8" s="5">
        <f>31076649.5</f>
        <v>31076649.5</v>
      </c>
      <c r="G8" s="5">
        <f>34144355</f>
        <v>34144355</v>
      </c>
      <c r="H8" s="5">
        <f>19837550</f>
        <v>19837550</v>
      </c>
      <c r="I8" s="5">
        <f>21502500</f>
        <v>21502500</v>
      </c>
    </row>
    <row r="9" spans="1:9" x14ac:dyDescent="0.2">
      <c r="A9" s="3" t="s">
        <v>10</v>
      </c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11</v>
      </c>
      <c r="B10" s="5">
        <f>843000</f>
        <v>843000</v>
      </c>
      <c r="C10" s="5">
        <f>7449100</f>
        <v>7449100</v>
      </c>
      <c r="D10" s="5">
        <f>1264500</f>
        <v>1264500</v>
      </c>
      <c r="E10" s="5">
        <f>554200</f>
        <v>554200</v>
      </c>
      <c r="F10" s="5">
        <f>346600</f>
        <v>346600</v>
      </c>
      <c r="G10" s="5">
        <f>435000</f>
        <v>435000</v>
      </c>
      <c r="H10" s="5">
        <f>492600</f>
        <v>492600</v>
      </c>
      <c r="I10" s="5">
        <f>1141000</f>
        <v>1141000</v>
      </c>
    </row>
    <row r="11" spans="1:9" x14ac:dyDescent="0.2">
      <c r="A11" s="3" t="s">
        <v>12</v>
      </c>
      <c r="B11" s="6">
        <f t="shared" ref="B11:I11" si="0">(B9)+(B10)</f>
        <v>843000</v>
      </c>
      <c r="C11" s="6">
        <f t="shared" si="0"/>
        <v>7449100</v>
      </c>
      <c r="D11" s="6">
        <f t="shared" si="0"/>
        <v>1264500</v>
      </c>
      <c r="E11" s="6">
        <f t="shared" si="0"/>
        <v>554200</v>
      </c>
      <c r="F11" s="6">
        <f t="shared" si="0"/>
        <v>346600</v>
      </c>
      <c r="G11" s="6">
        <f t="shared" si="0"/>
        <v>435000</v>
      </c>
      <c r="H11" s="6">
        <f t="shared" si="0"/>
        <v>492600</v>
      </c>
      <c r="I11" s="6">
        <f t="shared" si="0"/>
        <v>1141000</v>
      </c>
    </row>
    <row r="12" spans="1:9" x14ac:dyDescent="0.2">
      <c r="A12" s="3" t="s">
        <v>13</v>
      </c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3" t="s">
        <v>14</v>
      </c>
      <c r="B13" s="5">
        <f>7028318.5</f>
        <v>7028318.5</v>
      </c>
      <c r="C13" s="5">
        <f>4254323</f>
        <v>4254323</v>
      </c>
      <c r="D13" s="5">
        <f>4613690</f>
        <v>4613690</v>
      </c>
      <c r="E13" s="5">
        <f>11114493.5</f>
        <v>11114493.5</v>
      </c>
      <c r="F13" s="5">
        <f>12212181.5</f>
        <v>12212181.5</v>
      </c>
      <c r="G13" s="5">
        <f>15427699</f>
        <v>15427699</v>
      </c>
      <c r="H13" s="5">
        <f>10069890</f>
        <v>10069890</v>
      </c>
      <c r="I13" s="5">
        <f>9445710</f>
        <v>9445710</v>
      </c>
    </row>
    <row r="14" spans="1:9" x14ac:dyDescent="0.2">
      <c r="A14" s="3" t="s">
        <v>15</v>
      </c>
      <c r="B14" s="5">
        <f>152910</f>
        <v>152910</v>
      </c>
      <c r="C14" s="5">
        <f>218736</f>
        <v>218736</v>
      </c>
      <c r="D14" s="5">
        <f>47650</f>
        <v>47650</v>
      </c>
      <c r="E14" s="5">
        <f>21600</f>
        <v>21600</v>
      </c>
      <c r="F14" s="5">
        <f>854200</f>
        <v>854200</v>
      </c>
      <c r="G14" s="5">
        <f>1794625</f>
        <v>1794625</v>
      </c>
      <c r="H14" s="5">
        <f>1406350</f>
        <v>1406350</v>
      </c>
      <c r="I14" s="5">
        <f>230310</f>
        <v>230310</v>
      </c>
    </row>
    <row r="15" spans="1:9" x14ac:dyDescent="0.2">
      <c r="A15" s="3" t="s">
        <v>16</v>
      </c>
      <c r="B15" s="6">
        <f t="shared" ref="B15:I15" si="1">((B12)+(B13))+(B14)</f>
        <v>7181228.5</v>
      </c>
      <c r="C15" s="6">
        <f t="shared" si="1"/>
        <v>4473059</v>
      </c>
      <c r="D15" s="6">
        <f t="shared" si="1"/>
        <v>4661340</v>
      </c>
      <c r="E15" s="6">
        <f t="shared" si="1"/>
        <v>11136093.5</v>
      </c>
      <c r="F15" s="6">
        <f t="shared" si="1"/>
        <v>13066381.5</v>
      </c>
      <c r="G15" s="6">
        <f t="shared" si="1"/>
        <v>17222324</v>
      </c>
      <c r="H15" s="6">
        <f t="shared" si="1"/>
        <v>11476240</v>
      </c>
      <c r="I15" s="6">
        <f t="shared" si="1"/>
        <v>9676020</v>
      </c>
    </row>
    <row r="16" spans="1:9" x14ac:dyDescent="0.2">
      <c r="A16" s="3" t="s">
        <v>17</v>
      </c>
      <c r="B16" s="5">
        <f>841340</f>
        <v>841340</v>
      </c>
      <c r="C16" s="5">
        <f>1299300</f>
        <v>1299300</v>
      </c>
      <c r="D16" s="5">
        <f>335150</f>
        <v>335150</v>
      </c>
      <c r="E16" s="5">
        <f>1006060</f>
        <v>1006060</v>
      </c>
      <c r="F16" s="5">
        <f>1315960</f>
        <v>1315960</v>
      </c>
      <c r="G16" s="5">
        <f>1205400</f>
        <v>1205400</v>
      </c>
      <c r="H16" s="5">
        <f>650950</f>
        <v>650950</v>
      </c>
      <c r="I16" s="5">
        <f>700840</f>
        <v>700840</v>
      </c>
    </row>
    <row r="17" spans="1:9" x14ac:dyDescent="0.2">
      <c r="A17" s="3" t="s">
        <v>18</v>
      </c>
      <c r="B17" s="5">
        <f>1750170</f>
        <v>1750170</v>
      </c>
      <c r="C17" s="5">
        <f>1263570</f>
        <v>1263570</v>
      </c>
      <c r="D17" s="5">
        <f>1211540</f>
        <v>1211540</v>
      </c>
      <c r="E17" s="5">
        <f>3820410</f>
        <v>3820410</v>
      </c>
      <c r="F17" s="5">
        <f>2869470</f>
        <v>2869470</v>
      </c>
      <c r="G17" s="5">
        <f>4043842</f>
        <v>4043842</v>
      </c>
      <c r="H17" s="5">
        <f>2687130</f>
        <v>2687130</v>
      </c>
      <c r="I17" s="5">
        <f>2318160</f>
        <v>2318160</v>
      </c>
    </row>
    <row r="18" spans="1:9" x14ac:dyDescent="0.2">
      <c r="A18" s="3" t="s">
        <v>19</v>
      </c>
      <c r="B18" s="5">
        <f>58000</f>
        <v>58000</v>
      </c>
      <c r="C18" s="5">
        <f>205000</f>
        <v>205000</v>
      </c>
      <c r="D18" s="4"/>
      <c r="E18" s="5">
        <f>193500</f>
        <v>193500</v>
      </c>
      <c r="F18" s="5">
        <f>221250</f>
        <v>221250</v>
      </c>
      <c r="G18" s="5">
        <f>73000</f>
        <v>73000</v>
      </c>
      <c r="H18" s="4"/>
      <c r="I18" s="5">
        <f>232000</f>
        <v>232000</v>
      </c>
    </row>
    <row r="19" spans="1:9" x14ac:dyDescent="0.2">
      <c r="A19" s="3" t="s">
        <v>20</v>
      </c>
      <c r="B19" s="5">
        <f>134400</f>
        <v>134400</v>
      </c>
      <c r="C19" s="5">
        <f>92000</f>
        <v>92000</v>
      </c>
      <c r="D19" s="5">
        <f>98600</f>
        <v>98600</v>
      </c>
      <c r="E19" s="5">
        <f>150800</f>
        <v>150800</v>
      </c>
      <c r="F19" s="5">
        <f>251200</f>
        <v>251200</v>
      </c>
      <c r="G19" s="5">
        <f>275400</f>
        <v>275400</v>
      </c>
      <c r="H19" s="5">
        <f>136800</f>
        <v>136800</v>
      </c>
      <c r="I19" s="5">
        <f>184800</f>
        <v>184800</v>
      </c>
    </row>
    <row r="20" spans="1:9" x14ac:dyDescent="0.2">
      <c r="A20" s="3" t="s">
        <v>21</v>
      </c>
      <c r="B20" s="6">
        <f t="shared" ref="B20:I20" si="2">((((((B8)+(B11))+(B15))+(B16))+(B17))+(B18))+(B19)</f>
        <v>28644988.5</v>
      </c>
      <c r="C20" s="6">
        <f t="shared" si="2"/>
        <v>29236605.189999998</v>
      </c>
      <c r="D20" s="6">
        <f t="shared" si="2"/>
        <v>15572506</v>
      </c>
      <c r="E20" s="6">
        <f t="shared" si="2"/>
        <v>37788648.5</v>
      </c>
      <c r="F20" s="6">
        <f t="shared" si="2"/>
        <v>49147511</v>
      </c>
      <c r="G20" s="6">
        <f t="shared" si="2"/>
        <v>57399321</v>
      </c>
      <c r="H20" s="6">
        <f t="shared" si="2"/>
        <v>35281270</v>
      </c>
      <c r="I20" s="6">
        <f t="shared" si="2"/>
        <v>35755320</v>
      </c>
    </row>
    <row r="21" spans="1:9" x14ac:dyDescent="0.2">
      <c r="A21" s="3" t="s">
        <v>22</v>
      </c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3" t="s">
        <v>23</v>
      </c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3" t="s">
        <v>24</v>
      </c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3" t="s">
        <v>25</v>
      </c>
      <c r="B24" s="5">
        <f>1903399</f>
        <v>1903399</v>
      </c>
      <c r="C24" s="5">
        <f>2009574</f>
        <v>2009574</v>
      </c>
      <c r="D24" s="5">
        <f>1366063</f>
        <v>1366063</v>
      </c>
      <c r="E24" s="5">
        <f>2616495</f>
        <v>2616495</v>
      </c>
      <c r="F24" s="5">
        <f>4049481</f>
        <v>4049481</v>
      </c>
      <c r="G24" s="5">
        <f>5063379</f>
        <v>5063379</v>
      </c>
      <c r="H24" s="5">
        <f>2829655</f>
        <v>2829655</v>
      </c>
      <c r="I24" s="5">
        <f>2559356</f>
        <v>2559356</v>
      </c>
    </row>
    <row r="25" spans="1:9" x14ac:dyDescent="0.2">
      <c r="A25" s="3" t="s">
        <v>26</v>
      </c>
      <c r="B25" s="5">
        <f>3237851</f>
        <v>3237851</v>
      </c>
      <c r="C25" s="5">
        <f>2129612</f>
        <v>2129612</v>
      </c>
      <c r="D25" s="5">
        <f>1665904</f>
        <v>1665904</v>
      </c>
      <c r="E25" s="5">
        <f>3303820</f>
        <v>3303820</v>
      </c>
      <c r="F25" s="5">
        <f>5156754</f>
        <v>5156754</v>
      </c>
      <c r="G25" s="5">
        <f>4634119</f>
        <v>4634119</v>
      </c>
      <c r="H25" s="5">
        <f>3120564</f>
        <v>3120564</v>
      </c>
      <c r="I25" s="5">
        <f>4113591</f>
        <v>4113591</v>
      </c>
    </row>
    <row r="26" spans="1:9" x14ac:dyDescent="0.2">
      <c r="A26" s="3" t="s">
        <v>27</v>
      </c>
      <c r="B26" s="5">
        <f>575191</f>
        <v>575191</v>
      </c>
      <c r="C26" s="5">
        <f>277443</f>
        <v>277443</v>
      </c>
      <c r="D26" s="5">
        <f>270174</f>
        <v>270174</v>
      </c>
      <c r="E26" s="5">
        <f>741487</f>
        <v>741487</v>
      </c>
      <c r="F26" s="5">
        <f>518282</f>
        <v>518282</v>
      </c>
      <c r="G26" s="5">
        <f>1036238</f>
        <v>1036238</v>
      </c>
      <c r="H26" s="5">
        <f>381384</f>
        <v>381384</v>
      </c>
      <c r="I26" s="5">
        <f>673301</f>
        <v>673301</v>
      </c>
    </row>
    <row r="27" spans="1:9" x14ac:dyDescent="0.2">
      <c r="A27" s="3" t="s">
        <v>28</v>
      </c>
      <c r="B27" s="5">
        <f>735</f>
        <v>735</v>
      </c>
      <c r="C27" s="5">
        <f>25712</f>
        <v>25712</v>
      </c>
      <c r="D27" s="5">
        <f>112301</f>
        <v>112301</v>
      </c>
      <c r="E27" s="5">
        <f>334783</f>
        <v>334783</v>
      </c>
      <c r="F27" s="5">
        <f>888315</f>
        <v>888315</v>
      </c>
      <c r="G27" s="5">
        <f>1206969</f>
        <v>1206969</v>
      </c>
      <c r="H27" s="5">
        <f>954170</f>
        <v>954170</v>
      </c>
      <c r="I27" s="5">
        <f>483172</f>
        <v>483172</v>
      </c>
    </row>
    <row r="28" spans="1:9" x14ac:dyDescent="0.2">
      <c r="A28" s="3" t="s">
        <v>29</v>
      </c>
      <c r="B28" s="6">
        <f t="shared" ref="B28:I28" si="3">((((B23)+(B24))+(B25))+(B26))+(B27)</f>
        <v>5717176</v>
      </c>
      <c r="C28" s="6">
        <f t="shared" si="3"/>
        <v>4442341</v>
      </c>
      <c r="D28" s="6">
        <f t="shared" si="3"/>
        <v>3414442</v>
      </c>
      <c r="E28" s="6">
        <f t="shared" si="3"/>
        <v>6996585</v>
      </c>
      <c r="F28" s="6">
        <f t="shared" si="3"/>
        <v>10612832</v>
      </c>
      <c r="G28" s="6">
        <f t="shared" si="3"/>
        <v>11940705</v>
      </c>
      <c r="H28" s="6">
        <f t="shared" si="3"/>
        <v>7285773</v>
      </c>
      <c r="I28" s="6">
        <f t="shared" si="3"/>
        <v>7829420</v>
      </c>
    </row>
    <row r="29" spans="1:9" x14ac:dyDescent="0.2">
      <c r="A29" s="3" t="s">
        <v>30</v>
      </c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3" t="s">
        <v>31</v>
      </c>
      <c r="B30" s="5">
        <f>744229</f>
        <v>744229</v>
      </c>
      <c r="C30" s="5">
        <f>503964</f>
        <v>503964</v>
      </c>
      <c r="D30" s="5">
        <f>455381</f>
        <v>455381</v>
      </c>
      <c r="E30" s="5">
        <f>840681</f>
        <v>840681</v>
      </c>
      <c r="F30" s="5">
        <f>1109947</f>
        <v>1109947</v>
      </c>
      <c r="G30" s="5">
        <f>1094969</f>
        <v>1094969</v>
      </c>
      <c r="H30" s="5">
        <f>748719</f>
        <v>748719</v>
      </c>
      <c r="I30" s="5">
        <f>770802</f>
        <v>770802</v>
      </c>
    </row>
    <row r="31" spans="1:9" x14ac:dyDescent="0.2">
      <c r="A31" s="3" t="s">
        <v>32</v>
      </c>
      <c r="B31" s="5">
        <f>318587</f>
        <v>318587</v>
      </c>
      <c r="C31" s="5">
        <f>365883</f>
        <v>365883</v>
      </c>
      <c r="D31" s="5">
        <f>360899</f>
        <v>360899</v>
      </c>
      <c r="E31" s="5">
        <f>436069</f>
        <v>436069</v>
      </c>
      <c r="F31" s="5">
        <f>442537</f>
        <v>442537</v>
      </c>
      <c r="G31" s="5">
        <f>502091</f>
        <v>502091</v>
      </c>
      <c r="H31" s="5">
        <f>453900</f>
        <v>453900</v>
      </c>
      <c r="I31" s="5">
        <f>430281</f>
        <v>430281</v>
      </c>
    </row>
    <row r="32" spans="1:9" x14ac:dyDescent="0.2">
      <c r="A32" s="3" t="s">
        <v>33</v>
      </c>
      <c r="B32" s="5">
        <f>803871</f>
        <v>803871</v>
      </c>
      <c r="C32" s="5">
        <f>467542</f>
        <v>467542</v>
      </c>
      <c r="D32" s="5">
        <f>543838</f>
        <v>543838</v>
      </c>
      <c r="E32" s="5">
        <f>647568</f>
        <v>647568</v>
      </c>
      <c r="F32" s="5">
        <f>675759</f>
        <v>675759</v>
      </c>
      <c r="G32" s="5">
        <f>624452</f>
        <v>624452</v>
      </c>
      <c r="H32" s="5">
        <f>426291</f>
        <v>426291</v>
      </c>
      <c r="I32" s="5">
        <f>462461</f>
        <v>462461</v>
      </c>
    </row>
    <row r="33" spans="1:9" x14ac:dyDescent="0.2">
      <c r="A33" s="3" t="s">
        <v>34</v>
      </c>
      <c r="B33" s="5">
        <f>121953</f>
        <v>121953</v>
      </c>
      <c r="C33" s="5">
        <f>121536</f>
        <v>121536</v>
      </c>
      <c r="D33" s="5">
        <f>112449</f>
        <v>112449</v>
      </c>
      <c r="E33" s="5">
        <f>161958</f>
        <v>161958</v>
      </c>
      <c r="F33" s="5">
        <f>195181</f>
        <v>195181</v>
      </c>
      <c r="G33" s="5">
        <f>197699</f>
        <v>197699</v>
      </c>
      <c r="H33" s="5">
        <f>152502</f>
        <v>152502</v>
      </c>
      <c r="I33" s="5">
        <f>168128</f>
        <v>168128</v>
      </c>
    </row>
    <row r="34" spans="1:9" x14ac:dyDescent="0.2">
      <c r="A34" s="3" t="s">
        <v>35</v>
      </c>
      <c r="B34" s="5">
        <f>973521</f>
        <v>973521</v>
      </c>
      <c r="C34" s="5">
        <f>1036707</f>
        <v>1036707</v>
      </c>
      <c r="D34" s="5">
        <f>763751</f>
        <v>763751</v>
      </c>
      <c r="E34" s="5">
        <f>2042762</f>
        <v>2042762</v>
      </c>
      <c r="F34" s="5">
        <f>2352180</f>
        <v>2352180</v>
      </c>
      <c r="G34" s="5">
        <f>2440085</f>
        <v>2440085</v>
      </c>
      <c r="H34" s="5">
        <f>1928059</f>
        <v>1928059</v>
      </c>
      <c r="I34" s="5">
        <f>1703777</f>
        <v>1703777</v>
      </c>
    </row>
    <row r="35" spans="1:9" x14ac:dyDescent="0.2">
      <c r="A35" s="3" t="s">
        <v>36</v>
      </c>
      <c r="B35" s="6">
        <f t="shared" ref="B35:I35" si="4">(((((B29)+(B30))+(B31))+(B32))+(B33))+(B34)</f>
        <v>2962161</v>
      </c>
      <c r="C35" s="6">
        <f t="shared" si="4"/>
        <v>2495632</v>
      </c>
      <c r="D35" s="6">
        <f t="shared" si="4"/>
        <v>2236318</v>
      </c>
      <c r="E35" s="6">
        <f t="shared" si="4"/>
        <v>4129038</v>
      </c>
      <c r="F35" s="6">
        <f t="shared" si="4"/>
        <v>4775604</v>
      </c>
      <c r="G35" s="6">
        <f t="shared" si="4"/>
        <v>4859296</v>
      </c>
      <c r="H35" s="6">
        <f t="shared" si="4"/>
        <v>3709471</v>
      </c>
      <c r="I35" s="6">
        <f t="shared" si="4"/>
        <v>3535449</v>
      </c>
    </row>
    <row r="36" spans="1:9" x14ac:dyDescent="0.2">
      <c r="A36" s="3" t="s">
        <v>37</v>
      </c>
      <c r="B36" s="5">
        <f>856841</f>
        <v>856841</v>
      </c>
      <c r="C36" s="5">
        <f>211773</f>
        <v>211773</v>
      </c>
      <c r="D36" s="5">
        <f>247483</f>
        <v>247483</v>
      </c>
      <c r="E36" s="5">
        <f>937518</f>
        <v>937518</v>
      </c>
      <c r="F36" s="5">
        <f>1264900</f>
        <v>1264900</v>
      </c>
      <c r="G36" s="5">
        <f>1349420</f>
        <v>1349420</v>
      </c>
      <c r="H36" s="5">
        <f>515152</f>
        <v>515152</v>
      </c>
      <c r="I36" s="5">
        <f>638306</f>
        <v>638306</v>
      </c>
    </row>
    <row r="37" spans="1:9" x14ac:dyDescent="0.2">
      <c r="A37" s="3" t="s">
        <v>38</v>
      </c>
      <c r="B37" s="5">
        <f>1201244</f>
        <v>1201244</v>
      </c>
      <c r="C37" s="5">
        <f>962151</f>
        <v>962151</v>
      </c>
      <c r="D37" s="5">
        <f>651942</f>
        <v>651942</v>
      </c>
      <c r="E37" s="5">
        <f>1554827</f>
        <v>1554827</v>
      </c>
      <c r="F37" s="5">
        <f>2630783</f>
        <v>2630783</v>
      </c>
      <c r="G37" s="5">
        <f>2546192</f>
        <v>2546192</v>
      </c>
      <c r="H37" s="5">
        <f>2170088</f>
        <v>2170088</v>
      </c>
      <c r="I37" s="5">
        <f>1644017</f>
        <v>1644017</v>
      </c>
    </row>
    <row r="38" spans="1:9" x14ac:dyDescent="0.2">
      <c r="A38" s="3" t="s">
        <v>39</v>
      </c>
      <c r="B38" s="5">
        <f>787408</f>
        <v>787408</v>
      </c>
      <c r="C38" s="5">
        <f>532633</f>
        <v>532633</v>
      </c>
      <c r="D38" s="5">
        <f>416632</f>
        <v>416632</v>
      </c>
      <c r="E38" s="5">
        <f>970535</f>
        <v>970535</v>
      </c>
      <c r="F38" s="5">
        <f>1406050</f>
        <v>1406050</v>
      </c>
      <c r="G38" s="5">
        <f>1292336</f>
        <v>1292336</v>
      </c>
      <c r="H38" s="5">
        <f>1056654</f>
        <v>1056654</v>
      </c>
      <c r="I38" s="5">
        <f>1116001</f>
        <v>1116001</v>
      </c>
    </row>
    <row r="39" spans="1:9" x14ac:dyDescent="0.2">
      <c r="A39" s="3" t="s">
        <v>40</v>
      </c>
      <c r="B39" s="5">
        <f>641829</f>
        <v>641829</v>
      </c>
      <c r="C39" s="5">
        <f>479875</f>
        <v>479875</v>
      </c>
      <c r="D39" s="5">
        <f>205978</f>
        <v>205978</v>
      </c>
      <c r="E39" s="5">
        <f>785827</f>
        <v>785827</v>
      </c>
      <c r="F39" s="5">
        <f>846163</f>
        <v>846163</v>
      </c>
      <c r="G39" s="5">
        <f>585924</f>
        <v>585924</v>
      </c>
      <c r="H39" s="5">
        <f>409496</f>
        <v>409496</v>
      </c>
      <c r="I39" s="5">
        <f>396814</f>
        <v>396814</v>
      </c>
    </row>
    <row r="40" spans="1:9" x14ac:dyDescent="0.2">
      <c r="A40" s="3" t="s">
        <v>41</v>
      </c>
      <c r="B40" s="5">
        <f>199218.6</f>
        <v>199218.6</v>
      </c>
      <c r="C40" s="5">
        <f>639884</f>
        <v>639884</v>
      </c>
      <c r="D40" s="5">
        <f>527131</f>
        <v>527131</v>
      </c>
      <c r="E40" s="5">
        <f>599790.8</f>
        <v>599790.80000000005</v>
      </c>
      <c r="F40" s="5">
        <f>1450836</f>
        <v>1450836</v>
      </c>
      <c r="G40" s="5">
        <f>1275833</f>
        <v>1275833</v>
      </c>
      <c r="H40" s="5">
        <f>667966</f>
        <v>667966</v>
      </c>
      <c r="I40" s="5">
        <f>408318</f>
        <v>408318</v>
      </c>
    </row>
    <row r="41" spans="1:9" x14ac:dyDescent="0.2">
      <c r="A41" s="3" t="s">
        <v>42</v>
      </c>
      <c r="B41" s="5">
        <f>570124</f>
        <v>570124</v>
      </c>
      <c r="C41" s="5">
        <f>38081</f>
        <v>38081</v>
      </c>
      <c r="D41" s="5">
        <f>475318</f>
        <v>475318</v>
      </c>
      <c r="E41" s="5">
        <f>1084212</f>
        <v>1084212</v>
      </c>
      <c r="F41" s="5">
        <f>648879</f>
        <v>648879</v>
      </c>
      <c r="G41" s="5">
        <f>535039</f>
        <v>535039</v>
      </c>
      <c r="H41" s="5">
        <f>532241</f>
        <v>532241</v>
      </c>
      <c r="I41" s="5">
        <f>480005</f>
        <v>480005</v>
      </c>
    </row>
    <row r="42" spans="1:9" x14ac:dyDescent="0.2">
      <c r="A42" s="3" t="s">
        <v>43</v>
      </c>
      <c r="B42" s="6">
        <f t="shared" ref="B42:I42" si="5">((((((((B22)+(B28))+(B35))+(B36))+(B37))+(B38))+(B39))+(B40))+(B41)</f>
        <v>12936001.6</v>
      </c>
      <c r="C42" s="6">
        <f t="shared" si="5"/>
        <v>9802370</v>
      </c>
      <c r="D42" s="6">
        <f t="shared" si="5"/>
        <v>8175244</v>
      </c>
      <c r="E42" s="6">
        <f t="shared" si="5"/>
        <v>17058332.800000001</v>
      </c>
      <c r="F42" s="6">
        <f t="shared" si="5"/>
        <v>23636047</v>
      </c>
      <c r="G42" s="6">
        <f t="shared" si="5"/>
        <v>24384745</v>
      </c>
      <c r="H42" s="6">
        <f t="shared" si="5"/>
        <v>16346841</v>
      </c>
      <c r="I42" s="6">
        <f t="shared" si="5"/>
        <v>16048330</v>
      </c>
    </row>
    <row r="43" spans="1:9" x14ac:dyDescent="0.2">
      <c r="A43" s="3" t="s">
        <v>44</v>
      </c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3" t="s">
        <v>45</v>
      </c>
      <c r="B44" s="5">
        <f>4194360</f>
        <v>4194360</v>
      </c>
      <c r="C44" s="5">
        <f>4170644</f>
        <v>4170644</v>
      </c>
      <c r="D44" s="5">
        <f>4461715</f>
        <v>4461715</v>
      </c>
      <c r="E44" s="5">
        <f>4527448</f>
        <v>4527448</v>
      </c>
      <c r="F44" s="5">
        <f>4684031</f>
        <v>4684031</v>
      </c>
      <c r="G44" s="5">
        <f>4827864</f>
        <v>4827864</v>
      </c>
      <c r="H44" s="5">
        <f>4858181</f>
        <v>4858181</v>
      </c>
      <c r="I44" s="5">
        <f>4811631</f>
        <v>4811631</v>
      </c>
    </row>
    <row r="45" spans="1:9" x14ac:dyDescent="0.2">
      <c r="A45" s="3" t="s">
        <v>46</v>
      </c>
      <c r="B45" s="5">
        <f>647100</f>
        <v>647100</v>
      </c>
      <c r="C45" s="5">
        <f>323800</f>
        <v>323800</v>
      </c>
      <c r="D45" s="5">
        <f>323900</f>
        <v>323900</v>
      </c>
      <c r="E45" s="5">
        <f>676040</f>
        <v>676040</v>
      </c>
      <c r="F45" s="5">
        <f>1792460</f>
        <v>1792460</v>
      </c>
      <c r="G45" s="5">
        <f>1049590</f>
        <v>1049590</v>
      </c>
      <c r="H45" s="5">
        <f>800440</f>
        <v>800440</v>
      </c>
      <c r="I45" s="5">
        <f>486360</f>
        <v>486360</v>
      </c>
    </row>
    <row r="46" spans="1:9" x14ac:dyDescent="0.2">
      <c r="A46" s="3" t="s">
        <v>47</v>
      </c>
      <c r="B46" s="5">
        <f>621138</f>
        <v>621138</v>
      </c>
      <c r="C46" s="5">
        <f>513707</f>
        <v>513707</v>
      </c>
      <c r="D46" s="5">
        <f>425139</f>
        <v>425139</v>
      </c>
      <c r="E46" s="5">
        <f>941316</f>
        <v>941316</v>
      </c>
      <c r="F46" s="5">
        <f>1218563</f>
        <v>1218563</v>
      </c>
      <c r="G46" s="5">
        <f>1068904</f>
        <v>1068904</v>
      </c>
      <c r="H46" s="5">
        <f>720988</f>
        <v>720988</v>
      </c>
      <c r="I46" s="5">
        <f>814738</f>
        <v>814738</v>
      </c>
    </row>
    <row r="47" spans="1:9" x14ac:dyDescent="0.2">
      <c r="A47" s="3" t="s">
        <v>48</v>
      </c>
      <c r="B47" s="6">
        <f t="shared" ref="B47:I47" si="6">(((B43)+(B44))+(B45))+(B46)</f>
        <v>5462598</v>
      </c>
      <c r="C47" s="6">
        <f t="shared" si="6"/>
        <v>5008151</v>
      </c>
      <c r="D47" s="6">
        <f t="shared" si="6"/>
        <v>5210754</v>
      </c>
      <c r="E47" s="6">
        <f t="shared" si="6"/>
        <v>6144804</v>
      </c>
      <c r="F47" s="6">
        <f t="shared" si="6"/>
        <v>7695054</v>
      </c>
      <c r="G47" s="6">
        <f t="shared" si="6"/>
        <v>6946358</v>
      </c>
      <c r="H47" s="6">
        <f t="shared" si="6"/>
        <v>6379609</v>
      </c>
      <c r="I47" s="6">
        <f t="shared" si="6"/>
        <v>6112729</v>
      </c>
    </row>
    <row r="48" spans="1:9" x14ac:dyDescent="0.2">
      <c r="A48" s="3" t="s">
        <v>49</v>
      </c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3" t="s">
        <v>50</v>
      </c>
      <c r="B49" s="5">
        <f>1320301</f>
        <v>1320301</v>
      </c>
      <c r="C49" s="5">
        <f>1450291</f>
        <v>1450291</v>
      </c>
      <c r="D49" s="5">
        <f>1400817</f>
        <v>1400817</v>
      </c>
      <c r="E49" s="5">
        <f>1488658</f>
        <v>1488658</v>
      </c>
      <c r="F49" s="5">
        <f>1504068</f>
        <v>1504068</v>
      </c>
      <c r="G49" s="5">
        <f>1507828</f>
        <v>1507828</v>
      </c>
      <c r="H49" s="5">
        <f>1519158</f>
        <v>1519158</v>
      </c>
      <c r="I49" s="5">
        <f>1508278</f>
        <v>1508278</v>
      </c>
    </row>
    <row r="50" spans="1:9" x14ac:dyDescent="0.2">
      <c r="A50" s="3" t="s">
        <v>51</v>
      </c>
      <c r="B50" s="5">
        <f>993943</f>
        <v>993943</v>
      </c>
      <c r="C50" s="5">
        <f>975246</f>
        <v>975246</v>
      </c>
      <c r="D50" s="5">
        <f>1014177</f>
        <v>1014177</v>
      </c>
      <c r="E50" s="5">
        <f>1801989</f>
        <v>1801989</v>
      </c>
      <c r="F50" s="5">
        <f>2316593</f>
        <v>2316593</v>
      </c>
      <c r="G50" s="5">
        <f>2418386.79</f>
        <v>2418386.79</v>
      </c>
      <c r="H50" s="5">
        <f>2330177</f>
        <v>2330177</v>
      </c>
      <c r="I50" s="5">
        <f>2851817</f>
        <v>2851817</v>
      </c>
    </row>
    <row r="51" spans="1:9" x14ac:dyDescent="0.2">
      <c r="A51" s="3" t="s">
        <v>52</v>
      </c>
      <c r="B51" s="5">
        <f>1287469</f>
        <v>1287469</v>
      </c>
      <c r="C51" s="5">
        <f>758671</f>
        <v>758671</v>
      </c>
      <c r="D51" s="5">
        <f>784861</f>
        <v>784861</v>
      </c>
      <c r="E51" s="5">
        <f>1436453</f>
        <v>1436453</v>
      </c>
      <c r="F51" s="5">
        <f>2279118</f>
        <v>2279118</v>
      </c>
      <c r="G51" s="5">
        <f>1854814</f>
        <v>1854814</v>
      </c>
      <c r="H51" s="5">
        <f>1398929</f>
        <v>1398929</v>
      </c>
      <c r="I51" s="5">
        <f>1225202</f>
        <v>1225202</v>
      </c>
    </row>
    <row r="52" spans="1:9" x14ac:dyDescent="0.2">
      <c r="A52" s="3" t="s">
        <v>53</v>
      </c>
      <c r="B52" s="5">
        <f>230081</f>
        <v>230081</v>
      </c>
      <c r="C52" s="5">
        <f>153937</f>
        <v>153937</v>
      </c>
      <c r="D52" s="5">
        <f>165022</f>
        <v>165022</v>
      </c>
      <c r="E52" s="5">
        <f>204734</f>
        <v>204734</v>
      </c>
      <c r="F52" s="5">
        <f>178400</f>
        <v>178400</v>
      </c>
      <c r="G52" s="5">
        <f>362028</f>
        <v>362028</v>
      </c>
      <c r="H52" s="5">
        <f>281359</f>
        <v>281359</v>
      </c>
      <c r="I52" s="5">
        <f>119429</f>
        <v>119429</v>
      </c>
    </row>
    <row r="53" spans="1:9" x14ac:dyDescent="0.2">
      <c r="A53" s="3" t="s">
        <v>54</v>
      </c>
      <c r="B53" s="5">
        <f>44568</f>
        <v>44568</v>
      </c>
      <c r="C53" s="5">
        <f>73362</f>
        <v>73362</v>
      </c>
      <c r="D53" s="5">
        <f>67309</f>
        <v>67309</v>
      </c>
      <c r="E53" s="5">
        <f>65862</f>
        <v>65862</v>
      </c>
      <c r="F53" s="5">
        <f>188020</f>
        <v>188020</v>
      </c>
      <c r="G53" s="5">
        <f>171625</f>
        <v>171625</v>
      </c>
      <c r="H53" s="5">
        <f>92482</f>
        <v>92482</v>
      </c>
      <c r="I53" s="5">
        <f>115085</f>
        <v>115085</v>
      </c>
    </row>
    <row r="54" spans="1:9" x14ac:dyDescent="0.2">
      <c r="A54" s="3" t="s">
        <v>55</v>
      </c>
      <c r="B54" s="5">
        <f>29388</f>
        <v>29388</v>
      </c>
      <c r="C54" s="5">
        <f>495970</f>
        <v>495970</v>
      </c>
      <c r="D54" s="5">
        <f>101230</f>
        <v>101230</v>
      </c>
      <c r="E54" s="5">
        <f>138430</f>
        <v>138430</v>
      </c>
      <c r="F54" s="5">
        <f>229645</f>
        <v>229645</v>
      </c>
      <c r="G54" s="5">
        <f>159715</f>
        <v>159715</v>
      </c>
      <c r="H54" s="5">
        <f>583115</f>
        <v>583115</v>
      </c>
      <c r="I54" s="5">
        <f>429480</f>
        <v>429480</v>
      </c>
    </row>
    <row r="55" spans="1:9" x14ac:dyDescent="0.2">
      <c r="A55" s="3" t="s">
        <v>56</v>
      </c>
      <c r="B55" s="5">
        <f>170000</f>
        <v>170000</v>
      </c>
      <c r="C55" s="5">
        <f>107300</f>
        <v>107300</v>
      </c>
      <c r="D55" s="5">
        <f>92700</f>
        <v>92700</v>
      </c>
      <c r="E55" s="5">
        <f>312500</f>
        <v>312500</v>
      </c>
      <c r="F55" s="5">
        <f>369600</f>
        <v>369600</v>
      </c>
      <c r="G55" s="5">
        <f>362650</f>
        <v>362650</v>
      </c>
      <c r="H55" s="5">
        <f>264456</f>
        <v>264456</v>
      </c>
      <c r="I55" s="5">
        <f>231100</f>
        <v>231100</v>
      </c>
    </row>
    <row r="56" spans="1:9" x14ac:dyDescent="0.2">
      <c r="A56" s="3" t="s">
        <v>57</v>
      </c>
      <c r="B56" s="4"/>
      <c r="C56" s="5">
        <f>8000</f>
        <v>8000</v>
      </c>
      <c r="D56" s="4"/>
      <c r="E56" s="5">
        <f>36900</f>
        <v>36900</v>
      </c>
      <c r="F56" s="5">
        <f>818700</f>
        <v>818700</v>
      </c>
      <c r="G56" s="5">
        <f>19600</f>
        <v>19600</v>
      </c>
      <c r="H56" s="4"/>
      <c r="I56" s="4"/>
    </row>
    <row r="57" spans="1:9" x14ac:dyDescent="0.2">
      <c r="A57" s="3" t="s">
        <v>58</v>
      </c>
      <c r="B57" s="6">
        <f t="shared" ref="B57:I57" si="7">((((((((B48)+(B49))+(B50))+(B51))+(B52))+(B53))+(B54))+(B55))+(B56)</f>
        <v>4075750</v>
      </c>
      <c r="C57" s="6">
        <f t="shared" si="7"/>
        <v>4022777</v>
      </c>
      <c r="D57" s="6">
        <f t="shared" si="7"/>
        <v>3626116</v>
      </c>
      <c r="E57" s="6">
        <f t="shared" si="7"/>
        <v>5485526</v>
      </c>
      <c r="F57" s="6">
        <f t="shared" si="7"/>
        <v>7884144</v>
      </c>
      <c r="G57" s="6">
        <f t="shared" si="7"/>
        <v>6856646.79</v>
      </c>
      <c r="H57" s="6">
        <f t="shared" si="7"/>
        <v>6469676</v>
      </c>
      <c r="I57" s="6">
        <f t="shared" si="7"/>
        <v>6480391</v>
      </c>
    </row>
    <row r="58" spans="1:9" x14ac:dyDescent="0.2">
      <c r="A58" s="3" t="s">
        <v>59</v>
      </c>
      <c r="B58" s="6">
        <f t="shared" ref="B58:I58" si="8">((B42)+(B47))+(B57)</f>
        <v>22474349.600000001</v>
      </c>
      <c r="C58" s="6">
        <f t="shared" si="8"/>
        <v>18833298</v>
      </c>
      <c r="D58" s="6">
        <f t="shared" si="8"/>
        <v>17012114</v>
      </c>
      <c r="E58" s="6">
        <f t="shared" si="8"/>
        <v>28688662.800000001</v>
      </c>
      <c r="F58" s="6">
        <f t="shared" si="8"/>
        <v>39215245</v>
      </c>
      <c r="G58" s="6">
        <f t="shared" si="8"/>
        <v>38187749.789999999</v>
      </c>
      <c r="H58" s="6">
        <f t="shared" si="8"/>
        <v>29196126</v>
      </c>
      <c r="I58" s="6">
        <f t="shared" si="8"/>
        <v>28641450</v>
      </c>
    </row>
    <row r="59" spans="1:9" x14ac:dyDescent="0.2">
      <c r="A59" s="3" t="s">
        <v>60</v>
      </c>
      <c r="B59" s="6">
        <f t="shared" ref="B59:I59" si="9">(B20)-(B58)</f>
        <v>6170638.8999999985</v>
      </c>
      <c r="C59" s="6">
        <f t="shared" si="9"/>
        <v>10403307.189999998</v>
      </c>
      <c r="D59" s="6">
        <f t="shared" si="9"/>
        <v>-1439608</v>
      </c>
      <c r="E59" s="6">
        <f t="shared" si="9"/>
        <v>9099985.6999999993</v>
      </c>
      <c r="F59" s="6">
        <f t="shared" si="9"/>
        <v>9932266</v>
      </c>
      <c r="G59" s="6">
        <f t="shared" si="9"/>
        <v>19211571.210000001</v>
      </c>
      <c r="H59" s="6">
        <f t="shared" si="9"/>
        <v>6085144</v>
      </c>
      <c r="I59" s="6">
        <f t="shared" si="9"/>
        <v>7113870</v>
      </c>
    </row>
    <row r="60" spans="1:9" x14ac:dyDescent="0.2">
      <c r="A60" s="3" t="s">
        <v>61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3" t="s">
        <v>62</v>
      </c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3" t="s">
        <v>63</v>
      </c>
      <c r="B62" s="5">
        <f>823300</f>
        <v>823300</v>
      </c>
      <c r="C62" s="5">
        <f>1534500</f>
        <v>1534500</v>
      </c>
      <c r="D62" s="5">
        <f>267000</f>
        <v>267000</v>
      </c>
      <c r="E62" s="5">
        <f>6692700</f>
        <v>6692700</v>
      </c>
      <c r="F62" s="5">
        <f>11074400</f>
        <v>11074400</v>
      </c>
      <c r="G62" s="5">
        <f>15184300</f>
        <v>15184300</v>
      </c>
      <c r="H62" s="5">
        <f>6712350</f>
        <v>6712350</v>
      </c>
      <c r="I62" s="5">
        <f>6438800</f>
        <v>6438800</v>
      </c>
    </row>
    <row r="63" spans="1:9" x14ac:dyDescent="0.2">
      <c r="A63" s="3" t="s">
        <v>64</v>
      </c>
      <c r="B63" s="5">
        <f>880357</f>
        <v>880357</v>
      </c>
      <c r="C63" s="5">
        <f>1065901</f>
        <v>1065901</v>
      </c>
      <c r="D63" s="5">
        <f>898000</f>
        <v>898000</v>
      </c>
      <c r="E63" s="5">
        <f>1081061</f>
        <v>1081061</v>
      </c>
      <c r="F63" s="5">
        <f>1019407.5</f>
        <v>1019407.5</v>
      </c>
      <c r="G63" s="5">
        <f>912198</f>
        <v>912198</v>
      </c>
      <c r="H63" s="5">
        <f>1345467</f>
        <v>1345467</v>
      </c>
      <c r="I63" s="5">
        <f>872291</f>
        <v>872291</v>
      </c>
    </row>
    <row r="64" spans="1:9" x14ac:dyDescent="0.2">
      <c r="A64" s="3" t="s">
        <v>65</v>
      </c>
      <c r="B64" s="6">
        <f t="shared" ref="B64:I64" si="10">((B61)+(B62))+(B63)</f>
        <v>1703657</v>
      </c>
      <c r="C64" s="6">
        <f t="shared" si="10"/>
        <v>2600401</v>
      </c>
      <c r="D64" s="6">
        <f t="shared" si="10"/>
        <v>1165000</v>
      </c>
      <c r="E64" s="6">
        <f t="shared" si="10"/>
        <v>7773761</v>
      </c>
      <c r="F64" s="6">
        <f t="shared" si="10"/>
        <v>12093807.5</v>
      </c>
      <c r="G64" s="6">
        <f t="shared" si="10"/>
        <v>16096498</v>
      </c>
      <c r="H64" s="6">
        <f t="shared" si="10"/>
        <v>8057817</v>
      </c>
      <c r="I64" s="6">
        <f t="shared" si="10"/>
        <v>7311091</v>
      </c>
    </row>
    <row r="65" spans="1:9" x14ac:dyDescent="0.2">
      <c r="A65" s="3" t="s">
        <v>66</v>
      </c>
      <c r="B65" s="6">
        <f t="shared" ref="B65:I65" si="11">B64</f>
        <v>1703657</v>
      </c>
      <c r="C65" s="6">
        <f t="shared" si="11"/>
        <v>2600401</v>
      </c>
      <c r="D65" s="6">
        <f t="shared" si="11"/>
        <v>1165000</v>
      </c>
      <c r="E65" s="6">
        <f t="shared" si="11"/>
        <v>7773761</v>
      </c>
      <c r="F65" s="6">
        <f t="shared" si="11"/>
        <v>12093807.5</v>
      </c>
      <c r="G65" s="6">
        <f t="shared" si="11"/>
        <v>16096498</v>
      </c>
      <c r="H65" s="6">
        <f t="shared" si="11"/>
        <v>8057817</v>
      </c>
      <c r="I65" s="6">
        <f t="shared" si="11"/>
        <v>7311091</v>
      </c>
    </row>
    <row r="66" spans="1:9" x14ac:dyDescent="0.2">
      <c r="A66" s="3" t="s">
        <v>67</v>
      </c>
      <c r="B66" s="4"/>
      <c r="C66" s="4"/>
      <c r="D66" s="4"/>
      <c r="E66" s="4"/>
      <c r="F66" s="4"/>
      <c r="G66" s="4"/>
      <c r="H66" s="4"/>
      <c r="I66" s="4"/>
    </row>
    <row r="67" spans="1:9" x14ac:dyDescent="0.2">
      <c r="A67" s="3" t="s">
        <v>68</v>
      </c>
      <c r="B67" s="4"/>
      <c r="C67" s="4"/>
      <c r="D67" s="4"/>
      <c r="E67" s="4"/>
      <c r="F67" s="4"/>
      <c r="G67" s="4"/>
      <c r="H67" s="4"/>
      <c r="I67" s="4"/>
    </row>
    <row r="68" spans="1:9" x14ac:dyDescent="0.2">
      <c r="A68" s="3" t="s">
        <v>69</v>
      </c>
      <c r="B68" s="4"/>
      <c r="C68" s="4"/>
      <c r="D68" s="4"/>
      <c r="E68" s="4"/>
      <c r="F68" s="4"/>
      <c r="G68" s="4"/>
      <c r="H68" s="4"/>
      <c r="I68" s="4"/>
    </row>
    <row r="69" spans="1:9" x14ac:dyDescent="0.2">
      <c r="A69" s="3" t="s">
        <v>70</v>
      </c>
      <c r="B69" s="5">
        <f>655500</f>
        <v>655500</v>
      </c>
      <c r="C69" s="5">
        <f>662250</f>
        <v>662250</v>
      </c>
      <c r="D69" s="5">
        <f>678000</f>
        <v>678000</v>
      </c>
      <c r="E69" s="5">
        <f>672250</f>
        <v>672250</v>
      </c>
      <c r="F69" s="5">
        <f>674250</f>
        <v>674250</v>
      </c>
      <c r="G69" s="5">
        <f>657800</f>
        <v>657800</v>
      </c>
      <c r="H69" s="5">
        <f>620000</f>
        <v>620000</v>
      </c>
      <c r="I69" s="5">
        <f>629600</f>
        <v>629600</v>
      </c>
    </row>
    <row r="70" spans="1:9" x14ac:dyDescent="0.2">
      <c r="A70" s="3" t="s">
        <v>71</v>
      </c>
      <c r="B70" s="5">
        <f>70000</f>
        <v>70000</v>
      </c>
      <c r="C70" s="5">
        <f>70000</f>
        <v>70000</v>
      </c>
      <c r="D70" s="5">
        <f>70000</f>
        <v>70000</v>
      </c>
      <c r="E70" s="5">
        <f>70000</f>
        <v>70000</v>
      </c>
      <c r="F70" s="5">
        <f>70000</f>
        <v>70000</v>
      </c>
      <c r="G70" s="5">
        <f>53667</f>
        <v>53667</v>
      </c>
      <c r="H70" s="5">
        <f>0</f>
        <v>0</v>
      </c>
      <c r="I70" s="5">
        <f>0</f>
        <v>0</v>
      </c>
    </row>
    <row r="71" spans="1:9" x14ac:dyDescent="0.2">
      <c r="A71" s="3" t="s">
        <v>72</v>
      </c>
      <c r="B71" s="5">
        <f>1015078</f>
        <v>1015078</v>
      </c>
      <c r="C71" s="5">
        <f>940218</f>
        <v>940218</v>
      </c>
      <c r="D71" s="5">
        <f>975148</f>
        <v>975148</v>
      </c>
      <c r="E71" s="5">
        <f>1024165</f>
        <v>1024165</v>
      </c>
      <c r="F71" s="5">
        <f>1020398</f>
        <v>1020398</v>
      </c>
      <c r="G71" s="5">
        <f>1005648</f>
        <v>1005648</v>
      </c>
      <c r="H71" s="5">
        <f>1225498</f>
        <v>1225498</v>
      </c>
      <c r="I71" s="5">
        <f>1254148</f>
        <v>1254148</v>
      </c>
    </row>
    <row r="72" spans="1:9" x14ac:dyDescent="0.2">
      <c r="A72" s="3" t="s">
        <v>73</v>
      </c>
      <c r="B72" s="5">
        <f>312556</f>
        <v>312556</v>
      </c>
      <c r="C72" s="5">
        <f>304972</f>
        <v>304972</v>
      </c>
      <c r="D72" s="5">
        <f>376616</f>
        <v>376616</v>
      </c>
      <c r="E72" s="5">
        <f>330267</f>
        <v>330267</v>
      </c>
      <c r="F72" s="5">
        <f>340733</f>
        <v>340733</v>
      </c>
      <c r="G72" s="5">
        <f>317127</f>
        <v>317127</v>
      </c>
      <c r="H72" s="5">
        <f>340000</f>
        <v>340000</v>
      </c>
      <c r="I72" s="5">
        <f>510500</f>
        <v>510500</v>
      </c>
    </row>
    <row r="73" spans="1:9" x14ac:dyDescent="0.2">
      <c r="A73" s="3" t="s">
        <v>74</v>
      </c>
      <c r="B73" s="6">
        <f t="shared" ref="B73:I73" si="12">((((B68)+(B69))+(B70))+(B71))+(B72)</f>
        <v>2053134</v>
      </c>
      <c r="C73" s="6">
        <f t="shared" si="12"/>
        <v>1977440</v>
      </c>
      <c r="D73" s="6">
        <f t="shared" si="12"/>
        <v>2099764</v>
      </c>
      <c r="E73" s="6">
        <f t="shared" si="12"/>
        <v>2096682</v>
      </c>
      <c r="F73" s="6">
        <f t="shared" si="12"/>
        <v>2105381</v>
      </c>
      <c r="G73" s="6">
        <f t="shared" si="12"/>
        <v>2034242</v>
      </c>
      <c r="H73" s="6">
        <f t="shared" si="12"/>
        <v>2185498</v>
      </c>
      <c r="I73" s="6">
        <f t="shared" si="12"/>
        <v>2394248</v>
      </c>
    </row>
    <row r="74" spans="1:9" x14ac:dyDescent="0.2">
      <c r="A74" s="3" t="s">
        <v>75</v>
      </c>
      <c r="B74" s="5">
        <f>158733.25</f>
        <v>158733.25</v>
      </c>
      <c r="C74" s="5">
        <f>260523.25</f>
        <v>260523.25</v>
      </c>
      <c r="D74" s="5">
        <f>288973.25</f>
        <v>288973.25</v>
      </c>
      <c r="E74" s="5">
        <f>176693.25</f>
        <v>176693.25</v>
      </c>
      <c r="F74" s="5">
        <f>224513.25</f>
        <v>224513.25</v>
      </c>
      <c r="G74" s="5">
        <f>618740.25</f>
        <v>618740.25</v>
      </c>
      <c r="H74" s="5">
        <f>213969.25</f>
        <v>213969.25</v>
      </c>
      <c r="I74" s="5">
        <f>208569.25</f>
        <v>208569.25</v>
      </c>
    </row>
    <row r="75" spans="1:9" x14ac:dyDescent="0.2">
      <c r="A75" s="3" t="s">
        <v>76</v>
      </c>
      <c r="B75" s="4"/>
      <c r="C75" s="4"/>
      <c r="D75" s="4"/>
      <c r="E75" s="4"/>
      <c r="F75" s="4"/>
      <c r="G75" s="4"/>
      <c r="H75" s="4"/>
      <c r="I75" s="4"/>
    </row>
    <row r="76" spans="1:9" x14ac:dyDescent="0.2">
      <c r="A76" s="3" t="s">
        <v>77</v>
      </c>
      <c r="B76" s="5">
        <f>370313</f>
        <v>370313</v>
      </c>
      <c r="C76" s="5">
        <f>634553</f>
        <v>634553</v>
      </c>
      <c r="D76" s="5">
        <f>83549</f>
        <v>83549</v>
      </c>
      <c r="E76" s="5">
        <f>397574</f>
        <v>397574</v>
      </c>
      <c r="F76" s="5">
        <f>585683</f>
        <v>585683</v>
      </c>
      <c r="G76" s="5">
        <f>497048</f>
        <v>497048</v>
      </c>
      <c r="H76" s="5">
        <f>221802</f>
        <v>221802</v>
      </c>
      <c r="I76" s="5">
        <f>262285</f>
        <v>262285</v>
      </c>
    </row>
    <row r="77" spans="1:9" x14ac:dyDescent="0.2">
      <c r="A77" s="3" t="s">
        <v>78</v>
      </c>
      <c r="B77" s="6">
        <f t="shared" ref="B77:I77" si="13">(B75)+(B76)</f>
        <v>370313</v>
      </c>
      <c r="C77" s="6">
        <f t="shared" si="13"/>
        <v>634553</v>
      </c>
      <c r="D77" s="6">
        <f t="shared" si="13"/>
        <v>83549</v>
      </c>
      <c r="E77" s="6">
        <f t="shared" si="13"/>
        <v>397574</v>
      </c>
      <c r="F77" s="6">
        <f t="shared" si="13"/>
        <v>585683</v>
      </c>
      <c r="G77" s="6">
        <f t="shared" si="13"/>
        <v>497048</v>
      </c>
      <c r="H77" s="6">
        <f t="shared" si="13"/>
        <v>221802</v>
      </c>
      <c r="I77" s="6">
        <f t="shared" si="13"/>
        <v>262285</v>
      </c>
    </row>
    <row r="78" spans="1:9" x14ac:dyDescent="0.2">
      <c r="A78" s="3" t="s">
        <v>79</v>
      </c>
      <c r="B78" s="6">
        <f t="shared" ref="B78:I78" si="14">(((B67)+(B73))+(B74))+(B77)</f>
        <v>2582180.25</v>
      </c>
      <c r="C78" s="6">
        <f t="shared" si="14"/>
        <v>2872516.25</v>
      </c>
      <c r="D78" s="6">
        <f t="shared" si="14"/>
        <v>2472286.25</v>
      </c>
      <c r="E78" s="6">
        <f t="shared" si="14"/>
        <v>2670949.25</v>
      </c>
      <c r="F78" s="6">
        <f t="shared" si="14"/>
        <v>2915577.25</v>
      </c>
      <c r="G78" s="6">
        <f t="shared" si="14"/>
        <v>3150030.25</v>
      </c>
      <c r="H78" s="6">
        <f t="shared" si="14"/>
        <v>2621269.25</v>
      </c>
      <c r="I78" s="6">
        <f t="shared" si="14"/>
        <v>2865102.25</v>
      </c>
    </row>
    <row r="79" spans="1:9" x14ac:dyDescent="0.2">
      <c r="A79" s="3" t="s">
        <v>80</v>
      </c>
      <c r="B79" s="4"/>
      <c r="C79" s="4"/>
      <c r="D79" s="4"/>
      <c r="E79" s="4"/>
      <c r="F79" s="4"/>
      <c r="G79" s="4"/>
      <c r="H79" s="4"/>
      <c r="I79" s="4"/>
    </row>
    <row r="80" spans="1:9" x14ac:dyDescent="0.2">
      <c r="A80" s="3" t="s">
        <v>81</v>
      </c>
      <c r="B80" s="5">
        <f>302500</f>
        <v>302500</v>
      </c>
      <c r="C80" s="5">
        <f>302500</f>
        <v>302500</v>
      </c>
      <c r="D80" s="5">
        <f>302500</f>
        <v>302500</v>
      </c>
      <c r="E80" s="5">
        <f>302500</f>
        <v>302500</v>
      </c>
      <c r="F80" s="5">
        <f>302500</f>
        <v>302500</v>
      </c>
      <c r="G80" s="5">
        <f>316800</f>
        <v>316800</v>
      </c>
      <c r="H80" s="5">
        <f>323800</f>
        <v>323800</v>
      </c>
      <c r="I80" s="5">
        <f>323800</f>
        <v>323800</v>
      </c>
    </row>
    <row r="81" spans="1:9" x14ac:dyDescent="0.2">
      <c r="A81" s="3" t="s">
        <v>82</v>
      </c>
      <c r="B81" s="5">
        <f>1460</f>
        <v>1460</v>
      </c>
      <c r="C81" s="5">
        <f>0</f>
        <v>0</v>
      </c>
      <c r="D81" s="5">
        <f>1340</f>
        <v>1340</v>
      </c>
      <c r="E81" s="5">
        <f>120</f>
        <v>120</v>
      </c>
      <c r="F81" s="5">
        <f>280</f>
        <v>280</v>
      </c>
      <c r="G81" s="5">
        <f>1080</f>
        <v>1080</v>
      </c>
      <c r="H81" s="5">
        <f>90</f>
        <v>90</v>
      </c>
      <c r="I81" s="5">
        <f>60</f>
        <v>60</v>
      </c>
    </row>
    <row r="82" spans="1:9" x14ac:dyDescent="0.2">
      <c r="A82" s="3" t="s">
        <v>83</v>
      </c>
      <c r="B82" s="6">
        <f t="shared" ref="B82:I82" si="15">((B79)+(B80))+(B81)</f>
        <v>303960</v>
      </c>
      <c r="C82" s="6">
        <f t="shared" si="15"/>
        <v>302500</v>
      </c>
      <c r="D82" s="6">
        <f t="shared" si="15"/>
        <v>303840</v>
      </c>
      <c r="E82" s="6">
        <f t="shared" si="15"/>
        <v>302620</v>
      </c>
      <c r="F82" s="6">
        <f t="shared" si="15"/>
        <v>302780</v>
      </c>
      <c r="G82" s="6">
        <f t="shared" si="15"/>
        <v>317880</v>
      </c>
      <c r="H82" s="6">
        <f t="shared" si="15"/>
        <v>323890</v>
      </c>
      <c r="I82" s="6">
        <f t="shared" si="15"/>
        <v>323860</v>
      </c>
    </row>
    <row r="83" spans="1:9" x14ac:dyDescent="0.2">
      <c r="A83" s="3" t="s">
        <v>84</v>
      </c>
      <c r="B83" s="4"/>
      <c r="C83" s="4"/>
      <c r="D83" s="4"/>
      <c r="E83" s="4"/>
      <c r="F83" s="4"/>
      <c r="G83" s="4"/>
      <c r="H83" s="4"/>
      <c r="I83" s="4"/>
    </row>
    <row r="84" spans="1:9" x14ac:dyDescent="0.2">
      <c r="A84" s="3" t="s">
        <v>85</v>
      </c>
      <c r="B84" s="5">
        <f>182241</f>
        <v>182241</v>
      </c>
      <c r="C84" s="5">
        <f>197115</f>
        <v>197115</v>
      </c>
      <c r="D84" s="5">
        <f>223593</f>
        <v>223593</v>
      </c>
      <c r="E84" s="5">
        <f>171635</f>
        <v>171635</v>
      </c>
      <c r="F84" s="5">
        <f>136735</f>
        <v>136735</v>
      </c>
      <c r="G84" s="5">
        <f>136624</f>
        <v>136624</v>
      </c>
      <c r="H84" s="5">
        <f>160892</f>
        <v>160892</v>
      </c>
      <c r="I84" s="5">
        <f>224127</f>
        <v>224127</v>
      </c>
    </row>
    <row r="85" spans="1:9" x14ac:dyDescent="0.2">
      <c r="A85" s="3" t="s">
        <v>86</v>
      </c>
      <c r="B85" s="4"/>
      <c r="C85" s="4"/>
      <c r="D85" s="4"/>
      <c r="E85" s="4"/>
      <c r="F85" s="4"/>
      <c r="G85" s="4"/>
      <c r="H85" s="4"/>
      <c r="I85" s="5">
        <f>129290</f>
        <v>129290</v>
      </c>
    </row>
    <row r="86" spans="1:9" x14ac:dyDescent="0.2">
      <c r="A86" s="3" t="s">
        <v>87</v>
      </c>
      <c r="B86" s="5">
        <f>5580</f>
        <v>5580</v>
      </c>
      <c r="C86" s="5">
        <f>5580</f>
        <v>5580</v>
      </c>
      <c r="D86" s="5">
        <f>7740</f>
        <v>7740</v>
      </c>
      <c r="E86" s="5">
        <f>6660</f>
        <v>6660</v>
      </c>
      <c r="F86" s="5">
        <f>5580</f>
        <v>5580</v>
      </c>
      <c r="G86" s="5">
        <f>6480</f>
        <v>6480</v>
      </c>
      <c r="H86" s="5">
        <f>6800</f>
        <v>6800</v>
      </c>
      <c r="I86" s="5">
        <f>5600</f>
        <v>5600</v>
      </c>
    </row>
    <row r="87" spans="1:9" x14ac:dyDescent="0.2">
      <c r="A87" s="3" t="s">
        <v>88</v>
      </c>
      <c r="B87" s="6">
        <f t="shared" ref="B87:I87" si="16">(((B83)+(B84))+(B85))+(B86)</f>
        <v>187821</v>
      </c>
      <c r="C87" s="6">
        <f t="shared" si="16"/>
        <v>202695</v>
      </c>
      <c r="D87" s="6">
        <f t="shared" si="16"/>
        <v>231333</v>
      </c>
      <c r="E87" s="6">
        <f t="shared" si="16"/>
        <v>178295</v>
      </c>
      <c r="F87" s="6">
        <f t="shared" si="16"/>
        <v>142315</v>
      </c>
      <c r="G87" s="6">
        <f t="shared" si="16"/>
        <v>143104</v>
      </c>
      <c r="H87" s="6">
        <f t="shared" si="16"/>
        <v>167692</v>
      </c>
      <c r="I87" s="6">
        <f t="shared" si="16"/>
        <v>359017</v>
      </c>
    </row>
    <row r="88" spans="1:9" x14ac:dyDescent="0.2">
      <c r="A88" s="3" t="s">
        <v>89</v>
      </c>
      <c r="B88" s="4"/>
      <c r="C88" s="4"/>
      <c r="D88" s="4"/>
      <c r="E88" s="4"/>
      <c r="F88" s="4"/>
      <c r="G88" s="4"/>
      <c r="H88" s="4"/>
      <c r="I88" s="4"/>
    </row>
    <row r="89" spans="1:9" x14ac:dyDescent="0.2">
      <c r="A89" s="3" t="s">
        <v>90</v>
      </c>
      <c r="B89" s="4"/>
      <c r="C89" s="4"/>
      <c r="D89" s="4"/>
      <c r="E89" s="4"/>
      <c r="F89" s="4"/>
      <c r="G89" s="4"/>
      <c r="H89" s="4"/>
      <c r="I89" s="5">
        <f>32000</f>
        <v>32000</v>
      </c>
    </row>
    <row r="90" spans="1:9" x14ac:dyDescent="0.2">
      <c r="A90" s="3" t="s">
        <v>91</v>
      </c>
      <c r="B90" s="5">
        <f>32000</f>
        <v>32000</v>
      </c>
      <c r="C90" s="5">
        <f>32000</f>
        <v>32000</v>
      </c>
      <c r="D90" s="5">
        <f>32000</f>
        <v>32000</v>
      </c>
      <c r="E90" s="5">
        <f>32000</f>
        <v>32000</v>
      </c>
      <c r="F90" s="5">
        <f>32000</f>
        <v>32000</v>
      </c>
      <c r="G90" s="5">
        <f>32000</f>
        <v>32000</v>
      </c>
      <c r="H90" s="5">
        <f>32000</f>
        <v>32000</v>
      </c>
      <c r="I90" s="5">
        <f>32000</f>
        <v>32000</v>
      </c>
    </row>
    <row r="91" spans="1:9" x14ac:dyDescent="0.2">
      <c r="A91" s="3" t="s">
        <v>92</v>
      </c>
      <c r="B91" s="5">
        <f>554250</f>
        <v>554250</v>
      </c>
      <c r="C91" s="5">
        <f>514012.5</f>
        <v>514012.5</v>
      </c>
      <c r="D91" s="5">
        <f>478750</f>
        <v>478750</v>
      </c>
      <c r="E91" s="5">
        <f>674012.5</f>
        <v>674012.5</v>
      </c>
      <c r="F91" s="5">
        <f>524012.5</f>
        <v>524012.5</v>
      </c>
      <c r="G91" s="5">
        <f>487400</f>
        <v>487400</v>
      </c>
      <c r="H91" s="5">
        <f>481600</f>
        <v>481600</v>
      </c>
      <c r="I91" s="5">
        <f>484012.5</f>
        <v>484012.5</v>
      </c>
    </row>
    <row r="92" spans="1:9" x14ac:dyDescent="0.2">
      <c r="A92" s="3" t="s">
        <v>93</v>
      </c>
      <c r="B92" s="4"/>
      <c r="C92" s="4"/>
      <c r="D92" s="4"/>
      <c r="E92" s="4"/>
      <c r="F92" s="4"/>
      <c r="G92" s="4"/>
      <c r="H92" s="5">
        <f>30770</f>
        <v>30770</v>
      </c>
      <c r="I92" s="4"/>
    </row>
    <row r="93" spans="1:9" x14ac:dyDescent="0.2">
      <c r="A93" s="3" t="s">
        <v>94</v>
      </c>
      <c r="B93" s="5">
        <f>541952.93</f>
        <v>541952.93000000005</v>
      </c>
      <c r="C93" s="5">
        <f>1139793.44</f>
        <v>1139793.44</v>
      </c>
      <c r="D93" s="5">
        <f>394494.94</f>
        <v>394494.94</v>
      </c>
      <c r="E93" s="5">
        <f>60715.94</f>
        <v>60715.94</v>
      </c>
      <c r="F93" s="5">
        <f>140285.89</f>
        <v>140285.89000000001</v>
      </c>
      <c r="G93" s="5">
        <f>273210</f>
        <v>273210</v>
      </c>
      <c r="H93" s="5">
        <f>413917.33</f>
        <v>413917.33</v>
      </c>
      <c r="I93" s="5">
        <f>51959</f>
        <v>51959</v>
      </c>
    </row>
    <row r="94" spans="1:9" x14ac:dyDescent="0.2">
      <c r="A94" s="3" t="s">
        <v>95</v>
      </c>
      <c r="B94" s="6">
        <f t="shared" ref="B94:I94" si="17">(((((B88)+(B89))+(B90))+(B91))+(B92))+(B93)</f>
        <v>1128202.9300000002</v>
      </c>
      <c r="C94" s="6">
        <f t="shared" si="17"/>
        <v>1685805.94</v>
      </c>
      <c r="D94" s="6">
        <f t="shared" si="17"/>
        <v>905244.94</v>
      </c>
      <c r="E94" s="6">
        <f t="shared" si="17"/>
        <v>766728.44</v>
      </c>
      <c r="F94" s="6">
        <f t="shared" si="17"/>
        <v>696298.39</v>
      </c>
      <c r="G94" s="6">
        <f t="shared" si="17"/>
        <v>792610</v>
      </c>
      <c r="H94" s="6">
        <f t="shared" si="17"/>
        <v>958287.33000000007</v>
      </c>
      <c r="I94" s="6">
        <f t="shared" si="17"/>
        <v>599971.5</v>
      </c>
    </row>
    <row r="95" spans="1:9" x14ac:dyDescent="0.2">
      <c r="A95" s="3" t="s">
        <v>96</v>
      </c>
      <c r="B95" s="4"/>
      <c r="C95" s="4"/>
      <c r="D95" s="4"/>
      <c r="E95" s="4"/>
      <c r="F95" s="4"/>
      <c r="G95" s="4"/>
      <c r="H95" s="4"/>
      <c r="I95" s="4"/>
    </row>
    <row r="96" spans="1:9" x14ac:dyDescent="0.2">
      <c r="A96" s="3" t="s">
        <v>97</v>
      </c>
      <c r="B96" s="5">
        <f>35534</f>
        <v>35534</v>
      </c>
      <c r="C96" s="5">
        <f>24170</f>
        <v>24170</v>
      </c>
      <c r="D96" s="5">
        <f>24167</f>
        <v>24167</v>
      </c>
      <c r="E96" s="5">
        <f>23817</f>
        <v>23817</v>
      </c>
      <c r="F96" s="5">
        <f>10372</f>
        <v>10372</v>
      </c>
      <c r="G96" s="5">
        <f>24905</f>
        <v>24905</v>
      </c>
      <c r="H96" s="5">
        <f>24905</f>
        <v>24905</v>
      </c>
      <c r="I96" s="5">
        <f>27608</f>
        <v>27608</v>
      </c>
    </row>
    <row r="97" spans="1:9" x14ac:dyDescent="0.2">
      <c r="A97" s="3" t="s">
        <v>98</v>
      </c>
      <c r="B97" s="5">
        <f>99226</f>
        <v>99226</v>
      </c>
      <c r="C97" s="5">
        <f>57179</f>
        <v>57179</v>
      </c>
      <c r="D97" s="5">
        <f>89000</f>
        <v>89000</v>
      </c>
      <c r="E97" s="5">
        <f>106018</f>
        <v>106018</v>
      </c>
      <c r="F97" s="5">
        <f>72973</f>
        <v>72973</v>
      </c>
      <c r="G97" s="5">
        <f>70307.21</f>
        <v>70307.210000000006</v>
      </c>
      <c r="H97" s="5">
        <f>60135</f>
        <v>60135</v>
      </c>
      <c r="I97" s="5">
        <f>88468</f>
        <v>88468</v>
      </c>
    </row>
    <row r="98" spans="1:9" x14ac:dyDescent="0.2">
      <c r="A98" s="3" t="s">
        <v>99</v>
      </c>
      <c r="B98" s="5">
        <f>1210</f>
        <v>1210</v>
      </c>
      <c r="C98" s="5">
        <f>790</f>
        <v>790</v>
      </c>
      <c r="D98" s="5">
        <f>0</f>
        <v>0</v>
      </c>
      <c r="E98" s="5">
        <f>390</f>
        <v>390</v>
      </c>
      <c r="F98" s="5">
        <f>300</f>
        <v>300</v>
      </c>
      <c r="G98" s="5">
        <f>3210</f>
        <v>3210</v>
      </c>
      <c r="H98" s="5">
        <f>1999</f>
        <v>1999</v>
      </c>
      <c r="I98" s="5">
        <f>3190</f>
        <v>3190</v>
      </c>
    </row>
    <row r="99" spans="1:9" x14ac:dyDescent="0.2">
      <c r="A99" s="3" t="s">
        <v>100</v>
      </c>
      <c r="B99" s="5">
        <f>5070</f>
        <v>5070</v>
      </c>
      <c r="C99" s="5">
        <f>5220</f>
        <v>5220</v>
      </c>
      <c r="D99" s="5">
        <f>5130</f>
        <v>5130</v>
      </c>
      <c r="E99" s="5">
        <f>5090</f>
        <v>5090</v>
      </c>
      <c r="F99" s="5">
        <f>5080</f>
        <v>5080</v>
      </c>
      <c r="G99" s="5">
        <f>5060</f>
        <v>5060</v>
      </c>
      <c r="H99" s="5">
        <f>5420</f>
        <v>5420</v>
      </c>
      <c r="I99" s="5">
        <f>6430</f>
        <v>6430</v>
      </c>
    </row>
    <row r="100" spans="1:9" x14ac:dyDescent="0.2">
      <c r="A100" s="3" t="s">
        <v>101</v>
      </c>
      <c r="B100" s="6">
        <f t="shared" ref="B100:I100" si="18">((((B95)+(B96))+(B97))+(B98))+(B99)</f>
        <v>141040</v>
      </c>
      <c r="C100" s="6">
        <f t="shared" si="18"/>
        <v>87359</v>
      </c>
      <c r="D100" s="6">
        <f t="shared" si="18"/>
        <v>118297</v>
      </c>
      <c r="E100" s="6">
        <f t="shared" si="18"/>
        <v>135315</v>
      </c>
      <c r="F100" s="6">
        <f t="shared" si="18"/>
        <v>88725</v>
      </c>
      <c r="G100" s="6">
        <f t="shared" si="18"/>
        <v>103482.21</v>
      </c>
      <c r="H100" s="6">
        <f t="shared" si="18"/>
        <v>92459</v>
      </c>
      <c r="I100" s="6">
        <f t="shared" si="18"/>
        <v>125696</v>
      </c>
    </row>
    <row r="101" spans="1:9" x14ac:dyDescent="0.2">
      <c r="A101" s="3" t="s">
        <v>102</v>
      </c>
      <c r="B101" s="4"/>
      <c r="C101" s="4"/>
      <c r="D101" s="4"/>
      <c r="E101" s="4"/>
      <c r="F101" s="4"/>
      <c r="G101" s="4"/>
      <c r="H101" s="4"/>
      <c r="I101" s="4"/>
    </row>
    <row r="102" spans="1:9" x14ac:dyDescent="0.2">
      <c r="A102" s="3" t="s">
        <v>103</v>
      </c>
      <c r="B102" s="5">
        <f>28450</f>
        <v>28450</v>
      </c>
      <c r="C102" s="5">
        <f>60210</f>
        <v>60210</v>
      </c>
      <c r="D102" s="5">
        <f>22070</f>
        <v>22070</v>
      </c>
      <c r="E102" s="5">
        <f>24850</f>
        <v>24850</v>
      </c>
      <c r="F102" s="5">
        <f>18250</f>
        <v>18250</v>
      </c>
      <c r="G102" s="5">
        <f>25600</f>
        <v>25600</v>
      </c>
      <c r="H102" s="5">
        <f>49875</f>
        <v>49875</v>
      </c>
      <c r="I102" s="5">
        <f>23000</f>
        <v>23000</v>
      </c>
    </row>
    <row r="103" spans="1:9" x14ac:dyDescent="0.2">
      <c r="A103" s="3" t="s">
        <v>104</v>
      </c>
      <c r="B103" s="5">
        <f>6461</f>
        <v>6461</v>
      </c>
      <c r="C103" s="5">
        <f>4208</f>
        <v>4208</v>
      </c>
      <c r="D103" s="5">
        <f>0</f>
        <v>0</v>
      </c>
      <c r="E103" s="5">
        <f>1800</f>
        <v>1800</v>
      </c>
      <c r="F103" s="5">
        <f>197720</f>
        <v>197720</v>
      </c>
      <c r="G103" s="5">
        <f>23060</f>
        <v>23060</v>
      </c>
      <c r="H103" s="5">
        <f>19555</f>
        <v>19555</v>
      </c>
      <c r="I103" s="5">
        <f>18450</f>
        <v>18450</v>
      </c>
    </row>
    <row r="104" spans="1:9" x14ac:dyDescent="0.2">
      <c r="A104" s="3" t="s">
        <v>105</v>
      </c>
      <c r="B104" s="5">
        <f>119965</f>
        <v>119965</v>
      </c>
      <c r="C104" s="5">
        <f>31255</f>
        <v>31255</v>
      </c>
      <c r="D104" s="5">
        <f>48903</f>
        <v>48903</v>
      </c>
      <c r="E104" s="5">
        <f>52098</f>
        <v>52098</v>
      </c>
      <c r="F104" s="5">
        <f>48843</f>
        <v>48843</v>
      </c>
      <c r="G104" s="5">
        <f>50217</f>
        <v>50217</v>
      </c>
      <c r="H104" s="5">
        <f>64315</f>
        <v>64315</v>
      </c>
      <c r="I104" s="5">
        <f>65182</f>
        <v>65182</v>
      </c>
    </row>
    <row r="105" spans="1:9" x14ac:dyDescent="0.2">
      <c r="A105" s="3" t="s">
        <v>106</v>
      </c>
      <c r="B105" s="6">
        <f t="shared" ref="B105:I105" si="19">(((B101)+(B102))+(B103))+(B104)</f>
        <v>154876</v>
      </c>
      <c r="C105" s="6">
        <f t="shared" si="19"/>
        <v>95673</v>
      </c>
      <c r="D105" s="6">
        <f t="shared" si="19"/>
        <v>70973</v>
      </c>
      <c r="E105" s="6">
        <f t="shared" si="19"/>
        <v>78748</v>
      </c>
      <c r="F105" s="6">
        <f t="shared" si="19"/>
        <v>264813</v>
      </c>
      <c r="G105" s="6">
        <f t="shared" si="19"/>
        <v>98877</v>
      </c>
      <c r="H105" s="6">
        <f t="shared" si="19"/>
        <v>133745</v>
      </c>
      <c r="I105" s="6">
        <f t="shared" si="19"/>
        <v>106632</v>
      </c>
    </row>
    <row r="106" spans="1:9" x14ac:dyDescent="0.2">
      <c r="A106" s="3" t="s">
        <v>107</v>
      </c>
      <c r="B106" s="4"/>
      <c r="C106" s="4"/>
      <c r="D106" s="4"/>
      <c r="E106" s="4"/>
      <c r="F106" s="4"/>
      <c r="G106" s="4"/>
      <c r="H106" s="4"/>
      <c r="I106" s="4"/>
    </row>
    <row r="107" spans="1:9" x14ac:dyDescent="0.2">
      <c r="A107" s="3" t="s">
        <v>108</v>
      </c>
      <c r="B107" s="5">
        <f>430181</f>
        <v>430181</v>
      </c>
      <c r="C107" s="5">
        <f>492677</f>
        <v>492677</v>
      </c>
      <c r="D107" s="5">
        <f>489239</f>
        <v>489239</v>
      </c>
      <c r="E107" s="5">
        <f>511775</f>
        <v>511775</v>
      </c>
      <c r="F107" s="5">
        <f>456316</f>
        <v>456316</v>
      </c>
      <c r="G107" s="5">
        <f>476227</f>
        <v>476227</v>
      </c>
      <c r="H107" s="5">
        <f>466089</f>
        <v>466089</v>
      </c>
      <c r="I107" s="5">
        <f>423349</f>
        <v>423349</v>
      </c>
    </row>
    <row r="108" spans="1:9" x14ac:dyDescent="0.2">
      <c r="A108" s="3" t="s">
        <v>109</v>
      </c>
      <c r="B108" s="5">
        <f>0</f>
        <v>0</v>
      </c>
      <c r="C108" s="5">
        <f>0</f>
        <v>0</v>
      </c>
      <c r="D108" s="5">
        <f>0</f>
        <v>0</v>
      </c>
      <c r="E108" s="4"/>
      <c r="F108" s="4"/>
      <c r="G108" s="4"/>
      <c r="H108" s="4"/>
      <c r="I108" s="4"/>
    </row>
    <row r="109" spans="1:9" x14ac:dyDescent="0.2">
      <c r="A109" s="3" t="s">
        <v>110</v>
      </c>
      <c r="B109" s="6">
        <f t="shared" ref="B109:I109" si="20">((B106)+(B107))+(B108)</f>
        <v>430181</v>
      </c>
      <c r="C109" s="6">
        <f t="shared" si="20"/>
        <v>492677</v>
      </c>
      <c r="D109" s="6">
        <f t="shared" si="20"/>
        <v>489239</v>
      </c>
      <c r="E109" s="6">
        <f t="shared" si="20"/>
        <v>511775</v>
      </c>
      <c r="F109" s="6">
        <f t="shared" si="20"/>
        <v>456316</v>
      </c>
      <c r="G109" s="6">
        <f t="shared" si="20"/>
        <v>476227</v>
      </c>
      <c r="H109" s="6">
        <f t="shared" si="20"/>
        <v>466089</v>
      </c>
      <c r="I109" s="6">
        <f t="shared" si="20"/>
        <v>423349</v>
      </c>
    </row>
    <row r="110" spans="1:9" x14ac:dyDescent="0.2">
      <c r="A110" s="3" t="s">
        <v>111</v>
      </c>
      <c r="B110" s="4"/>
      <c r="C110" s="4"/>
      <c r="D110" s="4"/>
      <c r="E110" s="4"/>
      <c r="F110" s="4"/>
      <c r="G110" s="4"/>
      <c r="H110" s="4"/>
      <c r="I110" s="4"/>
    </row>
    <row r="111" spans="1:9" x14ac:dyDescent="0.2">
      <c r="A111" s="3" t="s">
        <v>112</v>
      </c>
      <c r="B111" s="5">
        <f>46868</f>
        <v>46868</v>
      </c>
      <c r="C111" s="5">
        <f>45531</f>
        <v>45531</v>
      </c>
      <c r="D111" s="5">
        <f>50660</f>
        <v>50660</v>
      </c>
      <c r="E111" s="5">
        <f>55323</f>
        <v>55323</v>
      </c>
      <c r="F111" s="5">
        <f>46171</f>
        <v>46171</v>
      </c>
      <c r="G111" s="5">
        <f>50218</f>
        <v>50218</v>
      </c>
      <c r="H111" s="5">
        <f>42735</f>
        <v>42735</v>
      </c>
      <c r="I111" s="5">
        <f>34833</f>
        <v>34833</v>
      </c>
    </row>
    <row r="112" spans="1:9" x14ac:dyDescent="0.2">
      <c r="A112" s="3" t="s">
        <v>113</v>
      </c>
      <c r="B112" s="5">
        <f>29740</f>
        <v>29740</v>
      </c>
      <c r="C112" s="5">
        <f>16185</f>
        <v>16185</v>
      </c>
      <c r="D112" s="5">
        <f>33980</f>
        <v>33980</v>
      </c>
      <c r="E112" s="5">
        <f>124330</f>
        <v>124330</v>
      </c>
      <c r="F112" s="5">
        <f>19560</f>
        <v>19560</v>
      </c>
      <c r="G112" s="5">
        <f>93290</f>
        <v>93290</v>
      </c>
      <c r="H112" s="5">
        <f>9040</f>
        <v>9040</v>
      </c>
      <c r="I112" s="5">
        <f>24178</f>
        <v>24178</v>
      </c>
    </row>
    <row r="113" spans="1:9" x14ac:dyDescent="0.2">
      <c r="A113" s="3" t="s">
        <v>114</v>
      </c>
      <c r="B113" s="6">
        <f t="shared" ref="B113:I113" si="21">((B110)+(B111))+(B112)</f>
        <v>76608</v>
      </c>
      <c r="C113" s="6">
        <f t="shared" si="21"/>
        <v>61716</v>
      </c>
      <c r="D113" s="6">
        <f t="shared" si="21"/>
        <v>84640</v>
      </c>
      <c r="E113" s="6">
        <f t="shared" si="21"/>
        <v>179653</v>
      </c>
      <c r="F113" s="6">
        <f t="shared" si="21"/>
        <v>65731</v>
      </c>
      <c r="G113" s="6">
        <f t="shared" si="21"/>
        <v>143508</v>
      </c>
      <c r="H113" s="6">
        <f t="shared" si="21"/>
        <v>51775</v>
      </c>
      <c r="I113" s="6">
        <f t="shared" si="21"/>
        <v>59011</v>
      </c>
    </row>
    <row r="114" spans="1:9" x14ac:dyDescent="0.2">
      <c r="A114" s="3" t="s">
        <v>115</v>
      </c>
      <c r="B114" s="4"/>
      <c r="C114" s="4"/>
      <c r="D114" s="4"/>
      <c r="E114" s="4"/>
      <c r="F114" s="4"/>
      <c r="G114" s="4"/>
      <c r="H114" s="4"/>
      <c r="I114" s="4"/>
    </row>
    <row r="115" spans="1:9" x14ac:dyDescent="0.2">
      <c r="A115" s="3" t="s">
        <v>116</v>
      </c>
      <c r="B115" s="5">
        <f>200000</f>
        <v>200000</v>
      </c>
      <c r="C115" s="5">
        <f t="shared" ref="C115:I115" si="22">140000</f>
        <v>140000</v>
      </c>
      <c r="D115" s="5">
        <f t="shared" si="22"/>
        <v>140000</v>
      </c>
      <c r="E115" s="5">
        <f t="shared" si="22"/>
        <v>140000</v>
      </c>
      <c r="F115" s="5">
        <f t="shared" si="22"/>
        <v>140000</v>
      </c>
      <c r="G115" s="5">
        <f t="shared" si="22"/>
        <v>140000</v>
      </c>
      <c r="H115" s="5">
        <f t="shared" si="22"/>
        <v>140000</v>
      </c>
      <c r="I115" s="5">
        <f t="shared" si="22"/>
        <v>140000</v>
      </c>
    </row>
    <row r="116" spans="1:9" x14ac:dyDescent="0.2">
      <c r="A116" s="3" t="s">
        <v>117</v>
      </c>
      <c r="B116" s="5">
        <f>185569.78</f>
        <v>185569.78</v>
      </c>
      <c r="C116" s="5">
        <f>336474.72</f>
        <v>336474.72</v>
      </c>
      <c r="D116" s="5">
        <f>238815.47</f>
        <v>238815.47</v>
      </c>
      <c r="E116" s="5">
        <f>276270.01</f>
        <v>276270.01</v>
      </c>
      <c r="F116" s="5">
        <f>205454.54</f>
        <v>205454.54</v>
      </c>
      <c r="G116" s="5">
        <f>234066</f>
        <v>234066</v>
      </c>
      <c r="H116" s="5">
        <f>243541</f>
        <v>243541</v>
      </c>
      <c r="I116" s="5">
        <f>333895</f>
        <v>333895</v>
      </c>
    </row>
    <row r="117" spans="1:9" x14ac:dyDescent="0.2">
      <c r="A117" s="3" t="s">
        <v>118</v>
      </c>
      <c r="B117" s="4"/>
      <c r="C117" s="5">
        <f>15000</f>
        <v>15000</v>
      </c>
      <c r="D117" s="4"/>
      <c r="E117" s="5">
        <f>10000</f>
        <v>10000</v>
      </c>
      <c r="F117" s="4"/>
      <c r="G117" s="4"/>
      <c r="H117" s="5">
        <f>15000</f>
        <v>15000</v>
      </c>
      <c r="I117" s="4"/>
    </row>
    <row r="118" spans="1:9" x14ac:dyDescent="0.2">
      <c r="A118" s="3" t="s">
        <v>119</v>
      </c>
      <c r="B118" s="6">
        <f t="shared" ref="B118:I118" si="23">(((B114)+(B115))+(B116))+(B117)</f>
        <v>385569.78</v>
      </c>
      <c r="C118" s="6">
        <f t="shared" si="23"/>
        <v>491474.72</v>
      </c>
      <c r="D118" s="6">
        <f t="shared" si="23"/>
        <v>378815.47</v>
      </c>
      <c r="E118" s="6">
        <f t="shared" si="23"/>
        <v>426270.01</v>
      </c>
      <c r="F118" s="6">
        <f t="shared" si="23"/>
        <v>345454.54000000004</v>
      </c>
      <c r="G118" s="6">
        <f t="shared" si="23"/>
        <v>374066</v>
      </c>
      <c r="H118" s="6">
        <f t="shared" si="23"/>
        <v>398541</v>
      </c>
      <c r="I118" s="6">
        <f t="shared" si="23"/>
        <v>473895</v>
      </c>
    </row>
    <row r="119" spans="1:9" x14ac:dyDescent="0.2">
      <c r="A119" s="3" t="s">
        <v>120</v>
      </c>
      <c r="B119" s="4"/>
      <c r="C119" s="4"/>
      <c r="D119" s="4"/>
      <c r="E119" s="4"/>
      <c r="F119" s="4"/>
      <c r="G119" s="4"/>
      <c r="H119" s="4"/>
      <c r="I119" s="4"/>
    </row>
    <row r="120" spans="1:9" x14ac:dyDescent="0.2">
      <c r="A120" s="3" t="s">
        <v>121</v>
      </c>
      <c r="B120" s="5">
        <f>12224</f>
        <v>12224</v>
      </c>
      <c r="C120" s="5">
        <f>8211</f>
        <v>8211</v>
      </c>
      <c r="D120" s="5">
        <f>25996.39</f>
        <v>25996.39</v>
      </c>
      <c r="E120" s="5">
        <f>18671</f>
        <v>18671</v>
      </c>
      <c r="F120" s="5">
        <f>5933</f>
        <v>5933</v>
      </c>
      <c r="G120" s="5">
        <f>6359</f>
        <v>6359</v>
      </c>
      <c r="H120" s="5">
        <f>17818</f>
        <v>17818</v>
      </c>
      <c r="I120" s="5">
        <f>10000</f>
        <v>10000</v>
      </c>
    </row>
    <row r="121" spans="1:9" x14ac:dyDescent="0.2">
      <c r="A121" s="3" t="s">
        <v>122</v>
      </c>
      <c r="B121" s="5">
        <f>23868</f>
        <v>23868</v>
      </c>
      <c r="C121" s="5">
        <f>27240</f>
        <v>27240</v>
      </c>
      <c r="D121" s="5">
        <f>30106</f>
        <v>30106</v>
      </c>
      <c r="E121" s="5">
        <f>28212</f>
        <v>28212</v>
      </c>
      <c r="F121" s="5">
        <f>22590</f>
        <v>22590</v>
      </c>
      <c r="G121" s="5">
        <f>23385</f>
        <v>23385</v>
      </c>
      <c r="H121" s="5">
        <f>22170</f>
        <v>22170</v>
      </c>
      <c r="I121" s="5">
        <f>20490</f>
        <v>20490</v>
      </c>
    </row>
    <row r="122" spans="1:9" x14ac:dyDescent="0.2">
      <c r="A122" s="3" t="s">
        <v>123</v>
      </c>
      <c r="B122" s="6">
        <f t="shared" ref="B122:I122" si="24">((B119)+(B120))+(B121)</f>
        <v>36092</v>
      </c>
      <c r="C122" s="6">
        <f t="shared" si="24"/>
        <v>35451</v>
      </c>
      <c r="D122" s="6">
        <f t="shared" si="24"/>
        <v>56102.39</v>
      </c>
      <c r="E122" s="6">
        <f t="shared" si="24"/>
        <v>46883</v>
      </c>
      <c r="F122" s="6">
        <f t="shared" si="24"/>
        <v>28523</v>
      </c>
      <c r="G122" s="6">
        <f t="shared" si="24"/>
        <v>29744</v>
      </c>
      <c r="H122" s="6">
        <f t="shared" si="24"/>
        <v>39988</v>
      </c>
      <c r="I122" s="6">
        <f t="shared" si="24"/>
        <v>30490</v>
      </c>
    </row>
    <row r="123" spans="1:9" x14ac:dyDescent="0.2">
      <c r="A123" s="3" t="s">
        <v>124</v>
      </c>
      <c r="B123" s="6">
        <f t="shared" ref="B123:I123" si="25">(((((((((B78)+(B82))+(B87))+(B94))+(B100))+(B105))+(B109))+(B113))+(B118))+(B122)</f>
        <v>5426530.96</v>
      </c>
      <c r="C123" s="6">
        <f t="shared" si="25"/>
        <v>6327867.9099999992</v>
      </c>
      <c r="D123" s="6">
        <f t="shared" si="25"/>
        <v>5110771.0499999989</v>
      </c>
      <c r="E123" s="6">
        <f t="shared" si="25"/>
        <v>5297236.6999999993</v>
      </c>
      <c r="F123" s="6">
        <f t="shared" si="25"/>
        <v>5306533.1800000006</v>
      </c>
      <c r="G123" s="6">
        <f t="shared" si="25"/>
        <v>5629528.46</v>
      </c>
      <c r="H123" s="6">
        <f t="shared" si="25"/>
        <v>5253735.58</v>
      </c>
      <c r="I123" s="6">
        <f t="shared" si="25"/>
        <v>5367023.75</v>
      </c>
    </row>
    <row r="124" spans="1:9" x14ac:dyDescent="0.2">
      <c r="A124" s="3" t="s">
        <v>125</v>
      </c>
      <c r="B124" s="4"/>
      <c r="C124" s="4"/>
      <c r="D124" s="4"/>
      <c r="E124" s="4"/>
      <c r="F124" s="4"/>
      <c r="G124" s="4"/>
      <c r="H124" s="4"/>
      <c r="I124" s="4"/>
    </row>
    <row r="125" spans="1:9" x14ac:dyDescent="0.2">
      <c r="A125" s="3" t="s">
        <v>126</v>
      </c>
      <c r="B125" s="4"/>
      <c r="C125" s="4"/>
      <c r="D125" s="4"/>
      <c r="E125" s="4"/>
      <c r="F125" s="4"/>
      <c r="G125" s="4"/>
      <c r="H125" s="4"/>
      <c r="I125" s="4"/>
    </row>
    <row r="126" spans="1:9" x14ac:dyDescent="0.2">
      <c r="A126" s="3" t="s">
        <v>127</v>
      </c>
      <c r="B126" s="5">
        <f>741800</f>
        <v>741800</v>
      </c>
      <c r="C126" s="5">
        <f>1407750</f>
        <v>1407750</v>
      </c>
      <c r="D126" s="5">
        <f>302750</f>
        <v>302750</v>
      </c>
      <c r="E126" s="5">
        <f>2421450</f>
        <v>2421450</v>
      </c>
      <c r="F126" s="5">
        <f>4920396</f>
        <v>4920396</v>
      </c>
      <c r="G126" s="5">
        <f>9571690</f>
        <v>9571690</v>
      </c>
      <c r="H126" s="5">
        <f>1887310</f>
        <v>1887310</v>
      </c>
      <c r="I126" s="5">
        <f>3103700</f>
        <v>3103700</v>
      </c>
    </row>
    <row r="127" spans="1:9" x14ac:dyDescent="0.2">
      <c r="A127" s="3" t="s">
        <v>128</v>
      </c>
      <c r="B127" s="5">
        <f>42435.29</f>
        <v>42435.29</v>
      </c>
      <c r="C127" s="5">
        <f>37799.42</f>
        <v>37799.42</v>
      </c>
      <c r="D127" s="5">
        <f>55740.09</f>
        <v>55740.09</v>
      </c>
      <c r="E127" s="5">
        <f>24022.55</f>
        <v>24022.55</v>
      </c>
      <c r="F127" s="5">
        <f>18226.68</f>
        <v>18226.68</v>
      </c>
      <c r="G127" s="5">
        <f>19604</f>
        <v>19604</v>
      </c>
      <c r="H127" s="5">
        <f>36780.2</f>
        <v>36780.199999999997</v>
      </c>
      <c r="I127" s="5">
        <f>24491.4</f>
        <v>24491.4</v>
      </c>
    </row>
    <row r="128" spans="1:9" x14ac:dyDescent="0.2">
      <c r="A128" s="3" t="s">
        <v>129</v>
      </c>
      <c r="B128" s="5">
        <f>6491</f>
        <v>6491</v>
      </c>
      <c r="C128" s="5">
        <f>675</f>
        <v>675</v>
      </c>
      <c r="D128" s="5"/>
      <c r="E128" s="5">
        <f>1350</f>
        <v>1350</v>
      </c>
      <c r="F128" s="5">
        <f>24002</f>
        <v>24002</v>
      </c>
      <c r="G128" s="5">
        <f>675</f>
        <v>675</v>
      </c>
      <c r="H128" s="5"/>
      <c r="I128" s="5">
        <f>119362</f>
        <v>119362</v>
      </c>
    </row>
    <row r="129" spans="1:9" x14ac:dyDescent="0.2">
      <c r="A129" s="3" t="s">
        <v>130</v>
      </c>
      <c r="B129" s="5">
        <f>341620</f>
        <v>341620</v>
      </c>
      <c r="C129" s="5">
        <f>2621105</f>
        <v>2621105</v>
      </c>
      <c r="D129" s="5">
        <f>281500</f>
        <v>281500</v>
      </c>
      <c r="E129" s="5">
        <f>2568980</f>
        <v>2568980</v>
      </c>
      <c r="F129" s="5">
        <f>2096000</f>
        <v>2096000</v>
      </c>
      <c r="G129" s="5">
        <f>2319281</f>
        <v>2319281</v>
      </c>
      <c r="H129" s="5">
        <f>866130</f>
        <v>866130</v>
      </c>
      <c r="I129" s="5">
        <f>771180</f>
        <v>771180</v>
      </c>
    </row>
    <row r="130" spans="1:9" x14ac:dyDescent="0.2">
      <c r="A130" s="3" t="s">
        <v>131</v>
      </c>
      <c r="B130" s="6">
        <f t="shared" ref="B130:I130" si="26">((((B125)+(B126))+(B127))+(B128))+(B129)</f>
        <v>1132346.29</v>
      </c>
      <c r="C130" s="6">
        <f t="shared" si="26"/>
        <v>4067329.42</v>
      </c>
      <c r="D130" s="6">
        <f t="shared" si="26"/>
        <v>639990.09</v>
      </c>
      <c r="E130" s="6">
        <f t="shared" si="26"/>
        <v>5015802.55</v>
      </c>
      <c r="F130" s="6">
        <f t="shared" si="26"/>
        <v>7058624.6799999997</v>
      </c>
      <c r="G130" s="6">
        <f t="shared" si="26"/>
        <v>11911250</v>
      </c>
      <c r="H130" s="6">
        <f t="shared" si="26"/>
        <v>2790220.2</v>
      </c>
      <c r="I130" s="6">
        <f t="shared" si="26"/>
        <v>4018733.4</v>
      </c>
    </row>
    <row r="131" spans="1:9" x14ac:dyDescent="0.2">
      <c r="A131" s="3" t="s">
        <v>132</v>
      </c>
      <c r="B131" s="6">
        <f t="shared" ref="B131:I131" si="27">B130</f>
        <v>1132346.29</v>
      </c>
      <c r="C131" s="6">
        <f t="shared" si="27"/>
        <v>4067329.42</v>
      </c>
      <c r="D131" s="6">
        <f t="shared" si="27"/>
        <v>639990.09</v>
      </c>
      <c r="E131" s="6">
        <f t="shared" si="27"/>
        <v>5015802.55</v>
      </c>
      <c r="F131" s="6">
        <f t="shared" si="27"/>
        <v>7058624.6799999997</v>
      </c>
      <c r="G131" s="6">
        <f t="shared" si="27"/>
        <v>11911250</v>
      </c>
      <c r="H131" s="6">
        <f t="shared" si="27"/>
        <v>2790220.2</v>
      </c>
      <c r="I131" s="6">
        <f t="shared" si="27"/>
        <v>4018733.4</v>
      </c>
    </row>
    <row r="132" spans="1:9" x14ac:dyDescent="0.2">
      <c r="A132" s="3" t="s">
        <v>133</v>
      </c>
      <c r="B132" s="7">
        <f t="shared" ref="B132:I132" si="28">((((B20)+(B65))-(B58))-(B123))-(B131)</f>
        <v>1315418.6499999985</v>
      </c>
      <c r="C132" s="7">
        <f t="shared" si="28"/>
        <v>2608510.8599999985</v>
      </c>
      <c r="D132" s="7">
        <f t="shared" si="28"/>
        <v>-6025369.1399999987</v>
      </c>
      <c r="E132" s="7">
        <f t="shared" si="28"/>
        <v>6560707.4500000002</v>
      </c>
      <c r="F132" s="7">
        <f t="shared" si="28"/>
        <v>9660915.6400000006</v>
      </c>
      <c r="G132" s="7">
        <f t="shared" si="28"/>
        <v>17767290.75</v>
      </c>
      <c r="H132" s="7">
        <f t="shared" si="28"/>
        <v>6099005.2199999997</v>
      </c>
      <c r="I132" s="7">
        <f t="shared" si="28"/>
        <v>5039203.8499999996</v>
      </c>
    </row>
    <row r="133" spans="1:9" x14ac:dyDescent="0.2">
      <c r="A133" s="3"/>
      <c r="B133" s="4"/>
      <c r="C133" s="4"/>
      <c r="D133" s="4"/>
      <c r="E133" s="4"/>
      <c r="F133" s="4"/>
      <c r="G133" s="4"/>
      <c r="H133" s="4"/>
      <c r="I133" s="4"/>
    </row>
    <row r="136" spans="1:9" x14ac:dyDescent="0.2">
      <c r="A136" s="8" t="s">
        <v>134</v>
      </c>
      <c r="B136" s="9"/>
      <c r="C136" s="9"/>
      <c r="D136" s="9"/>
      <c r="E136" s="9"/>
      <c r="F136" s="9"/>
      <c r="G136" s="9"/>
      <c r="H136" s="9"/>
      <c r="I136" s="9"/>
    </row>
  </sheetData>
  <mergeCells count="4">
    <mergeCell ref="A136:I136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Khan, Adnan</cp:lastModifiedBy>
  <dcterms:created xsi:type="dcterms:W3CDTF">2024-03-05T22:13:10Z</dcterms:created>
  <dcterms:modified xsi:type="dcterms:W3CDTF">2024-03-18T15:48:48Z</dcterms:modified>
</cp:coreProperties>
</file>