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"/>
    </mc:Choice>
  </mc:AlternateContent>
  <xr:revisionPtr revIDLastSave="0" documentId="13_ncr:1_{DD2ED40D-EF8C-4A4C-9503-C2D9C51258D2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Profit and 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9" i="1" l="1"/>
  <c r="B129" i="1"/>
  <c r="C128" i="1"/>
  <c r="B128" i="1"/>
  <c r="C127" i="1"/>
  <c r="B127" i="1"/>
  <c r="C126" i="1"/>
  <c r="C130" i="1" s="1"/>
  <c r="C131" i="1" s="1"/>
  <c r="B126" i="1"/>
  <c r="B130" i="1" s="1"/>
  <c r="B131" i="1" s="1"/>
  <c r="C121" i="1"/>
  <c r="B121" i="1"/>
  <c r="C120" i="1"/>
  <c r="C122" i="1" s="1"/>
  <c r="B120" i="1"/>
  <c r="B122" i="1" s="1"/>
  <c r="B118" i="1"/>
  <c r="C117" i="1"/>
  <c r="C116" i="1"/>
  <c r="B116" i="1"/>
  <c r="C115" i="1"/>
  <c r="C118" i="1" s="1"/>
  <c r="B115" i="1"/>
  <c r="C112" i="1"/>
  <c r="B112" i="1"/>
  <c r="C111" i="1"/>
  <c r="C113" i="1" s="1"/>
  <c r="B111" i="1"/>
  <c r="B113" i="1" s="1"/>
  <c r="C109" i="1"/>
  <c r="C108" i="1"/>
  <c r="C107" i="1"/>
  <c r="B107" i="1"/>
  <c r="B109" i="1" s="1"/>
  <c r="C104" i="1"/>
  <c r="B104" i="1"/>
  <c r="C103" i="1"/>
  <c r="C105" i="1" s="1"/>
  <c r="B103" i="1"/>
  <c r="B105" i="1" s="1"/>
  <c r="B102" i="1"/>
  <c r="C99" i="1"/>
  <c r="B99" i="1"/>
  <c r="C98" i="1"/>
  <c r="B98" i="1"/>
  <c r="C97" i="1"/>
  <c r="B97" i="1"/>
  <c r="C96" i="1"/>
  <c r="C100" i="1" s="1"/>
  <c r="B96" i="1"/>
  <c r="B100" i="1" s="1"/>
  <c r="C93" i="1"/>
  <c r="B93" i="1"/>
  <c r="C92" i="1"/>
  <c r="C94" i="1" s="1"/>
  <c r="B92" i="1"/>
  <c r="B91" i="1"/>
  <c r="C90" i="1"/>
  <c r="B90" i="1"/>
  <c r="B94" i="1" s="1"/>
  <c r="B88" i="1"/>
  <c r="C87" i="1"/>
  <c r="B87" i="1"/>
  <c r="B86" i="1"/>
  <c r="C85" i="1"/>
  <c r="C88" i="1" s="1"/>
  <c r="B85" i="1"/>
  <c r="C82" i="1"/>
  <c r="B82" i="1"/>
  <c r="C81" i="1"/>
  <c r="C83" i="1" s="1"/>
  <c r="B81" i="1"/>
  <c r="B83" i="1" s="1"/>
  <c r="C77" i="1"/>
  <c r="C78" i="1" s="1"/>
  <c r="C76" i="1"/>
  <c r="B76" i="1"/>
  <c r="B78" i="1" s="1"/>
  <c r="C74" i="1"/>
  <c r="B74" i="1"/>
  <c r="C72" i="1"/>
  <c r="B72" i="1"/>
  <c r="C71" i="1"/>
  <c r="B71" i="1"/>
  <c r="C70" i="1"/>
  <c r="B70" i="1"/>
  <c r="C69" i="1"/>
  <c r="C73" i="1" s="1"/>
  <c r="C79" i="1" s="1"/>
  <c r="C123" i="1" s="1"/>
  <c r="B69" i="1"/>
  <c r="B73" i="1" s="1"/>
  <c r="C63" i="1"/>
  <c r="B63" i="1"/>
  <c r="C62" i="1"/>
  <c r="C64" i="1" s="1"/>
  <c r="C65" i="1" s="1"/>
  <c r="B62" i="1"/>
  <c r="B64" i="1" s="1"/>
  <c r="B65" i="1" s="1"/>
  <c r="C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C57" i="1" s="1"/>
  <c r="B49" i="1"/>
  <c r="B57" i="1" s="1"/>
  <c r="C46" i="1"/>
  <c r="B46" i="1"/>
  <c r="C45" i="1"/>
  <c r="C47" i="1" s="1"/>
  <c r="B45" i="1"/>
  <c r="C44" i="1"/>
  <c r="B44" i="1"/>
  <c r="B47" i="1" s="1"/>
  <c r="C41" i="1"/>
  <c r="B41" i="1"/>
  <c r="C40" i="1"/>
  <c r="B40" i="1"/>
  <c r="C39" i="1"/>
  <c r="B39" i="1"/>
  <c r="C38" i="1"/>
  <c r="B38" i="1"/>
  <c r="C37" i="1"/>
  <c r="B37" i="1"/>
  <c r="C36" i="1"/>
  <c r="B36" i="1"/>
  <c r="C34" i="1"/>
  <c r="B34" i="1"/>
  <c r="C33" i="1"/>
  <c r="B33" i="1"/>
  <c r="C32" i="1"/>
  <c r="B32" i="1"/>
  <c r="C31" i="1"/>
  <c r="B31" i="1"/>
  <c r="B35" i="1" s="1"/>
  <c r="C30" i="1"/>
  <c r="C35" i="1" s="1"/>
  <c r="B30" i="1"/>
  <c r="C27" i="1"/>
  <c r="B27" i="1"/>
  <c r="C26" i="1"/>
  <c r="B26" i="1"/>
  <c r="C25" i="1"/>
  <c r="B25" i="1"/>
  <c r="C24" i="1"/>
  <c r="C28" i="1" s="1"/>
  <c r="C42" i="1" s="1"/>
  <c r="C58" i="1" s="1"/>
  <c r="B24" i="1"/>
  <c r="B28" i="1" s="1"/>
  <c r="B42" i="1" s="1"/>
  <c r="B58" i="1" s="1"/>
  <c r="C19" i="1"/>
  <c r="B19" i="1"/>
  <c r="C18" i="1"/>
  <c r="C17" i="1"/>
  <c r="B17" i="1"/>
  <c r="C16" i="1"/>
  <c r="B16" i="1"/>
  <c r="C14" i="1"/>
  <c r="B14" i="1"/>
  <c r="C13" i="1"/>
  <c r="C15" i="1" s="1"/>
  <c r="C20" i="1" s="1"/>
  <c r="B13" i="1"/>
  <c r="B15" i="1" s="1"/>
  <c r="C11" i="1"/>
  <c r="B11" i="1"/>
  <c r="C10" i="1"/>
  <c r="B10" i="1"/>
  <c r="C8" i="1"/>
  <c r="B8" i="1"/>
  <c r="C132" i="1" l="1"/>
  <c r="C59" i="1"/>
  <c r="B20" i="1"/>
  <c r="B79" i="1"/>
  <c r="B123" i="1" s="1"/>
  <c r="B132" i="1" l="1"/>
  <c r="B59" i="1"/>
</calcChain>
</file>

<file path=xl/sharedStrings.xml><?xml version="1.0" encoding="utf-8"?>
<sst xmlns="http://schemas.openxmlformats.org/spreadsheetml/2006/main" count="133" uniqueCount="133">
  <si>
    <t>Total</t>
  </si>
  <si>
    <t>Mar 2024</t>
  </si>
  <si>
    <t>Mar 2023 (PY)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</si>
  <si>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</si>
  <si>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</si>
  <si>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</si>
  <si>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</si>
  <si>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</si>
  <si>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</si>
  <si>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</si>
  <si>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</si>
  <si>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</si>
  <si>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</si>
  <si>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</si>
  <si>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 xml:space="preserve">   0806 Setup &amp; Services</t>
  </si>
  <si>
    <t xml:space="preserve">   0807 Kitchen Overhead Share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</si>
  <si>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</si>
  <si>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</si>
  <si>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</si>
  <si>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</si>
  <si>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</si>
  <si>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</si>
  <si>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</si>
  <si>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</si>
  <si>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</si>
  <si>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</si>
  <si>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</si>
  <si>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</si>
  <si>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</si>
  <si>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</si>
  <si>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</si>
  <si>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</si>
  <si>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</si>
  <si>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</si>
  <si>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</si>
  <si>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</si>
  <si>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</si>
  <si>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</si>
  <si>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</si>
  <si>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</si>
  <si>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</si>
  <si>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</si>
  <si>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</si>
  <si>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</si>
  <si>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</si>
  <si>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</si>
  <si>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</si>
  <si>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</si>
  <si>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</si>
  <si>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</si>
  <si>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</si>
  <si>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</si>
  <si>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</si>
  <si>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</si>
  <si>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</si>
  <si>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</si>
  <si>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Other Income(Loss)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</si>
  <si>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</si>
  <si>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</si>
  <si>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</si>
  <si>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</si>
  <si>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Income(Loss)</t>
  </si>
  <si>
    <t>Expenses</t>
  </si>
  <si>
    <t xml:space="preserve">   1001 Salaries &amp; Benefits</t>
  </si>
  <si>
    <t xml:space="preserve">      100101 Salaries &amp; Wages</t>
  </si>
  <si>
    <t xml:space="preserve">         10010101 Sales</t>
  </si>
  <si>
    <t xml:space="preserve">         10010102 Marketing</t>
  </si>
  <si>
    <t xml:space="preserve">         10010103 Accounts &amp; Finance</t>
  </si>
  <si>
    <t xml:space="preserve">         10010104 Admin &amp; HR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</si>
  <si>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</si>
  <si>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</si>
  <si>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</si>
  <si>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</si>
  <si>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   10010302 Food Panda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</si>
  <si>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</si>
  <si>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</si>
  <si>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</si>
  <si>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</si>
  <si>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</si>
  <si>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</si>
  <si>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</si>
  <si>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</si>
  <si>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100302 Gas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</si>
  <si>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</si>
  <si>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</si>
  <si>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</si>
  <si>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100402 Filing Fee</t>
  </si>
  <si>
    <t xml:space="preserve">      100403 Legal Services</t>
  </si>
  <si>
    <t xml:space="preserve">      100404 Professional Services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</si>
  <si>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</si>
  <si>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</si>
  <si>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</si>
  <si>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</si>
  <si>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</si>
  <si>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</si>
  <si>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</si>
  <si>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</si>
  <si>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</si>
  <si>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</si>
  <si>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</si>
  <si>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</si>
  <si>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</si>
  <si>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</si>
  <si>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</si>
  <si>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</si>
  <si>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</si>
  <si>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</si>
  <si>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</si>
  <si>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</si>
  <si>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</si>
  <si>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</si>
  <si>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</si>
  <si>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</si>
  <si>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</si>
  <si>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</si>
  <si>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</si>
  <si>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</si>
  <si>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</si>
  <si>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</si>
  <si>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</si>
  <si>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</si>
  <si>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</si>
  <si>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</si>
  <si>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</si>
  <si>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</si>
  <si>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</si>
  <si>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</si>
  <si>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</si>
  <si>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Earnings</t>
  </si>
  <si>
    <t>Monday, Apr 08, 2024 03:15:43 AM GMT+5 - Accrual Basis</t>
  </si>
  <si>
    <t>Hanif Rajput Catering Services</t>
  </si>
  <si>
    <t>Profit and Loss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</si>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</sst>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40.33203125" customWidth="1"/>
    <col min="2" max="3" width="18" customWidth="1"/>
  </cols>
  <sheetData>
    <row r="1" spans="1:3" ht="18" x14ac:dyDescent="0.2">
      <c r="A1" s="12" t="s">
        <v>130</v>
      </c>
      <c r="B1" s="11"/>
      <c r="C1" s="11"/>
    </row>
    <row r="2" spans="1:3" ht="18" x14ac:dyDescent="0.2">
      <c r="A2" s="12" t="s">
        <v>131</v>
      </c>
      <c r="B2" s="11"/>
      <c r="C2" s="11"/>
    </row>
    <row r="3" spans="1:3" x14ac:dyDescent="0.2">
      <c r="A3" s="13" t="s">
        <v>132</v>
      </c>
      <c r="B3" s="11"/>
      <c r="C3" s="11"/>
    </row>
    <row r="5" spans="1:3" x14ac:dyDescent="0.2">
      <c r="A5" s="1"/>
      <c r="B5" s="8" t="s">
        <v>0</v>
      </c>
      <c r="C5" s="9"/>
    </row>
    <row r="6" spans="1:3" x14ac:dyDescent="0.2">
      <c r="A6" s="1"/>
      <c r="B6" s="2" t="s">
        <v>1</v>
      </c>
      <c r="C6" s="2" t="s">
        <v>2</v>
      </c>
    </row>
    <row r="7" spans="1:3" x14ac:dyDescent="0.2">
      <c r="A7" s="3" t="s">
        <v>3</v>
      </c>
      <c r="B7" s="4"/>
      <c r="C7" s="4"/>
    </row>
    <row r="8" spans="1:3" x14ac:dyDescent="0.2">
      <c r="A8" s="3" t="s">
        <v>4</v>
      </c>
      <c r="B8" s="5">
        <f>33447253.2</f>
        <v>33447253.199999999</v>
      </c>
      <c r="C8" s="5">
        <f>49499252.55</f>
        <v>49499252.549999997</v>
      </c>
    </row>
    <row r="9" spans="1:3" x14ac:dyDescent="0.2">
      <c r="A9" s="3" t="s">
        <v>5</v>
      </c>
      <c r="B9" s="4"/>
      <c r="C9" s="4"/>
    </row>
    <row r="10" spans="1:3" x14ac:dyDescent="0.2">
      <c r="A10" s="3" t="s">
        <v>6</v>
      </c>
      <c r="B10" s="5">
        <f>200000</f>
        <v>200000</v>
      </c>
      <c r="C10" s="5">
        <f>3757000</f>
        <v>3757000</v>
      </c>
    </row>
    <row r="11" spans="1:3" x14ac:dyDescent="0.2">
      <c r="A11" s="3" t="s">
        <v>7</v>
      </c>
      <c r="B11" s="6">
        <f>(B9)+(B10)</f>
        <v>200000</v>
      </c>
      <c r="C11" s="6">
        <f>(C9)+(C10)</f>
        <v>3757000</v>
      </c>
    </row>
    <row r="12" spans="1:3" x14ac:dyDescent="0.2">
      <c r="A12" s="3" t="s">
        <v>8</v>
      </c>
      <c r="B12" s="4"/>
      <c r="C12" s="4"/>
    </row>
    <row r="13" spans="1:3" x14ac:dyDescent="0.2">
      <c r="A13" s="3" t="s">
        <v>9</v>
      </c>
      <c r="B13" s="5">
        <f>7651706.6</f>
        <v>7651706.5999999996</v>
      </c>
      <c r="C13" s="5">
        <f>16363873.91</f>
        <v>16363873.91</v>
      </c>
    </row>
    <row r="14" spans="1:3" x14ac:dyDescent="0.2">
      <c r="A14" s="3" t="s">
        <v>10</v>
      </c>
      <c r="B14" s="5">
        <f>586939.3</f>
        <v>586939.30000000005</v>
      </c>
      <c r="C14" s="5">
        <f>516448</f>
        <v>516448</v>
      </c>
    </row>
    <row r="15" spans="1:3" x14ac:dyDescent="0.2">
      <c r="A15" s="3" t="s">
        <v>11</v>
      </c>
      <c r="B15" s="6">
        <f>((B12)+(B13))+(B14)</f>
        <v>8238645.8999999994</v>
      </c>
      <c r="C15" s="6">
        <f>((C12)+(C13))+(C14)</f>
        <v>16880321.91</v>
      </c>
    </row>
    <row r="16" spans="1:3" x14ac:dyDescent="0.2">
      <c r="A16" s="3" t="s">
        <v>12</v>
      </c>
      <c r="B16" s="5">
        <f>535880</f>
        <v>535880</v>
      </c>
      <c r="C16" s="5">
        <f>1381550</f>
        <v>1381550</v>
      </c>
    </row>
    <row r="17" spans="1:3" x14ac:dyDescent="0.2">
      <c r="A17" s="3" t="s">
        <v>13</v>
      </c>
      <c r="B17" s="5">
        <f>2391088</f>
        <v>2391088</v>
      </c>
      <c r="C17" s="5">
        <f>2535150</f>
        <v>2535150</v>
      </c>
    </row>
    <row r="18" spans="1:3" x14ac:dyDescent="0.2">
      <c r="A18" s="3" t="s">
        <v>14</v>
      </c>
      <c r="B18" s="4"/>
      <c r="C18" s="5">
        <f>147500</f>
        <v>147500</v>
      </c>
    </row>
    <row r="19" spans="1:3" x14ac:dyDescent="0.2">
      <c r="A19" s="3" t="s">
        <v>15</v>
      </c>
      <c r="B19" s="5">
        <f>39800</f>
        <v>39800</v>
      </c>
      <c r="C19" s="5">
        <f>203200</f>
        <v>203200</v>
      </c>
    </row>
    <row r="20" spans="1:3" x14ac:dyDescent="0.2">
      <c r="A20" s="3" t="s">
        <v>16</v>
      </c>
      <c r="B20" s="6">
        <f>((((((B8)+(B11))+(B15))+(B16))+(B17))+(B18))+(B19)</f>
        <v>44852667.100000001</v>
      </c>
      <c r="C20" s="6">
        <f>((((((C8)+(C11))+(C15))+(C16))+(C17))+(C18))+(C19)</f>
        <v>74403974.459999993</v>
      </c>
    </row>
    <row r="21" spans="1:3" x14ac:dyDescent="0.2">
      <c r="A21" s="3" t="s">
        <v>17</v>
      </c>
      <c r="B21" s="4"/>
      <c r="C21" s="4"/>
    </row>
    <row r="22" spans="1:3" x14ac:dyDescent="0.2">
      <c r="A22" s="3" t="s">
        <v>18</v>
      </c>
      <c r="B22" s="4"/>
      <c r="C22" s="4"/>
    </row>
    <row r="23" spans="1:3" x14ac:dyDescent="0.2">
      <c r="A23" s="3" t="s">
        <v>19</v>
      </c>
      <c r="B23" s="4"/>
      <c r="C23" s="4"/>
    </row>
    <row r="24" spans="1:3" x14ac:dyDescent="0.2">
      <c r="A24" s="3" t="s">
        <v>20</v>
      </c>
      <c r="B24" s="5">
        <f>1447064</f>
        <v>1447064</v>
      </c>
      <c r="C24" s="5">
        <f>4146089</f>
        <v>4146089</v>
      </c>
    </row>
    <row r="25" spans="1:3" x14ac:dyDescent="0.2">
      <c r="A25" s="3" t="s">
        <v>21</v>
      </c>
      <c r="B25" s="5">
        <f>6143251</f>
        <v>6143251</v>
      </c>
      <c r="C25" s="5">
        <f>11171353</f>
        <v>11171353</v>
      </c>
    </row>
    <row r="26" spans="1:3" x14ac:dyDescent="0.2">
      <c r="A26" s="3" t="s">
        <v>22</v>
      </c>
      <c r="B26" s="5">
        <f>1368629</f>
        <v>1368629</v>
      </c>
      <c r="C26" s="5">
        <f>1169406</f>
        <v>1169406</v>
      </c>
    </row>
    <row r="27" spans="1:3" x14ac:dyDescent="0.2">
      <c r="A27" s="3" t="s">
        <v>23</v>
      </c>
      <c r="B27" s="5">
        <f>116469</f>
        <v>116469</v>
      </c>
      <c r="C27" s="5">
        <f>230800</f>
        <v>230800</v>
      </c>
    </row>
    <row r="28" spans="1:3" x14ac:dyDescent="0.2">
      <c r="A28" s="3" t="s">
        <v>24</v>
      </c>
      <c r="B28" s="6">
        <f>((((B23)+(B24))+(B25))+(B26))+(B27)</f>
        <v>9075413</v>
      </c>
      <c r="C28" s="6">
        <f>((((C23)+(C24))+(C25))+(C26))+(C27)</f>
        <v>16717648</v>
      </c>
    </row>
    <row r="29" spans="1:3" x14ac:dyDescent="0.2">
      <c r="A29" s="3" t="s">
        <v>25</v>
      </c>
      <c r="B29" s="4"/>
      <c r="C29" s="4"/>
    </row>
    <row r="30" spans="1:3" x14ac:dyDescent="0.2">
      <c r="A30" s="3" t="s">
        <v>26</v>
      </c>
      <c r="B30" s="5">
        <f>1060796</f>
        <v>1060796</v>
      </c>
      <c r="C30" s="5">
        <f>842678</f>
        <v>842678</v>
      </c>
    </row>
    <row r="31" spans="1:3" x14ac:dyDescent="0.2">
      <c r="A31" s="3" t="s">
        <v>27</v>
      </c>
      <c r="B31" s="5">
        <f>547815</f>
        <v>547815</v>
      </c>
      <c r="C31" s="5">
        <f>743123</f>
        <v>743123</v>
      </c>
    </row>
    <row r="32" spans="1:3" x14ac:dyDescent="0.2">
      <c r="A32" s="3" t="s">
        <v>28</v>
      </c>
      <c r="B32" s="5">
        <f>1311313</f>
        <v>1311313</v>
      </c>
      <c r="C32" s="5">
        <f>1476929</f>
        <v>1476929</v>
      </c>
    </row>
    <row r="33" spans="1:3" x14ac:dyDescent="0.2">
      <c r="A33" s="3" t="s">
        <v>29</v>
      </c>
      <c r="B33" s="5">
        <f>172885</f>
        <v>172885</v>
      </c>
      <c r="C33" s="5">
        <f>182071</f>
        <v>182071</v>
      </c>
    </row>
    <row r="34" spans="1:3" x14ac:dyDescent="0.2">
      <c r="A34" s="3" t="s">
        <v>30</v>
      </c>
      <c r="B34" s="5">
        <f>2163321</f>
        <v>2163321</v>
      </c>
      <c r="C34" s="5">
        <f>3956769</f>
        <v>3956769</v>
      </c>
    </row>
    <row r="35" spans="1:3" x14ac:dyDescent="0.2">
      <c r="A35" s="3" t="s">
        <v>31</v>
      </c>
      <c r="B35" s="6">
        <f>(((((B29)+(B30))+(B31))+(B32))+(B33))+(B34)</f>
        <v>5256130</v>
      </c>
      <c r="C35" s="6">
        <f>(((((C29)+(C30))+(C31))+(C32))+(C33))+(C34)</f>
        <v>7201570</v>
      </c>
    </row>
    <row r="36" spans="1:3" x14ac:dyDescent="0.2">
      <c r="A36" s="3" t="s">
        <v>32</v>
      </c>
      <c r="B36" s="5">
        <f>1043154</f>
        <v>1043154</v>
      </c>
      <c r="C36" s="5">
        <f>3315362</f>
        <v>3315362</v>
      </c>
    </row>
    <row r="37" spans="1:3" x14ac:dyDescent="0.2">
      <c r="A37" s="3" t="s">
        <v>33</v>
      </c>
      <c r="B37" s="5">
        <f>2323653</f>
        <v>2323653</v>
      </c>
      <c r="C37" s="5">
        <f>2363424</f>
        <v>2363424</v>
      </c>
    </row>
    <row r="38" spans="1:3" x14ac:dyDescent="0.2">
      <c r="A38" s="3" t="s">
        <v>34</v>
      </c>
      <c r="B38" s="5">
        <f>1246159</f>
        <v>1246159</v>
      </c>
      <c r="C38" s="5">
        <f>1650764</f>
        <v>1650764</v>
      </c>
    </row>
    <row r="39" spans="1:3" x14ac:dyDescent="0.2">
      <c r="A39" s="3" t="s">
        <v>35</v>
      </c>
      <c r="B39" s="5">
        <f>680603</f>
        <v>680603</v>
      </c>
      <c r="C39" s="5">
        <f>1085842</f>
        <v>1085842</v>
      </c>
    </row>
    <row r="40" spans="1:3" x14ac:dyDescent="0.2">
      <c r="A40" s="3" t="s">
        <v>36</v>
      </c>
      <c r="B40" s="5">
        <f>1242308</f>
        <v>1242308</v>
      </c>
      <c r="C40" s="5">
        <f>655929</f>
        <v>655929</v>
      </c>
    </row>
    <row r="41" spans="1:3" x14ac:dyDescent="0.2">
      <c r="A41" s="3" t="s">
        <v>37</v>
      </c>
      <c r="B41" s="5">
        <f>1378380</f>
        <v>1378380</v>
      </c>
      <c r="C41" s="5">
        <f>2561049</f>
        <v>2561049</v>
      </c>
    </row>
    <row r="42" spans="1:3" x14ac:dyDescent="0.2">
      <c r="A42" s="3" t="s">
        <v>38</v>
      </c>
      <c r="B42" s="6">
        <f>((((((((B22)+(B28))+(B35))+(B36))+(B37))+(B38))+(B39))+(B40))+(B41)</f>
        <v>22245800</v>
      </c>
      <c r="C42" s="6">
        <f>((((((((C22)+(C28))+(C35))+(C36))+(C37))+(C38))+(C39))+(C40))+(C41)</f>
        <v>35551588</v>
      </c>
    </row>
    <row r="43" spans="1:3" x14ac:dyDescent="0.2">
      <c r="A43" s="3" t="s">
        <v>39</v>
      </c>
      <c r="B43" s="4"/>
      <c r="C43" s="4"/>
    </row>
    <row r="44" spans="1:3" x14ac:dyDescent="0.2">
      <c r="A44" s="3" t="s">
        <v>40</v>
      </c>
      <c r="B44" s="5">
        <f>5168826</f>
        <v>5168826</v>
      </c>
      <c r="C44" s="5">
        <f>4896145</f>
        <v>4896145</v>
      </c>
    </row>
    <row r="45" spans="1:3" x14ac:dyDescent="0.2">
      <c r="A45" s="3" t="s">
        <v>41</v>
      </c>
      <c r="B45" s="5">
        <f>782410</f>
        <v>782410</v>
      </c>
      <c r="C45" s="5">
        <f>2048680</f>
        <v>2048680</v>
      </c>
    </row>
    <row r="46" spans="1:3" x14ac:dyDescent="0.2">
      <c r="A46" s="3" t="s">
        <v>42</v>
      </c>
      <c r="B46" s="5">
        <f>995572</f>
        <v>995572</v>
      </c>
      <c r="C46" s="5">
        <f>1241898</f>
        <v>1241898</v>
      </c>
    </row>
    <row r="47" spans="1:3" x14ac:dyDescent="0.2">
      <c r="A47" s="3" t="s">
        <v>43</v>
      </c>
      <c r="B47" s="6">
        <f>(((B43)+(B44))+(B45))+(B46)</f>
        <v>6946808</v>
      </c>
      <c r="C47" s="6">
        <f>(((C43)+(C44))+(C45))+(C46)</f>
        <v>8186723</v>
      </c>
    </row>
    <row r="48" spans="1:3" x14ac:dyDescent="0.2">
      <c r="A48" s="3" t="s">
        <v>44</v>
      </c>
      <c r="B48" s="4"/>
      <c r="C48" s="4"/>
    </row>
    <row r="49" spans="1:3" x14ac:dyDescent="0.2">
      <c r="A49" s="3" t="s">
        <v>45</v>
      </c>
      <c r="B49" s="5">
        <f>1500328</f>
        <v>1500328</v>
      </c>
      <c r="C49" s="5">
        <f>1206500</f>
        <v>1206500</v>
      </c>
    </row>
    <row r="50" spans="1:3" x14ac:dyDescent="0.2">
      <c r="A50" s="3" t="s">
        <v>46</v>
      </c>
      <c r="B50" s="5">
        <f>2711169</f>
        <v>2711169</v>
      </c>
      <c r="C50" s="5">
        <f>2556204</f>
        <v>2556204</v>
      </c>
    </row>
    <row r="51" spans="1:3" x14ac:dyDescent="0.2">
      <c r="A51" s="3" t="s">
        <v>47</v>
      </c>
      <c r="B51" s="5">
        <f>1375616</f>
        <v>1375616</v>
      </c>
      <c r="C51" s="5">
        <f>2052728</f>
        <v>2052728</v>
      </c>
    </row>
    <row r="52" spans="1:3" x14ac:dyDescent="0.2">
      <c r="A52" s="3" t="s">
        <v>48</v>
      </c>
      <c r="B52" s="5">
        <f>110202</f>
        <v>110202</v>
      </c>
      <c r="C52" s="5">
        <f>680725</f>
        <v>680725</v>
      </c>
    </row>
    <row r="53" spans="1:3" x14ac:dyDescent="0.2">
      <c r="A53" s="3" t="s">
        <v>49</v>
      </c>
      <c r="B53" s="5">
        <f>121011</f>
        <v>121011</v>
      </c>
      <c r="C53" s="5">
        <f>175923</f>
        <v>175923</v>
      </c>
    </row>
    <row r="54" spans="1:3" x14ac:dyDescent="0.2">
      <c r="A54" s="3" t="s">
        <v>50</v>
      </c>
      <c r="B54" s="5">
        <f>121875</f>
        <v>121875</v>
      </c>
      <c r="C54" s="5">
        <f>2098970</f>
        <v>2098970</v>
      </c>
    </row>
    <row r="55" spans="1:3" x14ac:dyDescent="0.2">
      <c r="A55" s="3" t="s">
        <v>51</v>
      </c>
      <c r="B55" s="5">
        <f>225246</f>
        <v>225246</v>
      </c>
      <c r="C55" s="5">
        <f>142569</f>
        <v>142569</v>
      </c>
    </row>
    <row r="56" spans="1:3" x14ac:dyDescent="0.2">
      <c r="A56" s="3" t="s">
        <v>52</v>
      </c>
      <c r="B56" s="4"/>
      <c r="C56" s="5">
        <f>295000</f>
        <v>295000</v>
      </c>
    </row>
    <row r="57" spans="1:3" x14ac:dyDescent="0.2">
      <c r="A57" s="3" t="s">
        <v>53</v>
      </c>
      <c r="B57" s="6">
        <f>((((((((B48)+(B49))+(B50))+(B51))+(B52))+(B53))+(B54))+(B55))+(B56)</f>
        <v>6165447</v>
      </c>
      <c r="C57" s="6">
        <f>((((((((C48)+(C49))+(C50))+(C51))+(C52))+(C53))+(C54))+(C55))+(C56)</f>
        <v>9208619</v>
      </c>
    </row>
    <row r="58" spans="1:3" x14ac:dyDescent="0.2">
      <c r="A58" s="3" t="s">
        <v>54</v>
      </c>
      <c r="B58" s="6">
        <f>((B42)+(B47))+(B57)</f>
        <v>35358055</v>
      </c>
      <c r="C58" s="6">
        <f>((C42)+(C47))+(C57)</f>
        <v>52946930</v>
      </c>
    </row>
    <row r="59" spans="1:3" x14ac:dyDescent="0.2">
      <c r="A59" s="3" t="s">
        <v>55</v>
      </c>
      <c r="B59" s="6">
        <f>(B20)-(B58)</f>
        <v>9494612.1000000015</v>
      </c>
      <c r="C59" s="6">
        <f>(C20)-(C58)</f>
        <v>21457044.459999993</v>
      </c>
    </row>
    <row r="60" spans="1:3" x14ac:dyDescent="0.2">
      <c r="A60" s="3" t="s">
        <v>56</v>
      </c>
      <c r="B60" s="4"/>
      <c r="C60" s="4"/>
    </row>
    <row r="61" spans="1:3" x14ac:dyDescent="0.2">
      <c r="A61" s="3" t="s">
        <v>57</v>
      </c>
      <c r="B61" s="4"/>
      <c r="C61" s="4"/>
    </row>
    <row r="62" spans="1:3" x14ac:dyDescent="0.2">
      <c r="A62" s="3" t="s">
        <v>58</v>
      </c>
      <c r="B62" s="5">
        <f>6806986</f>
        <v>6806986</v>
      </c>
      <c r="C62" s="5">
        <f>1684200</f>
        <v>1684200</v>
      </c>
    </row>
    <row r="63" spans="1:3" x14ac:dyDescent="0.2">
      <c r="A63" s="3" t="s">
        <v>59</v>
      </c>
      <c r="B63" s="5">
        <f>921477</f>
        <v>921477</v>
      </c>
      <c r="C63" s="5">
        <f>937247</f>
        <v>937247</v>
      </c>
    </row>
    <row r="64" spans="1:3" x14ac:dyDescent="0.2">
      <c r="A64" s="3" t="s">
        <v>60</v>
      </c>
      <c r="B64" s="6">
        <f>((B61)+(B62))+(B63)</f>
        <v>7728463</v>
      </c>
      <c r="C64" s="6">
        <f>((C61)+(C62))+(C63)</f>
        <v>2621447</v>
      </c>
    </row>
    <row r="65" spans="1:3" x14ac:dyDescent="0.2">
      <c r="A65" s="3" t="s">
        <v>61</v>
      </c>
      <c r="B65" s="6">
        <f>B64</f>
        <v>7728463</v>
      </c>
      <c r="C65" s="6">
        <f>C64</f>
        <v>2621447</v>
      </c>
    </row>
    <row r="66" spans="1:3" x14ac:dyDescent="0.2">
      <c r="A66" s="3" t="s">
        <v>62</v>
      </c>
      <c r="B66" s="4"/>
      <c r="C66" s="4"/>
    </row>
    <row r="67" spans="1:3" x14ac:dyDescent="0.2">
      <c r="A67" s="3" t="s">
        <v>63</v>
      </c>
      <c r="B67" s="4"/>
      <c r="C67" s="4"/>
    </row>
    <row r="68" spans="1:3" x14ac:dyDescent="0.2">
      <c r="A68" s="3" t="s">
        <v>64</v>
      </c>
      <c r="B68" s="4"/>
      <c r="C68" s="4"/>
    </row>
    <row r="69" spans="1:3" x14ac:dyDescent="0.2">
      <c r="A69" s="3" t="s">
        <v>65</v>
      </c>
      <c r="B69" s="5">
        <f>411740</f>
        <v>411740</v>
      </c>
      <c r="C69" s="5">
        <f>644900</f>
        <v>644900</v>
      </c>
    </row>
    <row r="70" spans="1:3" x14ac:dyDescent="0.2">
      <c r="A70" s="3" t="s">
        <v>66</v>
      </c>
      <c r="B70" s="5">
        <f>0</f>
        <v>0</v>
      </c>
      <c r="C70" s="5">
        <f>174200</f>
        <v>174200</v>
      </c>
    </row>
    <row r="71" spans="1:3" x14ac:dyDescent="0.2">
      <c r="A71" s="3" t="s">
        <v>67</v>
      </c>
      <c r="B71" s="5">
        <f>964438</f>
        <v>964438</v>
      </c>
      <c r="C71" s="5">
        <f>852431</f>
        <v>852431</v>
      </c>
    </row>
    <row r="72" spans="1:3" x14ac:dyDescent="0.2">
      <c r="A72" s="3" t="s">
        <v>68</v>
      </c>
      <c r="B72" s="5">
        <f>442080</f>
        <v>442080</v>
      </c>
      <c r="C72" s="5">
        <f>271679</f>
        <v>271679</v>
      </c>
    </row>
    <row r="73" spans="1:3" x14ac:dyDescent="0.2">
      <c r="A73" s="3" t="s">
        <v>69</v>
      </c>
      <c r="B73" s="6">
        <f>((((B68)+(B69))+(B70))+(B71))+(B72)</f>
        <v>1818258</v>
      </c>
      <c r="C73" s="6">
        <f>((((C68)+(C69))+(C70))+(C71))+(C72)</f>
        <v>1943210</v>
      </c>
    </row>
    <row r="74" spans="1:3" x14ac:dyDescent="0.2">
      <c r="A74" s="3" t="s">
        <v>70</v>
      </c>
      <c r="B74" s="5">
        <f>617090.25</f>
        <v>617090.25</v>
      </c>
      <c r="C74" s="5">
        <f>207332.25</f>
        <v>207332.25</v>
      </c>
    </row>
    <row r="75" spans="1:3" x14ac:dyDescent="0.2">
      <c r="A75" s="3" t="s">
        <v>71</v>
      </c>
      <c r="B75" s="4"/>
      <c r="C75" s="4"/>
    </row>
    <row r="76" spans="1:3" x14ac:dyDescent="0.2">
      <c r="A76" s="3" t="s">
        <v>72</v>
      </c>
      <c r="B76" s="5">
        <f>279110</f>
        <v>279110</v>
      </c>
      <c r="C76" s="5">
        <f>792836</f>
        <v>792836</v>
      </c>
    </row>
    <row r="77" spans="1:3" x14ac:dyDescent="0.2">
      <c r="A77" s="3" t="s">
        <v>73</v>
      </c>
      <c r="B77" s="4"/>
      <c r="C77" s="5">
        <f>153570.81</f>
        <v>153570.81</v>
      </c>
    </row>
    <row r="78" spans="1:3" x14ac:dyDescent="0.2">
      <c r="A78" s="3" t="s">
        <v>74</v>
      </c>
      <c r="B78" s="6">
        <f>((B75)+(B76))+(B77)</f>
        <v>279110</v>
      </c>
      <c r="C78" s="6">
        <f>((C75)+(C76))+(C77)</f>
        <v>946406.81</v>
      </c>
    </row>
    <row r="79" spans="1:3" x14ac:dyDescent="0.2">
      <c r="A79" s="3" t="s">
        <v>75</v>
      </c>
      <c r="B79" s="6">
        <f>(((B67)+(B73))+(B74))+(B78)</f>
        <v>2714458.25</v>
      </c>
      <c r="C79" s="6">
        <f>(((C67)+(C73))+(C74))+(C78)</f>
        <v>3096949.06</v>
      </c>
    </row>
    <row r="80" spans="1:3" x14ac:dyDescent="0.2">
      <c r="A80" s="3" t="s">
        <v>76</v>
      </c>
      <c r="B80" s="4"/>
      <c r="C80" s="4"/>
    </row>
    <row r="81" spans="1:3" x14ac:dyDescent="0.2">
      <c r="A81" s="3" t="s">
        <v>77</v>
      </c>
      <c r="B81" s="5">
        <f>323800</f>
        <v>323800</v>
      </c>
      <c r="C81" s="5">
        <f>232500</f>
        <v>232500</v>
      </c>
    </row>
    <row r="82" spans="1:3" x14ac:dyDescent="0.2">
      <c r="A82" s="3" t="s">
        <v>78</v>
      </c>
      <c r="B82" s="5">
        <f>2680</f>
        <v>2680</v>
      </c>
      <c r="C82" s="5">
        <f>340</f>
        <v>340</v>
      </c>
    </row>
    <row r="83" spans="1:3" x14ac:dyDescent="0.2">
      <c r="A83" s="3" t="s">
        <v>79</v>
      </c>
      <c r="B83" s="6">
        <f>((B80)+(B81))+(B82)</f>
        <v>326480</v>
      </c>
      <c r="C83" s="6">
        <f>((C80)+(C81))+(C82)</f>
        <v>232840</v>
      </c>
    </row>
    <row r="84" spans="1:3" x14ac:dyDescent="0.2">
      <c r="A84" s="3" t="s">
        <v>80</v>
      </c>
      <c r="B84" s="4"/>
      <c r="C84" s="4"/>
    </row>
    <row r="85" spans="1:3" x14ac:dyDescent="0.2">
      <c r="A85" s="3" t="s">
        <v>81</v>
      </c>
      <c r="B85" s="5">
        <f>165566</f>
        <v>165566</v>
      </c>
      <c r="C85" s="5">
        <f>79009</f>
        <v>79009</v>
      </c>
    </row>
    <row r="86" spans="1:3" x14ac:dyDescent="0.2">
      <c r="A86" s="3" t="s">
        <v>82</v>
      </c>
      <c r="B86" s="5">
        <f>64645</f>
        <v>64645</v>
      </c>
      <c r="C86" s="4"/>
    </row>
    <row r="87" spans="1:3" x14ac:dyDescent="0.2">
      <c r="A87" s="3" t="s">
        <v>83</v>
      </c>
      <c r="B87" s="5">
        <f>2000</f>
        <v>2000</v>
      </c>
      <c r="C87" s="5">
        <f>4320</f>
        <v>4320</v>
      </c>
    </row>
    <row r="88" spans="1:3" x14ac:dyDescent="0.2">
      <c r="A88" s="3" t="s">
        <v>84</v>
      </c>
      <c r="B88" s="6">
        <f>(((B84)+(B85))+(B86))+(B87)</f>
        <v>232211</v>
      </c>
      <c r="C88" s="6">
        <f>(((C84)+(C85))+(C86))+(C87)</f>
        <v>83329</v>
      </c>
    </row>
    <row r="89" spans="1:3" x14ac:dyDescent="0.2">
      <c r="A89" s="3" t="s">
        <v>85</v>
      </c>
      <c r="B89" s="4"/>
      <c r="C89" s="4"/>
    </row>
    <row r="90" spans="1:3" x14ac:dyDescent="0.2">
      <c r="A90" s="3" t="s">
        <v>86</v>
      </c>
      <c r="B90" s="5">
        <f>32000</f>
        <v>32000</v>
      </c>
      <c r="C90" s="5">
        <f>32000</f>
        <v>32000</v>
      </c>
    </row>
    <row r="91" spans="1:3" x14ac:dyDescent="0.2">
      <c r="A91" s="3" t="s">
        <v>87</v>
      </c>
      <c r="B91" s="5">
        <f>120000</f>
        <v>120000</v>
      </c>
      <c r="C91" s="4"/>
    </row>
    <row r="92" spans="1:3" x14ac:dyDescent="0.2">
      <c r="A92" s="3" t="s">
        <v>88</v>
      </c>
      <c r="B92" s="5">
        <f>671600</f>
        <v>671600</v>
      </c>
      <c r="C92" s="5">
        <f>496250</f>
        <v>496250</v>
      </c>
    </row>
    <row r="93" spans="1:3" x14ac:dyDescent="0.2">
      <c r="A93" s="3" t="s">
        <v>89</v>
      </c>
      <c r="B93" s="5">
        <f>191629</f>
        <v>191629</v>
      </c>
      <c r="C93" s="5">
        <f>2084329.06</f>
        <v>2084329.06</v>
      </c>
    </row>
    <row r="94" spans="1:3" x14ac:dyDescent="0.2">
      <c r="A94" s="3" t="s">
        <v>90</v>
      </c>
      <c r="B94" s="6">
        <f>((((B89)+(B90))+(B91))+(B92))+(B93)</f>
        <v>1015229</v>
      </c>
      <c r="C94" s="6">
        <f>((((C89)+(C90))+(C91))+(C92))+(C93)</f>
        <v>2612579.06</v>
      </c>
    </row>
    <row r="95" spans="1:3" x14ac:dyDescent="0.2">
      <c r="A95" s="3" t="s">
        <v>91</v>
      </c>
      <c r="B95" s="4"/>
      <c r="C95" s="4"/>
    </row>
    <row r="96" spans="1:3" x14ac:dyDescent="0.2">
      <c r="A96" s="3" t="s">
        <v>92</v>
      </c>
      <c r="B96" s="5">
        <f>24905</f>
        <v>24905</v>
      </c>
      <c r="C96" s="5">
        <f>19609</f>
        <v>19609</v>
      </c>
    </row>
    <row r="97" spans="1:3" x14ac:dyDescent="0.2">
      <c r="A97" s="3" t="s">
        <v>93</v>
      </c>
      <c r="B97" s="5">
        <f>104173</f>
        <v>104173</v>
      </c>
      <c r="C97" s="5">
        <f>72378</f>
        <v>72378</v>
      </c>
    </row>
    <row r="98" spans="1:3" x14ac:dyDescent="0.2">
      <c r="A98" s="3" t="s">
        <v>94</v>
      </c>
      <c r="B98" s="5">
        <f>1460</f>
        <v>1460</v>
      </c>
      <c r="C98" s="5">
        <f>10000</f>
        <v>10000</v>
      </c>
    </row>
    <row r="99" spans="1:3" x14ac:dyDescent="0.2">
      <c r="A99" s="3" t="s">
        <v>95</v>
      </c>
      <c r="B99" s="5">
        <f>6420</f>
        <v>6420</v>
      </c>
      <c r="C99" s="5">
        <f>4670</f>
        <v>4670</v>
      </c>
    </row>
    <row r="100" spans="1:3" x14ac:dyDescent="0.2">
      <c r="A100" s="3" t="s">
        <v>96</v>
      </c>
      <c r="B100" s="6">
        <f>((((B95)+(B96))+(B97))+(B98))+(B99)</f>
        <v>136958</v>
      </c>
      <c r="C100" s="6">
        <f>((((C95)+(C96))+(C97))+(C98))+(C99)</f>
        <v>106657</v>
      </c>
    </row>
    <row r="101" spans="1:3" x14ac:dyDescent="0.2">
      <c r="A101" s="3" t="s">
        <v>97</v>
      </c>
      <c r="B101" s="4"/>
      <c r="C101" s="4"/>
    </row>
    <row r="102" spans="1:3" x14ac:dyDescent="0.2">
      <c r="A102" s="3" t="s">
        <v>98</v>
      </c>
      <c r="B102" s="5">
        <f>5600</f>
        <v>5600</v>
      </c>
      <c r="C102" s="4"/>
    </row>
    <row r="103" spans="1:3" x14ac:dyDescent="0.2">
      <c r="A103" s="3" t="s">
        <v>99</v>
      </c>
      <c r="B103" s="5">
        <f>2200</f>
        <v>2200</v>
      </c>
      <c r="C103" s="5">
        <f>30000</f>
        <v>30000</v>
      </c>
    </row>
    <row r="104" spans="1:3" x14ac:dyDescent="0.2">
      <c r="A104" s="3" t="s">
        <v>100</v>
      </c>
      <c r="B104" s="5">
        <f>41446</f>
        <v>41446</v>
      </c>
      <c r="C104" s="5">
        <f>11397</f>
        <v>11397</v>
      </c>
    </row>
    <row r="105" spans="1:3" x14ac:dyDescent="0.2">
      <c r="A105" s="3" t="s">
        <v>101</v>
      </c>
      <c r="B105" s="6">
        <f>(((B101)+(B102))+(B103))+(B104)</f>
        <v>49246</v>
      </c>
      <c r="C105" s="6">
        <f>(((C101)+(C102))+(C103))+(C104)</f>
        <v>41397</v>
      </c>
    </row>
    <row r="106" spans="1:3" x14ac:dyDescent="0.2">
      <c r="A106" s="3" t="s">
        <v>102</v>
      </c>
      <c r="B106" s="4"/>
      <c r="C106" s="4"/>
    </row>
    <row r="107" spans="1:3" x14ac:dyDescent="0.2">
      <c r="A107" s="3" t="s">
        <v>103</v>
      </c>
      <c r="B107" s="5">
        <f>351259</f>
        <v>351259</v>
      </c>
      <c r="C107" s="5">
        <f>422620</f>
        <v>422620</v>
      </c>
    </row>
    <row r="108" spans="1:3" x14ac:dyDescent="0.2">
      <c r="A108" s="3" t="s">
        <v>104</v>
      </c>
      <c r="B108" s="4"/>
      <c r="C108" s="5">
        <f>0</f>
        <v>0</v>
      </c>
    </row>
    <row r="109" spans="1:3" x14ac:dyDescent="0.2">
      <c r="A109" s="3" t="s">
        <v>105</v>
      </c>
      <c r="B109" s="6">
        <f>((B106)+(B107))+(B108)</f>
        <v>351259</v>
      </c>
      <c r="C109" s="6">
        <f>((C106)+(C107))+(C108)</f>
        <v>422620</v>
      </c>
    </row>
    <row r="110" spans="1:3" x14ac:dyDescent="0.2">
      <c r="A110" s="3" t="s">
        <v>106</v>
      </c>
      <c r="B110" s="4"/>
      <c r="C110" s="4"/>
    </row>
    <row r="111" spans="1:3" x14ac:dyDescent="0.2">
      <c r="A111" s="3" t="s">
        <v>107</v>
      </c>
      <c r="B111" s="5">
        <f>36675</f>
        <v>36675</v>
      </c>
      <c r="C111" s="5">
        <f>33542</f>
        <v>33542</v>
      </c>
    </row>
    <row r="112" spans="1:3" x14ac:dyDescent="0.2">
      <c r="A112" s="3" t="s">
        <v>108</v>
      </c>
      <c r="B112" s="5">
        <f>9180</f>
        <v>9180</v>
      </c>
      <c r="C112" s="5">
        <f>58170</f>
        <v>58170</v>
      </c>
    </row>
    <row r="113" spans="1:3" x14ac:dyDescent="0.2">
      <c r="A113" s="3" t="s">
        <v>109</v>
      </c>
      <c r="B113" s="6">
        <f>((B110)+(B111))+(B112)</f>
        <v>45855</v>
      </c>
      <c r="C113" s="6">
        <f>((C110)+(C111))+(C112)</f>
        <v>91712</v>
      </c>
    </row>
    <row r="114" spans="1:3" x14ac:dyDescent="0.2">
      <c r="A114" s="3" t="s">
        <v>110</v>
      </c>
      <c r="B114" s="4"/>
      <c r="C114" s="4"/>
    </row>
    <row r="115" spans="1:3" x14ac:dyDescent="0.2">
      <c r="A115" s="3" t="s">
        <v>111</v>
      </c>
      <c r="B115" s="5">
        <f>140000</f>
        <v>140000</v>
      </c>
      <c r="C115" s="5">
        <f>0</f>
        <v>0</v>
      </c>
    </row>
    <row r="116" spans="1:3" x14ac:dyDescent="0.2">
      <c r="A116" s="3" t="s">
        <v>112</v>
      </c>
      <c r="B116" s="5">
        <f>167720</f>
        <v>167720</v>
      </c>
      <c r="C116" s="5">
        <f>224556.99</f>
        <v>224556.99</v>
      </c>
    </row>
    <row r="117" spans="1:3" x14ac:dyDescent="0.2">
      <c r="A117" s="3" t="s">
        <v>113</v>
      </c>
      <c r="B117" s="4"/>
      <c r="C117" s="5">
        <f>130000</f>
        <v>130000</v>
      </c>
    </row>
    <row r="118" spans="1:3" x14ac:dyDescent="0.2">
      <c r="A118" s="3" t="s">
        <v>114</v>
      </c>
      <c r="B118" s="6">
        <f>(((B114)+(B115))+(B116))+(B117)</f>
        <v>307720</v>
      </c>
      <c r="C118" s="6">
        <f>(((C114)+(C115))+(C116))+(C117)</f>
        <v>354556.99</v>
      </c>
    </row>
    <row r="119" spans="1:3" x14ac:dyDescent="0.2">
      <c r="A119" s="3" t="s">
        <v>115</v>
      </c>
      <c r="B119" s="4"/>
      <c r="C119" s="4"/>
    </row>
    <row r="120" spans="1:3" x14ac:dyDescent="0.2">
      <c r="A120" s="3" t="s">
        <v>116</v>
      </c>
      <c r="B120" s="5">
        <f>65508</f>
        <v>65508</v>
      </c>
      <c r="C120" s="5">
        <f>14835</f>
        <v>14835</v>
      </c>
    </row>
    <row r="121" spans="1:3" x14ac:dyDescent="0.2">
      <c r="A121" s="3" t="s">
        <v>117</v>
      </c>
      <c r="B121" s="5">
        <f>24080</f>
        <v>24080</v>
      </c>
      <c r="C121" s="5">
        <f>26909</f>
        <v>26909</v>
      </c>
    </row>
    <row r="122" spans="1:3" x14ac:dyDescent="0.2">
      <c r="A122" s="3" t="s">
        <v>118</v>
      </c>
      <c r="B122" s="6">
        <f>((B119)+(B120))+(B121)</f>
        <v>89588</v>
      </c>
      <c r="C122" s="6">
        <f>((C119)+(C120))+(C121)</f>
        <v>41744</v>
      </c>
    </row>
    <row r="123" spans="1:3" x14ac:dyDescent="0.2">
      <c r="A123" s="3" t="s">
        <v>119</v>
      </c>
      <c r="B123" s="6">
        <f>(((((((((B79)+(B83))+(B88))+(B94))+(B100))+(B105))+(B109))+(B113))+(B118))+(B122)</f>
        <v>5269004.25</v>
      </c>
      <c r="C123" s="6">
        <f>(((((((((C79)+(C83))+(C88))+(C94))+(C100))+(C105))+(C109))+(C113))+(C118))+(C122)</f>
        <v>7084384.1100000003</v>
      </c>
    </row>
    <row r="124" spans="1:3" x14ac:dyDescent="0.2">
      <c r="A124" s="3" t="s">
        <v>120</v>
      </c>
      <c r="B124" s="4"/>
      <c r="C124" s="4"/>
    </row>
    <row r="125" spans="1:3" x14ac:dyDescent="0.2">
      <c r="A125" s="3" t="s">
        <v>121</v>
      </c>
      <c r="B125" s="4"/>
      <c r="C125" s="4"/>
    </row>
    <row r="126" spans="1:3" x14ac:dyDescent="0.2">
      <c r="A126" s="3" t="s">
        <v>122</v>
      </c>
      <c r="B126" s="5">
        <f>2731660</f>
        <v>2731660</v>
      </c>
      <c r="C126" s="5">
        <f>1981350</f>
        <v>1981350</v>
      </c>
    </row>
    <row r="127" spans="1:3" x14ac:dyDescent="0.2">
      <c r="A127" s="3" t="s">
        <v>123</v>
      </c>
      <c r="B127" s="5">
        <f>25625.6</f>
        <v>25625.599999999999</v>
      </c>
      <c r="C127" s="5">
        <f>32507.17</f>
        <v>32507.17</v>
      </c>
    </row>
    <row r="128" spans="1:3" x14ac:dyDescent="0.2">
      <c r="A128" s="3" t="s">
        <v>124</v>
      </c>
      <c r="B128" s="5">
        <f>44906</f>
        <v>44906</v>
      </c>
      <c r="C128" s="5">
        <f>251537.64</f>
        <v>251537.64</v>
      </c>
    </row>
    <row r="129" spans="1:3" x14ac:dyDescent="0.2">
      <c r="A129" s="3" t="s">
        <v>125</v>
      </c>
      <c r="B129" s="5">
        <f>1032204</f>
        <v>1032204</v>
      </c>
      <c r="C129" s="5">
        <f>1945110</f>
        <v>1945110</v>
      </c>
    </row>
    <row r="130" spans="1:3" x14ac:dyDescent="0.2">
      <c r="A130" s="3" t="s">
        <v>126</v>
      </c>
      <c r="B130" s="6">
        <f>((((B125)+(B126))+(B127))+(B128))+(B129)</f>
        <v>3834395.6</v>
      </c>
      <c r="C130" s="6">
        <f>((((C125)+(C126))+(C127))+(C128))+(C129)</f>
        <v>4210504.8100000005</v>
      </c>
    </row>
    <row r="131" spans="1:3" x14ac:dyDescent="0.2">
      <c r="A131" s="3" t="s">
        <v>127</v>
      </c>
      <c r="B131" s="6">
        <f>B130</f>
        <v>3834395.6</v>
      </c>
      <c r="C131" s="6">
        <f>C130</f>
        <v>4210504.8100000005</v>
      </c>
    </row>
    <row r="132" spans="1:3" x14ac:dyDescent="0.2">
      <c r="A132" s="3" t="s">
        <v>128</v>
      </c>
      <c r="B132" s="7">
        <f>((((B20)+(B65))-(B58))-(B123))-(B131)</f>
        <v>8119675.2500000019</v>
      </c>
      <c r="C132" s="7">
        <f>((((C20)+(C65))-(C58))-(C123))-(C131)</f>
        <v>12783602.539999994</v>
      </c>
    </row>
    <row r="133" spans="1:3" x14ac:dyDescent="0.2">
      <c r="A133" s="3"/>
      <c r="B133" s="4"/>
      <c r="C133" s="4"/>
    </row>
    <row r="136" spans="1:3" x14ac:dyDescent="0.2">
      <c r="A136" s="10" t="s">
        <v>129</v>
      </c>
      <c r="B136" s="11"/>
      <c r="C136" s="11"/>
    </row>
  </sheetData>
  <mergeCells count="5">
    <mergeCell ref="B5:C5"/>
    <mergeCell ref="A136:C136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Khan</cp:lastModifiedBy>
  <dcterms:created xsi:type="dcterms:W3CDTF">2024-04-07T22:15:43Z</dcterms:created>
  <dcterms:modified xsi:type="dcterms:W3CDTF">2024-04-07T22:15:53Z</dcterms:modified>
</cp:coreProperties>
</file>