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"/>
    </mc:Choice>
  </mc:AlternateContent>
  <xr:revisionPtr revIDLastSave="0" documentId="13_ncr:1_{F605CB00-F355-6B45-90CE-32F0F5823FD2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B132" i="1"/>
  <c r="C131" i="1"/>
  <c r="B131" i="1"/>
  <c r="C130" i="1"/>
  <c r="B130" i="1"/>
  <c r="C129" i="1"/>
  <c r="C133" i="1" s="1"/>
  <c r="C134" i="1" s="1"/>
  <c r="B129" i="1"/>
  <c r="B133" i="1" s="1"/>
  <c r="B134" i="1" s="1"/>
  <c r="C124" i="1"/>
  <c r="B124" i="1"/>
  <c r="C123" i="1"/>
  <c r="C125" i="1" s="1"/>
  <c r="B123" i="1"/>
  <c r="B125" i="1" s="1"/>
  <c r="C120" i="1"/>
  <c r="B120" i="1"/>
  <c r="C119" i="1"/>
  <c r="C121" i="1" s="1"/>
  <c r="B119" i="1"/>
  <c r="B121" i="1" s="1"/>
  <c r="C118" i="1"/>
  <c r="B118" i="1"/>
  <c r="C115" i="1"/>
  <c r="B115" i="1"/>
  <c r="C114" i="1"/>
  <c r="C116" i="1" s="1"/>
  <c r="B114" i="1"/>
  <c r="B116" i="1" s="1"/>
  <c r="C111" i="1"/>
  <c r="B111" i="1"/>
  <c r="C110" i="1"/>
  <c r="C112" i="1" s="1"/>
  <c r="B110" i="1"/>
  <c r="B112" i="1" s="1"/>
  <c r="C107" i="1"/>
  <c r="B107" i="1"/>
  <c r="C106" i="1"/>
  <c r="C108" i="1" s="1"/>
  <c r="B106" i="1"/>
  <c r="B108" i="1" s="1"/>
  <c r="C105" i="1"/>
  <c r="B105" i="1"/>
  <c r="C102" i="1"/>
  <c r="B102" i="1"/>
  <c r="C101" i="1"/>
  <c r="B101" i="1"/>
  <c r="C100" i="1"/>
  <c r="B100" i="1"/>
  <c r="C99" i="1"/>
  <c r="C103" i="1" s="1"/>
  <c r="B99" i="1"/>
  <c r="B103" i="1" s="1"/>
  <c r="C96" i="1"/>
  <c r="B96" i="1"/>
  <c r="B95" i="1"/>
  <c r="C94" i="1"/>
  <c r="B94" i="1"/>
  <c r="B93" i="1"/>
  <c r="C92" i="1"/>
  <c r="C97" i="1" s="1"/>
  <c r="B92" i="1"/>
  <c r="B91" i="1"/>
  <c r="B97" i="1" s="1"/>
  <c r="C89" i="1"/>
  <c r="C88" i="1"/>
  <c r="B88" i="1"/>
  <c r="B87" i="1"/>
  <c r="C86" i="1"/>
  <c r="B86" i="1"/>
  <c r="B89" i="1" s="1"/>
  <c r="B84" i="1"/>
  <c r="C83" i="1"/>
  <c r="B83" i="1"/>
  <c r="C82" i="1"/>
  <c r="C81" i="1"/>
  <c r="C84" i="1" s="1"/>
  <c r="B81" i="1"/>
  <c r="C78" i="1"/>
  <c r="C77" i="1"/>
  <c r="C76" i="1"/>
  <c r="B76" i="1"/>
  <c r="B78" i="1" s="1"/>
  <c r="C74" i="1"/>
  <c r="B74" i="1"/>
  <c r="C72" i="1"/>
  <c r="B72" i="1"/>
  <c r="C71" i="1"/>
  <c r="B71" i="1"/>
  <c r="C70" i="1"/>
  <c r="B70" i="1"/>
  <c r="C69" i="1"/>
  <c r="C73" i="1" s="1"/>
  <c r="C79" i="1" s="1"/>
  <c r="B69" i="1"/>
  <c r="B73" i="1" s="1"/>
  <c r="B79" i="1" s="1"/>
  <c r="C68" i="1"/>
  <c r="C63" i="1"/>
  <c r="B63" i="1"/>
  <c r="C62" i="1"/>
  <c r="C64" i="1" s="1"/>
  <c r="C65" i="1" s="1"/>
  <c r="B62" i="1"/>
  <c r="B64" i="1" s="1"/>
  <c r="B65" i="1" s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C57" i="1" s="1"/>
  <c r="B49" i="1"/>
  <c r="B57" i="1" s="1"/>
  <c r="C46" i="1"/>
  <c r="B46" i="1"/>
  <c r="C45" i="1"/>
  <c r="C47" i="1" s="1"/>
  <c r="B45" i="1"/>
  <c r="C44" i="1"/>
  <c r="B44" i="1"/>
  <c r="B47" i="1" s="1"/>
  <c r="C41" i="1"/>
  <c r="B41" i="1"/>
  <c r="C40" i="1"/>
  <c r="B40" i="1"/>
  <c r="C39" i="1"/>
  <c r="B39" i="1"/>
  <c r="C38" i="1"/>
  <c r="B38" i="1"/>
  <c r="C37" i="1"/>
  <c r="B37" i="1"/>
  <c r="C36" i="1"/>
  <c r="B36" i="1"/>
  <c r="C34" i="1"/>
  <c r="B34" i="1"/>
  <c r="C33" i="1"/>
  <c r="B33" i="1"/>
  <c r="C32" i="1"/>
  <c r="B32" i="1"/>
  <c r="C31" i="1"/>
  <c r="B31" i="1"/>
  <c r="B35" i="1" s="1"/>
  <c r="C30" i="1"/>
  <c r="C35" i="1" s="1"/>
  <c r="B30" i="1"/>
  <c r="C27" i="1"/>
  <c r="B27" i="1"/>
  <c r="C26" i="1"/>
  <c r="B26" i="1"/>
  <c r="C25" i="1"/>
  <c r="B25" i="1"/>
  <c r="C24" i="1"/>
  <c r="C28" i="1" s="1"/>
  <c r="C42" i="1" s="1"/>
  <c r="C58" i="1" s="1"/>
  <c r="B24" i="1"/>
  <c r="B28" i="1" s="1"/>
  <c r="B42" i="1" s="1"/>
  <c r="B58" i="1" s="1"/>
  <c r="C19" i="1"/>
  <c r="B19" i="1"/>
  <c r="C18" i="1"/>
  <c r="B18" i="1"/>
  <c r="C17" i="1"/>
  <c r="B17" i="1"/>
  <c r="C16" i="1"/>
  <c r="B16" i="1"/>
  <c r="C14" i="1"/>
  <c r="B14" i="1"/>
  <c r="C13" i="1"/>
  <c r="C15" i="1" s="1"/>
  <c r="B13" i="1"/>
  <c r="B15" i="1" s="1"/>
  <c r="C11" i="1"/>
  <c r="C10" i="1"/>
  <c r="B10" i="1"/>
  <c r="B11" i="1" s="1"/>
  <c r="C8" i="1"/>
  <c r="C20" i="1" s="1"/>
  <c r="B8" i="1"/>
  <c r="C59" i="1" l="1"/>
  <c r="B126" i="1"/>
  <c r="C126" i="1"/>
  <c r="C135" i="1" s="1"/>
  <c r="B20" i="1"/>
  <c r="B59" i="1" l="1"/>
  <c r="B135" i="1"/>
</calcChain>
</file>

<file path=xl/sharedStrings.xml><?xml version="1.0" encoding="utf-8"?>
<sst xmlns="http://schemas.openxmlformats.org/spreadsheetml/2006/main" count="136" uniqueCount="136">
  <si>
    <t>Total</t>
  </si>
  <si>
    <t>1 Jul, 2023 - 30 Mar, 2024</t>
  </si>
  <si>
    <t>1 Jul, 2022 - 30 Mar, 2023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</si>
  <si>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</si>
  <si>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</si>
  <si>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</si>
  <si>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</si>
  <si>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</si>
  <si>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</si>
  <si>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</si>
  <si>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</si>
  <si>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</si>
  <si>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</si>
  <si>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</si>
  <si>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</si>
  <si>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</si>
  <si>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</si>
  <si>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</si>
  <si>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</si>
  <si>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</si>
  <si>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</si>
  <si>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</si>
  <si>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</si>
  <si>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</si>
  <si>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</si>
  <si>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</si>
  <si>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</si>
  <si>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</si>
  <si>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</si>
  <si>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</si>
  <si>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</si>
  <si>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</si>
  <si>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</si>
  <si>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</si>
  <si>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</si>
  <si>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</si>
  <si>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</si>
  <si>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</si>
  <si>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</si>
  <si>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</si>
  <si>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</si>
  <si>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</si>
  <si>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</si>
  <si>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</si>
  <si>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</si>
  <si>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</si>
  <si>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</si>
  <si>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</si>
  <si>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</si>
  <si>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</si>
  <si>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</si>
  <si>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</si>
  <si>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</si>
  <si>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</si>
  <si>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</si>
  <si>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</si>
  <si>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</si>
  <si>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</si>
  <si>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</si>
  <si>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</si>
  <si>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</si>
  <si>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</si>
  <si>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</si>
  <si>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</si>
  <si>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</si>
  <si>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</si>
  <si>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</si>
  <si>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</si>
  <si>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</si>
  <si>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</si>
  <si>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</si>
  <si>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</si>
  <si>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</si>
  <si>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</si>
  <si>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</si>
  <si>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</si>
  <si>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</si>
  <si>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</si>
  <si>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</si>
  <si>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</si>
  <si>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</si>
  <si>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</si>
  <si>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</si>
  <si>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</si>
  <si>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</si>
  <si>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</si>
  <si>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</si>
  <si>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100401 Audit Fee</t>
  </si>
  <si>
    <t xml:space="preserve">      100402 Filing Fee</t>
  </si>
  <si>
    <t xml:space="preserve">      100403 Legal Services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</si>
  <si>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</si>
  <si>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</si>
  <si>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</si>
  <si>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</si>
  <si>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</si>
  <si>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</si>
  <si>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</si>
  <si>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</si>
  <si>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</si>
  <si>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</si>
  <si>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</si>
  <si>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</si>
  <si>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</si>
  <si>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</si>
  <si>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</si>
  <si>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</si>
  <si>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</si>
  <si>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</si>
  <si>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</si>
  <si>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</si>
  <si>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</si>
  <si>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</si>
  <si>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</si>
  <si>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</si>
  <si>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</si>
  <si>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</si>
  <si>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</si>
  <si>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</si>
  <si>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</si>
  <si>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</si>
  <si>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</si>
  <si>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</si>
  <si>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</si>
  <si>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</si>
  <si>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</si>
  <si>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</si>
  <si>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</si>
  <si>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</si>
  <si>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</si>
  <si>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</si>
  <si>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</si>
  <si>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</si>
  <si>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Saturday, Mar 30, 2024 02:11:39 PM GMT+5 - Accrual Basis</t>
  </si>
  <si>
    <t>Hanif Rajput Catering Services</t>
  </si>
  <si>
    <t>Profit and Loss</t>
  </si>
  <si>
    <t>1 July, 2023 - 30 March,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</si>
</sst>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0.33203125" customWidth="1"/>
    <col min="2" max="3" width="18" customWidth="1"/>
  </cols>
  <sheetData>
    <row r="1" spans="1:3" ht="18" x14ac:dyDescent="0.2">
      <c r="A1" s="12" t="s">
        <v>133</v>
      </c>
      <c r="B1" s="11"/>
      <c r="C1" s="11"/>
    </row>
    <row r="2" spans="1:3" ht="18" x14ac:dyDescent="0.2">
      <c r="A2" s="12" t="s">
        <v>134</v>
      </c>
      <c r="B2" s="11"/>
      <c r="C2" s="11"/>
    </row>
    <row r="3" spans="1:3" x14ac:dyDescent="0.2">
      <c r="A3" s="13" t="s">
        <v>135</v>
      </c>
      <c r="B3" s="11"/>
      <c r="C3" s="11"/>
    </row>
    <row r="5" spans="1:3" x14ac:dyDescent="0.2">
      <c r="A5" s="1"/>
      <c r="B5" s="8" t="s">
        <v>0</v>
      </c>
      <c r="C5" s="9"/>
    </row>
    <row r="6" spans="1:3" ht="27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200839444.89</f>
        <v>200839444.88999999</v>
      </c>
      <c r="C8" s="5">
        <f>182811116.9</f>
        <v>182811116.90000001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12726000</f>
        <v>12726000</v>
      </c>
      <c r="C10" s="5">
        <f>25184739</f>
        <v>25184739</v>
      </c>
    </row>
    <row r="11" spans="1:3" x14ac:dyDescent="0.2">
      <c r="A11" s="3" t="s">
        <v>7</v>
      </c>
      <c r="B11" s="6">
        <f>(B9)+(B10)</f>
        <v>12726000</v>
      </c>
      <c r="C11" s="6">
        <f>(C9)+(C10)</f>
        <v>25184739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81422675.5</f>
        <v>81422675.5</v>
      </c>
      <c r="C13" s="5">
        <f>88376502.44</f>
        <v>88376502.439999998</v>
      </c>
    </row>
    <row r="14" spans="1:3" x14ac:dyDescent="0.2">
      <c r="A14" s="3" t="s">
        <v>10</v>
      </c>
      <c r="B14" s="5">
        <f>5269320.3</f>
        <v>5269320.3</v>
      </c>
      <c r="C14" s="5">
        <f>5794517</f>
        <v>5794517</v>
      </c>
    </row>
    <row r="15" spans="1:3" x14ac:dyDescent="0.2">
      <c r="A15" s="3" t="s">
        <v>11</v>
      </c>
      <c r="B15" s="6">
        <f>((B12)+(B13))+(B14)</f>
        <v>86691995.799999997</v>
      </c>
      <c r="C15" s="6">
        <f>((C12)+(C13))+(C14)</f>
        <v>94171019.439999998</v>
      </c>
    </row>
    <row r="16" spans="1:3" x14ac:dyDescent="0.2">
      <c r="A16" s="3" t="s">
        <v>12</v>
      </c>
      <c r="B16" s="5">
        <f>7870780</f>
        <v>7870780</v>
      </c>
      <c r="C16" s="5">
        <f>7126955</f>
        <v>7126955</v>
      </c>
    </row>
    <row r="17" spans="1:3" x14ac:dyDescent="0.2">
      <c r="A17" s="3" t="s">
        <v>13</v>
      </c>
      <c r="B17" s="5">
        <f>22302630</f>
        <v>22302630</v>
      </c>
      <c r="C17" s="5">
        <f>19585207.1</f>
        <v>19585207.100000001</v>
      </c>
    </row>
    <row r="18" spans="1:3" x14ac:dyDescent="0.2">
      <c r="A18" s="3" t="s">
        <v>14</v>
      </c>
      <c r="B18" s="5">
        <f>982750</f>
        <v>982750</v>
      </c>
      <c r="C18" s="5">
        <f>1670120</f>
        <v>1670120</v>
      </c>
    </row>
    <row r="19" spans="1:3" x14ac:dyDescent="0.2">
      <c r="A19" s="3" t="s">
        <v>15</v>
      </c>
      <c r="B19" s="5">
        <f>1363800</f>
        <v>1363800</v>
      </c>
      <c r="C19" s="5">
        <f>1216600</f>
        <v>1216600</v>
      </c>
    </row>
    <row r="20" spans="1:3" x14ac:dyDescent="0.2">
      <c r="A20" s="3" t="s">
        <v>16</v>
      </c>
      <c r="B20" s="6">
        <f>((((((B8)+(B11))+(B15))+(B16))+(B17))+(B18))+(B19)</f>
        <v>332777400.69</v>
      </c>
      <c r="C20" s="6">
        <f>((((((C8)+(C11))+(C15))+(C16))+(C17))+(C18))+(C19)</f>
        <v>331765757.44000006</v>
      </c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4"/>
      <c r="C23" s="4"/>
    </row>
    <row r="24" spans="1:3" x14ac:dyDescent="0.2">
      <c r="A24" s="3" t="s">
        <v>20</v>
      </c>
      <c r="B24" s="5">
        <f>23775608</f>
        <v>23775608</v>
      </c>
      <c r="C24" s="5">
        <f>24046624</f>
        <v>24046624</v>
      </c>
    </row>
    <row r="25" spans="1:3" x14ac:dyDescent="0.2">
      <c r="A25" s="3" t="s">
        <v>21</v>
      </c>
      <c r="B25" s="5">
        <f>31584301</f>
        <v>31584301</v>
      </c>
      <c r="C25" s="5">
        <f>36158003.28</f>
        <v>36158003.280000001</v>
      </c>
    </row>
    <row r="26" spans="1:3" x14ac:dyDescent="0.2">
      <c r="A26" s="3" t="s">
        <v>22</v>
      </c>
      <c r="B26" s="5">
        <f>5784255</f>
        <v>5784255</v>
      </c>
      <c r="C26" s="5">
        <f>4459168</f>
        <v>4459168</v>
      </c>
    </row>
    <row r="27" spans="1:3" x14ac:dyDescent="0.2">
      <c r="A27" s="3" t="s">
        <v>23</v>
      </c>
      <c r="B27" s="5">
        <f>4083157</f>
        <v>4083157</v>
      </c>
      <c r="C27" s="5">
        <f>4295326</f>
        <v>4295326</v>
      </c>
    </row>
    <row r="28" spans="1:3" x14ac:dyDescent="0.2">
      <c r="A28" s="3" t="s">
        <v>24</v>
      </c>
      <c r="B28" s="6">
        <f>((((B23)+(B24))+(B25))+(B26))+(B27)</f>
        <v>65227321</v>
      </c>
      <c r="C28" s="6">
        <f>((((C23)+(C24))+(C25))+(C26))+(C27)</f>
        <v>68959121.280000001</v>
      </c>
    </row>
    <row r="29" spans="1:3" x14ac:dyDescent="0.2">
      <c r="A29" s="3" t="s">
        <v>25</v>
      </c>
      <c r="B29" s="4"/>
      <c r="C29" s="4"/>
    </row>
    <row r="30" spans="1:3" x14ac:dyDescent="0.2">
      <c r="A30" s="3" t="s">
        <v>26</v>
      </c>
      <c r="B30" s="5">
        <f>7376256</f>
        <v>7376256</v>
      </c>
      <c r="C30" s="5">
        <f>8693172.76</f>
        <v>8693172.7599999998</v>
      </c>
    </row>
    <row r="31" spans="1:3" x14ac:dyDescent="0.2">
      <c r="A31" s="3" t="s">
        <v>27</v>
      </c>
      <c r="B31" s="5">
        <f>4023287</f>
        <v>4023287</v>
      </c>
      <c r="C31" s="5">
        <f>3890931</f>
        <v>3890931</v>
      </c>
    </row>
    <row r="32" spans="1:3" x14ac:dyDescent="0.2">
      <c r="A32" s="3" t="s">
        <v>28</v>
      </c>
      <c r="B32" s="5">
        <f>5914882</f>
        <v>5914882</v>
      </c>
      <c r="C32" s="5">
        <f>5769558</f>
        <v>5769558</v>
      </c>
    </row>
    <row r="33" spans="1:3" x14ac:dyDescent="0.2">
      <c r="A33" s="3" t="s">
        <v>29</v>
      </c>
      <c r="B33" s="5">
        <f>1402006</f>
        <v>1402006</v>
      </c>
      <c r="C33" s="5">
        <f>882653</f>
        <v>882653</v>
      </c>
    </row>
    <row r="34" spans="1:3" x14ac:dyDescent="0.2">
      <c r="A34" s="3" t="s">
        <v>30</v>
      </c>
      <c r="B34" s="5">
        <f>15561741</f>
        <v>15561741</v>
      </c>
      <c r="C34" s="5">
        <f>14325630.78</f>
        <v>14325630.779999999</v>
      </c>
    </row>
    <row r="35" spans="1:3" x14ac:dyDescent="0.2">
      <c r="A35" s="3" t="s">
        <v>31</v>
      </c>
      <c r="B35" s="6">
        <f>(((((B29)+(B30))+(B31))+(B32))+(B33))+(B34)</f>
        <v>34278172</v>
      </c>
      <c r="C35" s="6">
        <f>(((((C29)+(C30))+(C31))+(C32))+(C33))+(C34)</f>
        <v>33561945.539999999</v>
      </c>
    </row>
    <row r="36" spans="1:3" x14ac:dyDescent="0.2">
      <c r="A36" s="3" t="s">
        <v>32</v>
      </c>
      <c r="B36" s="5">
        <f>6995449</f>
        <v>6995449</v>
      </c>
      <c r="C36" s="5">
        <f>9884767</f>
        <v>9884767</v>
      </c>
    </row>
    <row r="37" spans="1:3" x14ac:dyDescent="0.2">
      <c r="A37" s="3" t="s">
        <v>33</v>
      </c>
      <c r="B37" s="5">
        <f>15304457</f>
        <v>15304457</v>
      </c>
      <c r="C37" s="5">
        <f>12683930.74</f>
        <v>12683930.74</v>
      </c>
    </row>
    <row r="38" spans="1:3" x14ac:dyDescent="0.2">
      <c r="A38" s="3" t="s">
        <v>34</v>
      </c>
      <c r="B38" s="5">
        <f>8669529</f>
        <v>8669529</v>
      </c>
      <c r="C38" s="5">
        <f>8412028</f>
        <v>8412028</v>
      </c>
    </row>
    <row r="39" spans="1:3" x14ac:dyDescent="0.2">
      <c r="A39" s="3" t="s">
        <v>35</v>
      </c>
      <c r="B39" s="5">
        <f>5594702</f>
        <v>5594702</v>
      </c>
      <c r="C39" s="5">
        <f>4556449.65</f>
        <v>4556449.6500000004</v>
      </c>
    </row>
    <row r="40" spans="1:3" x14ac:dyDescent="0.2">
      <c r="A40" s="3" t="s">
        <v>36</v>
      </c>
      <c r="B40" s="5">
        <f>6536746.6</f>
        <v>6536746.5999999996</v>
      </c>
      <c r="C40" s="5">
        <f>7117116</f>
        <v>7117116</v>
      </c>
    </row>
    <row r="41" spans="1:3" x14ac:dyDescent="0.2">
      <c r="A41" s="3" t="s">
        <v>37</v>
      </c>
      <c r="B41" s="5">
        <f>5742937</f>
        <v>5742937</v>
      </c>
      <c r="C41" s="5">
        <f>7373230</f>
        <v>7373230</v>
      </c>
    </row>
    <row r="42" spans="1:3" x14ac:dyDescent="0.2">
      <c r="A42" s="3" t="s">
        <v>38</v>
      </c>
      <c r="B42" s="6">
        <f>((((((((B22)+(B28))+(B35))+(B36))+(B37))+(B38))+(B39))+(B40))+(B41)</f>
        <v>148349313.59999999</v>
      </c>
      <c r="C42" s="6">
        <f>((((((((C22)+(C28))+(C35))+(C36))+(C37))+(C38))+(C39))+(C40))+(C41)</f>
        <v>152548588.20999998</v>
      </c>
    </row>
    <row r="43" spans="1:3" x14ac:dyDescent="0.2">
      <c r="A43" s="3" t="s">
        <v>39</v>
      </c>
      <c r="B43" s="4"/>
      <c r="C43" s="4"/>
    </row>
    <row r="44" spans="1:3" x14ac:dyDescent="0.2">
      <c r="A44" s="3" t="s">
        <v>40</v>
      </c>
      <c r="B44" s="5">
        <f>41346905</f>
        <v>41346905</v>
      </c>
      <c r="C44" s="5">
        <f>35983987.33</f>
        <v>35983987.329999998</v>
      </c>
    </row>
    <row r="45" spans="1:3" x14ac:dyDescent="0.2">
      <c r="A45" s="3" t="s">
        <v>41</v>
      </c>
      <c r="B45" s="5">
        <f>6910950</f>
        <v>6910950</v>
      </c>
      <c r="C45" s="5">
        <f>5625265</f>
        <v>5625265</v>
      </c>
    </row>
    <row r="46" spans="1:3" x14ac:dyDescent="0.2">
      <c r="A46" s="3" t="s">
        <v>42</v>
      </c>
      <c r="B46" s="5">
        <f>7100965</f>
        <v>7100965</v>
      </c>
      <c r="C46" s="5">
        <f>8354416</f>
        <v>8354416</v>
      </c>
    </row>
    <row r="47" spans="1:3" x14ac:dyDescent="0.2">
      <c r="A47" s="3" t="s">
        <v>43</v>
      </c>
      <c r="B47" s="6">
        <f>(((B43)+(B44))+(B45))+(B46)</f>
        <v>55358820</v>
      </c>
      <c r="C47" s="6">
        <f>(((C43)+(C44))+(C45))+(C46)</f>
        <v>49963668.329999998</v>
      </c>
    </row>
    <row r="48" spans="1:3" x14ac:dyDescent="0.2">
      <c r="A48" s="3" t="s">
        <v>44</v>
      </c>
      <c r="B48" s="4"/>
      <c r="C48" s="4"/>
    </row>
    <row r="49" spans="1:3" x14ac:dyDescent="0.2">
      <c r="A49" s="3" t="s">
        <v>45</v>
      </c>
      <c r="B49" s="5">
        <f>13197737</f>
        <v>13197737</v>
      </c>
      <c r="C49" s="5">
        <f>10508556</f>
        <v>10508556</v>
      </c>
    </row>
    <row r="50" spans="1:3" x14ac:dyDescent="0.2">
      <c r="A50" s="3" t="s">
        <v>46</v>
      </c>
      <c r="B50" s="5">
        <f>17422851.79</f>
        <v>17422851.789999999</v>
      </c>
      <c r="C50" s="5">
        <f>12200143</f>
        <v>12200143</v>
      </c>
    </row>
    <row r="51" spans="1:3" x14ac:dyDescent="0.2">
      <c r="A51" s="3" t="s">
        <v>47</v>
      </c>
      <c r="B51" s="5">
        <f>12291882</f>
        <v>12291882</v>
      </c>
      <c r="C51" s="5">
        <f>13212231.3</f>
        <v>13212231.300000001</v>
      </c>
    </row>
    <row r="52" spans="1:3" x14ac:dyDescent="0.2">
      <c r="A52" s="3" t="s">
        <v>48</v>
      </c>
      <c r="B52" s="5">
        <f>1805990</f>
        <v>1805990</v>
      </c>
      <c r="C52" s="5">
        <f>2415726</f>
        <v>2415726</v>
      </c>
    </row>
    <row r="53" spans="1:3" x14ac:dyDescent="0.2">
      <c r="A53" s="3" t="s">
        <v>49</v>
      </c>
      <c r="B53" s="5">
        <f>1001124</f>
        <v>1001124</v>
      </c>
      <c r="C53" s="5">
        <f>1237494</f>
        <v>1237494</v>
      </c>
    </row>
    <row r="54" spans="1:3" x14ac:dyDescent="0.2">
      <c r="A54" s="3" t="s">
        <v>50</v>
      </c>
      <c r="B54" s="5">
        <f>2181098</f>
        <v>2181098</v>
      </c>
      <c r="C54" s="5">
        <f>3069841</f>
        <v>3069841</v>
      </c>
    </row>
    <row r="55" spans="1:3" x14ac:dyDescent="0.2">
      <c r="A55" s="3" t="s">
        <v>51</v>
      </c>
      <c r="B55" s="5">
        <f>2114206</f>
        <v>2114206</v>
      </c>
      <c r="C55" s="5">
        <f>1604134</f>
        <v>1604134</v>
      </c>
    </row>
    <row r="56" spans="1:3" x14ac:dyDescent="0.2">
      <c r="A56" s="3" t="s">
        <v>52</v>
      </c>
      <c r="B56" s="5">
        <f>883200</f>
        <v>883200</v>
      </c>
      <c r="C56" s="5">
        <f>425000</f>
        <v>425000</v>
      </c>
    </row>
    <row r="57" spans="1:3" x14ac:dyDescent="0.2">
      <c r="A57" s="3" t="s">
        <v>53</v>
      </c>
      <c r="B57" s="6">
        <f>((((((((B48)+(B49))+(B50))+(B51))+(B52))+(B53))+(B54))+(B55))+(B56)</f>
        <v>50898088.789999999</v>
      </c>
      <c r="C57" s="6">
        <f>((((((((C48)+(C49))+(C50))+(C51))+(C52))+(C53))+(C54))+(C55))+(C56)</f>
        <v>44673125.299999997</v>
      </c>
    </row>
    <row r="58" spans="1:3" x14ac:dyDescent="0.2">
      <c r="A58" s="3" t="s">
        <v>54</v>
      </c>
      <c r="B58" s="6">
        <f>((B42)+(B47))+(B57)</f>
        <v>254606222.38999999</v>
      </c>
      <c r="C58" s="6">
        <f>((C42)+(C47))+(C57)</f>
        <v>247185381.83999997</v>
      </c>
    </row>
    <row r="59" spans="1:3" x14ac:dyDescent="0.2">
      <c r="A59" s="3" t="s">
        <v>55</v>
      </c>
      <c r="B59" s="6">
        <f>(B20)-(B58)</f>
        <v>78171178.300000012</v>
      </c>
      <c r="C59" s="6">
        <f>(C20)-(C58)</f>
        <v>84580375.600000083</v>
      </c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4"/>
      <c r="C61" s="4"/>
    </row>
    <row r="62" spans="1:3" x14ac:dyDescent="0.2">
      <c r="A62" s="3" t="s">
        <v>58</v>
      </c>
      <c r="B62" s="5">
        <f>55434336</f>
        <v>55434336</v>
      </c>
      <c r="C62" s="5">
        <f>36022691</f>
        <v>36022691</v>
      </c>
    </row>
    <row r="63" spans="1:3" x14ac:dyDescent="0.2">
      <c r="A63" s="3" t="s">
        <v>59</v>
      </c>
      <c r="B63" s="5">
        <f>8682243.5</f>
        <v>8682243.5</v>
      </c>
      <c r="C63" s="5">
        <f>5866710.52</f>
        <v>5866710.5199999996</v>
      </c>
    </row>
    <row r="64" spans="1:3" x14ac:dyDescent="0.2">
      <c r="A64" s="3" t="s">
        <v>60</v>
      </c>
      <c r="B64" s="6">
        <f>((B61)+(B62))+(B63)</f>
        <v>64116579.5</v>
      </c>
      <c r="C64" s="6">
        <f>((C61)+(C62))+(C63)</f>
        <v>41889401.519999996</v>
      </c>
    </row>
    <row r="65" spans="1:3" x14ac:dyDescent="0.2">
      <c r="A65" s="3" t="s">
        <v>61</v>
      </c>
      <c r="B65" s="6">
        <f>B64</f>
        <v>64116579.5</v>
      </c>
      <c r="C65" s="6">
        <f>C64</f>
        <v>41889401.519999996</v>
      </c>
    </row>
    <row r="66" spans="1:3" x14ac:dyDescent="0.2">
      <c r="A66" s="3" t="s">
        <v>62</v>
      </c>
      <c r="B66" s="4"/>
      <c r="C66" s="4"/>
    </row>
    <row r="67" spans="1:3" x14ac:dyDescent="0.2">
      <c r="A67" s="3" t="s">
        <v>63</v>
      </c>
      <c r="B67" s="4"/>
      <c r="C67" s="4"/>
    </row>
    <row r="68" spans="1:3" x14ac:dyDescent="0.2">
      <c r="A68" s="3" t="s">
        <v>64</v>
      </c>
      <c r="B68" s="4"/>
      <c r="C68" s="5">
        <f>8357523.67</f>
        <v>8357523.6699999999</v>
      </c>
    </row>
    <row r="69" spans="1:3" x14ac:dyDescent="0.2">
      <c r="A69" s="3" t="s">
        <v>65</v>
      </c>
      <c r="B69" s="5">
        <f>5879250</f>
        <v>5879250</v>
      </c>
      <c r="C69" s="5">
        <f>2019583</f>
        <v>2019583</v>
      </c>
    </row>
    <row r="70" spans="1:3" x14ac:dyDescent="0.2">
      <c r="A70" s="3" t="s">
        <v>66</v>
      </c>
      <c r="B70" s="5">
        <f>403667</f>
        <v>403667</v>
      </c>
      <c r="C70" s="5">
        <f>783333</f>
        <v>783333</v>
      </c>
    </row>
    <row r="71" spans="1:3" x14ac:dyDescent="0.2">
      <c r="A71" s="3" t="s">
        <v>67</v>
      </c>
      <c r="B71" s="5">
        <f>9639449</f>
        <v>9639449</v>
      </c>
      <c r="C71" s="5">
        <f>2308648</f>
        <v>2308648</v>
      </c>
    </row>
    <row r="72" spans="1:3" x14ac:dyDescent="0.2">
      <c r="A72" s="3" t="s">
        <v>68</v>
      </c>
      <c r="B72" s="5">
        <f>3327771</f>
        <v>3327771</v>
      </c>
      <c r="C72" s="5">
        <f>934851</f>
        <v>934851</v>
      </c>
    </row>
    <row r="73" spans="1:3" x14ac:dyDescent="0.2">
      <c r="A73" s="3" t="s">
        <v>69</v>
      </c>
      <c r="B73" s="6">
        <f>((((B68)+(B69))+(B70))+(B71))+(B72)</f>
        <v>19250137</v>
      </c>
      <c r="C73" s="6">
        <f>((((C68)+(C69))+(C70))+(C71))+(C72)</f>
        <v>14403938.67</v>
      </c>
    </row>
    <row r="74" spans="1:3" x14ac:dyDescent="0.2">
      <c r="A74" s="3" t="s">
        <v>70</v>
      </c>
      <c r="B74" s="5">
        <f>2445084.25</f>
        <v>2445084.25</v>
      </c>
      <c r="C74" s="5">
        <f>1480077.75</f>
        <v>1480077.75</v>
      </c>
    </row>
    <row r="75" spans="1:3" x14ac:dyDescent="0.2">
      <c r="A75" s="3" t="s">
        <v>71</v>
      </c>
      <c r="B75" s="4"/>
      <c r="C75" s="4"/>
    </row>
    <row r="76" spans="1:3" x14ac:dyDescent="0.2">
      <c r="A76" s="3" t="s">
        <v>72</v>
      </c>
      <c r="B76" s="5">
        <f>3022807</f>
        <v>3022807</v>
      </c>
      <c r="C76" s="5">
        <f>2321785</f>
        <v>2321785</v>
      </c>
    </row>
    <row r="77" spans="1:3" x14ac:dyDescent="0.2">
      <c r="A77" s="3" t="s">
        <v>73</v>
      </c>
      <c r="B77" s="4"/>
      <c r="C77" s="5">
        <f>3037878.37</f>
        <v>3037878.37</v>
      </c>
    </row>
    <row r="78" spans="1:3" x14ac:dyDescent="0.2">
      <c r="A78" s="3" t="s">
        <v>74</v>
      </c>
      <c r="B78" s="6">
        <f>((B75)+(B76))+(B77)</f>
        <v>3022807</v>
      </c>
      <c r="C78" s="6">
        <f>((C75)+(C76))+(C77)</f>
        <v>5359663.37</v>
      </c>
    </row>
    <row r="79" spans="1:3" x14ac:dyDescent="0.2">
      <c r="A79" s="3" t="s">
        <v>75</v>
      </c>
      <c r="B79" s="6">
        <f>(((B67)+(B73))+(B74))+(B78)</f>
        <v>24718028.25</v>
      </c>
      <c r="C79" s="6">
        <f>(((C67)+(C73))+(C74))+(C78)</f>
        <v>21243679.789999999</v>
      </c>
    </row>
    <row r="80" spans="1:3" x14ac:dyDescent="0.2">
      <c r="A80" s="3" t="s">
        <v>76</v>
      </c>
      <c r="B80" s="4"/>
      <c r="C80" s="4"/>
    </row>
    <row r="81" spans="1:3" x14ac:dyDescent="0.2">
      <c r="A81" s="3" t="s">
        <v>77</v>
      </c>
      <c r="B81" s="5">
        <f>2800700</f>
        <v>2800700</v>
      </c>
      <c r="C81" s="5">
        <f>1697583</f>
        <v>1697583</v>
      </c>
    </row>
    <row r="82" spans="1:3" x14ac:dyDescent="0.2">
      <c r="A82" s="3" t="s">
        <v>78</v>
      </c>
      <c r="B82" s="4"/>
      <c r="C82" s="5">
        <f>27500</f>
        <v>27500</v>
      </c>
    </row>
    <row r="83" spans="1:3" x14ac:dyDescent="0.2">
      <c r="A83" s="3" t="s">
        <v>79</v>
      </c>
      <c r="B83" s="5">
        <f>6790</f>
        <v>6790</v>
      </c>
      <c r="C83" s="5">
        <f>6970</f>
        <v>6970</v>
      </c>
    </row>
    <row r="84" spans="1:3" x14ac:dyDescent="0.2">
      <c r="A84" s="3" t="s">
        <v>80</v>
      </c>
      <c r="B84" s="6">
        <f>(((B80)+(B81))+(B82))+(B83)</f>
        <v>2807490</v>
      </c>
      <c r="C84" s="6">
        <f>(((C80)+(C81))+(C82))+(C83)</f>
        <v>1732053</v>
      </c>
    </row>
    <row r="85" spans="1:3" x14ac:dyDescent="0.2">
      <c r="A85" s="3" t="s">
        <v>81</v>
      </c>
      <c r="B85" s="4"/>
      <c r="C85" s="4"/>
    </row>
    <row r="86" spans="1:3" x14ac:dyDescent="0.2">
      <c r="A86" s="3" t="s">
        <v>82</v>
      </c>
      <c r="B86" s="5">
        <f>1598528</f>
        <v>1598528</v>
      </c>
      <c r="C86" s="5">
        <f>756247</f>
        <v>756247</v>
      </c>
    </row>
    <row r="87" spans="1:3" x14ac:dyDescent="0.2">
      <c r="A87" s="3" t="s">
        <v>83</v>
      </c>
      <c r="B87" s="5">
        <f>129290</f>
        <v>129290</v>
      </c>
      <c r="C87" s="4"/>
    </row>
    <row r="88" spans="1:3" x14ac:dyDescent="0.2">
      <c r="A88" s="3" t="s">
        <v>84</v>
      </c>
      <c r="B88" s="5">
        <f>50020</f>
        <v>50020</v>
      </c>
      <c r="C88" s="5">
        <f>70740</f>
        <v>70740</v>
      </c>
    </row>
    <row r="89" spans="1:3" x14ac:dyDescent="0.2">
      <c r="A89" s="3" t="s">
        <v>85</v>
      </c>
      <c r="B89" s="6">
        <f>(((B85)+(B86))+(B87))+(B88)</f>
        <v>1777838</v>
      </c>
      <c r="C89" s="6">
        <f>(((C85)+(C86))+(C87))+(C88)</f>
        <v>826987</v>
      </c>
    </row>
    <row r="90" spans="1:3" x14ac:dyDescent="0.2">
      <c r="A90" s="3" t="s">
        <v>86</v>
      </c>
      <c r="B90" s="4"/>
      <c r="C90" s="4"/>
    </row>
    <row r="91" spans="1:3" x14ac:dyDescent="0.2">
      <c r="A91" s="3" t="s">
        <v>87</v>
      </c>
      <c r="B91" s="5">
        <f>32000</f>
        <v>32000</v>
      </c>
      <c r="C91" s="4"/>
    </row>
    <row r="92" spans="1:3" x14ac:dyDescent="0.2">
      <c r="A92" s="3" t="s">
        <v>88</v>
      </c>
      <c r="B92" s="5">
        <f>288000</f>
        <v>288000</v>
      </c>
      <c r="C92" s="5">
        <f>288000</f>
        <v>288000</v>
      </c>
    </row>
    <row r="93" spans="1:3" x14ac:dyDescent="0.2">
      <c r="A93" s="3" t="s">
        <v>89</v>
      </c>
      <c r="B93" s="5">
        <f>120000</f>
        <v>120000</v>
      </c>
      <c r="C93" s="4"/>
    </row>
    <row r="94" spans="1:3" x14ac:dyDescent="0.2">
      <c r="A94" s="3" t="s">
        <v>90</v>
      </c>
      <c r="B94" s="5">
        <f>4789650</f>
        <v>4789650</v>
      </c>
      <c r="C94" s="5">
        <f>4308401.5</f>
        <v>4308401.5</v>
      </c>
    </row>
    <row r="95" spans="1:3" x14ac:dyDescent="0.2">
      <c r="A95" s="3" t="s">
        <v>91</v>
      </c>
      <c r="B95" s="5">
        <f>30770</f>
        <v>30770</v>
      </c>
      <c r="C95" s="4"/>
    </row>
    <row r="96" spans="1:3" x14ac:dyDescent="0.2">
      <c r="A96" s="3" t="s">
        <v>92</v>
      </c>
      <c r="B96" s="5">
        <f>3280680.47</f>
        <v>3280680.47</v>
      </c>
      <c r="C96" s="5">
        <f>2846447.9</f>
        <v>2846447.9</v>
      </c>
    </row>
    <row r="97" spans="1:3" x14ac:dyDescent="0.2">
      <c r="A97" s="3" t="s">
        <v>93</v>
      </c>
      <c r="B97" s="6">
        <f>((((((B90)+(B91))+(B92))+(B93))+(B94))+(B95))+(B96)</f>
        <v>8541100.4700000007</v>
      </c>
      <c r="C97" s="6">
        <f>((((((C90)+(C91))+(C92))+(C93))+(C94))+(C95))+(C96)</f>
        <v>7442849.4000000004</v>
      </c>
    </row>
    <row r="98" spans="1:3" x14ac:dyDescent="0.2">
      <c r="A98" s="3" t="s">
        <v>94</v>
      </c>
      <c r="B98" s="4"/>
      <c r="C98" s="4"/>
    </row>
    <row r="99" spans="1:3" x14ac:dyDescent="0.2">
      <c r="A99" s="3" t="s">
        <v>95</v>
      </c>
      <c r="B99" s="5">
        <f>220383</f>
        <v>220383</v>
      </c>
      <c r="C99" s="5">
        <f>193694</f>
        <v>193694</v>
      </c>
    </row>
    <row r="100" spans="1:3" x14ac:dyDescent="0.2">
      <c r="A100" s="3" t="s">
        <v>96</v>
      </c>
      <c r="B100" s="5">
        <f>747479.21</f>
        <v>747479.21</v>
      </c>
      <c r="C100" s="5">
        <f>465364</f>
        <v>465364</v>
      </c>
    </row>
    <row r="101" spans="1:3" x14ac:dyDescent="0.2">
      <c r="A101" s="3" t="s">
        <v>97</v>
      </c>
      <c r="B101" s="5">
        <f>12849</f>
        <v>12849</v>
      </c>
      <c r="C101" s="5">
        <f>31456</f>
        <v>31456</v>
      </c>
    </row>
    <row r="102" spans="1:3" x14ac:dyDescent="0.2">
      <c r="A102" s="3" t="s">
        <v>98</v>
      </c>
      <c r="B102" s="5">
        <f>48920</f>
        <v>48920</v>
      </c>
      <c r="C102" s="5">
        <f>36939</f>
        <v>36939</v>
      </c>
    </row>
    <row r="103" spans="1:3" x14ac:dyDescent="0.2">
      <c r="A103" s="3" t="s">
        <v>99</v>
      </c>
      <c r="B103" s="6">
        <f>((((B98)+(B99))+(B100))+(B101))+(B102)</f>
        <v>1029631.21</v>
      </c>
      <c r="C103" s="6">
        <f>((((C98)+(C99))+(C100))+(C101))+(C102)</f>
        <v>727453</v>
      </c>
    </row>
    <row r="104" spans="1:3" x14ac:dyDescent="0.2">
      <c r="A104" s="3" t="s">
        <v>100</v>
      </c>
      <c r="B104" s="4"/>
      <c r="C104" s="4"/>
    </row>
    <row r="105" spans="1:3" x14ac:dyDescent="0.2">
      <c r="A105" s="3" t="s">
        <v>101</v>
      </c>
      <c r="B105" s="5">
        <f>257905</f>
        <v>257905</v>
      </c>
      <c r="C105" s="5">
        <f>41900</f>
        <v>41900</v>
      </c>
    </row>
    <row r="106" spans="1:3" x14ac:dyDescent="0.2">
      <c r="A106" s="3" t="s">
        <v>102</v>
      </c>
      <c r="B106" s="5">
        <f>275954</f>
        <v>275954</v>
      </c>
      <c r="C106" s="5">
        <f>204125</f>
        <v>204125</v>
      </c>
    </row>
    <row r="107" spans="1:3" x14ac:dyDescent="0.2">
      <c r="A107" s="3" t="s">
        <v>103</v>
      </c>
      <c r="B107" s="5">
        <f>492164</f>
        <v>492164</v>
      </c>
      <c r="C107" s="5">
        <f>225887</f>
        <v>225887</v>
      </c>
    </row>
    <row r="108" spans="1:3" x14ac:dyDescent="0.2">
      <c r="A108" s="3" t="s">
        <v>104</v>
      </c>
      <c r="B108" s="6">
        <f>(((B104)+(B105))+(B106))+(B107)</f>
        <v>1026023</v>
      </c>
      <c r="C108" s="6">
        <f>(((C104)+(C105))+(C106))+(C107)</f>
        <v>471912</v>
      </c>
    </row>
    <row r="109" spans="1:3" x14ac:dyDescent="0.2">
      <c r="A109" s="3" t="s">
        <v>105</v>
      </c>
      <c r="B109" s="4"/>
      <c r="C109" s="4"/>
    </row>
    <row r="110" spans="1:3" x14ac:dyDescent="0.2">
      <c r="A110" s="3" t="s">
        <v>106</v>
      </c>
      <c r="B110" s="5">
        <f>3789629</f>
        <v>3789629</v>
      </c>
      <c r="C110" s="5">
        <f>3003078</f>
        <v>3003078</v>
      </c>
    </row>
    <row r="111" spans="1:3" x14ac:dyDescent="0.2">
      <c r="A111" s="3" t="s">
        <v>107</v>
      </c>
      <c r="B111" s="5">
        <f>0</f>
        <v>0</v>
      </c>
      <c r="C111" s="5">
        <f>32530</f>
        <v>32530</v>
      </c>
    </row>
    <row r="112" spans="1:3" x14ac:dyDescent="0.2">
      <c r="A112" s="3" t="s">
        <v>108</v>
      </c>
      <c r="B112" s="6">
        <f>((B109)+(B110))+(B111)</f>
        <v>3789629</v>
      </c>
      <c r="C112" s="6">
        <f>((C109)+(C110))+(C111)</f>
        <v>3035608</v>
      </c>
    </row>
    <row r="113" spans="1:3" x14ac:dyDescent="0.2">
      <c r="A113" s="3" t="s">
        <v>109</v>
      </c>
      <c r="B113" s="4"/>
      <c r="C113" s="4"/>
    </row>
    <row r="114" spans="1:3" x14ac:dyDescent="0.2">
      <c r="A114" s="3" t="s">
        <v>110</v>
      </c>
      <c r="B114" s="5">
        <f>463537</f>
        <v>463537</v>
      </c>
      <c r="C114" s="5">
        <f>227642</f>
        <v>227642</v>
      </c>
    </row>
    <row r="115" spans="1:3" x14ac:dyDescent="0.2">
      <c r="A115" s="3" t="s">
        <v>111</v>
      </c>
      <c r="B115" s="5">
        <f>352883</f>
        <v>352883</v>
      </c>
      <c r="C115" s="5">
        <f>377189</f>
        <v>377189</v>
      </c>
    </row>
    <row r="116" spans="1:3" x14ac:dyDescent="0.2">
      <c r="A116" s="3" t="s">
        <v>112</v>
      </c>
      <c r="B116" s="6">
        <f>((B113)+(B114))+(B115)</f>
        <v>816420</v>
      </c>
      <c r="C116" s="6">
        <f>((C113)+(C114))+(C115)</f>
        <v>604831</v>
      </c>
    </row>
    <row r="117" spans="1:3" x14ac:dyDescent="0.2">
      <c r="A117" s="3" t="s">
        <v>113</v>
      </c>
      <c r="B117" s="4"/>
      <c r="C117" s="4"/>
    </row>
    <row r="118" spans="1:3" x14ac:dyDescent="0.2">
      <c r="A118" s="3" t="s">
        <v>114</v>
      </c>
      <c r="B118" s="5">
        <f>1380000</f>
        <v>1380000</v>
      </c>
      <c r="C118" s="5">
        <f>783750</f>
        <v>783750</v>
      </c>
    </row>
    <row r="119" spans="1:3" x14ac:dyDescent="0.2">
      <c r="A119" s="3" t="s">
        <v>115</v>
      </c>
      <c r="B119" s="5">
        <f>2509617.52</f>
        <v>2509617.52</v>
      </c>
      <c r="C119" s="5">
        <f>1514299.81</f>
        <v>1514299.81</v>
      </c>
    </row>
    <row r="120" spans="1:3" x14ac:dyDescent="0.2">
      <c r="A120" s="3" t="s">
        <v>116</v>
      </c>
      <c r="B120" s="5">
        <f>40000</f>
        <v>40000</v>
      </c>
      <c r="C120" s="5">
        <f>229446</f>
        <v>229446</v>
      </c>
    </row>
    <row r="121" spans="1:3" x14ac:dyDescent="0.2">
      <c r="A121" s="3" t="s">
        <v>117</v>
      </c>
      <c r="B121" s="6">
        <f>(((B117)+(B118))+(B119))+(B120)</f>
        <v>3929617.52</v>
      </c>
      <c r="C121" s="6">
        <f>(((C117)+(C118))+(C119))+(C120)</f>
        <v>2527495.81</v>
      </c>
    </row>
    <row r="122" spans="1:3" x14ac:dyDescent="0.2">
      <c r="A122" s="3" t="s">
        <v>118</v>
      </c>
      <c r="B122" s="4"/>
      <c r="C122" s="4"/>
    </row>
    <row r="123" spans="1:3" x14ac:dyDescent="0.2">
      <c r="A123" s="3" t="s">
        <v>119</v>
      </c>
      <c r="B123" s="5">
        <f>143870.39</f>
        <v>143870.39000000001</v>
      </c>
      <c r="C123" s="5">
        <f>155572</f>
        <v>155572</v>
      </c>
    </row>
    <row r="124" spans="1:3" x14ac:dyDescent="0.2">
      <c r="A124" s="3" t="s">
        <v>120</v>
      </c>
      <c r="B124" s="5">
        <f>209201</f>
        <v>209201</v>
      </c>
      <c r="C124" s="5">
        <f>219981</f>
        <v>219981</v>
      </c>
    </row>
    <row r="125" spans="1:3" x14ac:dyDescent="0.2">
      <c r="A125" s="3" t="s">
        <v>121</v>
      </c>
      <c r="B125" s="6">
        <f>((B122)+(B123))+(B124)</f>
        <v>353071.39</v>
      </c>
      <c r="C125" s="6">
        <f>((C122)+(C123))+(C124)</f>
        <v>375553</v>
      </c>
    </row>
    <row r="126" spans="1:3" x14ac:dyDescent="0.2">
      <c r="A126" s="3" t="s">
        <v>122</v>
      </c>
      <c r="B126" s="6">
        <f>(((((((((B79)+(B84))+(B89))+(B97))+(B103))+(B108))+(B112))+(B116))+(B121))+(B125)</f>
        <v>48788848.840000004</v>
      </c>
      <c r="C126" s="6">
        <f>(((((((((C79)+(C84))+(C89))+(C97))+(C103))+(C108))+(C112))+(C116))+(C121))+(C125)</f>
        <v>38988422</v>
      </c>
    </row>
    <row r="127" spans="1:3" x14ac:dyDescent="0.2">
      <c r="A127" s="3" t="s">
        <v>123</v>
      </c>
      <c r="B127" s="4"/>
      <c r="C127" s="4"/>
    </row>
    <row r="128" spans="1:3" x14ac:dyDescent="0.2">
      <c r="A128" s="3" t="s">
        <v>124</v>
      </c>
      <c r="B128" s="4"/>
      <c r="C128" s="4"/>
    </row>
    <row r="129" spans="1:3" x14ac:dyDescent="0.2">
      <c r="A129" s="3" t="s">
        <v>125</v>
      </c>
      <c r="B129" s="5">
        <f>26320006</f>
        <v>26320006</v>
      </c>
      <c r="C129" s="5">
        <f>30439970</f>
        <v>30439970</v>
      </c>
    </row>
    <row r="130" spans="1:3" x14ac:dyDescent="0.2">
      <c r="A130" s="3" t="s">
        <v>126</v>
      </c>
      <c r="B130" s="5">
        <f>284725.23</f>
        <v>284725.23</v>
      </c>
      <c r="C130" s="5">
        <f>100473.75</f>
        <v>100473.75</v>
      </c>
    </row>
    <row r="131" spans="1:3" x14ac:dyDescent="0.2">
      <c r="A131" s="3" t="s">
        <v>127</v>
      </c>
      <c r="B131" s="5">
        <f>153555</f>
        <v>153555</v>
      </c>
      <c r="C131" s="5">
        <f>4949160.1</f>
        <v>4949160.0999999996</v>
      </c>
    </row>
    <row r="132" spans="1:3" x14ac:dyDescent="0.2">
      <c r="A132" s="3" t="s">
        <v>128</v>
      </c>
      <c r="B132" s="5">
        <f>12796500</f>
        <v>12796500</v>
      </c>
      <c r="C132" s="5">
        <f>10029516</f>
        <v>10029516</v>
      </c>
    </row>
    <row r="133" spans="1:3" x14ac:dyDescent="0.2">
      <c r="A133" s="3" t="s">
        <v>129</v>
      </c>
      <c r="B133" s="6">
        <f>((((B128)+(B129))+(B130))+(B131))+(B132)</f>
        <v>39554786.230000004</v>
      </c>
      <c r="C133" s="6">
        <f>((((C128)+(C129))+(C130))+(C131))+(C132)</f>
        <v>45519119.850000001</v>
      </c>
    </row>
    <row r="134" spans="1:3" x14ac:dyDescent="0.2">
      <c r="A134" s="3" t="s">
        <v>130</v>
      </c>
      <c r="B134" s="6">
        <f>B133</f>
        <v>39554786.230000004</v>
      </c>
      <c r="C134" s="6">
        <f>C133</f>
        <v>45519119.850000001</v>
      </c>
    </row>
    <row r="135" spans="1:3" x14ac:dyDescent="0.2">
      <c r="A135" s="3" t="s">
        <v>131</v>
      </c>
      <c r="B135" s="7">
        <f>((((B20)+(B65))-(B58))-(B126))-(B134)</f>
        <v>53944122.730000004</v>
      </c>
      <c r="C135" s="7">
        <f>((((C20)+(C65))-(C58))-(C126))-(C134)</f>
        <v>41962235.270000063</v>
      </c>
    </row>
    <row r="136" spans="1:3" x14ac:dyDescent="0.2">
      <c r="A136" s="3"/>
      <c r="B136" s="4"/>
      <c r="C136" s="4"/>
    </row>
    <row r="139" spans="1:3" x14ac:dyDescent="0.2">
      <c r="A139" s="10" t="s">
        <v>132</v>
      </c>
      <c r="B139" s="11"/>
      <c r="C139" s="11"/>
    </row>
  </sheetData>
  <mergeCells count="5">
    <mergeCell ref="B5:C5"/>
    <mergeCell ref="A139:C139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2024-03-30T09:11:39Z</dcterms:created>
  <dcterms:modified xsi:type="dcterms:W3CDTF">2024-03-30T09:11:55Z</dcterms:modified>
</cp:coreProperties>
</file>