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nan/Downloads/"/>
    </mc:Choice>
  </mc:AlternateContent>
  <xr:revisionPtr revIDLastSave="0" documentId="13_ncr:1_{8191B1B9-7D78-654F-A512-821CE2037569}" xr6:coauthVersionLast="47" xr6:coauthVersionMax="47" xr10:uidLastSave="{00000000-0000-0000-0000-000000000000}"/>
  <bookViews>
    <workbookView xWindow="0" yWindow="500" windowWidth="40960" windowHeight="21000" xr2:uid="{00000000-000D-0000-FFFF-FFFF00000000}"/>
  </bookViews>
  <sheets>
    <sheet name="Profit and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8" i="1" l="1"/>
  <c r="C97" i="1"/>
  <c r="C98" i="1" s="1"/>
  <c r="B97" i="1"/>
  <c r="C94" i="1"/>
  <c r="C93" i="1"/>
  <c r="B93" i="1"/>
  <c r="C92" i="1"/>
  <c r="B92" i="1"/>
  <c r="B91" i="1"/>
  <c r="B89" i="1"/>
  <c r="C88" i="1"/>
  <c r="C87" i="1"/>
  <c r="B87" i="1"/>
  <c r="C86" i="1"/>
  <c r="C89" i="1" s="1"/>
  <c r="B86" i="1"/>
  <c r="C83" i="1"/>
  <c r="B83" i="1"/>
  <c r="C82" i="1"/>
  <c r="C84" i="1" s="1"/>
  <c r="B81" i="1"/>
  <c r="B84" i="1" s="1"/>
  <c r="C79" i="1"/>
  <c r="B79" i="1"/>
  <c r="C78" i="1"/>
  <c r="B78" i="1"/>
  <c r="C76" i="1"/>
  <c r="C75" i="1"/>
  <c r="C74" i="1"/>
  <c r="B74" i="1"/>
  <c r="B76" i="1" s="1"/>
  <c r="C73" i="1"/>
  <c r="B73" i="1"/>
  <c r="C70" i="1"/>
  <c r="B70" i="1"/>
  <c r="C69" i="1"/>
  <c r="C71" i="1" s="1"/>
  <c r="B69" i="1"/>
  <c r="B71" i="1" s="1"/>
  <c r="C66" i="1"/>
  <c r="B66" i="1"/>
  <c r="C65" i="1"/>
  <c r="C67" i="1" s="1"/>
  <c r="C64" i="1"/>
  <c r="B64" i="1"/>
  <c r="B67" i="1" s="1"/>
  <c r="C61" i="1"/>
  <c r="B61" i="1"/>
  <c r="C59" i="1"/>
  <c r="B59" i="1"/>
  <c r="C58" i="1"/>
  <c r="C60" i="1" s="1"/>
  <c r="C62" i="1" s="1"/>
  <c r="B58" i="1"/>
  <c r="B60" i="1" s="1"/>
  <c r="B62" i="1" s="1"/>
  <c r="B95" i="1" s="1"/>
  <c r="C57" i="1"/>
  <c r="B57" i="1"/>
  <c r="C53" i="1"/>
  <c r="B53" i="1"/>
  <c r="C52" i="1"/>
  <c r="B52" i="1"/>
  <c r="C47" i="1"/>
  <c r="B47" i="1"/>
  <c r="C46" i="1"/>
  <c r="B46" i="1"/>
  <c r="C45" i="1"/>
  <c r="B45" i="1"/>
  <c r="C44" i="1"/>
  <c r="C48" i="1" s="1"/>
  <c r="B44" i="1"/>
  <c r="B48" i="1" s="1"/>
  <c r="C43" i="1"/>
  <c r="B43" i="1"/>
  <c r="C41" i="1"/>
  <c r="B41" i="1"/>
  <c r="C40" i="1"/>
  <c r="B40" i="1"/>
  <c r="C37" i="1"/>
  <c r="B37" i="1"/>
  <c r="C36" i="1"/>
  <c r="B36" i="1"/>
  <c r="C35" i="1"/>
  <c r="B35" i="1"/>
  <c r="C34" i="1"/>
  <c r="B34" i="1"/>
  <c r="C33" i="1"/>
  <c r="B33" i="1"/>
  <c r="C32" i="1"/>
  <c r="B32" i="1"/>
  <c r="C30" i="1"/>
  <c r="B30" i="1"/>
  <c r="C29" i="1"/>
  <c r="B29" i="1"/>
  <c r="C28" i="1"/>
  <c r="B28" i="1"/>
  <c r="C27" i="1"/>
  <c r="B27" i="1"/>
  <c r="C26" i="1"/>
  <c r="C31" i="1" s="1"/>
  <c r="B26" i="1"/>
  <c r="B31" i="1" s="1"/>
  <c r="C23" i="1"/>
  <c r="B23" i="1"/>
  <c r="C22" i="1"/>
  <c r="B22" i="1"/>
  <c r="C21" i="1"/>
  <c r="B21" i="1"/>
  <c r="C20" i="1"/>
  <c r="C24" i="1" s="1"/>
  <c r="C38" i="1" s="1"/>
  <c r="C49" i="1" s="1"/>
  <c r="B20" i="1"/>
  <c r="B24" i="1" s="1"/>
  <c r="B38" i="1" s="1"/>
  <c r="B49" i="1" s="1"/>
  <c r="C15" i="1"/>
  <c r="B15" i="1"/>
  <c r="C14" i="1"/>
  <c r="B14" i="1"/>
  <c r="C13" i="1"/>
  <c r="B13" i="1"/>
  <c r="C11" i="1"/>
  <c r="B11" i="1"/>
  <c r="C10" i="1"/>
  <c r="C12" i="1" s="1"/>
  <c r="C16" i="1" s="1"/>
  <c r="B10" i="1"/>
  <c r="B12" i="1" s="1"/>
  <c r="B16" i="1" s="1"/>
  <c r="C8" i="1"/>
  <c r="B8" i="1"/>
  <c r="B50" i="1" l="1"/>
  <c r="B99" i="1"/>
  <c r="C99" i="1"/>
  <c r="C50" i="1"/>
  <c r="C95" i="1"/>
</calcChain>
</file>

<file path=xl/sharedStrings.xml><?xml version="1.0" encoding="utf-8"?>
<sst xmlns="http://schemas.openxmlformats.org/spreadsheetml/2006/main" count="100" uniqueCount="100">
  <si>
    <t>Total</t>
  </si>
  <si>
    <t>Feb 2024</t>
  </si>
  <si>
    <t>Nov 2023 (PP)</t>
  </si>
  <si>
    <t>Income</t>
  </si>
  <si>
    <t xml:space="preserve">   19 Food &amp; Menu Sale</t>
  </si>
  <si>
    <t xml:space="preserve">   20 Beverages</t>
  </si>
  <si>
    <t xml:space="preserve">      2001 Bar</t>
  </si>
  <si>
    <t xml:space="preserve">      2002 Other Beverages</t>
  </si>
  <si>
    <t xml:space="preserve">   Total 20 Beverages</t>
  </si>
  <si>
    <t xml:space="preserve">   21 Dawat Box</t>
  </si>
  <si>
    <t xml:space="preserve">   22 Food Panda</t>
  </si>
  <si>
    <t xml:space="preserve">   24 Other Services</t>
  </si>
  <si>
    <t>Total Income</t>
  </si>
  <si>
    <t>Cost of Sales</t>
  </si>
  <si>
    <t xml:space="preserve">   25 Supplies and Materials</t>
  </si>
  <si>
    <t xml:space="preserve">      2501 Meat</t>
  </si>
  <si>
    <t xml:space="preserve">         250101 Mutton</t>
  </si>
  <si>
    <t xml:space="preserve">         250102 Chicken</t>
  </si>
  <si>
    <t xml:space="preserve">         250103 Beef</t>
  </si>
  <si>
    <t xml:space="preserve">         250104 Fish &amp; Prawns</t>
  </si>
  <si>
    <t xml:space="preserve">      Total 2501 Meat</t>
  </si>
  <si>
    <t xml:space="preserve">      2502 Dry Stock</t>
  </si>
  <si>
    <t xml:space="preserve">         250201 Oil</t>
  </si>
  <si>
    <t xml:space="preserve">         250202 Flour</t>
  </si>
  <si>
    <t xml:space="preserve">         250203 Rice</t>
  </si>
  <si>
    <t xml:space="preserve">         250204 Sugar</t>
  </si>
  <si>
    <t xml:space="preserve">         250205 Other Dry Stock</t>
  </si>
  <si>
    <t xml:space="preserve">      Total 2502 Dry Stock</t>
  </si>
  <si>
    <t xml:space="preserve">      2503 Outsourced Food</t>
  </si>
  <si>
    <t xml:space="preserve">      2504 Dairy &amp; Bakery Items</t>
  </si>
  <si>
    <t xml:space="preserve">      2505 Vegetables &amp; Fruits</t>
  </si>
  <si>
    <t xml:space="preserve">      2506 Beverages &amp; Soft Drinks</t>
  </si>
  <si>
    <t xml:space="preserve">      2507 Other Consumables</t>
  </si>
  <si>
    <t xml:space="preserve">      2508 Disposable Material</t>
  </si>
  <si>
    <t xml:space="preserve">   Total 25 Supplies and Materials</t>
  </si>
  <si>
    <t xml:space="preserve">   26 Cost of Labour</t>
  </si>
  <si>
    <t xml:space="preserve">      2601 Salaries- Operation Staff</t>
  </si>
  <si>
    <t xml:space="preserve">   Total 26 Cost of Labour</t>
  </si>
  <si>
    <t xml:space="preserve">   27 Cost of Overheads</t>
  </si>
  <si>
    <t xml:space="preserve">      2701 Restaurant Rent</t>
  </si>
  <si>
    <t xml:space="preserve">      2702 Utilitites</t>
  </si>
  <si>
    <t xml:space="preserve">      2703 Fuel &amp; Transporation</t>
  </si>
  <si>
    <t xml:space="preserve">      2704 Repair &amp; Maintenance</t>
  </si>
  <si>
    <t xml:space="preserve">      2705 Laundry</t>
  </si>
  <si>
    <t xml:space="preserve">   Total 27 Cost of Overheads</t>
  </si>
  <si>
    <t>Total Cost of Sales</t>
  </si>
  <si>
    <t>Gross Profit</t>
  </si>
  <si>
    <t>Other Income(Loss)</t>
  </si>
  <si>
    <t xml:space="preserve">   47 Others</t>
  </si>
  <si>
    <t>Total Other Income(Loss)</t>
  </si>
  <si>
    <t>Expenses</t>
  </si>
  <si>
    <t xml:space="preserve">   28 Salaries &amp; Benefits</t>
  </si>
  <si>
    <t xml:space="preserve">      2801 Salaries - Non Operation Staff</t>
  </si>
  <si>
    <t xml:space="preserve">         280101 Sales</t>
  </si>
  <si>
    <t xml:space="preserve">         280103 Accounts &amp; Finance</t>
  </si>
  <si>
    <t xml:space="preserve">         280104 Admin &amp; HR</t>
  </si>
  <si>
    <t xml:space="preserve">      Total 2801 Salaries - Non Operation Staff</t>
  </si>
  <si>
    <t xml:space="preserve">      2802 Other Benefits (Direct &amp; Indirect)</t>
  </si>
  <si>
    <t xml:space="preserve">   Total 28 Salaries &amp; Benefits</t>
  </si>
  <si>
    <t xml:space="preserve">   30 Legal &amp; Professional Charges</t>
  </si>
  <si>
    <t xml:space="preserve">      3003 Legal Services</t>
  </si>
  <si>
    <t xml:space="preserve">      3005 Registration Fee</t>
  </si>
  <si>
    <t xml:space="preserve">      3006 Dues &amp; Subscriptions</t>
  </si>
  <si>
    <t xml:space="preserve">   Total 30 Legal &amp; Professional Charges</t>
  </si>
  <si>
    <t xml:space="preserve">   31 Communication Charges</t>
  </si>
  <si>
    <t xml:space="preserve">      3102 Mobile Charges</t>
  </si>
  <si>
    <t xml:space="preserve">      3104 Telephone Bill</t>
  </si>
  <si>
    <t xml:space="preserve">   Total 31 Communication Charges</t>
  </si>
  <si>
    <t xml:space="preserve">   32 Repair &amp; Maintenance</t>
  </si>
  <si>
    <t xml:space="preserve">      3201 Equipment Repair &amp; Maintenance</t>
  </si>
  <si>
    <t xml:space="preserve">      3202 Vehicle Repair &amp; Maintenance</t>
  </si>
  <si>
    <t xml:space="preserve">      3205 Building Repair &amp; Maintenance</t>
  </si>
  <si>
    <t xml:space="preserve">   Total 32 Repair &amp; Maintenance</t>
  </si>
  <si>
    <t xml:space="preserve">   33 Travelling &amp; Conveyance</t>
  </si>
  <si>
    <t xml:space="preserve">      3303 Transportation &amp; Carriage</t>
  </si>
  <si>
    <t xml:space="preserve">   Total 33 Travelling &amp; Conveyance</t>
  </si>
  <si>
    <t xml:space="preserve">   34 Office Supplies &amp; Stationary</t>
  </si>
  <si>
    <t xml:space="preserve">      3401 Office Supplies</t>
  </si>
  <si>
    <t xml:space="preserve">      3402 Other Printing</t>
  </si>
  <si>
    <t xml:space="preserve">      3404 Stationary Expense</t>
  </si>
  <si>
    <t xml:space="preserve">   Total 34 Office Supplies &amp; Stationary</t>
  </si>
  <si>
    <t xml:space="preserve">   35 Advertisement &amp; Publicity</t>
  </si>
  <si>
    <t xml:space="preserve">      3501 Agency Fee</t>
  </si>
  <si>
    <t xml:space="preserve">      3502 Ad Spend</t>
  </si>
  <si>
    <t xml:space="preserve">      3503 Ad Production</t>
  </si>
  <si>
    <t xml:space="preserve">   Total 35 Advertisement &amp; Publicity</t>
  </si>
  <si>
    <t xml:space="preserve">   36 Food &amp; Entertainment</t>
  </si>
  <si>
    <t xml:space="preserve">      3602 Staff Food</t>
  </si>
  <si>
    <t xml:space="preserve">   Total 36 Food &amp; Entertainment</t>
  </si>
  <si>
    <t xml:space="preserve">   37 Cleaning, Washing &amp; Janitorial Expenses</t>
  </si>
  <si>
    <t xml:space="preserve">   40 Misc Expenses</t>
  </si>
  <si>
    <t>Total Expenses</t>
  </si>
  <si>
    <t>Other Expenses</t>
  </si>
  <si>
    <t xml:space="preserve">   49 Bank Service Charges</t>
  </si>
  <si>
    <t>Total Other Expenses</t>
  </si>
  <si>
    <t>Net Earnings</t>
  </si>
  <si>
    <t>Friday, Mar 29, 2024 12:45:35 AM GMT+5 - Accrual Basis</t>
  </si>
  <si>
    <t>Hanif Rajput-Roof Top Grill</t>
  </si>
  <si>
    <t>Profit and Loss</t>
  </si>
  <si>
    <t>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</si>
</sst>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PRs&quot;* #,##0.00\ _€"/>
  </numFmts>
  <fonts count="6" x14ac:knownFonts="1">
    <font>
      <sz val="11"/>
      <color indexed="8"/>
      <name val="Aptos Narrow"/>
      <family val="2"/>
      <scheme val="minor"/>
    </font>
    <font>
      <b/>
      <sz val="9"/>
      <color indexed="8"/>
      <name val="Arial"/>
    </font>
    <font>
      <b/>
      <sz val="8"/>
      <color indexed="8"/>
      <name val="Arial"/>
    </font>
    <font>
      <sz val="8"/>
      <color indexed="8"/>
      <name val="Arial"/>
    </font>
    <font>
      <b/>
      <sz val="14"/>
      <color indexed="8"/>
      <name val="Arial"/>
    </font>
    <font>
      <b/>
      <sz val="10"/>
      <color indexed="8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3"/>
  <sheetViews>
    <sheetView tabSelected="1" workbookViewId="0">
      <selection activeCell="F10" sqref="F10"/>
    </sheetView>
  </sheetViews>
  <sheetFormatPr baseColWidth="10" defaultColWidth="8.83203125" defaultRowHeight="15" x14ac:dyDescent="0.2"/>
  <cols>
    <col min="1" max="1" width="41.1640625" customWidth="1"/>
    <col min="2" max="3" width="16.33203125" customWidth="1"/>
  </cols>
  <sheetData>
    <row r="1" spans="1:3" ht="18" x14ac:dyDescent="0.2">
      <c r="A1" s="12" t="s">
        <v>97</v>
      </c>
      <c r="B1" s="11"/>
      <c r="C1" s="11"/>
    </row>
    <row r="2" spans="1:3" ht="18" x14ac:dyDescent="0.2">
      <c r="A2" s="12" t="s">
        <v>98</v>
      </c>
      <c r="B2" s="11"/>
      <c r="C2" s="11"/>
    </row>
    <row r="3" spans="1:3" x14ac:dyDescent="0.2">
      <c r="A3" s="13" t="s">
        <v>99</v>
      </c>
      <c r="B3" s="11"/>
      <c r="C3" s="11"/>
    </row>
    <row r="5" spans="1:3" x14ac:dyDescent="0.2">
      <c r="A5" s="1"/>
      <c r="B5" s="8" t="s">
        <v>0</v>
      </c>
      <c r="C5" s="9"/>
    </row>
    <row r="6" spans="1:3" x14ac:dyDescent="0.2">
      <c r="A6" s="1"/>
      <c r="B6" s="2" t="s">
        <v>1</v>
      </c>
      <c r="C6" s="2" t="s">
        <v>2</v>
      </c>
    </row>
    <row r="7" spans="1:3" x14ac:dyDescent="0.2">
      <c r="A7" s="3" t="s">
        <v>3</v>
      </c>
      <c r="B7" s="4"/>
      <c r="C7" s="4"/>
    </row>
    <row r="8" spans="1:3" x14ac:dyDescent="0.2">
      <c r="A8" s="3" t="s">
        <v>4</v>
      </c>
      <c r="B8" s="5">
        <f>10387147.68</f>
        <v>10387147.68</v>
      </c>
      <c r="C8" s="5">
        <f>8593215.15</f>
        <v>8593215.1500000004</v>
      </c>
    </row>
    <row r="9" spans="1:3" x14ac:dyDescent="0.2">
      <c r="A9" s="3" t="s">
        <v>5</v>
      </c>
      <c r="B9" s="4"/>
      <c r="C9" s="4"/>
    </row>
    <row r="10" spans="1:3" x14ac:dyDescent="0.2">
      <c r="A10" s="3" t="s">
        <v>6</v>
      </c>
      <c r="B10" s="5">
        <f>193411.5</f>
        <v>193411.5</v>
      </c>
      <c r="C10" s="5">
        <f>171651</f>
        <v>171651</v>
      </c>
    </row>
    <row r="11" spans="1:3" x14ac:dyDescent="0.2">
      <c r="A11" s="3" t="s">
        <v>7</v>
      </c>
      <c r="B11" s="5">
        <f>480384</f>
        <v>480384</v>
      </c>
      <c r="C11" s="5">
        <f>487730</f>
        <v>487730</v>
      </c>
    </row>
    <row r="12" spans="1:3" x14ac:dyDescent="0.2">
      <c r="A12" s="3" t="s">
        <v>8</v>
      </c>
      <c r="B12" s="6">
        <f>((B9)+(B10))+(B11)</f>
        <v>673795.5</v>
      </c>
      <c r="C12" s="6">
        <f>((C9)+(C10))+(C11)</f>
        <v>659381</v>
      </c>
    </row>
    <row r="13" spans="1:3" x14ac:dyDescent="0.2">
      <c r="A13" s="3" t="s">
        <v>9</v>
      </c>
      <c r="B13" s="5">
        <f>72575</f>
        <v>72575</v>
      </c>
      <c r="C13" s="5">
        <f>402590</f>
        <v>402590</v>
      </c>
    </row>
    <row r="14" spans="1:3" x14ac:dyDescent="0.2">
      <c r="A14" s="3" t="s">
        <v>10</v>
      </c>
      <c r="B14" s="5">
        <f>49402</f>
        <v>49402</v>
      </c>
      <c r="C14" s="5">
        <f>65700.95</f>
        <v>65700.95</v>
      </c>
    </row>
    <row r="15" spans="1:3" x14ac:dyDescent="0.2">
      <c r="A15" s="3" t="s">
        <v>11</v>
      </c>
      <c r="B15" s="5">
        <f>208319.27</f>
        <v>208319.27</v>
      </c>
      <c r="C15" s="5">
        <f>176543.58</f>
        <v>176543.58</v>
      </c>
    </row>
    <row r="16" spans="1:3" x14ac:dyDescent="0.2">
      <c r="A16" s="3" t="s">
        <v>12</v>
      </c>
      <c r="B16" s="6">
        <f>((((B8)+(B12))+(B13))+(B14))+(B15)</f>
        <v>11391239.449999999</v>
      </c>
      <c r="C16" s="6">
        <f>((((C8)+(C12))+(C13))+(C14))+(C15)</f>
        <v>9897430.6799999997</v>
      </c>
    </row>
    <row r="17" spans="1:3" x14ac:dyDescent="0.2">
      <c r="A17" s="3" t="s">
        <v>13</v>
      </c>
      <c r="B17" s="4"/>
      <c r="C17" s="4"/>
    </row>
    <row r="18" spans="1:3" x14ac:dyDescent="0.2">
      <c r="A18" s="3" t="s">
        <v>14</v>
      </c>
      <c r="B18" s="4"/>
      <c r="C18" s="4"/>
    </row>
    <row r="19" spans="1:3" x14ac:dyDescent="0.2">
      <c r="A19" s="3" t="s">
        <v>15</v>
      </c>
      <c r="B19" s="4"/>
      <c r="C19" s="4"/>
    </row>
    <row r="20" spans="1:3" x14ac:dyDescent="0.2">
      <c r="A20" s="3" t="s">
        <v>16</v>
      </c>
      <c r="B20" s="5">
        <f>762178</f>
        <v>762178</v>
      </c>
      <c r="C20" s="5">
        <f>643501</f>
        <v>643501</v>
      </c>
    </row>
    <row r="21" spans="1:3" x14ac:dyDescent="0.2">
      <c r="A21" s="3" t="s">
        <v>17</v>
      </c>
      <c r="B21" s="5">
        <f>1686495</f>
        <v>1686495</v>
      </c>
      <c r="C21" s="5">
        <f>1089110</f>
        <v>1089110</v>
      </c>
    </row>
    <row r="22" spans="1:3" x14ac:dyDescent="0.2">
      <c r="A22" s="3" t="s">
        <v>18</v>
      </c>
      <c r="B22" s="5">
        <f>130090</f>
        <v>130090</v>
      </c>
      <c r="C22" s="5">
        <f>123246</f>
        <v>123246</v>
      </c>
    </row>
    <row r="23" spans="1:3" x14ac:dyDescent="0.2">
      <c r="A23" s="3" t="s">
        <v>19</v>
      </c>
      <c r="B23" s="5">
        <f>77790</f>
        <v>77790</v>
      </c>
      <c r="C23" s="5">
        <f>48901</f>
        <v>48901</v>
      </c>
    </row>
    <row r="24" spans="1:3" x14ac:dyDescent="0.2">
      <c r="A24" s="3" t="s">
        <v>20</v>
      </c>
      <c r="B24" s="6">
        <f>((((B19)+(B20))+(B21))+(B22))+(B23)</f>
        <v>2656553</v>
      </c>
      <c r="C24" s="6">
        <f>((((C19)+(C20))+(C21))+(C22))+(C23)</f>
        <v>1904758</v>
      </c>
    </row>
    <row r="25" spans="1:3" x14ac:dyDescent="0.2">
      <c r="A25" s="3" t="s">
        <v>21</v>
      </c>
      <c r="B25" s="4"/>
      <c r="C25" s="4"/>
    </row>
    <row r="26" spans="1:3" x14ac:dyDescent="0.2">
      <c r="A26" s="3" t="s">
        <v>22</v>
      </c>
      <c r="B26" s="5">
        <f>248763</f>
        <v>248763</v>
      </c>
      <c r="C26" s="5">
        <f>244105</f>
        <v>244105</v>
      </c>
    </row>
    <row r="27" spans="1:3" x14ac:dyDescent="0.2">
      <c r="A27" s="3" t="s">
        <v>23</v>
      </c>
      <c r="B27" s="5">
        <f>153613</f>
        <v>153613</v>
      </c>
      <c r="C27" s="5">
        <f>171683</f>
        <v>171683</v>
      </c>
    </row>
    <row r="28" spans="1:3" x14ac:dyDescent="0.2">
      <c r="A28" s="3" t="s">
        <v>24</v>
      </c>
      <c r="B28" s="5">
        <f>83432</f>
        <v>83432</v>
      </c>
      <c r="C28" s="5">
        <f>73056</f>
        <v>73056</v>
      </c>
    </row>
    <row r="29" spans="1:3" x14ac:dyDescent="0.2">
      <c r="A29" s="3" t="s">
        <v>25</v>
      </c>
      <c r="B29" s="5">
        <f>25366</f>
        <v>25366</v>
      </c>
      <c r="C29" s="5">
        <f>10714</f>
        <v>10714</v>
      </c>
    </row>
    <row r="30" spans="1:3" x14ac:dyDescent="0.2">
      <c r="A30" s="3" t="s">
        <v>26</v>
      </c>
      <c r="B30" s="5">
        <f>590607</f>
        <v>590607</v>
      </c>
      <c r="C30" s="5">
        <f>550789</f>
        <v>550789</v>
      </c>
    </row>
    <row r="31" spans="1:3" x14ac:dyDescent="0.2">
      <c r="A31" s="3" t="s">
        <v>27</v>
      </c>
      <c r="B31" s="6">
        <f>(((((B25)+(B26))+(B27))+(B28))+(B29))+(B30)</f>
        <v>1101781</v>
      </c>
      <c r="C31" s="6">
        <f>(((((C25)+(C26))+(C27))+(C28))+(C29))+(C30)</f>
        <v>1050347</v>
      </c>
    </row>
    <row r="32" spans="1:3" x14ac:dyDescent="0.2">
      <c r="A32" s="3" t="s">
        <v>28</v>
      </c>
      <c r="B32" s="5">
        <f>221170</f>
        <v>221170</v>
      </c>
      <c r="C32" s="5">
        <f>107006</f>
        <v>107006</v>
      </c>
    </row>
    <row r="33" spans="1:3" x14ac:dyDescent="0.2">
      <c r="A33" s="3" t="s">
        <v>29</v>
      </c>
      <c r="B33" s="5">
        <f>462482</f>
        <v>462482</v>
      </c>
      <c r="C33" s="5">
        <f>383984</f>
        <v>383984</v>
      </c>
    </row>
    <row r="34" spans="1:3" x14ac:dyDescent="0.2">
      <c r="A34" s="3" t="s">
        <v>30</v>
      </c>
      <c r="B34" s="5">
        <f>413833</f>
        <v>413833</v>
      </c>
      <c r="C34" s="5">
        <f>362322</f>
        <v>362322</v>
      </c>
    </row>
    <row r="35" spans="1:3" x14ac:dyDescent="0.2">
      <c r="A35" s="3" t="s">
        <v>31</v>
      </c>
      <c r="B35" s="5">
        <f>268823</f>
        <v>268823</v>
      </c>
      <c r="C35" s="5">
        <f>253052</f>
        <v>253052</v>
      </c>
    </row>
    <row r="36" spans="1:3" x14ac:dyDescent="0.2">
      <c r="A36" s="3" t="s">
        <v>32</v>
      </c>
      <c r="B36" s="5">
        <f>203024</f>
        <v>203024</v>
      </c>
      <c r="C36" s="5">
        <f>165021</f>
        <v>165021</v>
      </c>
    </row>
    <row r="37" spans="1:3" x14ac:dyDescent="0.2">
      <c r="A37" s="3" t="s">
        <v>33</v>
      </c>
      <c r="B37" s="5">
        <f>93154</f>
        <v>93154</v>
      </c>
      <c r="C37" s="5">
        <f>124642</f>
        <v>124642</v>
      </c>
    </row>
    <row r="38" spans="1:3" x14ac:dyDescent="0.2">
      <c r="A38" s="3" t="s">
        <v>34</v>
      </c>
      <c r="B38" s="6">
        <f>((((((((B18)+(B24))+(B31))+(B32))+(B33))+(B34))+(B35))+(B36))+(B37)</f>
        <v>5420820</v>
      </c>
      <c r="C38" s="6">
        <f>((((((((C18)+(C24))+(C31))+(C32))+(C33))+(C34))+(C35))+(C36))+(C37)</f>
        <v>4351132</v>
      </c>
    </row>
    <row r="39" spans="1:3" x14ac:dyDescent="0.2">
      <c r="A39" s="3" t="s">
        <v>35</v>
      </c>
      <c r="B39" s="4"/>
      <c r="C39" s="4"/>
    </row>
    <row r="40" spans="1:3" x14ac:dyDescent="0.2">
      <c r="A40" s="3" t="s">
        <v>36</v>
      </c>
      <c r="B40" s="5">
        <f>1672133</f>
        <v>1672133</v>
      </c>
      <c r="C40" s="5">
        <f>1569734</f>
        <v>1569734</v>
      </c>
    </row>
    <row r="41" spans="1:3" x14ac:dyDescent="0.2">
      <c r="A41" s="3" t="s">
        <v>37</v>
      </c>
      <c r="B41" s="6">
        <f>(B39)+(B40)</f>
        <v>1672133</v>
      </c>
      <c r="C41" s="6">
        <f>(C39)+(C40)</f>
        <v>1569734</v>
      </c>
    </row>
    <row r="42" spans="1:3" x14ac:dyDescent="0.2">
      <c r="A42" s="3" t="s">
        <v>38</v>
      </c>
      <c r="B42" s="4"/>
      <c r="C42" s="4"/>
    </row>
    <row r="43" spans="1:3" x14ac:dyDescent="0.2">
      <c r="A43" s="3" t="s">
        <v>39</v>
      </c>
      <c r="B43" s="5">
        <f>1106060</f>
        <v>1106060</v>
      </c>
      <c r="C43" s="5">
        <f>925668</f>
        <v>925668</v>
      </c>
    </row>
    <row r="44" spans="1:3" x14ac:dyDescent="0.2">
      <c r="A44" s="3" t="s">
        <v>40</v>
      </c>
      <c r="B44" s="5">
        <f>1688023</f>
        <v>1688023</v>
      </c>
      <c r="C44" s="5">
        <f>1009609</f>
        <v>1009609</v>
      </c>
    </row>
    <row r="45" spans="1:3" x14ac:dyDescent="0.2">
      <c r="A45" s="3" t="s">
        <v>41</v>
      </c>
      <c r="B45" s="5">
        <f>33920</f>
        <v>33920</v>
      </c>
      <c r="C45" s="5">
        <f>42820</f>
        <v>42820</v>
      </c>
    </row>
    <row r="46" spans="1:3" x14ac:dyDescent="0.2">
      <c r="A46" s="3" t="s">
        <v>42</v>
      </c>
      <c r="B46" s="5">
        <f>3290</f>
        <v>3290</v>
      </c>
      <c r="C46" s="5">
        <f>5660</f>
        <v>5660</v>
      </c>
    </row>
    <row r="47" spans="1:3" x14ac:dyDescent="0.2">
      <c r="A47" s="3" t="s">
        <v>43</v>
      </c>
      <c r="B47" s="5">
        <f>50000</f>
        <v>50000</v>
      </c>
      <c r="C47" s="5">
        <f>52220</f>
        <v>52220</v>
      </c>
    </row>
    <row r="48" spans="1:3" x14ac:dyDescent="0.2">
      <c r="A48" s="3" t="s">
        <v>44</v>
      </c>
      <c r="B48" s="6">
        <f>(((((B42)+(B43))+(B44))+(B45))+(B46))+(B47)</f>
        <v>2881293</v>
      </c>
      <c r="C48" s="6">
        <f>(((((C42)+(C43))+(C44))+(C45))+(C46))+(C47)</f>
        <v>2035977</v>
      </c>
    </row>
    <row r="49" spans="1:3" x14ac:dyDescent="0.2">
      <c r="A49" s="3" t="s">
        <v>45</v>
      </c>
      <c r="B49" s="6">
        <f>((B38)+(B41))+(B48)</f>
        <v>9974246</v>
      </c>
      <c r="C49" s="6">
        <f>((C38)+(C41))+(C48)</f>
        <v>7956843</v>
      </c>
    </row>
    <row r="50" spans="1:3" x14ac:dyDescent="0.2">
      <c r="A50" s="3" t="s">
        <v>46</v>
      </c>
      <c r="B50" s="6">
        <f>(B16)-(B49)</f>
        <v>1416993.4499999993</v>
      </c>
      <c r="C50" s="6">
        <f>(C16)-(C49)</f>
        <v>1940587.6799999997</v>
      </c>
    </row>
    <row r="51" spans="1:3" x14ac:dyDescent="0.2">
      <c r="A51" s="3" t="s">
        <v>47</v>
      </c>
      <c r="B51" s="4"/>
      <c r="C51" s="4"/>
    </row>
    <row r="52" spans="1:3" x14ac:dyDescent="0.2">
      <c r="A52" s="3" t="s">
        <v>48</v>
      </c>
      <c r="B52" s="5">
        <f>10490</f>
        <v>10490</v>
      </c>
      <c r="C52" s="5">
        <f>11990</f>
        <v>11990</v>
      </c>
    </row>
    <row r="53" spans="1:3" x14ac:dyDescent="0.2">
      <c r="A53" s="3" t="s">
        <v>49</v>
      </c>
      <c r="B53" s="6">
        <f>B52</f>
        <v>10490</v>
      </c>
      <c r="C53" s="6">
        <f>C52</f>
        <v>11990</v>
      </c>
    </row>
    <row r="54" spans="1:3" x14ac:dyDescent="0.2">
      <c r="A54" s="3" t="s">
        <v>50</v>
      </c>
      <c r="B54" s="4"/>
      <c r="C54" s="4"/>
    </row>
    <row r="55" spans="1:3" x14ac:dyDescent="0.2">
      <c r="A55" s="3" t="s">
        <v>51</v>
      </c>
      <c r="B55" s="4"/>
      <c r="C55" s="4"/>
    </row>
    <row r="56" spans="1:3" x14ac:dyDescent="0.2">
      <c r="A56" s="3" t="s">
        <v>52</v>
      </c>
      <c r="B56" s="4"/>
      <c r="C56" s="4"/>
    </row>
    <row r="57" spans="1:3" x14ac:dyDescent="0.2">
      <c r="A57" s="3" t="s">
        <v>53</v>
      </c>
      <c r="B57" s="5">
        <f>15000</f>
        <v>15000</v>
      </c>
      <c r="C57" s="5">
        <f>164500</f>
        <v>164500</v>
      </c>
    </row>
    <row r="58" spans="1:3" x14ac:dyDescent="0.2">
      <c r="A58" s="3" t="s">
        <v>54</v>
      </c>
      <c r="B58" s="5">
        <f>105000</f>
        <v>105000</v>
      </c>
      <c r="C58" s="5">
        <f>126083</f>
        <v>126083</v>
      </c>
    </row>
    <row r="59" spans="1:3" x14ac:dyDescent="0.2">
      <c r="A59" s="3" t="s">
        <v>55</v>
      </c>
      <c r="B59" s="5">
        <f>54500</f>
        <v>54500</v>
      </c>
      <c r="C59" s="5">
        <f>54500</f>
        <v>54500</v>
      </c>
    </row>
    <row r="60" spans="1:3" x14ac:dyDescent="0.2">
      <c r="A60" s="3" t="s">
        <v>56</v>
      </c>
      <c r="B60" s="6">
        <f>(((B56)+(B57))+(B58))+(B59)</f>
        <v>174500</v>
      </c>
      <c r="C60" s="6">
        <f>(((C56)+(C57))+(C58))+(C59)</f>
        <v>345083</v>
      </c>
    </row>
    <row r="61" spans="1:3" x14ac:dyDescent="0.2">
      <c r="A61" s="3" t="s">
        <v>57</v>
      </c>
      <c r="B61" s="5">
        <f>464249</f>
        <v>464249</v>
      </c>
      <c r="C61" s="5">
        <f>251548</f>
        <v>251548</v>
      </c>
    </row>
    <row r="62" spans="1:3" x14ac:dyDescent="0.2">
      <c r="A62" s="3" t="s">
        <v>58</v>
      </c>
      <c r="B62" s="6">
        <f>((B55)+(B60))+(B61)</f>
        <v>638749</v>
      </c>
      <c r="C62" s="6">
        <f>((C55)+(C60))+(C61)</f>
        <v>596631</v>
      </c>
    </row>
    <row r="63" spans="1:3" x14ac:dyDescent="0.2">
      <c r="A63" s="3" t="s">
        <v>59</v>
      </c>
      <c r="B63" s="4"/>
      <c r="C63" s="4"/>
    </row>
    <row r="64" spans="1:3" x14ac:dyDescent="0.2">
      <c r="A64" s="3" t="s">
        <v>60</v>
      </c>
      <c r="B64" s="5">
        <f>1495</f>
        <v>1495</v>
      </c>
      <c r="C64" s="5">
        <f>1130</f>
        <v>1130</v>
      </c>
    </row>
    <row r="65" spans="1:3" x14ac:dyDescent="0.2">
      <c r="A65" s="3" t="s">
        <v>61</v>
      </c>
      <c r="B65" s="4"/>
      <c r="C65" s="5">
        <f>100000</f>
        <v>100000</v>
      </c>
    </row>
    <row r="66" spans="1:3" x14ac:dyDescent="0.2">
      <c r="A66" s="3" t="s">
        <v>62</v>
      </c>
      <c r="B66" s="5">
        <f>38422</f>
        <v>38422</v>
      </c>
      <c r="C66" s="5">
        <f>10162</f>
        <v>10162</v>
      </c>
    </row>
    <row r="67" spans="1:3" x14ac:dyDescent="0.2">
      <c r="A67" s="3" t="s">
        <v>63</v>
      </c>
      <c r="B67" s="6">
        <f>(((B63)+(B64))+(B65))+(B66)</f>
        <v>39917</v>
      </c>
      <c r="C67" s="6">
        <f>(((C63)+(C64))+(C65))+(C66)</f>
        <v>111292</v>
      </c>
    </row>
    <row r="68" spans="1:3" x14ac:dyDescent="0.2">
      <c r="A68" s="3" t="s">
        <v>64</v>
      </c>
      <c r="B68" s="4"/>
      <c r="C68" s="4"/>
    </row>
    <row r="69" spans="1:3" x14ac:dyDescent="0.2">
      <c r="A69" s="3" t="s">
        <v>65</v>
      </c>
      <c r="B69" s="5">
        <f>25000</f>
        <v>25000</v>
      </c>
      <c r="C69" s="5">
        <f>32805</f>
        <v>32805</v>
      </c>
    </row>
    <row r="70" spans="1:3" x14ac:dyDescent="0.2">
      <c r="A70" s="3" t="s">
        <v>66</v>
      </c>
      <c r="B70" s="5">
        <f>8330</f>
        <v>8330</v>
      </c>
      <c r="C70" s="5">
        <f>7490</f>
        <v>7490</v>
      </c>
    </row>
    <row r="71" spans="1:3" x14ac:dyDescent="0.2">
      <c r="A71" s="3" t="s">
        <v>67</v>
      </c>
      <c r="B71" s="6">
        <f>((B68)+(B69))+(B70)</f>
        <v>33330</v>
      </c>
      <c r="C71" s="6">
        <f>((C68)+(C69))+(C70)</f>
        <v>40295</v>
      </c>
    </row>
    <row r="72" spans="1:3" x14ac:dyDescent="0.2">
      <c r="A72" s="3" t="s">
        <v>68</v>
      </c>
      <c r="B72" s="4"/>
      <c r="C72" s="4"/>
    </row>
    <row r="73" spans="1:3" x14ac:dyDescent="0.2">
      <c r="A73" s="3" t="s">
        <v>69</v>
      </c>
      <c r="B73" s="5">
        <f>21370</f>
        <v>21370</v>
      </c>
      <c r="C73" s="5">
        <f>88360</f>
        <v>88360</v>
      </c>
    </row>
    <row r="74" spans="1:3" x14ac:dyDescent="0.2">
      <c r="A74" s="3" t="s">
        <v>70</v>
      </c>
      <c r="B74" s="5">
        <f>9100</f>
        <v>9100</v>
      </c>
      <c r="C74" s="5">
        <f>11415</f>
        <v>11415</v>
      </c>
    </row>
    <row r="75" spans="1:3" x14ac:dyDescent="0.2">
      <c r="A75" s="3" t="s">
        <v>71</v>
      </c>
      <c r="B75" s="4"/>
      <c r="C75" s="5">
        <f>56260</f>
        <v>56260</v>
      </c>
    </row>
    <row r="76" spans="1:3" x14ac:dyDescent="0.2">
      <c r="A76" s="3" t="s">
        <v>72</v>
      </c>
      <c r="B76" s="6">
        <f>(((B72)+(B73))+(B74))+(B75)</f>
        <v>30470</v>
      </c>
      <c r="C76" s="6">
        <f>(((C72)+(C73))+(C74))+(C75)</f>
        <v>156035</v>
      </c>
    </row>
    <row r="77" spans="1:3" x14ac:dyDescent="0.2">
      <c r="A77" s="3" t="s">
        <v>73</v>
      </c>
      <c r="B77" s="4"/>
      <c r="C77" s="4"/>
    </row>
    <row r="78" spans="1:3" x14ac:dyDescent="0.2">
      <c r="A78" s="3" t="s">
        <v>74</v>
      </c>
      <c r="B78" s="5">
        <f>650</f>
        <v>650</v>
      </c>
      <c r="C78" s="5">
        <f>2500</f>
        <v>2500</v>
      </c>
    </row>
    <row r="79" spans="1:3" x14ac:dyDescent="0.2">
      <c r="A79" s="3" t="s">
        <v>75</v>
      </c>
      <c r="B79" s="6">
        <f>(B77)+(B78)</f>
        <v>650</v>
      </c>
      <c r="C79" s="6">
        <f>(C77)+(C78)</f>
        <v>2500</v>
      </c>
    </row>
    <row r="80" spans="1:3" x14ac:dyDescent="0.2">
      <c r="A80" s="3" t="s">
        <v>76</v>
      </c>
      <c r="B80" s="4"/>
      <c r="C80" s="4"/>
    </row>
    <row r="81" spans="1:3" x14ac:dyDescent="0.2">
      <c r="A81" s="3" t="s">
        <v>77</v>
      </c>
      <c r="B81" s="5">
        <f>500</f>
        <v>500</v>
      </c>
      <c r="C81" s="4"/>
    </row>
    <row r="82" spans="1:3" x14ac:dyDescent="0.2">
      <c r="A82" s="3" t="s">
        <v>78</v>
      </c>
      <c r="B82" s="4"/>
      <c r="C82" s="5">
        <f>48825</f>
        <v>48825</v>
      </c>
    </row>
    <row r="83" spans="1:3" x14ac:dyDescent="0.2">
      <c r="A83" s="3" t="s">
        <v>79</v>
      </c>
      <c r="B83" s="5">
        <f>12380</f>
        <v>12380</v>
      </c>
      <c r="C83" s="5">
        <f>16030</f>
        <v>16030</v>
      </c>
    </row>
    <row r="84" spans="1:3" x14ac:dyDescent="0.2">
      <c r="A84" s="3" t="s">
        <v>80</v>
      </c>
      <c r="B84" s="6">
        <f>(((B80)+(B81))+(B82))+(B83)</f>
        <v>12880</v>
      </c>
      <c r="C84" s="6">
        <f>(((C80)+(C81))+(C82))+(C83)</f>
        <v>64855</v>
      </c>
    </row>
    <row r="85" spans="1:3" x14ac:dyDescent="0.2">
      <c r="A85" s="3" t="s">
        <v>81</v>
      </c>
      <c r="B85" s="4"/>
      <c r="C85" s="4"/>
    </row>
    <row r="86" spans="1:3" x14ac:dyDescent="0.2">
      <c r="A86" s="3" t="s">
        <v>82</v>
      </c>
      <c r="B86" s="5">
        <f>130000</f>
        <v>130000</v>
      </c>
      <c r="C86" s="5">
        <f>85000</f>
        <v>85000</v>
      </c>
    </row>
    <row r="87" spans="1:3" x14ac:dyDescent="0.2">
      <c r="A87" s="3" t="s">
        <v>83</v>
      </c>
      <c r="B87" s="5">
        <f>38465</f>
        <v>38465</v>
      </c>
      <c r="C87" s="5">
        <f>65325</f>
        <v>65325</v>
      </c>
    </row>
    <row r="88" spans="1:3" x14ac:dyDescent="0.2">
      <c r="A88" s="3" t="s">
        <v>84</v>
      </c>
      <c r="B88" s="4"/>
      <c r="C88" s="5">
        <f>8625</f>
        <v>8625</v>
      </c>
    </row>
    <row r="89" spans="1:3" x14ac:dyDescent="0.2">
      <c r="A89" s="3" t="s">
        <v>85</v>
      </c>
      <c r="B89" s="6">
        <f>(((B85)+(B86))+(B87))+(B88)</f>
        <v>168465</v>
      </c>
      <c r="C89" s="6">
        <f>(((C85)+(C86))+(C87))+(C88)</f>
        <v>158950</v>
      </c>
    </row>
    <row r="90" spans="1:3" x14ac:dyDescent="0.2">
      <c r="A90" s="3" t="s">
        <v>86</v>
      </c>
      <c r="B90" s="4"/>
      <c r="C90" s="4"/>
    </row>
    <row r="91" spans="1:3" x14ac:dyDescent="0.2">
      <c r="A91" s="3" t="s">
        <v>87</v>
      </c>
      <c r="B91" s="5">
        <f>133534</f>
        <v>133534</v>
      </c>
      <c r="C91" s="4"/>
    </row>
    <row r="92" spans="1:3" x14ac:dyDescent="0.2">
      <c r="A92" s="3" t="s">
        <v>88</v>
      </c>
      <c r="B92" s="6">
        <f>(B90)+(B91)</f>
        <v>133534</v>
      </c>
      <c r="C92" s="6">
        <f>(C90)+(C91)</f>
        <v>0</v>
      </c>
    </row>
    <row r="93" spans="1:3" x14ac:dyDescent="0.2">
      <c r="A93" s="3" t="s">
        <v>89</v>
      </c>
      <c r="B93" s="5">
        <f>133284</f>
        <v>133284</v>
      </c>
      <c r="C93" s="5">
        <f>130757</f>
        <v>130757</v>
      </c>
    </row>
    <row r="94" spans="1:3" x14ac:dyDescent="0.2">
      <c r="A94" s="3" t="s">
        <v>90</v>
      </c>
      <c r="B94" s="4"/>
      <c r="C94" s="5">
        <f>514</f>
        <v>514</v>
      </c>
    </row>
    <row r="95" spans="1:3" x14ac:dyDescent="0.2">
      <c r="A95" s="3" t="s">
        <v>91</v>
      </c>
      <c r="B95" s="6">
        <f>(((((((((B62)+(B67))+(B71))+(B76))+(B79))+(B84))+(B89))+(B92))+(B93))+(B94)</f>
        <v>1191279</v>
      </c>
      <c r="C95" s="6">
        <f>(((((((((C62)+(C67))+(C71))+(C76))+(C79))+(C84))+(C89))+(C92))+(C93))+(C94)</f>
        <v>1261829</v>
      </c>
    </row>
    <row r="96" spans="1:3" x14ac:dyDescent="0.2">
      <c r="A96" s="3" t="s">
        <v>92</v>
      </c>
      <c r="B96" s="4"/>
      <c r="C96" s="4"/>
    </row>
    <row r="97" spans="1:3" x14ac:dyDescent="0.2">
      <c r="A97" s="3" t="s">
        <v>93</v>
      </c>
      <c r="B97" s="5">
        <f>171802.61</f>
        <v>171802.61</v>
      </c>
      <c r="C97" s="5">
        <f>146334</f>
        <v>146334</v>
      </c>
    </row>
    <row r="98" spans="1:3" x14ac:dyDescent="0.2">
      <c r="A98" s="3" t="s">
        <v>94</v>
      </c>
      <c r="B98" s="6">
        <f>B97</f>
        <v>171802.61</v>
      </c>
      <c r="C98" s="6">
        <f>C97</f>
        <v>146334</v>
      </c>
    </row>
    <row r="99" spans="1:3" x14ac:dyDescent="0.2">
      <c r="A99" s="3" t="s">
        <v>95</v>
      </c>
      <c r="B99" s="7">
        <f>((((B16)+(B53))-(B49))-(B95))-(B98)</f>
        <v>64401.839999999269</v>
      </c>
      <c r="C99" s="7">
        <f>((((C16)+(C53))-(C49))-(C95))-(C98)</f>
        <v>544414.6799999997</v>
      </c>
    </row>
    <row r="100" spans="1:3" x14ac:dyDescent="0.2">
      <c r="A100" s="3"/>
      <c r="B100" s="4"/>
      <c r="C100" s="4"/>
    </row>
    <row r="103" spans="1:3" x14ac:dyDescent="0.2">
      <c r="A103" s="10" t="s">
        <v>96</v>
      </c>
      <c r="B103" s="11"/>
      <c r="C103" s="11"/>
    </row>
  </sheetData>
  <mergeCells count="5">
    <mergeCell ref="B5:C5"/>
    <mergeCell ref="A103:C103"/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Adnan Khan</cp:lastModifiedBy>
  <dcterms:created xsi:type="dcterms:W3CDTF">2024-03-28T19:45:35Z</dcterms:created>
  <dcterms:modified xsi:type="dcterms:W3CDTF">2024-03-28T19:45:52Z</dcterms:modified>
</cp:coreProperties>
</file>