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nan/Desktop/"/>
    </mc:Choice>
  </mc:AlternateContent>
  <xr:revisionPtr revIDLastSave="0" documentId="13_ncr:1_{8695E2F3-60D8-8B47-BF73-7364596A089F}" xr6:coauthVersionLast="47" xr6:coauthVersionMax="47" xr10:uidLastSave="{00000000-0000-0000-0000-000000000000}"/>
  <bookViews>
    <workbookView xWindow="0" yWindow="500" windowWidth="40960" windowHeight="21000" xr2:uid="{00000000-000D-0000-FFFF-FFFF00000000}"/>
  </bookViews>
  <sheets>
    <sheet name="Budget vs. Actu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3" i="1" l="1"/>
  <c r="C123" i="1"/>
  <c r="B123" i="1"/>
  <c r="D122" i="1"/>
  <c r="C122" i="1"/>
  <c r="B122" i="1"/>
  <c r="C121" i="1"/>
  <c r="B121" i="1"/>
  <c r="D121" i="1" s="1"/>
  <c r="C120" i="1"/>
  <c r="C124" i="1" s="1"/>
  <c r="C125" i="1" s="1"/>
  <c r="B120" i="1"/>
  <c r="D120" i="1" s="1"/>
  <c r="D119" i="1"/>
  <c r="D115" i="1"/>
  <c r="C115" i="1"/>
  <c r="B115" i="1"/>
  <c r="C114" i="1"/>
  <c r="C116" i="1" s="1"/>
  <c r="C117" i="1" s="1"/>
  <c r="C126" i="1" s="1"/>
  <c r="B114" i="1"/>
  <c r="B116" i="1" s="1"/>
  <c r="D113" i="1"/>
  <c r="D108" i="1"/>
  <c r="C108" i="1"/>
  <c r="B108" i="1"/>
  <c r="C107" i="1"/>
  <c r="C109" i="1" s="1"/>
  <c r="B107" i="1"/>
  <c r="B109" i="1" s="1"/>
  <c r="D109" i="1" s="1"/>
  <c r="D106" i="1"/>
  <c r="C105" i="1"/>
  <c r="C104" i="1"/>
  <c r="B104" i="1"/>
  <c r="B105" i="1" s="1"/>
  <c r="D105" i="1" s="1"/>
  <c r="D103" i="1"/>
  <c r="C103" i="1"/>
  <c r="B103" i="1"/>
  <c r="D102" i="1"/>
  <c r="C102" i="1"/>
  <c r="B102" i="1"/>
  <c r="D101" i="1"/>
  <c r="C99" i="1"/>
  <c r="B99" i="1"/>
  <c r="D99" i="1" s="1"/>
  <c r="C98" i="1"/>
  <c r="D98" i="1" s="1"/>
  <c r="D97" i="1"/>
  <c r="C97" i="1"/>
  <c r="C100" i="1" s="1"/>
  <c r="B97" i="1"/>
  <c r="B100" i="1" s="1"/>
  <c r="D96" i="1"/>
  <c r="C94" i="1"/>
  <c r="C95" i="1" s="1"/>
  <c r="B94" i="1"/>
  <c r="D94" i="1" s="1"/>
  <c r="C93" i="1"/>
  <c r="B93" i="1"/>
  <c r="B95" i="1" s="1"/>
  <c r="D95" i="1" s="1"/>
  <c r="D92" i="1"/>
  <c r="B91" i="1"/>
  <c r="D91" i="1" s="1"/>
  <c r="D90" i="1"/>
  <c r="C90" i="1"/>
  <c r="B90" i="1"/>
  <c r="D89" i="1"/>
  <c r="C89" i="1"/>
  <c r="B89" i="1"/>
  <c r="C88" i="1"/>
  <c r="C91" i="1" s="1"/>
  <c r="B88" i="1"/>
  <c r="D88" i="1" s="1"/>
  <c r="D87" i="1"/>
  <c r="C85" i="1"/>
  <c r="B85" i="1"/>
  <c r="D85" i="1" s="1"/>
  <c r="D84" i="1"/>
  <c r="C84" i="1"/>
  <c r="B84" i="1"/>
  <c r="D83" i="1"/>
  <c r="C83" i="1"/>
  <c r="B83" i="1"/>
  <c r="C82" i="1"/>
  <c r="C86" i="1" s="1"/>
  <c r="B82" i="1"/>
  <c r="B86" i="1" s="1"/>
  <c r="D81" i="1"/>
  <c r="C79" i="1"/>
  <c r="B79" i="1"/>
  <c r="B80" i="1" s="1"/>
  <c r="D78" i="1"/>
  <c r="C78" i="1"/>
  <c r="B78" i="1"/>
  <c r="C77" i="1"/>
  <c r="C80" i="1" s="1"/>
  <c r="B77" i="1"/>
  <c r="D76" i="1"/>
  <c r="C75" i="1"/>
  <c r="C74" i="1"/>
  <c r="B74" i="1"/>
  <c r="D74" i="1" s="1"/>
  <c r="C73" i="1"/>
  <c r="B73" i="1"/>
  <c r="B75" i="1" s="1"/>
  <c r="D75" i="1" s="1"/>
  <c r="D72" i="1"/>
  <c r="B71" i="1"/>
  <c r="D70" i="1"/>
  <c r="C70" i="1"/>
  <c r="B70" i="1"/>
  <c r="C69" i="1"/>
  <c r="D69" i="1" s="1"/>
  <c r="B69" i="1"/>
  <c r="D68" i="1"/>
  <c r="C66" i="1"/>
  <c r="B66" i="1"/>
  <c r="D66" i="1" s="1"/>
  <c r="C65" i="1"/>
  <c r="B65" i="1"/>
  <c r="D65" i="1" s="1"/>
  <c r="D64" i="1"/>
  <c r="C63" i="1"/>
  <c r="B63" i="1"/>
  <c r="D63" i="1" s="1"/>
  <c r="C61" i="1"/>
  <c r="D61" i="1" s="1"/>
  <c r="B61" i="1"/>
  <c r="B62" i="1" s="1"/>
  <c r="C60" i="1"/>
  <c r="C62" i="1" s="1"/>
  <c r="C67" i="1" s="1"/>
  <c r="D59" i="1"/>
  <c r="C54" i="1"/>
  <c r="B54" i="1"/>
  <c r="D54" i="1" s="1"/>
  <c r="C53" i="1"/>
  <c r="B53" i="1"/>
  <c r="D53" i="1" s="1"/>
  <c r="D52" i="1"/>
  <c r="C52" i="1"/>
  <c r="B52" i="1"/>
  <c r="C51" i="1"/>
  <c r="D51" i="1" s="1"/>
  <c r="B51" i="1"/>
  <c r="C50" i="1"/>
  <c r="B50" i="1"/>
  <c r="D50" i="1" s="1"/>
  <c r="C49" i="1"/>
  <c r="B49" i="1"/>
  <c r="D49" i="1" s="1"/>
  <c r="D48" i="1"/>
  <c r="C48" i="1"/>
  <c r="B48" i="1"/>
  <c r="C47" i="1"/>
  <c r="C55" i="1" s="1"/>
  <c r="B47" i="1"/>
  <c r="B55" i="1" s="1"/>
  <c r="D55" i="1" s="1"/>
  <c r="D46" i="1"/>
  <c r="C45" i="1"/>
  <c r="C44" i="1"/>
  <c r="B44" i="1"/>
  <c r="D44" i="1" s="1"/>
  <c r="C43" i="1"/>
  <c r="B43" i="1"/>
  <c r="D43" i="1" s="1"/>
  <c r="D42" i="1"/>
  <c r="C42" i="1"/>
  <c r="B42" i="1"/>
  <c r="B45" i="1" s="1"/>
  <c r="D45" i="1" s="1"/>
  <c r="D41" i="1"/>
  <c r="C39" i="1"/>
  <c r="D39" i="1" s="1"/>
  <c r="B39" i="1"/>
  <c r="C38" i="1"/>
  <c r="B38" i="1"/>
  <c r="D38" i="1" s="1"/>
  <c r="C37" i="1"/>
  <c r="B37" i="1"/>
  <c r="D37" i="1" s="1"/>
  <c r="D36" i="1"/>
  <c r="C36" i="1"/>
  <c r="B36" i="1"/>
  <c r="C35" i="1"/>
  <c r="D35" i="1" s="1"/>
  <c r="B35" i="1"/>
  <c r="C34" i="1"/>
  <c r="B34" i="1"/>
  <c r="D34" i="1" s="1"/>
  <c r="D32" i="1"/>
  <c r="C32" i="1"/>
  <c r="B32" i="1"/>
  <c r="C31" i="1"/>
  <c r="D31" i="1" s="1"/>
  <c r="B31" i="1"/>
  <c r="C30" i="1"/>
  <c r="B30" i="1"/>
  <c r="D30" i="1" s="1"/>
  <c r="C29" i="1"/>
  <c r="B29" i="1"/>
  <c r="D29" i="1" s="1"/>
  <c r="D28" i="1"/>
  <c r="C28" i="1"/>
  <c r="C33" i="1" s="1"/>
  <c r="B28" i="1"/>
  <c r="D27" i="1"/>
  <c r="C25" i="1"/>
  <c r="D25" i="1" s="1"/>
  <c r="B25" i="1"/>
  <c r="C24" i="1"/>
  <c r="B24" i="1"/>
  <c r="D24" i="1" s="1"/>
  <c r="C23" i="1"/>
  <c r="B23" i="1"/>
  <c r="D23" i="1" s="1"/>
  <c r="C22" i="1"/>
  <c r="C26" i="1" s="1"/>
  <c r="B22" i="1"/>
  <c r="D22" i="1" s="1"/>
  <c r="D21" i="1"/>
  <c r="D20" i="1"/>
  <c r="D17" i="1"/>
  <c r="C17" i="1"/>
  <c r="B17" i="1"/>
  <c r="C16" i="1"/>
  <c r="D16" i="1" s="1"/>
  <c r="B16" i="1"/>
  <c r="C15" i="1"/>
  <c r="B15" i="1"/>
  <c r="D15" i="1" s="1"/>
  <c r="C14" i="1"/>
  <c r="B14" i="1"/>
  <c r="D14" i="1" s="1"/>
  <c r="D13" i="1"/>
  <c r="C13" i="1"/>
  <c r="B13" i="1"/>
  <c r="D12" i="1"/>
  <c r="B11" i="1"/>
  <c r="C10" i="1"/>
  <c r="C11" i="1" s="1"/>
  <c r="D11" i="1" s="1"/>
  <c r="B10" i="1"/>
  <c r="D9" i="1"/>
  <c r="C8" i="1"/>
  <c r="C18" i="1" s="1"/>
  <c r="B8" i="1"/>
  <c r="D62" i="1" l="1"/>
  <c r="B67" i="1"/>
  <c r="D80" i="1"/>
  <c r="D116" i="1"/>
  <c r="B117" i="1"/>
  <c r="C40" i="1"/>
  <c r="C56" i="1" s="1"/>
  <c r="C57" i="1" s="1"/>
  <c r="D100" i="1"/>
  <c r="D86" i="1"/>
  <c r="B26" i="1"/>
  <c r="D60" i="1"/>
  <c r="C71" i="1"/>
  <c r="C110" i="1" s="1"/>
  <c r="D82" i="1"/>
  <c r="D107" i="1"/>
  <c r="D114" i="1"/>
  <c r="D8" i="1"/>
  <c r="D10" i="1"/>
  <c r="B18" i="1"/>
  <c r="B33" i="1"/>
  <c r="D33" i="1" s="1"/>
  <c r="D47" i="1"/>
  <c r="D77" i="1"/>
  <c r="B124" i="1"/>
  <c r="D73" i="1"/>
  <c r="D79" i="1"/>
  <c r="D93" i="1"/>
  <c r="D104" i="1"/>
  <c r="C111" i="1" l="1"/>
  <c r="C127" i="1" s="1"/>
  <c r="D18" i="1"/>
  <c r="B110" i="1"/>
  <c r="D110" i="1" s="1"/>
  <c r="D67" i="1"/>
  <c r="D71" i="1"/>
  <c r="B126" i="1"/>
  <c r="D126" i="1" s="1"/>
  <c r="D117" i="1"/>
  <c r="B125" i="1"/>
  <c r="D125" i="1" s="1"/>
  <c r="D124" i="1"/>
  <c r="D26" i="1"/>
  <c r="B40" i="1"/>
  <c r="D40" i="1" l="1"/>
  <c r="B56" i="1"/>
  <c r="D56" i="1" l="1"/>
  <c r="B57" i="1"/>
  <c r="B111" i="1" l="1"/>
  <c r="D57" i="1"/>
  <c r="B127" i="1" l="1"/>
  <c r="D127" i="1" s="1"/>
  <c r="D111" i="1"/>
</calcChain>
</file>

<file path=xl/sharedStrings.xml><?xml version="1.0" encoding="utf-8"?>
<sst xmlns="http://schemas.openxmlformats.org/spreadsheetml/2006/main" count="129" uniqueCount="129">
  <si>
    <t>Total</t>
  </si>
  <si>
    <t>over Budget</t>
  </si>
  <si>
    <t>Income</t>
  </si>
  <si>
    <t xml:space="preserve">   0801 Catering &amp; Décor (Menu Sale)</t>
  </si>
  <si>
    <t xml:space="preserve">   0802 Euphoria</t>
  </si>
  <si>
    <t xml:space="preserve">      080201 Euphoria Décor</t>
  </si>
  <si>
    <t xml:space="preserve">   Total 0802 Euphoria</t>
  </si>
  <si>
    <t xml:space="preserve">   0803 Food Sale</t>
  </si>
  <si>
    <t xml:space="preserve">      080301 Food/Kg/Box</t>
  </si>
  <si>
    <t xml:space="preserve">      080302 Additional Food &amp; Stations</t>
  </si>
  <si>
    <t xml:space="preserve">   Total 0803 Food Sale</t>
  </si>
  <si>
    <t xml:space="preserve">   0804 Beverages</t>
  </si>
  <si>
    <t xml:space="preserve">   0805 Additional Item &amp; Setups</t>
  </si>
  <si>
    <t>Total Income</t>
  </si>
  <si>
    <t>Cost of Sales</t>
  </si>
  <si>
    <t xml:space="preserve">   0901 Supplies and materials - COS</t>
  </si>
  <si>
    <t xml:space="preserve">      090101 Meat</t>
  </si>
  <si>
    <t xml:space="preserve">         09010101 Mutton</t>
  </si>
  <si>
    <t xml:space="preserve">         09010102 Chicken</t>
  </si>
  <si>
    <t xml:space="preserve">         09010103 Beef</t>
  </si>
  <si>
    <t xml:space="preserve">         09010104 Fish &amp; Prawns</t>
  </si>
  <si>
    <t xml:space="preserve">      Total 090101 Meat</t>
  </si>
  <si>
    <t xml:space="preserve">      090102 Dry Stock</t>
  </si>
  <si>
    <t xml:space="preserve">         09010201 Oil</t>
  </si>
  <si>
    <t xml:space="preserve">         09010202 Flour</t>
  </si>
  <si>
    <t xml:space="preserve">         09010203 Rice</t>
  </si>
  <si>
    <t xml:space="preserve">         09010204 Sugar</t>
  </si>
  <si>
    <t xml:space="preserve">         09010205 Other Dry Stock</t>
  </si>
  <si>
    <t xml:space="preserve">      Total 090102 Dry Stock</t>
  </si>
  <si>
    <t xml:space="preserve">      090103 Outsourced Food</t>
  </si>
  <si>
    <t xml:space="preserve">      090104 Dairy &amp; Bakery Items</t>
  </si>
  <si>
    <t xml:space="preserve">      090105 Vegetables &amp; Fruits</t>
  </si>
  <si>
    <t xml:space="preserve">      090106 Beverages &amp; Soft drinks</t>
  </si>
  <si>
    <t xml:space="preserve">      090107 Other Consumables</t>
  </si>
  <si>
    <t xml:space="preserve">      090108 Disposible Material</t>
  </si>
  <si>
    <t xml:space="preserve">   Total 0901 Supplies and materials - COS</t>
  </si>
  <si>
    <t xml:space="preserve">   0902 Cost of labour-COS</t>
  </si>
  <si>
    <t xml:space="preserve">      090201 Salaries- Operation Staff</t>
  </si>
  <si>
    <t xml:space="preserve">      090202 Labour Out Sourced</t>
  </si>
  <si>
    <t xml:space="preserve">      090203 Wages &amp; Allowance</t>
  </si>
  <si>
    <t xml:space="preserve">   Total 0902 Cost of labour-COS</t>
  </si>
  <si>
    <t xml:space="preserve">   0903 Other costs of sales - COS</t>
  </si>
  <si>
    <t xml:space="preserve">      090301 Rents, rates &amp; taxes</t>
  </si>
  <si>
    <t xml:space="preserve">      090302 Utilitites</t>
  </si>
  <si>
    <t xml:space="preserve">      090303 Fuel &amp; Transporation</t>
  </si>
  <si>
    <t xml:space="preserve">      090304 Repair &amp; maintinance</t>
  </si>
  <si>
    <t xml:space="preserve">      090306 Boarding &amp; Lodging - COS</t>
  </si>
  <si>
    <t xml:space="preserve">      090307 Printing &amp; Stationary</t>
  </si>
  <si>
    <t xml:space="preserve">      090308 Laundry</t>
  </si>
  <si>
    <t xml:space="preserve">      090309 Staff Uniform</t>
  </si>
  <si>
    <t xml:space="preserve">   Total 0903 Other costs of sales - COS</t>
  </si>
  <si>
    <t>Total Cost of Sales</t>
  </si>
  <si>
    <t>Gross Profit</t>
  </si>
  <si>
    <t>Expenses</t>
  </si>
  <si>
    <t xml:space="preserve">   1001 Salaries &amp; Benefits</t>
  </si>
  <si>
    <t xml:space="preserve">      100101 Salaries &amp; Wages</t>
  </si>
  <si>
    <t xml:space="preserve">         10010102 Marketing</t>
  </si>
  <si>
    <t xml:space="preserve">      Total 100101 Salaries &amp; Wages</t>
  </si>
  <si>
    <t xml:space="preserve">      100102 Other benefits (Direct &amp; indrect)</t>
  </si>
  <si>
    <t xml:space="preserve">      100103 Sales Commission</t>
  </si>
  <si>
    <t xml:space="preserve">         10010301 Sales Rep Commission</t>
  </si>
  <si>
    <t xml:space="preserve">      Total 100103 Sales Commission</t>
  </si>
  <si>
    <t xml:space="preserve">   Total 1001 Salaries &amp; Benefits</t>
  </si>
  <si>
    <t xml:space="preserve">   1002 Rent, Rate &amp; Taxes</t>
  </si>
  <si>
    <t xml:space="preserve">      100201 Office Rent</t>
  </si>
  <si>
    <t xml:space="preserve">      100204 Toll Tax</t>
  </si>
  <si>
    <t xml:space="preserve">   Total 1002 Rent, Rate &amp; Taxes</t>
  </si>
  <si>
    <t xml:space="preserve">   1003 Utilities</t>
  </si>
  <si>
    <t xml:space="preserve">      100301 Elecricity Charges</t>
  </si>
  <si>
    <t xml:space="preserve">      100305 Water Charges</t>
  </si>
  <si>
    <t xml:space="preserve">   Total 1003 Utilities</t>
  </si>
  <si>
    <t xml:space="preserve">   1004 Legal &amp; Professional Charges</t>
  </si>
  <si>
    <t xml:space="preserve">      100402 Filing Fee</t>
  </si>
  <si>
    <t xml:space="preserve">      100404 Professional Services</t>
  </si>
  <si>
    <t xml:space="preserve">      100406 Fee &amp; Subcription</t>
  </si>
  <si>
    <t xml:space="preserve">   Total 1004 Legal &amp; Professional Charges</t>
  </si>
  <si>
    <t xml:space="preserve">   1005 Communication Charges</t>
  </si>
  <si>
    <t xml:space="preserve">      100501 Internet Charges</t>
  </si>
  <si>
    <t xml:space="preserve">      100502 Mobile Charges</t>
  </si>
  <si>
    <t xml:space="preserve">      100503 Postage &amp; Courier</t>
  </si>
  <si>
    <t xml:space="preserve">      100504 Telephone Bill</t>
  </si>
  <si>
    <t xml:space="preserve">   Total 1005 Communication Charges</t>
  </si>
  <si>
    <t xml:space="preserve">   1006 Repair &amp; Maintenance</t>
  </si>
  <si>
    <t xml:space="preserve">      100602 Equipment Repair</t>
  </si>
  <si>
    <t xml:space="preserve">      100604 Office Repair</t>
  </si>
  <si>
    <t xml:space="preserve">      100605 Vehicles Repair</t>
  </si>
  <si>
    <t xml:space="preserve">   Total 1006 Repair &amp; Maintenance</t>
  </si>
  <si>
    <t xml:space="preserve">   1007 Travelling &amp; Conveyance</t>
  </si>
  <si>
    <t xml:space="preserve">      100703 Fuel Charges</t>
  </si>
  <si>
    <t xml:space="preserve">      100704 Local Traveling</t>
  </si>
  <si>
    <t xml:space="preserve">   Total 1007 Travelling &amp; Conveyance</t>
  </si>
  <si>
    <t xml:space="preserve">   1008 Office Supplies &amp; Stationary</t>
  </si>
  <si>
    <t xml:space="preserve">      100801 Office Supplies</t>
  </si>
  <si>
    <t xml:space="preserve">      100802 Other Printing</t>
  </si>
  <si>
    <t xml:space="preserve">      100804 Stationary Expense</t>
  </si>
  <si>
    <t xml:space="preserve">   Total 1008 Office Supplies &amp; Stationary</t>
  </si>
  <si>
    <t xml:space="preserve">   1009 Advertisement &amp; Publicity</t>
  </si>
  <si>
    <t xml:space="preserve">      100901 Agency Fee</t>
  </si>
  <si>
    <t xml:space="preserve">      100902 Ad Spend</t>
  </si>
  <si>
    <t xml:space="preserve">      100903 Ad Production</t>
  </si>
  <si>
    <t xml:space="preserve">   Total 1009 Advertisement &amp; Publicity</t>
  </si>
  <si>
    <t xml:space="preserve">   1010 Food &amp; Entertainment</t>
  </si>
  <si>
    <t xml:space="preserve">      101001 Office Entertainment</t>
  </si>
  <si>
    <t xml:space="preserve">      101002 Staff Food</t>
  </si>
  <si>
    <t xml:space="preserve">   Total 1010 Food &amp; Entertainment</t>
  </si>
  <si>
    <t>Total Expenses</t>
  </si>
  <si>
    <t>Net Operating Income</t>
  </si>
  <si>
    <t>Other Income</t>
  </si>
  <si>
    <t xml:space="preserve">   15 Other Income</t>
  </si>
  <si>
    <t xml:space="preserve">      1501 Outsourced Items</t>
  </si>
  <si>
    <t xml:space="preserve">      1503 Other</t>
  </si>
  <si>
    <t xml:space="preserve">   Total 15 Other Income</t>
  </si>
  <si>
    <t>Total Other Income</t>
  </si>
  <si>
    <t>Other Expenses</t>
  </si>
  <si>
    <t xml:space="preserve">   16 Other Expenses</t>
  </si>
  <si>
    <t xml:space="preserve">      1601 Outsourced Items Rental</t>
  </si>
  <si>
    <t xml:space="preserve">      1602 Bank Service Charges</t>
  </si>
  <si>
    <t xml:space="preserve">      1603 Other expenses-Other</t>
  </si>
  <si>
    <t xml:space="preserve">      1604 Euphoria Outsourced Items Rental</t>
  </si>
  <si>
    <t xml:space="preserve">   Total 16 Other Expenses</t>
  </si>
  <si>
    <t>Total Other Expenses</t>
  </si>
  <si>
    <t>Net Other Income</t>
  </si>
  <si>
    <t>Net Income</t>
  </si>
  <si>
    <t>Wednesday, Apr 03, 2024 01:39:40 AM GMT+5 - Accrual Basis</t>
  </si>
  <si>
    <t>Hanif Rajput Catering Services</t>
  </si>
  <si>
    <t xml:space="preserve">Budget vs. Actuals: Financial Budget 2023-2024 - FY24 P&amp;L </t>
  </si>
  <si>
    <t>July 2023 - March 2024</t>
  </si>
  <si>
    <t>Actual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</si>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</sst>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€"/>
    <numFmt numFmtId="165" formatCode="&quot;PRs&quot;* #,##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5" fontId="2" fillId="0" borderId="2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40.33203125" customWidth="1"/>
    <col min="2" max="4" width="25.83203125" customWidth="1"/>
  </cols>
  <sheetData>
    <row r="1" spans="1:4" ht="18" x14ac:dyDescent="0.2">
      <c r="A1" s="12" t="s">
        <v>124</v>
      </c>
      <c r="B1" s="11"/>
      <c r="C1" s="11"/>
      <c r="D1" s="11"/>
    </row>
    <row r="2" spans="1:4" ht="18" x14ac:dyDescent="0.2">
      <c r="A2" s="12" t="s">
        <v>125</v>
      </c>
      <c r="B2" s="11"/>
      <c r="C2" s="11"/>
      <c r="D2" s="11"/>
    </row>
    <row r="3" spans="1:4" x14ac:dyDescent="0.2">
      <c r="A3" s="13" t="s">
        <v>126</v>
      </c>
      <c r="B3" s="11"/>
      <c r="C3" s="11"/>
      <c r="D3" s="11"/>
    </row>
    <row r="5" spans="1:4" x14ac:dyDescent="0.2">
      <c r="A5" s="1"/>
      <c r="B5" s="8" t="s">
        <v>0</v>
      </c>
      <c r="C5" s="9"/>
      <c r="D5" s="9"/>
    </row>
    <row r="6" spans="1:4" x14ac:dyDescent="0.2">
      <c r="A6" s="1"/>
      <c r="B6" s="2" t="s">
        <v>127</v>
      </c>
      <c r="C6" s="2" t="s">
        <v>128</v>
      </c>
      <c r="D6" s="2" t="s">
        <v>1</v>
      </c>
    </row>
    <row r="7" spans="1:4" x14ac:dyDescent="0.2">
      <c r="A7" s="3" t="s">
        <v>2</v>
      </c>
      <c r="B7" s="4"/>
      <c r="C7" s="4"/>
      <c r="D7" s="4"/>
    </row>
    <row r="8" spans="1:4" x14ac:dyDescent="0.2">
      <c r="A8" s="3" t="s">
        <v>3</v>
      </c>
      <c r="B8" s="5">
        <f>201228694.89</f>
        <v>201228694.88999999</v>
      </c>
      <c r="C8" s="5">
        <f>292453152</f>
        <v>292453152</v>
      </c>
      <c r="D8" s="5">
        <f t="shared" ref="D8:D18" si="0">(B8)-(C8)</f>
        <v>-91224457.110000014</v>
      </c>
    </row>
    <row r="9" spans="1:4" x14ac:dyDescent="0.2">
      <c r="A9" s="3" t="s">
        <v>4</v>
      </c>
      <c r="B9" s="4"/>
      <c r="C9" s="4"/>
      <c r="D9" s="5">
        <f t="shared" si="0"/>
        <v>0</v>
      </c>
    </row>
    <row r="10" spans="1:4" x14ac:dyDescent="0.2">
      <c r="A10" s="3" t="s">
        <v>5</v>
      </c>
      <c r="B10" s="5">
        <f>12726000</f>
        <v>12726000</v>
      </c>
      <c r="C10" s="5">
        <f>55000000</f>
        <v>55000000</v>
      </c>
      <c r="D10" s="5">
        <f t="shared" si="0"/>
        <v>-42274000</v>
      </c>
    </row>
    <row r="11" spans="1:4" x14ac:dyDescent="0.2">
      <c r="A11" s="3" t="s">
        <v>6</v>
      </c>
      <c r="B11" s="6">
        <f>(B9)+(B10)</f>
        <v>12726000</v>
      </c>
      <c r="C11" s="6">
        <f>(C9)+(C10)</f>
        <v>55000000</v>
      </c>
      <c r="D11" s="6">
        <f t="shared" si="0"/>
        <v>-42274000</v>
      </c>
    </row>
    <row r="12" spans="1:4" x14ac:dyDescent="0.2">
      <c r="A12" s="3" t="s">
        <v>7</v>
      </c>
      <c r="B12" s="4"/>
      <c r="C12" s="4"/>
      <c r="D12" s="5">
        <f t="shared" si="0"/>
        <v>0</v>
      </c>
    </row>
    <row r="13" spans="1:4" x14ac:dyDescent="0.2">
      <c r="A13" s="3" t="s">
        <v>8</v>
      </c>
      <c r="B13" s="5">
        <f>81818012.1</f>
        <v>81818012.099999994</v>
      </c>
      <c r="C13" s="5">
        <f>90000000</f>
        <v>90000000</v>
      </c>
      <c r="D13" s="5">
        <f t="shared" si="0"/>
        <v>-8181987.900000006</v>
      </c>
    </row>
    <row r="14" spans="1:4" x14ac:dyDescent="0.2">
      <c r="A14" s="3" t="s">
        <v>9</v>
      </c>
      <c r="B14" s="5">
        <f>5313320.3</f>
        <v>5313320.3</v>
      </c>
      <c r="C14" s="5">
        <f>3614401</f>
        <v>3614401</v>
      </c>
      <c r="D14" s="5">
        <f t="shared" si="0"/>
        <v>1698919.2999999998</v>
      </c>
    </row>
    <row r="15" spans="1:4" x14ac:dyDescent="0.2">
      <c r="A15" s="3" t="s">
        <v>10</v>
      </c>
      <c r="B15" s="6">
        <f>((B12)+(B13))+(B14)</f>
        <v>87131332.399999991</v>
      </c>
      <c r="C15" s="6">
        <f>((C12)+(C13))+(C14)</f>
        <v>93614401</v>
      </c>
      <c r="D15" s="6">
        <f t="shared" si="0"/>
        <v>-6483068.6000000089</v>
      </c>
    </row>
    <row r="16" spans="1:4" x14ac:dyDescent="0.2">
      <c r="A16" s="3" t="s">
        <v>11</v>
      </c>
      <c r="B16" s="5">
        <f>7890880</f>
        <v>7890880</v>
      </c>
      <c r="C16" s="5">
        <f>14457599</f>
        <v>14457599</v>
      </c>
      <c r="D16" s="5">
        <f t="shared" si="0"/>
        <v>-6566719</v>
      </c>
    </row>
    <row r="17" spans="1:4" x14ac:dyDescent="0.2">
      <c r="A17" s="3" t="s">
        <v>12</v>
      </c>
      <c r="B17" s="5">
        <f>22377030</f>
        <v>22377030</v>
      </c>
      <c r="C17" s="5">
        <f>32529599</f>
        <v>32529599</v>
      </c>
      <c r="D17" s="5">
        <f t="shared" si="0"/>
        <v>-10152569</v>
      </c>
    </row>
    <row r="18" spans="1:4" x14ac:dyDescent="0.2">
      <c r="A18" s="3" t="s">
        <v>13</v>
      </c>
      <c r="B18" s="6">
        <f>((((B8)+(B11))+(B15))+(B16))+(B17)</f>
        <v>331353937.28999996</v>
      </c>
      <c r="C18" s="6">
        <f>((((C8)+(C11))+(C15))+(C16))+(C17)</f>
        <v>488054751</v>
      </c>
      <c r="D18" s="6">
        <f t="shared" si="0"/>
        <v>-156700813.71000004</v>
      </c>
    </row>
    <row r="19" spans="1:4" x14ac:dyDescent="0.2">
      <c r="A19" s="3" t="s">
        <v>14</v>
      </c>
      <c r="B19" s="4"/>
      <c r="C19" s="4"/>
      <c r="D19" s="4"/>
    </row>
    <row r="20" spans="1:4" x14ac:dyDescent="0.2">
      <c r="A20" s="3" t="s">
        <v>15</v>
      </c>
      <c r="B20" s="4"/>
      <c r="C20" s="4"/>
      <c r="D20" s="5">
        <f t="shared" ref="D20:D57" si="1">(B20)-(C20)</f>
        <v>0</v>
      </c>
    </row>
    <row r="21" spans="1:4" x14ac:dyDescent="0.2">
      <c r="A21" s="3" t="s">
        <v>16</v>
      </c>
      <c r="B21" s="4"/>
      <c r="C21" s="4"/>
      <c r="D21" s="5">
        <f t="shared" si="1"/>
        <v>0</v>
      </c>
    </row>
    <row r="22" spans="1:4" x14ac:dyDescent="0.2">
      <c r="A22" s="3" t="s">
        <v>17</v>
      </c>
      <c r="B22" s="5">
        <f>23844466</f>
        <v>23844466</v>
      </c>
      <c r="C22" s="5">
        <f>31502975</f>
        <v>31502975</v>
      </c>
      <c r="D22" s="5">
        <f t="shared" si="1"/>
        <v>-7658509</v>
      </c>
    </row>
    <row r="23" spans="1:4" x14ac:dyDescent="0.2">
      <c r="A23" s="3" t="s">
        <v>18</v>
      </c>
      <c r="B23" s="5">
        <f>33505465</f>
        <v>33505465</v>
      </c>
      <c r="C23" s="5">
        <f>44669240</f>
        <v>44669240</v>
      </c>
      <c r="D23" s="5">
        <f t="shared" si="1"/>
        <v>-11163775</v>
      </c>
    </row>
    <row r="24" spans="1:4" x14ac:dyDescent="0.2">
      <c r="A24" s="3" t="s">
        <v>19</v>
      </c>
      <c r="B24" s="5">
        <f>5842129</f>
        <v>5842129</v>
      </c>
      <c r="C24" s="5">
        <f>5050412</f>
        <v>5050412</v>
      </c>
      <c r="D24" s="5">
        <f t="shared" si="1"/>
        <v>791717</v>
      </c>
    </row>
    <row r="25" spans="1:4" x14ac:dyDescent="0.2">
      <c r="A25" s="3" t="s">
        <v>20</v>
      </c>
      <c r="B25" s="5">
        <f>4122626</f>
        <v>4122626</v>
      </c>
      <c r="C25" s="5">
        <f>5899396</f>
        <v>5899396</v>
      </c>
      <c r="D25" s="5">
        <f t="shared" si="1"/>
        <v>-1776770</v>
      </c>
    </row>
    <row r="26" spans="1:4" x14ac:dyDescent="0.2">
      <c r="A26" s="3" t="s">
        <v>21</v>
      </c>
      <c r="B26" s="6">
        <f>((((B21)+(B22))+(B23))+(B24))+(B25)</f>
        <v>67314686</v>
      </c>
      <c r="C26" s="6">
        <f>((((C21)+(C22))+(C23))+(C24))+(C25)</f>
        <v>87122023</v>
      </c>
      <c r="D26" s="6">
        <f t="shared" si="1"/>
        <v>-19807337</v>
      </c>
    </row>
    <row r="27" spans="1:4" x14ac:dyDescent="0.2">
      <c r="A27" s="3" t="s">
        <v>22</v>
      </c>
      <c r="B27" s="4"/>
      <c r="C27" s="4"/>
      <c r="D27" s="5">
        <f t="shared" si="1"/>
        <v>0</v>
      </c>
    </row>
    <row r="28" spans="1:4" x14ac:dyDescent="0.2">
      <c r="A28" s="3" t="s">
        <v>23</v>
      </c>
      <c r="B28" s="5">
        <f>7329488</f>
        <v>7329488</v>
      </c>
      <c r="C28" s="5">
        <f>11911111</f>
        <v>11911111</v>
      </c>
      <c r="D28" s="5">
        <f t="shared" si="1"/>
        <v>-4581623</v>
      </c>
    </row>
    <row r="29" spans="1:4" x14ac:dyDescent="0.2">
      <c r="A29" s="3" t="s">
        <v>24</v>
      </c>
      <c r="B29" s="5">
        <f>3858062</f>
        <v>3858062</v>
      </c>
      <c r="C29" s="5">
        <f>4155812</f>
        <v>4155812</v>
      </c>
      <c r="D29" s="5">
        <f t="shared" si="1"/>
        <v>-297750</v>
      </c>
    </row>
    <row r="30" spans="1:4" x14ac:dyDescent="0.2">
      <c r="A30" s="3" t="s">
        <v>25</v>
      </c>
      <c r="B30" s="5">
        <f>5963095</f>
        <v>5963095</v>
      </c>
      <c r="C30" s="5">
        <f>5116881</f>
        <v>5116881</v>
      </c>
      <c r="D30" s="5">
        <f t="shared" si="1"/>
        <v>846214</v>
      </c>
    </row>
    <row r="31" spans="1:4" x14ac:dyDescent="0.2">
      <c r="A31" s="3" t="s">
        <v>26</v>
      </c>
      <c r="B31" s="5">
        <f>1404291</f>
        <v>1404291</v>
      </c>
      <c r="C31" s="5">
        <f>1832591</f>
        <v>1832591</v>
      </c>
      <c r="D31" s="5">
        <f t="shared" si="1"/>
        <v>-428300</v>
      </c>
    </row>
    <row r="32" spans="1:4" x14ac:dyDescent="0.2">
      <c r="A32" s="3" t="s">
        <v>27</v>
      </c>
      <c r="B32" s="5">
        <f>15404163</f>
        <v>15404163</v>
      </c>
      <c r="C32" s="5">
        <f>14766946</f>
        <v>14766946</v>
      </c>
      <c r="D32" s="5">
        <f t="shared" si="1"/>
        <v>637217</v>
      </c>
    </row>
    <row r="33" spans="1:4" x14ac:dyDescent="0.2">
      <c r="A33" s="3" t="s">
        <v>28</v>
      </c>
      <c r="B33" s="6">
        <f>(((((B27)+(B28))+(B29))+(B30))+(B31))+(B32)</f>
        <v>33959099</v>
      </c>
      <c r="C33" s="6">
        <f>(((((C27)+(C28))+(C29))+(C30))+(C31))+(C32)</f>
        <v>37783341</v>
      </c>
      <c r="D33" s="6">
        <f t="shared" si="1"/>
        <v>-3824242</v>
      </c>
    </row>
    <row r="34" spans="1:4" x14ac:dyDescent="0.2">
      <c r="A34" s="3" t="s">
        <v>29</v>
      </c>
      <c r="B34" s="5">
        <f>7064547</f>
        <v>7064547</v>
      </c>
      <c r="C34" s="5">
        <f>11473595</f>
        <v>11473595</v>
      </c>
      <c r="D34" s="5">
        <f t="shared" si="1"/>
        <v>-4409048</v>
      </c>
    </row>
    <row r="35" spans="1:4" x14ac:dyDescent="0.2">
      <c r="A35" s="3" t="s">
        <v>30</v>
      </c>
      <c r="B35" s="5">
        <f>15684897</f>
        <v>15684897</v>
      </c>
      <c r="C35" s="5">
        <f>15563716</f>
        <v>15563716</v>
      </c>
      <c r="D35" s="5">
        <f t="shared" si="1"/>
        <v>121181</v>
      </c>
    </row>
    <row r="36" spans="1:4" x14ac:dyDescent="0.2">
      <c r="A36" s="3" t="s">
        <v>31</v>
      </c>
      <c r="B36" s="5">
        <f>8824408</f>
        <v>8824408</v>
      </c>
      <c r="C36" s="5">
        <f>11670654</f>
        <v>11670654</v>
      </c>
      <c r="D36" s="5">
        <f t="shared" si="1"/>
        <v>-2846246</v>
      </c>
    </row>
    <row r="37" spans="1:4" x14ac:dyDescent="0.2">
      <c r="A37" s="3" t="s">
        <v>32</v>
      </c>
      <c r="B37" s="5">
        <f>5032509</f>
        <v>5032509</v>
      </c>
      <c r="C37" s="5">
        <f>13011841</f>
        <v>13011841</v>
      </c>
      <c r="D37" s="5">
        <f t="shared" si="1"/>
        <v>-7979332</v>
      </c>
    </row>
    <row r="38" spans="1:4" x14ac:dyDescent="0.2">
      <c r="A38" s="3" t="s">
        <v>33</v>
      </c>
      <c r="B38" s="5">
        <f>7011284.6</f>
        <v>7011284.5999999996</v>
      </c>
      <c r="C38" s="5">
        <f>5096683</f>
        <v>5096683</v>
      </c>
      <c r="D38" s="5">
        <f t="shared" si="1"/>
        <v>1914601.5999999996</v>
      </c>
    </row>
    <row r="39" spans="1:4" x14ac:dyDescent="0.2">
      <c r="A39" s="3" t="s">
        <v>34</v>
      </c>
      <c r="B39" s="5">
        <f>5742279</f>
        <v>5742279</v>
      </c>
      <c r="C39" s="5">
        <f>7628349</f>
        <v>7628349</v>
      </c>
      <c r="D39" s="5">
        <f t="shared" si="1"/>
        <v>-1886070</v>
      </c>
    </row>
    <row r="40" spans="1:4" x14ac:dyDescent="0.2">
      <c r="A40" s="3" t="s">
        <v>35</v>
      </c>
      <c r="B40" s="6">
        <f>((((((((B20)+(B26))+(B33))+(B34))+(B35))+(B36))+(B37))+(B38))+(B39)</f>
        <v>150633709.59999999</v>
      </c>
      <c r="C40" s="6">
        <f>((((((((C20)+(C26))+(C33))+(C34))+(C35))+(C36))+(C37))+(C38))+(C39)</f>
        <v>189350202</v>
      </c>
      <c r="D40" s="6">
        <f t="shared" si="1"/>
        <v>-38716492.400000006</v>
      </c>
    </row>
    <row r="41" spans="1:4" x14ac:dyDescent="0.2">
      <c r="A41" s="3" t="s">
        <v>36</v>
      </c>
      <c r="B41" s="4"/>
      <c r="C41" s="4"/>
      <c r="D41" s="5">
        <f t="shared" si="1"/>
        <v>0</v>
      </c>
    </row>
    <row r="42" spans="1:4" x14ac:dyDescent="0.2">
      <c r="A42" s="3" t="s">
        <v>37</v>
      </c>
      <c r="B42" s="5">
        <f>41704700</f>
        <v>41704700</v>
      </c>
      <c r="C42" s="5">
        <f>58420000</f>
        <v>58420000</v>
      </c>
      <c r="D42" s="5">
        <f t="shared" si="1"/>
        <v>-16715300</v>
      </c>
    </row>
    <row r="43" spans="1:4" x14ac:dyDescent="0.2">
      <c r="A43" s="3" t="s">
        <v>38</v>
      </c>
      <c r="B43" s="5">
        <f>6882100</f>
        <v>6882100</v>
      </c>
      <c r="C43" s="5">
        <f>5827856</f>
        <v>5827856</v>
      </c>
      <c r="D43" s="5">
        <f t="shared" si="1"/>
        <v>1054244</v>
      </c>
    </row>
    <row r="44" spans="1:4" x14ac:dyDescent="0.2">
      <c r="A44" s="3" t="s">
        <v>39</v>
      </c>
      <c r="B44" s="5">
        <f>7320065</f>
        <v>7320065</v>
      </c>
      <c r="C44" s="5">
        <f>13365667</f>
        <v>13365667</v>
      </c>
      <c r="D44" s="5">
        <f t="shared" si="1"/>
        <v>-6045602</v>
      </c>
    </row>
    <row r="45" spans="1:4" x14ac:dyDescent="0.2">
      <c r="A45" s="3" t="s">
        <v>40</v>
      </c>
      <c r="B45" s="6">
        <f>(((B41)+(B42))+(B43))+(B44)</f>
        <v>55906865</v>
      </c>
      <c r="C45" s="6">
        <f>(((C41)+(C42))+(C43))+(C44)</f>
        <v>77613523</v>
      </c>
      <c r="D45" s="6">
        <f t="shared" si="1"/>
        <v>-21706658</v>
      </c>
    </row>
    <row r="46" spans="1:4" x14ac:dyDescent="0.2">
      <c r="A46" s="3" t="s">
        <v>41</v>
      </c>
      <c r="B46" s="4"/>
      <c r="C46" s="4"/>
      <c r="D46" s="5">
        <f t="shared" si="1"/>
        <v>0</v>
      </c>
    </row>
    <row r="47" spans="1:4" x14ac:dyDescent="0.2">
      <c r="A47" s="3" t="s">
        <v>42</v>
      </c>
      <c r="B47" s="5">
        <f>13199727</f>
        <v>13199727</v>
      </c>
      <c r="C47" s="5">
        <f>15480000</f>
        <v>15480000</v>
      </c>
      <c r="D47" s="5">
        <f t="shared" si="1"/>
        <v>-2280273</v>
      </c>
    </row>
    <row r="48" spans="1:4" x14ac:dyDescent="0.2">
      <c r="A48" s="3" t="s">
        <v>43</v>
      </c>
      <c r="B48" s="5">
        <f>17459405.79</f>
        <v>17459405.789999999</v>
      </c>
      <c r="C48" s="5">
        <f>16942755</f>
        <v>16942755</v>
      </c>
      <c r="D48" s="5">
        <f t="shared" si="1"/>
        <v>516650.78999999911</v>
      </c>
    </row>
    <row r="49" spans="1:4" x14ac:dyDescent="0.2">
      <c r="A49" s="3" t="s">
        <v>44</v>
      </c>
      <c r="B49" s="5">
        <f>12481133</f>
        <v>12481133</v>
      </c>
      <c r="C49" s="5">
        <f>15052952</f>
        <v>15052952</v>
      </c>
      <c r="D49" s="5">
        <f t="shared" si="1"/>
        <v>-2571819</v>
      </c>
    </row>
    <row r="50" spans="1:4" x14ac:dyDescent="0.2">
      <c r="A50" s="3" t="s">
        <v>45</v>
      </c>
      <c r="B50" s="5">
        <f>1805192</f>
        <v>1805192</v>
      </c>
      <c r="C50" s="5">
        <f>3838395</f>
        <v>3838395</v>
      </c>
      <c r="D50" s="5">
        <f t="shared" si="1"/>
        <v>-2033203</v>
      </c>
    </row>
    <row r="51" spans="1:4" x14ac:dyDescent="0.2">
      <c r="A51" s="3" t="s">
        <v>46</v>
      </c>
      <c r="B51" s="5">
        <f>939324</f>
        <v>939324</v>
      </c>
      <c r="C51" s="5">
        <f>1978000</f>
        <v>1978000</v>
      </c>
      <c r="D51" s="5">
        <f t="shared" si="1"/>
        <v>-1038676</v>
      </c>
    </row>
    <row r="52" spans="1:4" x14ac:dyDescent="0.2">
      <c r="A52" s="3" t="s">
        <v>47</v>
      </c>
      <c r="B52" s="5">
        <f>2288848</f>
        <v>2288848</v>
      </c>
      <c r="C52" s="5">
        <f>3059413</f>
        <v>3059413</v>
      </c>
      <c r="D52" s="5">
        <f t="shared" si="1"/>
        <v>-770565</v>
      </c>
    </row>
    <row r="53" spans="1:4" x14ac:dyDescent="0.2">
      <c r="A53" s="3" t="s">
        <v>48</v>
      </c>
      <c r="B53" s="5">
        <f>2135552</f>
        <v>2135552</v>
      </c>
      <c r="C53" s="5">
        <f>2551497</f>
        <v>2551497</v>
      </c>
      <c r="D53" s="5">
        <f t="shared" si="1"/>
        <v>-415945</v>
      </c>
    </row>
    <row r="54" spans="1:4" x14ac:dyDescent="0.2">
      <c r="A54" s="3" t="s">
        <v>49</v>
      </c>
      <c r="B54" s="5">
        <f>883200</f>
        <v>883200</v>
      </c>
      <c r="C54" s="5">
        <f>393968</f>
        <v>393968</v>
      </c>
      <c r="D54" s="5">
        <f t="shared" si="1"/>
        <v>489232</v>
      </c>
    </row>
    <row r="55" spans="1:4" x14ac:dyDescent="0.2">
      <c r="A55" s="3" t="s">
        <v>50</v>
      </c>
      <c r="B55" s="6">
        <f>((((((((B46)+(B47))+(B48))+(B49))+(B50))+(B51))+(B52))+(B53))+(B54)</f>
        <v>51192381.789999999</v>
      </c>
      <c r="C55" s="6">
        <f>((((((((C46)+(C47))+(C48))+(C49))+(C50))+(C51))+(C52))+(C53))+(C54)</f>
        <v>59296980</v>
      </c>
      <c r="D55" s="6">
        <f t="shared" si="1"/>
        <v>-8104598.2100000009</v>
      </c>
    </row>
    <row r="56" spans="1:4" x14ac:dyDescent="0.2">
      <c r="A56" s="3" t="s">
        <v>51</v>
      </c>
      <c r="B56" s="6">
        <f>((B40)+(B45))+(B55)</f>
        <v>257732956.38999999</v>
      </c>
      <c r="C56" s="6">
        <f>((C40)+(C45))+(C55)</f>
        <v>326260705</v>
      </c>
      <c r="D56" s="6">
        <f t="shared" si="1"/>
        <v>-68527748.610000014</v>
      </c>
    </row>
    <row r="57" spans="1:4" x14ac:dyDescent="0.2">
      <c r="A57" s="3" t="s">
        <v>52</v>
      </c>
      <c r="B57" s="6">
        <f>(B18)-(B56)</f>
        <v>73620980.899999976</v>
      </c>
      <c r="C57" s="6">
        <f>(C18)-(C56)</f>
        <v>161794046</v>
      </c>
      <c r="D57" s="6">
        <f t="shared" si="1"/>
        <v>-88173065.100000024</v>
      </c>
    </row>
    <row r="58" spans="1:4" x14ac:dyDescent="0.2">
      <c r="A58" s="3" t="s">
        <v>53</v>
      </c>
      <c r="B58" s="4"/>
      <c r="C58" s="4"/>
      <c r="D58" s="4"/>
    </row>
    <row r="59" spans="1:4" x14ac:dyDescent="0.2">
      <c r="A59" s="3" t="s">
        <v>54</v>
      </c>
      <c r="B59" s="4"/>
      <c r="C59" s="4"/>
      <c r="D59" s="5">
        <f t="shared" ref="D59:D90" si="2">(B59)-(C59)</f>
        <v>0</v>
      </c>
    </row>
    <row r="60" spans="1:4" x14ac:dyDescent="0.2">
      <c r="A60" s="3" t="s">
        <v>55</v>
      </c>
      <c r="B60" s="4"/>
      <c r="C60" s="5">
        <f>25945000</f>
        <v>25945000</v>
      </c>
      <c r="D60" s="5">
        <f t="shared" si="2"/>
        <v>-25945000</v>
      </c>
    </row>
    <row r="61" spans="1:4" x14ac:dyDescent="0.2">
      <c r="A61" s="3" t="s">
        <v>56</v>
      </c>
      <c r="B61" s="5">
        <f>403667</f>
        <v>403667</v>
      </c>
      <c r="C61" s="5">
        <f>3240000</f>
        <v>3240000</v>
      </c>
      <c r="D61" s="5">
        <f t="shared" si="2"/>
        <v>-2836333</v>
      </c>
    </row>
    <row r="62" spans="1:4" x14ac:dyDescent="0.2">
      <c r="A62" s="3" t="s">
        <v>57</v>
      </c>
      <c r="B62" s="6">
        <f>(B60)+(B61)</f>
        <v>403667</v>
      </c>
      <c r="C62" s="6">
        <f>(C60)+(C61)</f>
        <v>29185000</v>
      </c>
      <c r="D62" s="6">
        <f t="shared" si="2"/>
        <v>-28781333</v>
      </c>
    </row>
    <row r="63" spans="1:4" x14ac:dyDescent="0.2">
      <c r="A63" s="3" t="s">
        <v>58</v>
      </c>
      <c r="B63" s="5">
        <f>2674364.25</f>
        <v>2674364.25</v>
      </c>
      <c r="C63" s="5">
        <f>2100000</f>
        <v>2100000</v>
      </c>
      <c r="D63" s="5">
        <f t="shared" si="2"/>
        <v>574364.25</v>
      </c>
    </row>
    <row r="64" spans="1:4" x14ac:dyDescent="0.2">
      <c r="A64" s="3" t="s">
        <v>59</v>
      </c>
      <c r="B64" s="4"/>
      <c r="C64" s="4"/>
      <c r="D64" s="5">
        <f t="shared" si="2"/>
        <v>0</v>
      </c>
    </row>
    <row r="65" spans="1:4" x14ac:dyDescent="0.2">
      <c r="A65" s="3" t="s">
        <v>60</v>
      </c>
      <c r="B65" s="5">
        <f>3301917</f>
        <v>3301917</v>
      </c>
      <c r="C65" s="5">
        <f>8153957</f>
        <v>8153957</v>
      </c>
      <c r="D65" s="5">
        <f t="shared" si="2"/>
        <v>-4852040</v>
      </c>
    </row>
    <row r="66" spans="1:4" x14ac:dyDescent="0.2">
      <c r="A66" s="3" t="s">
        <v>61</v>
      </c>
      <c r="B66" s="6">
        <f>(B64)+(B65)</f>
        <v>3301917</v>
      </c>
      <c r="C66" s="6">
        <f>(C64)+(C65)</f>
        <v>8153957</v>
      </c>
      <c r="D66" s="6">
        <f t="shared" si="2"/>
        <v>-4852040</v>
      </c>
    </row>
    <row r="67" spans="1:4" x14ac:dyDescent="0.2">
      <c r="A67" s="3" t="s">
        <v>62</v>
      </c>
      <c r="B67" s="6">
        <f>(((B59)+(B62))+(B63))+(B66)</f>
        <v>6379948.25</v>
      </c>
      <c r="C67" s="6">
        <f>(((C59)+(C62))+(C63))+(C66)</f>
        <v>39438957</v>
      </c>
      <c r="D67" s="6">
        <f t="shared" si="2"/>
        <v>-33059008.75</v>
      </c>
    </row>
    <row r="68" spans="1:4" x14ac:dyDescent="0.2">
      <c r="A68" s="3" t="s">
        <v>63</v>
      </c>
      <c r="B68" s="4"/>
      <c r="C68" s="4"/>
      <c r="D68" s="5">
        <f t="shared" si="2"/>
        <v>0</v>
      </c>
    </row>
    <row r="69" spans="1:4" x14ac:dyDescent="0.2">
      <c r="A69" s="3" t="s">
        <v>64</v>
      </c>
      <c r="B69" s="5">
        <f>2800700</f>
        <v>2800700</v>
      </c>
      <c r="C69" s="5">
        <f>3732000</f>
        <v>3732000</v>
      </c>
      <c r="D69" s="5">
        <f t="shared" si="2"/>
        <v>-931300</v>
      </c>
    </row>
    <row r="70" spans="1:4" x14ac:dyDescent="0.2">
      <c r="A70" s="3" t="s">
        <v>65</v>
      </c>
      <c r="B70" s="5">
        <f>7110</f>
        <v>7110</v>
      </c>
      <c r="C70" s="5">
        <f>36000</f>
        <v>36000</v>
      </c>
      <c r="D70" s="5">
        <f t="shared" si="2"/>
        <v>-28890</v>
      </c>
    </row>
    <row r="71" spans="1:4" x14ac:dyDescent="0.2">
      <c r="A71" s="3" t="s">
        <v>66</v>
      </c>
      <c r="B71" s="6">
        <f>((B68)+(B69))+(B70)</f>
        <v>2807810</v>
      </c>
      <c r="C71" s="6">
        <f>((C68)+(C69))+(C70)</f>
        <v>3768000</v>
      </c>
      <c r="D71" s="6">
        <f t="shared" si="2"/>
        <v>-960190</v>
      </c>
    </row>
    <row r="72" spans="1:4" x14ac:dyDescent="0.2">
      <c r="A72" s="3" t="s">
        <v>67</v>
      </c>
      <c r="B72" s="4"/>
      <c r="C72" s="4"/>
      <c r="D72" s="5">
        <f t="shared" si="2"/>
        <v>0</v>
      </c>
    </row>
    <row r="73" spans="1:4" x14ac:dyDescent="0.2">
      <c r="A73" s="3" t="s">
        <v>68</v>
      </c>
      <c r="B73" s="5">
        <f>1598528</f>
        <v>1598528</v>
      </c>
      <c r="C73" s="5">
        <f>3051096</f>
        <v>3051096</v>
      </c>
      <c r="D73" s="5">
        <f t="shared" si="2"/>
        <v>-1452568</v>
      </c>
    </row>
    <row r="74" spans="1:4" x14ac:dyDescent="0.2">
      <c r="A74" s="3" t="s">
        <v>69</v>
      </c>
      <c r="B74" s="5">
        <f>52020</f>
        <v>52020</v>
      </c>
      <c r="C74" s="5">
        <f>339012</f>
        <v>339012</v>
      </c>
      <c r="D74" s="5">
        <f t="shared" si="2"/>
        <v>-286992</v>
      </c>
    </row>
    <row r="75" spans="1:4" x14ac:dyDescent="0.2">
      <c r="A75" s="3" t="s">
        <v>70</v>
      </c>
      <c r="B75" s="6">
        <f>((B72)+(B73))+(B74)</f>
        <v>1650548</v>
      </c>
      <c r="C75" s="6">
        <f>((C72)+(C73))+(C74)</f>
        <v>3390108</v>
      </c>
      <c r="D75" s="6">
        <f t="shared" si="2"/>
        <v>-1739560</v>
      </c>
    </row>
    <row r="76" spans="1:4" x14ac:dyDescent="0.2">
      <c r="A76" s="3" t="s">
        <v>71</v>
      </c>
      <c r="B76" s="4"/>
      <c r="C76" s="4"/>
      <c r="D76" s="5">
        <f t="shared" si="2"/>
        <v>0</v>
      </c>
    </row>
    <row r="77" spans="1:4" x14ac:dyDescent="0.2">
      <c r="A77" s="3" t="s">
        <v>72</v>
      </c>
      <c r="B77" s="5">
        <f>288000</f>
        <v>288000</v>
      </c>
      <c r="C77" s="5">
        <f>780000</f>
        <v>780000</v>
      </c>
      <c r="D77" s="5">
        <f t="shared" si="2"/>
        <v>-492000</v>
      </c>
    </row>
    <row r="78" spans="1:4" x14ac:dyDescent="0.2">
      <c r="A78" s="3" t="s">
        <v>73</v>
      </c>
      <c r="B78" s="5">
        <f>4869650</f>
        <v>4869650</v>
      </c>
      <c r="C78" s="5">
        <f>6910000</f>
        <v>6910000</v>
      </c>
      <c r="D78" s="5">
        <f t="shared" si="2"/>
        <v>-2040350</v>
      </c>
    </row>
    <row r="79" spans="1:4" x14ac:dyDescent="0.2">
      <c r="A79" s="3" t="s">
        <v>74</v>
      </c>
      <c r="B79" s="5">
        <f>3207958.47</f>
        <v>3207958.47</v>
      </c>
      <c r="C79" s="5">
        <f>4260000</f>
        <v>4260000</v>
      </c>
      <c r="D79" s="5">
        <f t="shared" si="2"/>
        <v>-1052041.5299999998</v>
      </c>
    </row>
    <row r="80" spans="1:4" x14ac:dyDescent="0.2">
      <c r="A80" s="3" t="s">
        <v>75</v>
      </c>
      <c r="B80" s="6">
        <f>(((B76)+(B77))+(B78))+(B79)</f>
        <v>8365608.4700000007</v>
      </c>
      <c r="C80" s="6">
        <f>(((C76)+(C77))+(C78))+(C79)</f>
        <v>11950000</v>
      </c>
      <c r="D80" s="6">
        <f t="shared" si="2"/>
        <v>-3584391.5299999993</v>
      </c>
    </row>
    <row r="81" spans="1:4" x14ac:dyDescent="0.2">
      <c r="A81" s="3" t="s">
        <v>76</v>
      </c>
      <c r="B81" s="4"/>
      <c r="C81" s="4"/>
      <c r="D81" s="5">
        <f t="shared" si="2"/>
        <v>0</v>
      </c>
    </row>
    <row r="82" spans="1:4" x14ac:dyDescent="0.2">
      <c r="A82" s="3" t="s">
        <v>77</v>
      </c>
      <c r="B82" s="5">
        <f>220383</f>
        <v>220383</v>
      </c>
      <c r="C82" s="5">
        <f>313000</f>
        <v>313000</v>
      </c>
      <c r="D82" s="5">
        <f t="shared" si="2"/>
        <v>-92617</v>
      </c>
    </row>
    <row r="83" spans="1:4" x14ac:dyDescent="0.2">
      <c r="A83" s="3" t="s">
        <v>78</v>
      </c>
      <c r="B83" s="5">
        <f>747479.21</f>
        <v>747479.21</v>
      </c>
      <c r="C83" s="5">
        <f>542000</f>
        <v>542000</v>
      </c>
      <c r="D83" s="5">
        <f t="shared" si="2"/>
        <v>205479.20999999996</v>
      </c>
    </row>
    <row r="84" spans="1:4" x14ac:dyDescent="0.2">
      <c r="A84" s="3" t="s">
        <v>79</v>
      </c>
      <c r="B84" s="5">
        <f>12549</f>
        <v>12549</v>
      </c>
      <c r="C84" s="5">
        <f>24000</f>
        <v>24000</v>
      </c>
      <c r="D84" s="5">
        <f t="shared" si="2"/>
        <v>-11451</v>
      </c>
    </row>
    <row r="85" spans="1:4" x14ac:dyDescent="0.2">
      <c r="A85" s="3" t="s">
        <v>80</v>
      </c>
      <c r="B85" s="5">
        <f>48920</f>
        <v>48920</v>
      </c>
      <c r="C85" s="5">
        <f>51600</f>
        <v>51600</v>
      </c>
      <c r="D85" s="5">
        <f t="shared" si="2"/>
        <v>-2680</v>
      </c>
    </row>
    <row r="86" spans="1:4" x14ac:dyDescent="0.2">
      <c r="A86" s="3" t="s">
        <v>81</v>
      </c>
      <c r="B86" s="6">
        <f>((((B81)+(B82))+(B83))+(B84))+(B85)</f>
        <v>1029331.21</v>
      </c>
      <c r="C86" s="6">
        <f>((((C81)+(C82))+(C83))+(C84))+(C85)</f>
        <v>930600</v>
      </c>
      <c r="D86" s="6">
        <f t="shared" si="2"/>
        <v>98731.209999999963</v>
      </c>
    </row>
    <row r="87" spans="1:4" x14ac:dyDescent="0.2">
      <c r="A87" s="3" t="s">
        <v>82</v>
      </c>
      <c r="B87" s="4"/>
      <c r="C87" s="4"/>
      <c r="D87" s="5">
        <f t="shared" si="2"/>
        <v>0</v>
      </c>
    </row>
    <row r="88" spans="1:4" x14ac:dyDescent="0.2">
      <c r="A88" s="3" t="s">
        <v>83</v>
      </c>
      <c r="B88" s="5">
        <f>257905</f>
        <v>257905</v>
      </c>
      <c r="C88" s="5">
        <f>490004.84</f>
        <v>490004.84</v>
      </c>
      <c r="D88" s="5">
        <f t="shared" si="2"/>
        <v>-232099.84000000003</v>
      </c>
    </row>
    <row r="89" spans="1:4" x14ac:dyDescent="0.2">
      <c r="A89" s="3" t="s">
        <v>84</v>
      </c>
      <c r="B89" s="5">
        <f>273454</f>
        <v>273454</v>
      </c>
      <c r="C89" s="5">
        <f>454838.21</f>
        <v>454838.21</v>
      </c>
      <c r="D89" s="5">
        <f t="shared" si="2"/>
        <v>-181384.21000000002</v>
      </c>
    </row>
    <row r="90" spans="1:4" x14ac:dyDescent="0.2">
      <c r="A90" s="3" t="s">
        <v>85</v>
      </c>
      <c r="B90" s="5">
        <f>522224</f>
        <v>522224</v>
      </c>
      <c r="C90" s="5">
        <f>704196.95</f>
        <v>704196.95</v>
      </c>
      <c r="D90" s="5">
        <f t="shared" si="2"/>
        <v>-181972.94999999995</v>
      </c>
    </row>
    <row r="91" spans="1:4" x14ac:dyDescent="0.2">
      <c r="A91" s="3" t="s">
        <v>86</v>
      </c>
      <c r="B91" s="6">
        <f>(((B87)+(B88))+(B89))+(B90)</f>
        <v>1053583</v>
      </c>
      <c r="C91" s="6">
        <f>(((C87)+(C88))+(C89))+(C90)</f>
        <v>1649040</v>
      </c>
      <c r="D91" s="6">
        <f t="shared" ref="D91:D111" si="3">(B91)-(C91)</f>
        <v>-595457</v>
      </c>
    </row>
    <row r="92" spans="1:4" x14ac:dyDescent="0.2">
      <c r="A92" s="3" t="s">
        <v>87</v>
      </c>
      <c r="B92" s="4"/>
      <c r="C92" s="4"/>
      <c r="D92" s="5">
        <f t="shared" si="3"/>
        <v>0</v>
      </c>
    </row>
    <row r="93" spans="1:4" x14ac:dyDescent="0.2">
      <c r="A93" s="3" t="s">
        <v>88</v>
      </c>
      <c r="B93" s="5">
        <f>4097112</f>
        <v>4097112</v>
      </c>
      <c r="C93" s="5">
        <f>3650000</f>
        <v>3650000</v>
      </c>
      <c r="D93" s="5">
        <f t="shared" si="3"/>
        <v>447112</v>
      </c>
    </row>
    <row r="94" spans="1:4" x14ac:dyDescent="0.2">
      <c r="A94" s="3" t="s">
        <v>89</v>
      </c>
      <c r="B94" s="5">
        <f>0</f>
        <v>0</v>
      </c>
      <c r="C94" s="5">
        <f>165000</f>
        <v>165000</v>
      </c>
      <c r="D94" s="5">
        <f t="shared" si="3"/>
        <v>-165000</v>
      </c>
    </row>
    <row r="95" spans="1:4" x14ac:dyDescent="0.2">
      <c r="A95" s="3" t="s">
        <v>90</v>
      </c>
      <c r="B95" s="6">
        <f>((B92)+(B93))+(B94)</f>
        <v>4097112</v>
      </c>
      <c r="C95" s="6">
        <f>((C92)+(C93))+(C94)</f>
        <v>3815000</v>
      </c>
      <c r="D95" s="6">
        <f t="shared" si="3"/>
        <v>282112</v>
      </c>
    </row>
    <row r="96" spans="1:4" x14ac:dyDescent="0.2">
      <c r="A96" s="3" t="s">
        <v>91</v>
      </c>
      <c r="B96" s="4"/>
      <c r="C96" s="4"/>
      <c r="D96" s="5">
        <f t="shared" si="3"/>
        <v>0</v>
      </c>
    </row>
    <row r="97" spans="1:4" x14ac:dyDescent="0.2">
      <c r="A97" s="3" t="s">
        <v>92</v>
      </c>
      <c r="B97" s="5">
        <f>469305</f>
        <v>469305</v>
      </c>
      <c r="C97" s="5">
        <f>360000</f>
        <v>360000</v>
      </c>
      <c r="D97" s="5">
        <f t="shared" si="3"/>
        <v>109305</v>
      </c>
    </row>
    <row r="98" spans="1:4" x14ac:dyDescent="0.2">
      <c r="A98" s="3" t="s">
        <v>93</v>
      </c>
      <c r="B98" s="4"/>
      <c r="C98" s="5">
        <f>15000</f>
        <v>15000</v>
      </c>
      <c r="D98" s="5">
        <f t="shared" si="3"/>
        <v>-15000</v>
      </c>
    </row>
    <row r="99" spans="1:4" x14ac:dyDescent="0.2">
      <c r="A99" s="3" t="s">
        <v>94</v>
      </c>
      <c r="B99" s="5">
        <f>359483</f>
        <v>359483</v>
      </c>
      <c r="C99" s="5">
        <f>300000</f>
        <v>300000</v>
      </c>
      <c r="D99" s="5">
        <f t="shared" si="3"/>
        <v>59483</v>
      </c>
    </row>
    <row r="100" spans="1:4" x14ac:dyDescent="0.2">
      <c r="A100" s="3" t="s">
        <v>95</v>
      </c>
      <c r="B100" s="6">
        <f>(((B96)+(B97))+(B98))+(B99)</f>
        <v>828788</v>
      </c>
      <c r="C100" s="6">
        <f>(((C96)+(C97))+(C98))+(C99)</f>
        <v>675000</v>
      </c>
      <c r="D100" s="6">
        <f t="shared" si="3"/>
        <v>153788</v>
      </c>
    </row>
    <row r="101" spans="1:4" x14ac:dyDescent="0.2">
      <c r="A101" s="3" t="s">
        <v>96</v>
      </c>
      <c r="B101" s="4"/>
      <c r="C101" s="4"/>
      <c r="D101" s="5">
        <f t="shared" si="3"/>
        <v>0</v>
      </c>
    </row>
    <row r="102" spans="1:4" x14ac:dyDescent="0.2">
      <c r="A102" s="3" t="s">
        <v>97</v>
      </c>
      <c r="B102" s="5">
        <f>1320000</f>
        <v>1320000</v>
      </c>
      <c r="C102" s="5">
        <f>1800000</f>
        <v>1800000</v>
      </c>
      <c r="D102" s="5">
        <f t="shared" si="3"/>
        <v>-480000</v>
      </c>
    </row>
    <row r="103" spans="1:4" x14ac:dyDescent="0.2">
      <c r="A103" s="3" t="s">
        <v>98</v>
      </c>
      <c r="B103" s="5">
        <f>2174662.52</f>
        <v>2174662.52</v>
      </c>
      <c r="C103" s="5">
        <f>1925000</f>
        <v>1925000</v>
      </c>
      <c r="D103" s="5">
        <f t="shared" si="3"/>
        <v>249662.52000000002</v>
      </c>
    </row>
    <row r="104" spans="1:4" x14ac:dyDescent="0.2">
      <c r="A104" s="3" t="s">
        <v>99</v>
      </c>
      <c r="B104" s="5">
        <f>40000</f>
        <v>40000</v>
      </c>
      <c r="C104" s="5">
        <f>820000</f>
        <v>820000</v>
      </c>
      <c r="D104" s="5">
        <f t="shared" si="3"/>
        <v>-780000</v>
      </c>
    </row>
    <row r="105" spans="1:4" x14ac:dyDescent="0.2">
      <c r="A105" s="3" t="s">
        <v>100</v>
      </c>
      <c r="B105" s="6">
        <f>(((B101)+(B102))+(B103))+(B104)</f>
        <v>3534662.52</v>
      </c>
      <c r="C105" s="6">
        <f>(((C101)+(C102))+(C103))+(C104)</f>
        <v>4545000</v>
      </c>
      <c r="D105" s="6">
        <f t="shared" si="3"/>
        <v>-1010337.48</v>
      </c>
    </row>
    <row r="106" spans="1:4" x14ac:dyDescent="0.2">
      <c r="A106" s="3" t="s">
        <v>101</v>
      </c>
      <c r="B106" s="4"/>
      <c r="C106" s="4"/>
      <c r="D106" s="5">
        <f t="shared" si="3"/>
        <v>0</v>
      </c>
    </row>
    <row r="107" spans="1:4" x14ac:dyDescent="0.2">
      <c r="A107" s="3" t="s">
        <v>102</v>
      </c>
      <c r="B107" s="5">
        <f>133870.39</f>
        <v>133870.39000000001</v>
      </c>
      <c r="C107" s="5">
        <f>240000</f>
        <v>240000</v>
      </c>
      <c r="D107" s="5">
        <f t="shared" si="3"/>
        <v>-106129.60999999999</v>
      </c>
    </row>
    <row r="108" spans="1:4" x14ac:dyDescent="0.2">
      <c r="A108" s="3" t="s">
        <v>103</v>
      </c>
      <c r="B108" s="5">
        <f>222141</f>
        <v>222141</v>
      </c>
      <c r="C108" s="5">
        <f>327000</f>
        <v>327000</v>
      </c>
      <c r="D108" s="5">
        <f t="shared" si="3"/>
        <v>-104859</v>
      </c>
    </row>
    <row r="109" spans="1:4" x14ac:dyDescent="0.2">
      <c r="A109" s="3" t="s">
        <v>104</v>
      </c>
      <c r="B109" s="6">
        <f>((B106)+(B107))+(B108)</f>
        <v>356011.39</v>
      </c>
      <c r="C109" s="6">
        <f>((C106)+(C107))+(C108)</f>
        <v>567000</v>
      </c>
      <c r="D109" s="6">
        <f t="shared" si="3"/>
        <v>-210988.61</v>
      </c>
    </row>
    <row r="110" spans="1:4" x14ac:dyDescent="0.2">
      <c r="A110" s="3" t="s">
        <v>105</v>
      </c>
      <c r="B110" s="6">
        <f>(((((((((B67)+(B71))+(B75))+(B80))+(B86))+(B91))+(B95))+(B100))+(B105))+(B109)</f>
        <v>30103402.84</v>
      </c>
      <c r="C110" s="6">
        <f>(((((((((C67)+(C71))+(C75))+(C80))+(C86))+(C91))+(C95))+(C100))+(C105))+(C109)</f>
        <v>70728705</v>
      </c>
      <c r="D110" s="6">
        <f t="shared" si="3"/>
        <v>-40625302.159999996</v>
      </c>
    </row>
    <row r="111" spans="1:4" x14ac:dyDescent="0.2">
      <c r="A111" s="3" t="s">
        <v>106</v>
      </c>
      <c r="B111" s="6">
        <f>(B57)-(B110)</f>
        <v>43517578.059999973</v>
      </c>
      <c r="C111" s="6">
        <f>(C57)-(C110)</f>
        <v>91065341</v>
      </c>
      <c r="D111" s="6">
        <f t="shared" si="3"/>
        <v>-47547762.940000027</v>
      </c>
    </row>
    <row r="112" spans="1:4" x14ac:dyDescent="0.2">
      <c r="A112" s="3" t="s">
        <v>107</v>
      </c>
      <c r="B112" s="4"/>
      <c r="C112" s="4"/>
      <c r="D112" s="4"/>
    </row>
    <row r="113" spans="1:4" x14ac:dyDescent="0.2">
      <c r="A113" s="3" t="s">
        <v>108</v>
      </c>
      <c r="B113" s="4"/>
      <c r="C113" s="4"/>
      <c r="D113" s="5">
        <f>(B113)-(C113)</f>
        <v>0</v>
      </c>
    </row>
    <row r="114" spans="1:4" x14ac:dyDescent="0.2">
      <c r="A114" s="3" t="s">
        <v>109</v>
      </c>
      <c r="B114" s="5">
        <f>55534336</f>
        <v>55534336</v>
      </c>
      <c r="C114" s="5">
        <f>70000000</f>
        <v>70000000</v>
      </c>
      <c r="D114" s="5">
        <f>(B114)-(C114)</f>
        <v>-14465664</v>
      </c>
    </row>
    <row r="115" spans="1:4" x14ac:dyDescent="0.2">
      <c r="A115" s="3" t="s">
        <v>110</v>
      </c>
      <c r="B115" s="5">
        <f>8918485.5</f>
        <v>8918485.5</v>
      </c>
      <c r="C115" s="5">
        <f>1603811</f>
        <v>1603811</v>
      </c>
      <c r="D115" s="5">
        <f>(B115)-(C115)</f>
        <v>7314674.5</v>
      </c>
    </row>
    <row r="116" spans="1:4" x14ac:dyDescent="0.2">
      <c r="A116" s="3" t="s">
        <v>111</v>
      </c>
      <c r="B116" s="6">
        <f>((B113)+(B114))+(B115)</f>
        <v>64452821.5</v>
      </c>
      <c r="C116" s="6">
        <f>((C113)+(C114))+(C115)</f>
        <v>71603811</v>
      </c>
      <c r="D116" s="6">
        <f>(B116)-(C116)</f>
        <v>-7150989.5</v>
      </c>
    </row>
    <row r="117" spans="1:4" x14ac:dyDescent="0.2">
      <c r="A117" s="3" t="s">
        <v>112</v>
      </c>
      <c r="B117" s="6">
        <f>B116</f>
        <v>64452821.5</v>
      </c>
      <c r="C117" s="6">
        <f>C116</f>
        <v>71603811</v>
      </c>
      <c r="D117" s="6">
        <f>(B117)-(C117)</f>
        <v>-7150989.5</v>
      </c>
    </row>
    <row r="118" spans="1:4" x14ac:dyDescent="0.2">
      <c r="A118" s="3" t="s">
        <v>113</v>
      </c>
      <c r="B118" s="4"/>
      <c r="C118" s="4"/>
      <c r="D118" s="4"/>
    </row>
    <row r="119" spans="1:4" x14ac:dyDescent="0.2">
      <c r="A119" s="3" t="s">
        <v>114</v>
      </c>
      <c r="B119" s="4"/>
      <c r="C119" s="4"/>
      <c r="D119" s="5">
        <f t="shared" ref="D119:D127" si="4">(B119)-(C119)</f>
        <v>0</v>
      </c>
    </row>
    <row r="120" spans="1:4" x14ac:dyDescent="0.2">
      <c r="A120" s="3" t="s">
        <v>115</v>
      </c>
      <c r="B120" s="5">
        <f>26611506</f>
        <v>26611506</v>
      </c>
      <c r="C120" s="5">
        <f>56000000</f>
        <v>56000000</v>
      </c>
      <c r="D120" s="5">
        <f t="shared" si="4"/>
        <v>-29388494</v>
      </c>
    </row>
    <row r="121" spans="1:4" x14ac:dyDescent="0.2">
      <c r="A121" s="3" t="s">
        <v>116</v>
      </c>
      <c r="B121" s="5">
        <f>284725.23</f>
        <v>284725.23</v>
      </c>
      <c r="C121" s="5">
        <f>200319</f>
        <v>200319</v>
      </c>
      <c r="D121" s="5">
        <f t="shared" si="4"/>
        <v>84406.229999999981</v>
      </c>
    </row>
    <row r="122" spans="1:4" x14ac:dyDescent="0.2">
      <c r="A122" s="3" t="s">
        <v>117</v>
      </c>
      <c r="B122" s="5">
        <f>197461</f>
        <v>197461</v>
      </c>
      <c r="C122" s="5">
        <f>5875720</f>
        <v>5875720</v>
      </c>
      <c r="D122" s="5">
        <f t="shared" si="4"/>
        <v>-5678259</v>
      </c>
    </row>
    <row r="123" spans="1:4" x14ac:dyDescent="0.2">
      <c r="A123" s="3" t="s">
        <v>118</v>
      </c>
      <c r="B123" s="5">
        <f>12856000</f>
        <v>12856000</v>
      </c>
      <c r="C123" s="5">
        <f>22000000.36</f>
        <v>22000000.359999999</v>
      </c>
      <c r="D123" s="5">
        <f t="shared" si="4"/>
        <v>-9144000.3599999994</v>
      </c>
    </row>
    <row r="124" spans="1:4" x14ac:dyDescent="0.2">
      <c r="A124" s="3" t="s">
        <v>119</v>
      </c>
      <c r="B124" s="6">
        <f>((((B119)+(B120))+(B121))+(B122))+(B123)</f>
        <v>39949692.230000004</v>
      </c>
      <c r="C124" s="6">
        <f>((((C119)+(C120))+(C121))+(C122))+(C123)</f>
        <v>84076039.359999999</v>
      </c>
      <c r="D124" s="6">
        <f t="shared" si="4"/>
        <v>-44126347.129999995</v>
      </c>
    </row>
    <row r="125" spans="1:4" x14ac:dyDescent="0.2">
      <c r="A125" s="3" t="s">
        <v>120</v>
      </c>
      <c r="B125" s="6">
        <f>B124</f>
        <v>39949692.230000004</v>
      </c>
      <c r="C125" s="6">
        <f>C124</f>
        <v>84076039.359999999</v>
      </c>
      <c r="D125" s="6">
        <f t="shared" si="4"/>
        <v>-44126347.129999995</v>
      </c>
    </row>
    <row r="126" spans="1:4" x14ac:dyDescent="0.2">
      <c r="A126" s="3" t="s">
        <v>121</v>
      </c>
      <c r="B126" s="6">
        <f>(B117)-(B125)</f>
        <v>24503129.269999996</v>
      </c>
      <c r="C126" s="6">
        <f>(C117)-(C125)</f>
        <v>-12472228.359999999</v>
      </c>
      <c r="D126" s="6">
        <f t="shared" si="4"/>
        <v>36975357.629999995</v>
      </c>
    </row>
    <row r="127" spans="1:4" x14ac:dyDescent="0.2">
      <c r="A127" s="3" t="s">
        <v>122</v>
      </c>
      <c r="B127" s="7">
        <f>(B111)+(B126)</f>
        <v>68020707.329999968</v>
      </c>
      <c r="C127" s="7">
        <f>(C111)+(C126)</f>
        <v>78593112.640000001</v>
      </c>
      <c r="D127" s="7">
        <f t="shared" si="4"/>
        <v>-10572405.310000032</v>
      </c>
    </row>
    <row r="128" spans="1:4" x14ac:dyDescent="0.2">
      <c r="A128" s="3"/>
      <c r="B128" s="4"/>
      <c r="C128" s="4"/>
      <c r="D128" s="4"/>
    </row>
    <row r="131" spans="1:4" x14ac:dyDescent="0.2">
      <c r="A131" s="10" t="s">
        <v>123</v>
      </c>
      <c r="B131" s="11"/>
      <c r="C131" s="11"/>
      <c r="D131" s="11"/>
    </row>
  </sheetData>
  <mergeCells count="5">
    <mergeCell ref="B5:D5"/>
    <mergeCell ref="A131:D131"/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vs. 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Khan, Adnan</cp:lastModifiedBy>
  <dcterms:created xsi:type="dcterms:W3CDTF">2024-04-02T20:39:40Z</dcterms:created>
  <dcterms:modified xsi:type="dcterms:W3CDTF">2024-04-02T20:48:01Z</dcterms:modified>
</cp:coreProperties>
</file>