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python stuff/sample PLs/"/>
    </mc:Choice>
  </mc:AlternateContent>
  <xr:revisionPtr revIDLastSave="0" documentId="13_ncr:1_{883E2C2E-60C7-2640-9475-ADB3B8E200BC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Profit and Loss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4" i="1" l="1"/>
  <c r="E133" i="1"/>
  <c r="B133" i="1"/>
  <c r="D133" i="1" s="1"/>
  <c r="E132" i="1"/>
  <c r="C132" i="1"/>
  <c r="B132" i="1"/>
  <c r="D132" i="1" s="1"/>
  <c r="E131" i="1"/>
  <c r="C131" i="1"/>
  <c r="B131" i="1"/>
  <c r="D131" i="1" s="1"/>
  <c r="E130" i="1"/>
  <c r="C130" i="1"/>
  <c r="B130" i="1"/>
  <c r="D130" i="1" s="1"/>
  <c r="E129" i="1"/>
  <c r="D129" i="1"/>
  <c r="C125" i="1"/>
  <c r="E125" i="1" s="1"/>
  <c r="B125" i="1"/>
  <c r="C124" i="1"/>
  <c r="E124" i="1" s="1"/>
  <c r="B124" i="1"/>
  <c r="B126" i="1" s="1"/>
  <c r="E123" i="1"/>
  <c r="D123" i="1"/>
  <c r="E121" i="1"/>
  <c r="C121" i="1"/>
  <c r="B121" i="1"/>
  <c r="D121" i="1" s="1"/>
  <c r="E120" i="1"/>
  <c r="C120" i="1"/>
  <c r="B120" i="1"/>
  <c r="D120" i="1" s="1"/>
  <c r="E119" i="1"/>
  <c r="C119" i="1"/>
  <c r="C122" i="1" s="1"/>
  <c r="B119" i="1"/>
  <c r="D119" i="1" s="1"/>
  <c r="E118" i="1"/>
  <c r="D118" i="1"/>
  <c r="C116" i="1"/>
  <c r="E116" i="1" s="1"/>
  <c r="B116" i="1"/>
  <c r="C115" i="1"/>
  <c r="E115" i="1" s="1"/>
  <c r="C114" i="1"/>
  <c r="E114" i="1" s="1"/>
  <c r="B114" i="1"/>
  <c r="B117" i="1" s="1"/>
  <c r="E113" i="1"/>
  <c r="D113" i="1"/>
  <c r="E111" i="1"/>
  <c r="D111" i="1"/>
  <c r="C111" i="1"/>
  <c r="B111" i="1"/>
  <c r="E110" i="1"/>
  <c r="D110" i="1"/>
  <c r="C110" i="1"/>
  <c r="B110" i="1"/>
  <c r="B112" i="1" s="1"/>
  <c r="D112" i="1" s="1"/>
  <c r="E109" i="1"/>
  <c r="D109" i="1"/>
  <c r="C109" i="1"/>
  <c r="C112" i="1" s="1"/>
  <c r="E108" i="1"/>
  <c r="D108" i="1"/>
  <c r="E106" i="1"/>
  <c r="C106" i="1"/>
  <c r="B106" i="1"/>
  <c r="D106" i="1" s="1"/>
  <c r="E105" i="1"/>
  <c r="C105" i="1"/>
  <c r="B105" i="1"/>
  <c r="D105" i="1" s="1"/>
  <c r="E104" i="1"/>
  <c r="C104" i="1"/>
  <c r="C107" i="1" s="1"/>
  <c r="B104" i="1"/>
  <c r="D104" i="1" s="1"/>
  <c r="E103" i="1"/>
  <c r="D103" i="1"/>
  <c r="C101" i="1"/>
  <c r="B101" i="1"/>
  <c r="C100" i="1"/>
  <c r="B100" i="1"/>
  <c r="C99" i="1"/>
  <c r="B99" i="1"/>
  <c r="C98" i="1"/>
  <c r="B98" i="1"/>
  <c r="B102" i="1" s="1"/>
  <c r="E97" i="1"/>
  <c r="D97" i="1"/>
  <c r="C96" i="1"/>
  <c r="E95" i="1"/>
  <c r="C95" i="1"/>
  <c r="B95" i="1"/>
  <c r="D95" i="1" s="1"/>
  <c r="E94" i="1"/>
  <c r="C94" i="1"/>
  <c r="D94" i="1" s="1"/>
  <c r="E93" i="1"/>
  <c r="D93" i="1"/>
  <c r="C93" i="1"/>
  <c r="B93" i="1"/>
  <c r="E92" i="1"/>
  <c r="D92" i="1"/>
  <c r="C92" i="1"/>
  <c r="B92" i="1"/>
  <c r="E91" i="1"/>
  <c r="D91" i="1"/>
  <c r="C89" i="1"/>
  <c r="B89" i="1"/>
  <c r="D89" i="1" s="1"/>
  <c r="C88" i="1"/>
  <c r="E88" i="1" s="1"/>
  <c r="E87" i="1"/>
  <c r="C87" i="1"/>
  <c r="B87" i="1"/>
  <c r="D87" i="1" s="1"/>
  <c r="E86" i="1"/>
  <c r="D86" i="1"/>
  <c r="C84" i="1"/>
  <c r="B84" i="1"/>
  <c r="C83" i="1"/>
  <c r="B83" i="1"/>
  <c r="D82" i="1"/>
  <c r="C82" i="1"/>
  <c r="E82" i="1" s="1"/>
  <c r="C81" i="1"/>
  <c r="B81" i="1"/>
  <c r="E80" i="1"/>
  <c r="D80" i="1"/>
  <c r="E77" i="1"/>
  <c r="D77" i="1"/>
  <c r="C77" i="1"/>
  <c r="B77" i="1"/>
  <c r="E76" i="1"/>
  <c r="D76" i="1"/>
  <c r="C76" i="1"/>
  <c r="C78" i="1" s="1"/>
  <c r="E78" i="1" s="1"/>
  <c r="B76" i="1"/>
  <c r="B78" i="1" s="1"/>
  <c r="D78" i="1" s="1"/>
  <c r="E75" i="1"/>
  <c r="D75" i="1"/>
  <c r="C74" i="1"/>
  <c r="E74" i="1" s="1"/>
  <c r="B74" i="1"/>
  <c r="E72" i="1"/>
  <c r="B72" i="1"/>
  <c r="D72" i="1" s="1"/>
  <c r="E71" i="1"/>
  <c r="B71" i="1"/>
  <c r="D71" i="1" s="1"/>
  <c r="E70" i="1"/>
  <c r="D70" i="1"/>
  <c r="B70" i="1"/>
  <c r="E69" i="1"/>
  <c r="D69" i="1"/>
  <c r="B69" i="1"/>
  <c r="C68" i="1"/>
  <c r="B68" i="1"/>
  <c r="D68" i="1" s="1"/>
  <c r="E67" i="1"/>
  <c r="D67" i="1"/>
  <c r="E63" i="1"/>
  <c r="D63" i="1"/>
  <c r="C63" i="1"/>
  <c r="B63" i="1"/>
  <c r="E62" i="1"/>
  <c r="D62" i="1"/>
  <c r="C62" i="1"/>
  <c r="C64" i="1" s="1"/>
  <c r="C65" i="1" s="1"/>
  <c r="E65" i="1" s="1"/>
  <c r="B62" i="1"/>
  <c r="B64" i="1" s="1"/>
  <c r="B65" i="1" s="1"/>
  <c r="E61" i="1"/>
  <c r="D61" i="1"/>
  <c r="C57" i="1"/>
  <c r="E56" i="1"/>
  <c r="B56" i="1"/>
  <c r="D56" i="1" s="1"/>
  <c r="E55" i="1"/>
  <c r="C55" i="1"/>
  <c r="B55" i="1"/>
  <c r="D55" i="1" s="1"/>
  <c r="E54" i="1"/>
  <c r="C54" i="1"/>
  <c r="B54" i="1"/>
  <c r="D54" i="1" s="1"/>
  <c r="C53" i="1"/>
  <c r="B53" i="1"/>
  <c r="D53" i="1" s="1"/>
  <c r="C52" i="1"/>
  <c r="B52" i="1"/>
  <c r="D52" i="1" s="1"/>
  <c r="E51" i="1"/>
  <c r="C51" i="1"/>
  <c r="B51" i="1"/>
  <c r="D51" i="1" s="1"/>
  <c r="E50" i="1"/>
  <c r="C50" i="1"/>
  <c r="B50" i="1"/>
  <c r="D50" i="1" s="1"/>
  <c r="C49" i="1"/>
  <c r="B49" i="1"/>
  <c r="D49" i="1" s="1"/>
  <c r="E48" i="1"/>
  <c r="D48" i="1"/>
  <c r="C46" i="1"/>
  <c r="E46" i="1" s="1"/>
  <c r="B46" i="1"/>
  <c r="D45" i="1"/>
  <c r="C45" i="1"/>
  <c r="E45" i="1" s="1"/>
  <c r="B45" i="1"/>
  <c r="C44" i="1"/>
  <c r="E44" i="1" s="1"/>
  <c r="B44" i="1"/>
  <c r="B47" i="1" s="1"/>
  <c r="E43" i="1"/>
  <c r="D43" i="1"/>
  <c r="C41" i="1"/>
  <c r="B41" i="1"/>
  <c r="D41" i="1" s="1"/>
  <c r="C40" i="1"/>
  <c r="B40" i="1"/>
  <c r="D40" i="1" s="1"/>
  <c r="E39" i="1"/>
  <c r="C39" i="1"/>
  <c r="B39" i="1"/>
  <c r="D39" i="1" s="1"/>
  <c r="E38" i="1"/>
  <c r="C38" i="1"/>
  <c r="B38" i="1"/>
  <c r="D38" i="1" s="1"/>
  <c r="C37" i="1"/>
  <c r="B37" i="1"/>
  <c r="D37" i="1" s="1"/>
  <c r="C36" i="1"/>
  <c r="B36" i="1"/>
  <c r="D36" i="1" s="1"/>
  <c r="C34" i="1"/>
  <c r="B34" i="1"/>
  <c r="D34" i="1" s="1"/>
  <c r="C33" i="1"/>
  <c r="B33" i="1"/>
  <c r="D33" i="1" s="1"/>
  <c r="E32" i="1"/>
  <c r="C32" i="1"/>
  <c r="B32" i="1"/>
  <c r="D32" i="1" s="1"/>
  <c r="E31" i="1"/>
  <c r="C31" i="1"/>
  <c r="B31" i="1"/>
  <c r="D31" i="1" s="1"/>
  <c r="C30" i="1"/>
  <c r="C35" i="1" s="1"/>
  <c r="B30" i="1"/>
  <c r="D30" i="1" s="1"/>
  <c r="E29" i="1"/>
  <c r="D29" i="1"/>
  <c r="C28" i="1"/>
  <c r="C27" i="1"/>
  <c r="E27" i="1" s="1"/>
  <c r="B27" i="1"/>
  <c r="D26" i="1"/>
  <c r="C26" i="1"/>
  <c r="E26" i="1" s="1"/>
  <c r="B26" i="1"/>
  <c r="C25" i="1"/>
  <c r="E25" i="1" s="1"/>
  <c r="B25" i="1"/>
  <c r="C24" i="1"/>
  <c r="E24" i="1" s="1"/>
  <c r="B24" i="1"/>
  <c r="B28" i="1" s="1"/>
  <c r="E23" i="1"/>
  <c r="D23" i="1"/>
  <c r="E22" i="1"/>
  <c r="D22" i="1"/>
  <c r="E19" i="1"/>
  <c r="C19" i="1"/>
  <c r="D19" i="1" s="1"/>
  <c r="B19" i="1"/>
  <c r="E18" i="1"/>
  <c r="C18" i="1"/>
  <c r="D18" i="1" s="1"/>
  <c r="B18" i="1"/>
  <c r="E17" i="1"/>
  <c r="C17" i="1"/>
  <c r="D17" i="1" s="1"/>
  <c r="B17" i="1"/>
  <c r="E16" i="1"/>
  <c r="C16" i="1"/>
  <c r="D16" i="1" s="1"/>
  <c r="B16" i="1"/>
  <c r="E14" i="1"/>
  <c r="D14" i="1"/>
  <c r="B14" i="1"/>
  <c r="C13" i="1"/>
  <c r="B13" i="1"/>
  <c r="B15" i="1" s="1"/>
  <c r="E12" i="1"/>
  <c r="D12" i="1"/>
  <c r="E11" i="1"/>
  <c r="D11" i="1"/>
  <c r="C11" i="1"/>
  <c r="B11" i="1"/>
  <c r="E10" i="1"/>
  <c r="D10" i="1"/>
  <c r="B10" i="1"/>
  <c r="E9" i="1"/>
  <c r="D9" i="1"/>
  <c r="E8" i="1"/>
  <c r="C8" i="1"/>
  <c r="B8" i="1"/>
  <c r="E64" i="1" l="1"/>
  <c r="E84" i="1"/>
  <c r="D84" i="1"/>
  <c r="C42" i="1"/>
  <c r="E28" i="1"/>
  <c r="B85" i="1"/>
  <c r="D81" i="1"/>
  <c r="C47" i="1"/>
  <c r="D25" i="1"/>
  <c r="D28" i="1"/>
  <c r="D44" i="1"/>
  <c r="D65" i="1"/>
  <c r="B73" i="1"/>
  <c r="E89" i="1"/>
  <c r="E99" i="1"/>
  <c r="D99" i="1"/>
  <c r="D13" i="1"/>
  <c r="D24" i="1"/>
  <c r="E53" i="1"/>
  <c r="E13" i="1"/>
  <c r="C85" i="1"/>
  <c r="E85" i="1" s="1"/>
  <c r="E101" i="1"/>
  <c r="D101" i="1"/>
  <c r="B20" i="1"/>
  <c r="D8" i="1"/>
  <c r="C15" i="1"/>
  <c r="E30" i="1"/>
  <c r="E34" i="1"/>
  <c r="E37" i="1"/>
  <c r="E41" i="1"/>
  <c r="E49" i="1"/>
  <c r="E68" i="1"/>
  <c r="C73" i="1"/>
  <c r="E81" i="1"/>
  <c r="E83" i="1"/>
  <c r="D83" i="1"/>
  <c r="B90" i="1"/>
  <c r="D90" i="1" s="1"/>
  <c r="D102" i="1"/>
  <c r="D126" i="1"/>
  <c r="D27" i="1"/>
  <c r="E33" i="1"/>
  <c r="B35" i="1"/>
  <c r="E36" i="1"/>
  <c r="E40" i="1"/>
  <c r="D46" i="1"/>
  <c r="E52" i="1"/>
  <c r="B57" i="1"/>
  <c r="D57" i="1" s="1"/>
  <c r="D64" i="1"/>
  <c r="D74" i="1"/>
  <c r="E98" i="1"/>
  <c r="D98" i="1"/>
  <c r="C102" i="1"/>
  <c r="E102" i="1" s="1"/>
  <c r="E100" i="1"/>
  <c r="D100" i="1"/>
  <c r="E112" i="1"/>
  <c r="C117" i="1"/>
  <c r="E117" i="1" s="1"/>
  <c r="C126" i="1"/>
  <c r="E126" i="1" s="1"/>
  <c r="B134" i="1"/>
  <c r="E134" i="1" s="1"/>
  <c r="C90" i="1"/>
  <c r="B96" i="1"/>
  <c r="B107" i="1"/>
  <c r="D107" i="1" s="1"/>
  <c r="D115" i="1"/>
  <c r="D116" i="1"/>
  <c r="B122" i="1"/>
  <c r="D122" i="1" s="1"/>
  <c r="D124" i="1"/>
  <c r="D125" i="1"/>
  <c r="C135" i="1"/>
  <c r="D88" i="1"/>
  <c r="D114" i="1"/>
  <c r="D96" i="1" l="1"/>
  <c r="E96" i="1"/>
  <c r="D35" i="1"/>
  <c r="E35" i="1"/>
  <c r="C20" i="1"/>
  <c r="D20" i="1" s="1"/>
  <c r="E15" i="1"/>
  <c r="E122" i="1"/>
  <c r="C79" i="1"/>
  <c r="E73" i="1"/>
  <c r="D73" i="1"/>
  <c r="B79" i="1"/>
  <c r="D85" i="1"/>
  <c r="D117" i="1"/>
  <c r="E57" i="1"/>
  <c r="E90" i="1"/>
  <c r="E47" i="1"/>
  <c r="D47" i="1"/>
  <c r="D15" i="1"/>
  <c r="D134" i="1"/>
  <c r="B135" i="1"/>
  <c r="D135" i="1" s="1"/>
  <c r="E107" i="1"/>
  <c r="C58" i="1"/>
  <c r="B42" i="1"/>
  <c r="D42" i="1" l="1"/>
  <c r="B58" i="1"/>
  <c r="C127" i="1"/>
  <c r="E127" i="1" s="1"/>
  <c r="E79" i="1"/>
  <c r="E42" i="1"/>
  <c r="E135" i="1"/>
  <c r="B127" i="1"/>
  <c r="D127" i="1" s="1"/>
  <c r="D79" i="1"/>
  <c r="E20" i="1"/>
  <c r="C59" i="1"/>
  <c r="C136" i="1" l="1"/>
  <c r="D58" i="1"/>
  <c r="B136" i="1"/>
  <c r="D136" i="1" s="1"/>
  <c r="B59" i="1"/>
  <c r="D59" i="1" s="1"/>
  <c r="E58" i="1"/>
  <c r="E59" i="1" l="1"/>
  <c r="E136" i="1"/>
</calcChain>
</file>

<file path=xl/sharedStrings.xml><?xml version="1.0" encoding="utf-8"?>
<sst xmlns="http://schemas.openxmlformats.org/spreadsheetml/2006/main" count="139" uniqueCount="139">
  <si>
    <t>Total</t>
  </si>
  <si>
    <t>Jul 2022 - Jun 2023</t>
  </si>
  <si>
    <t>Jul 2021 - Jun 2022 (PP)</t>
  </si>
  <si>
    <t>Change</t>
  </si>
  <si>
    <t>% Change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</si>
  <si>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</si>
  <si>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</si>
  <si>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</si>
  <si>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</si>
  <si>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</si>
  <si>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</si>
  <si>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</si>
  <si>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</si>
  <si>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</si>
  <si>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</si>
  <si>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</si>
  <si>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</si>
  <si>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</si>
  <si>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</si>
  <si>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</si>
  <si>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</si>
  <si>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</si>
  <si>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</si>
  <si>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</si>
  <si>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</si>
  <si>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</si>
  <si>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</si>
  <si>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</si>
  <si>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</si>
  <si>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</si>
  <si>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</si>
  <si>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</si>
  <si>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</si>
  <si>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</si>
  <si>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</si>
  <si>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</si>
  <si>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</si>
  <si>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</si>
  <si>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</si>
  <si>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</si>
  <si>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</si>
  <si>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</si>
  <si>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</si>
  <si>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</si>
  <si>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</si>
  <si>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</si>
  <si>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</si>
  <si>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</si>
  <si>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</si>
  <si>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</si>
  <si>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</si>
  <si>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</si>
  <si>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</si>
  <si>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</si>
  <si>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</si>
  <si>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</si>
  <si>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</si>
  <si>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</si>
  <si>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</si>
  <si>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</si>
  <si>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</si>
  <si>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</si>
  <si>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</si>
  <si>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</si>
  <si>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</si>
  <si>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</si>
  <si>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</si>
  <si>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</si>
  <si>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</si>
  <si>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</si>
  <si>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</si>
  <si>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</si>
  <si>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</si>
  <si>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</si>
  <si>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</si>
  <si>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</si>
  <si>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</si>
  <si>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</si>
  <si>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</si>
  <si>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</si>
  <si>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100202 Property Tax</t>
  </si>
  <si>
    <t xml:space="preserve">      100203 Token Tax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</si>
  <si>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</si>
  <si>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</si>
  <si>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</si>
  <si>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</si>
  <si>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100302 Gas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</si>
  <si>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</si>
  <si>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</si>
  <si>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</si>
  <si>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</si>
  <si>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</si>
  <si>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</si>
  <si>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</si>
  <si>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</si>
  <si>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</si>
  <si>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</si>
  <si>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</si>
  <si>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</si>
  <si>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</si>
  <si>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</si>
  <si>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</si>
  <si>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</si>
  <si>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</si>
  <si>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</si>
  <si>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</si>
  <si>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</si>
  <si>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100702 Bike Travelling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</si>
  <si>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</si>
  <si>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</si>
  <si>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</si>
  <si>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</si>
  <si>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</si>
  <si>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100802 Other Printing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</si>
  <si>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</si>
  <si>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</si>
  <si>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</si>
  <si>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</si>
  <si>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</si>
  <si>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</si>
  <si>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</si>
  <si>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</si>
  <si>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</si>
  <si>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</si>
  <si>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</si>
  <si>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</si>
  <si>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</si>
  <si>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</si>
  <si>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</si>
  <si>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</si>
  <si>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</si>
  <si>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</si>
  <si>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</si>
  <si>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</si>
  <si>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</si>
  <si>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Monday, Feb 26, 2024 08:04:28 PM GMT+5 - Accrual Basis</t>
  </si>
  <si>
    <t>Hanif Rajput Catering Services</t>
  </si>
  <si>
    <t>Profit and Loss Comparison</t>
  </si>
  <si>
    <t>July 2022 -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</si>
</sst>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0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"/>
  <sheetViews>
    <sheetView tabSelected="1" workbookViewId="0">
      <selection sqref="A1:E1"/>
    </sheetView>
  </sheetViews>
  <sheetFormatPr baseColWidth="10" defaultColWidth="8.83203125" defaultRowHeight="15" x14ac:dyDescent="0.2"/>
  <cols>
    <col min="1" max="1" width="40.33203125" customWidth="1"/>
    <col min="2" max="4" width="15.5" customWidth="1"/>
    <col min="5" max="5" width="11.1640625" customWidth="1"/>
  </cols>
  <sheetData>
    <row r="1" spans="1:5" ht="18" x14ac:dyDescent="0.2">
      <c r="A1" s="15" t="s">
        <v>136</v>
      </c>
      <c r="B1" s="14"/>
      <c r="C1" s="14"/>
      <c r="D1" s="14"/>
      <c r="E1" s="14"/>
    </row>
    <row r="2" spans="1:5" ht="18" x14ac:dyDescent="0.2">
      <c r="A2" s="15" t="s">
        <v>137</v>
      </c>
      <c r="B2" s="14"/>
      <c r="C2" s="14"/>
      <c r="D2" s="14"/>
      <c r="E2" s="14"/>
    </row>
    <row r="3" spans="1:5" x14ac:dyDescent="0.2">
      <c r="A3" s="16" t="s">
        <v>138</v>
      </c>
      <c r="B3" s="14"/>
      <c r="C3" s="14"/>
      <c r="D3" s="14"/>
      <c r="E3" s="14"/>
    </row>
    <row r="5" spans="1:5" x14ac:dyDescent="0.2">
      <c r="A5" s="1"/>
      <c r="B5" s="11" t="s">
        <v>0</v>
      </c>
      <c r="C5" s="12"/>
      <c r="D5" s="12"/>
      <c r="E5" s="12"/>
    </row>
    <row r="6" spans="1:5" ht="27" x14ac:dyDescent="0.2">
      <c r="A6" s="1"/>
      <c r="B6" s="2" t="s">
        <v>1</v>
      </c>
      <c r="C6" s="2" t="s">
        <v>2</v>
      </c>
      <c r="D6" s="2" t="s">
        <v>3</v>
      </c>
      <c r="E6" s="2" t="s">
        <v>4</v>
      </c>
    </row>
    <row r="7" spans="1:5" x14ac:dyDescent="0.2">
      <c r="A7" s="3" t="s">
        <v>5</v>
      </c>
      <c r="B7" s="4"/>
      <c r="C7" s="4"/>
      <c r="D7" s="4"/>
      <c r="E7" s="4"/>
    </row>
    <row r="8" spans="1:5" x14ac:dyDescent="0.2">
      <c r="A8" s="3" t="s">
        <v>6</v>
      </c>
      <c r="B8" s="5">
        <f>248801133.9</f>
        <v>248801133.90000001</v>
      </c>
      <c r="C8" s="5">
        <f>147141306.17</f>
        <v>147141306.16999999</v>
      </c>
      <c r="D8" s="5">
        <f t="shared" ref="D8:D20" si="0">(B8)-(C8)</f>
        <v>101659827.73000002</v>
      </c>
      <c r="E8" s="6">
        <f t="shared" ref="E8:E20" si="1">IF(ABS((C8))=0,"",((B8)-(C8))/(ABS((C8))))</f>
        <v>0.69089931560446494</v>
      </c>
    </row>
    <row r="9" spans="1:5" x14ac:dyDescent="0.2">
      <c r="A9" s="3" t="s">
        <v>7</v>
      </c>
      <c r="B9" s="4"/>
      <c r="C9" s="4"/>
      <c r="D9" s="5">
        <f t="shared" si="0"/>
        <v>0</v>
      </c>
      <c r="E9" s="6" t="str">
        <f t="shared" si="1"/>
        <v/>
      </c>
    </row>
    <row r="10" spans="1:5" x14ac:dyDescent="0.2">
      <c r="A10" s="3" t="s">
        <v>8</v>
      </c>
      <c r="B10" s="5">
        <f>29882739</f>
        <v>29882739</v>
      </c>
      <c r="C10" s="4"/>
      <c r="D10" s="5">
        <f t="shared" si="0"/>
        <v>29882739</v>
      </c>
      <c r="E10" s="6" t="str">
        <f t="shared" si="1"/>
        <v/>
      </c>
    </row>
    <row r="11" spans="1:5" x14ac:dyDescent="0.2">
      <c r="A11" s="3" t="s">
        <v>9</v>
      </c>
      <c r="B11" s="7">
        <f>(B9)+(B10)</f>
        <v>29882739</v>
      </c>
      <c r="C11" s="7">
        <f>(C9)+(C10)</f>
        <v>0</v>
      </c>
      <c r="D11" s="7">
        <f t="shared" si="0"/>
        <v>29882739</v>
      </c>
      <c r="E11" s="8" t="str">
        <f t="shared" si="1"/>
        <v/>
      </c>
    </row>
    <row r="12" spans="1:5" x14ac:dyDescent="0.2">
      <c r="A12" s="3" t="s">
        <v>10</v>
      </c>
      <c r="B12" s="4"/>
      <c r="C12" s="4"/>
      <c r="D12" s="5">
        <f t="shared" si="0"/>
        <v>0</v>
      </c>
      <c r="E12" s="6" t="str">
        <f t="shared" si="1"/>
        <v/>
      </c>
    </row>
    <row r="13" spans="1:5" x14ac:dyDescent="0.2">
      <c r="A13" s="3" t="s">
        <v>11</v>
      </c>
      <c r="B13" s="5">
        <f>118138443.09</f>
        <v>118138443.09</v>
      </c>
      <c r="C13" s="5">
        <f>182729826.58</f>
        <v>182729826.58000001</v>
      </c>
      <c r="D13" s="5">
        <f t="shared" si="0"/>
        <v>-64591383.49000001</v>
      </c>
      <c r="E13" s="6">
        <f t="shared" si="1"/>
        <v>-0.3534802429296981</v>
      </c>
    </row>
    <row r="14" spans="1:5" x14ac:dyDescent="0.2">
      <c r="A14" s="3" t="s">
        <v>12</v>
      </c>
      <c r="B14" s="5">
        <f>7078074.86</f>
        <v>7078074.8600000003</v>
      </c>
      <c r="C14" s="4"/>
      <c r="D14" s="5">
        <f t="shared" si="0"/>
        <v>7078074.8600000003</v>
      </c>
      <c r="E14" s="6" t="str">
        <f t="shared" si="1"/>
        <v/>
      </c>
    </row>
    <row r="15" spans="1:5" x14ac:dyDescent="0.2">
      <c r="A15" s="3" t="s">
        <v>13</v>
      </c>
      <c r="B15" s="7">
        <f>((B12)+(B13))+(B14)</f>
        <v>125216517.95</v>
      </c>
      <c r="C15" s="7">
        <f>((C12)+(C13))+(C14)</f>
        <v>182729826.58000001</v>
      </c>
      <c r="D15" s="7">
        <f t="shared" si="0"/>
        <v>-57513308.63000001</v>
      </c>
      <c r="E15" s="8">
        <f t="shared" si="1"/>
        <v>-0.31474505124000873</v>
      </c>
    </row>
    <row r="16" spans="1:5" x14ac:dyDescent="0.2">
      <c r="A16" s="3" t="s">
        <v>14</v>
      </c>
      <c r="B16" s="5">
        <f>9952013.26</f>
        <v>9952013.2599999998</v>
      </c>
      <c r="C16" s="5">
        <f>954740</f>
        <v>954740</v>
      </c>
      <c r="D16" s="5">
        <f t="shared" si="0"/>
        <v>8997273.2599999998</v>
      </c>
      <c r="E16" s="6">
        <f t="shared" si="1"/>
        <v>9.4237941848042404</v>
      </c>
    </row>
    <row r="17" spans="1:5" x14ac:dyDescent="0.2">
      <c r="A17" s="3" t="s">
        <v>15</v>
      </c>
      <c r="B17" s="5">
        <f>24667987.97</f>
        <v>24667987.969999999</v>
      </c>
      <c r="C17" s="5">
        <f>13900421.12</f>
        <v>13900421.119999999</v>
      </c>
      <c r="D17" s="5">
        <f t="shared" si="0"/>
        <v>10767566.85</v>
      </c>
      <c r="E17" s="6">
        <f t="shared" si="1"/>
        <v>0.77462162887335606</v>
      </c>
    </row>
    <row r="18" spans="1:5" x14ac:dyDescent="0.2">
      <c r="A18" s="3" t="s">
        <v>16</v>
      </c>
      <c r="B18" s="5">
        <f>2012120</f>
        <v>2012120</v>
      </c>
      <c r="C18" s="5">
        <f>3965550</f>
        <v>3965550</v>
      </c>
      <c r="D18" s="5">
        <f t="shared" si="0"/>
        <v>-1953430</v>
      </c>
      <c r="E18" s="6">
        <f t="shared" si="1"/>
        <v>-0.4926000176520281</v>
      </c>
    </row>
    <row r="19" spans="1:5" x14ac:dyDescent="0.2">
      <c r="A19" s="3" t="s">
        <v>17</v>
      </c>
      <c r="B19" s="5">
        <f>1502400</f>
        <v>1502400</v>
      </c>
      <c r="C19" s="5">
        <f>3617100</f>
        <v>3617100</v>
      </c>
      <c r="D19" s="5">
        <f t="shared" si="0"/>
        <v>-2114700</v>
      </c>
      <c r="E19" s="6">
        <f t="shared" si="1"/>
        <v>-0.58463962843161654</v>
      </c>
    </row>
    <row r="20" spans="1:5" x14ac:dyDescent="0.2">
      <c r="A20" s="3" t="s">
        <v>18</v>
      </c>
      <c r="B20" s="7">
        <f>((((((B8)+(B11))+(B15))+(B16))+(B17))+(B18))+(B19)</f>
        <v>442034912.07999992</v>
      </c>
      <c r="C20" s="7">
        <f>((((((C8)+(C11))+(C15))+(C16))+(C17))+(C18))+(C19)</f>
        <v>352308943.87</v>
      </c>
      <c r="D20" s="7">
        <f t="shared" si="0"/>
        <v>89725968.209999919</v>
      </c>
      <c r="E20" s="8">
        <f t="shared" si="1"/>
        <v>0.25467979105040345</v>
      </c>
    </row>
    <row r="21" spans="1:5" x14ac:dyDescent="0.2">
      <c r="A21" s="3" t="s">
        <v>19</v>
      </c>
      <c r="B21" s="4"/>
      <c r="C21" s="4"/>
      <c r="D21" s="4"/>
      <c r="E21" s="4"/>
    </row>
    <row r="22" spans="1:5" x14ac:dyDescent="0.2">
      <c r="A22" s="3" t="s">
        <v>20</v>
      </c>
      <c r="B22" s="4"/>
      <c r="C22" s="4"/>
      <c r="D22" s="5">
        <f t="shared" ref="D22:D59" si="2">(B22)-(C22)</f>
        <v>0</v>
      </c>
      <c r="E22" s="6" t="str">
        <f t="shared" ref="E22:E59" si="3">IF(ABS((C22))=0,"",((B22)-(C22))/(ABS((C22))))</f>
        <v/>
      </c>
    </row>
    <row r="23" spans="1:5" x14ac:dyDescent="0.2">
      <c r="A23" s="3" t="s">
        <v>21</v>
      </c>
      <c r="B23" s="4"/>
      <c r="C23" s="4"/>
      <c r="D23" s="5">
        <f t="shared" si="2"/>
        <v>0</v>
      </c>
      <c r="E23" s="6" t="str">
        <f t="shared" si="3"/>
        <v/>
      </c>
    </row>
    <row r="24" spans="1:5" x14ac:dyDescent="0.2">
      <c r="A24" s="3" t="s">
        <v>22</v>
      </c>
      <c r="B24" s="5">
        <f>31439529.6</f>
        <v>31439529.600000001</v>
      </c>
      <c r="C24" s="5">
        <f>28780304</f>
        <v>28780304</v>
      </c>
      <c r="D24" s="5">
        <f t="shared" si="2"/>
        <v>2659225.6000000015</v>
      </c>
      <c r="E24" s="6">
        <f t="shared" si="3"/>
        <v>9.2397411785504466E-2</v>
      </c>
    </row>
    <row r="25" spans="1:5" x14ac:dyDescent="0.2">
      <c r="A25" s="3" t="s">
        <v>23</v>
      </c>
      <c r="B25" s="5">
        <f>50190088.28</f>
        <v>50190088.280000001</v>
      </c>
      <c r="C25" s="5">
        <f>36544290</f>
        <v>36544290</v>
      </c>
      <c r="D25" s="5">
        <f t="shared" si="2"/>
        <v>13645798.280000001</v>
      </c>
      <c r="E25" s="6">
        <f t="shared" si="3"/>
        <v>0.37340438903040668</v>
      </c>
    </row>
    <row r="26" spans="1:5" x14ac:dyDescent="0.2">
      <c r="A26" s="3" t="s">
        <v>24</v>
      </c>
      <c r="B26" s="5">
        <f>6476300</f>
        <v>6476300</v>
      </c>
      <c r="C26" s="5">
        <f>7522458</f>
        <v>7522458</v>
      </c>
      <c r="D26" s="5">
        <f t="shared" si="2"/>
        <v>-1046158</v>
      </c>
      <c r="E26" s="6">
        <f t="shared" si="3"/>
        <v>-0.1390712982378898</v>
      </c>
    </row>
    <row r="27" spans="1:5" x14ac:dyDescent="0.2">
      <c r="A27" s="3" t="s">
        <v>25</v>
      </c>
      <c r="B27" s="5">
        <f>4191919</f>
        <v>4191919</v>
      </c>
      <c r="C27" s="5">
        <f>6921414</f>
        <v>6921414</v>
      </c>
      <c r="D27" s="5">
        <f t="shared" si="2"/>
        <v>-2729495</v>
      </c>
      <c r="E27" s="6">
        <f t="shared" si="3"/>
        <v>-0.39435511298702836</v>
      </c>
    </row>
    <row r="28" spans="1:5" x14ac:dyDescent="0.2">
      <c r="A28" s="3" t="s">
        <v>26</v>
      </c>
      <c r="B28" s="7">
        <f>((((B23)+(B24))+(B25))+(B26))+(B27)</f>
        <v>92297836.879999995</v>
      </c>
      <c r="C28" s="7">
        <f>((((C23)+(C24))+(C25))+(C26))+(C27)</f>
        <v>79768466</v>
      </c>
      <c r="D28" s="7">
        <f t="shared" si="2"/>
        <v>12529370.879999995</v>
      </c>
      <c r="E28" s="8">
        <f t="shared" si="3"/>
        <v>0.15707172907148539</v>
      </c>
    </row>
    <row r="29" spans="1:5" x14ac:dyDescent="0.2">
      <c r="A29" s="3" t="s">
        <v>27</v>
      </c>
      <c r="B29" s="4"/>
      <c r="C29" s="4"/>
      <c r="D29" s="5">
        <f t="shared" si="2"/>
        <v>0</v>
      </c>
      <c r="E29" s="6" t="str">
        <f t="shared" si="3"/>
        <v/>
      </c>
    </row>
    <row r="30" spans="1:5" x14ac:dyDescent="0.2">
      <c r="A30" s="3" t="s">
        <v>28</v>
      </c>
      <c r="B30" s="5">
        <f>10883943.76</f>
        <v>10883943.76</v>
      </c>
      <c r="C30" s="5">
        <f>11146345</f>
        <v>11146345</v>
      </c>
      <c r="D30" s="5">
        <f t="shared" si="2"/>
        <v>-262401.24000000022</v>
      </c>
      <c r="E30" s="6">
        <f t="shared" si="3"/>
        <v>-2.354146045183423E-2</v>
      </c>
    </row>
    <row r="31" spans="1:5" x14ac:dyDescent="0.2">
      <c r="A31" s="3" t="s">
        <v>29</v>
      </c>
      <c r="B31" s="5">
        <f>4912279</f>
        <v>4912279</v>
      </c>
      <c r="C31" s="5">
        <f>2805541</f>
        <v>2805541</v>
      </c>
      <c r="D31" s="5">
        <f t="shared" si="2"/>
        <v>2106738</v>
      </c>
      <c r="E31" s="6">
        <f t="shared" si="3"/>
        <v>0.75092041071579418</v>
      </c>
    </row>
    <row r="32" spans="1:5" x14ac:dyDescent="0.2">
      <c r="A32" s="3" t="s">
        <v>30</v>
      </c>
      <c r="B32" s="5">
        <f>8005985</f>
        <v>8005985</v>
      </c>
      <c r="C32" s="5">
        <f>5541611</f>
        <v>5541611</v>
      </c>
      <c r="D32" s="5">
        <f t="shared" si="2"/>
        <v>2464374</v>
      </c>
      <c r="E32" s="6">
        <f t="shared" si="3"/>
        <v>0.44470353476633417</v>
      </c>
    </row>
    <row r="33" spans="1:5" x14ac:dyDescent="0.2">
      <c r="A33" s="3" t="s">
        <v>31</v>
      </c>
      <c r="B33" s="5">
        <f>1229152</f>
        <v>1229152</v>
      </c>
      <c r="C33" s="5">
        <f>1309218</f>
        <v>1309218</v>
      </c>
      <c r="D33" s="5">
        <f t="shared" si="2"/>
        <v>-80066</v>
      </c>
      <c r="E33" s="6">
        <f t="shared" si="3"/>
        <v>-6.1155590589191414E-2</v>
      </c>
    </row>
    <row r="34" spans="1:5" x14ac:dyDescent="0.2">
      <c r="A34" s="3" t="s">
        <v>32</v>
      </c>
      <c r="B34" s="5">
        <f>17497066.78</f>
        <v>17497066.780000001</v>
      </c>
      <c r="C34" s="5">
        <f>14664110.98</f>
        <v>14664110.98</v>
      </c>
      <c r="D34" s="5">
        <f t="shared" si="2"/>
        <v>2832955.8000000007</v>
      </c>
      <c r="E34" s="6">
        <f t="shared" si="3"/>
        <v>0.19318974084851073</v>
      </c>
    </row>
    <row r="35" spans="1:5" x14ac:dyDescent="0.2">
      <c r="A35" s="3" t="s">
        <v>33</v>
      </c>
      <c r="B35" s="7">
        <f>(((((B29)+(B30))+(B31))+(B32))+(B33))+(B34)</f>
        <v>42528426.539999999</v>
      </c>
      <c r="C35" s="7">
        <f>(((((C29)+(C30))+(C31))+(C32))+(C33))+(C34)</f>
        <v>35466825.980000004</v>
      </c>
      <c r="D35" s="7">
        <f t="shared" si="2"/>
        <v>7061600.5599999949</v>
      </c>
      <c r="E35" s="8">
        <f t="shared" si="3"/>
        <v>0.19910438458693996</v>
      </c>
    </row>
    <row r="36" spans="1:5" x14ac:dyDescent="0.2">
      <c r="A36" s="3" t="s">
        <v>34</v>
      </c>
      <c r="B36" s="5">
        <f>13096799</f>
        <v>13096799</v>
      </c>
      <c r="C36" s="5">
        <f>11128810</f>
        <v>11128810</v>
      </c>
      <c r="D36" s="5">
        <f t="shared" si="2"/>
        <v>1967989</v>
      </c>
      <c r="E36" s="6">
        <f t="shared" si="3"/>
        <v>0.17683732582369543</v>
      </c>
    </row>
    <row r="37" spans="1:5" x14ac:dyDescent="0.2">
      <c r="A37" s="3" t="s">
        <v>35</v>
      </c>
      <c r="B37" s="5">
        <f>15733147.74</f>
        <v>15733147.74</v>
      </c>
      <c r="C37" s="5">
        <f>13852521</f>
        <v>13852521</v>
      </c>
      <c r="D37" s="5">
        <f t="shared" si="2"/>
        <v>1880626.7400000002</v>
      </c>
      <c r="E37" s="6">
        <f t="shared" si="3"/>
        <v>0.13576061281553012</v>
      </c>
    </row>
    <row r="38" spans="1:5" x14ac:dyDescent="0.2">
      <c r="A38" s="3" t="s">
        <v>36</v>
      </c>
      <c r="B38" s="5">
        <f>10662741</f>
        <v>10662741</v>
      </c>
      <c r="C38" s="5">
        <f>11127932</f>
        <v>11127932</v>
      </c>
      <c r="D38" s="5">
        <f t="shared" si="2"/>
        <v>-465191</v>
      </c>
      <c r="E38" s="6">
        <f t="shared" si="3"/>
        <v>-4.1803903905954856E-2</v>
      </c>
    </row>
    <row r="39" spans="1:5" x14ac:dyDescent="0.2">
      <c r="A39" s="3" t="s">
        <v>37</v>
      </c>
      <c r="B39" s="5">
        <f>6026307.65</f>
        <v>6026307.6500000004</v>
      </c>
      <c r="C39" s="5">
        <f>5073602.25</f>
        <v>5073602.25</v>
      </c>
      <c r="D39" s="5">
        <f t="shared" si="2"/>
        <v>952705.40000000037</v>
      </c>
      <c r="E39" s="6">
        <f t="shared" si="3"/>
        <v>0.18777691924904052</v>
      </c>
    </row>
    <row r="40" spans="1:5" x14ac:dyDescent="0.2">
      <c r="A40" s="3" t="s">
        <v>38</v>
      </c>
      <c r="B40" s="5">
        <f>8355821</f>
        <v>8355821</v>
      </c>
      <c r="C40" s="5">
        <f>4398322</f>
        <v>4398322</v>
      </c>
      <c r="D40" s="5">
        <f t="shared" si="2"/>
        <v>3957499</v>
      </c>
      <c r="E40" s="6">
        <f t="shared" si="3"/>
        <v>0.89977473227289861</v>
      </c>
    </row>
    <row r="41" spans="1:5" x14ac:dyDescent="0.2">
      <c r="A41" s="3" t="s">
        <v>39</v>
      </c>
      <c r="B41" s="5">
        <f>8990572</f>
        <v>8990572</v>
      </c>
      <c r="C41" s="5">
        <f>9436549</f>
        <v>9436549</v>
      </c>
      <c r="D41" s="5">
        <f t="shared" si="2"/>
        <v>-445977</v>
      </c>
      <c r="E41" s="6">
        <f t="shared" si="3"/>
        <v>-4.7260603426104185E-2</v>
      </c>
    </row>
    <row r="42" spans="1:5" x14ac:dyDescent="0.2">
      <c r="A42" s="3" t="s">
        <v>40</v>
      </c>
      <c r="B42" s="7">
        <f>((((((((B22)+(B28))+(B35))+(B36))+(B37))+(B38))+(B39))+(B40))+(B41)</f>
        <v>197691651.81</v>
      </c>
      <c r="C42" s="7">
        <f>((((((((C22)+(C28))+(C35))+(C36))+(C37))+(C38))+(C39))+(C40))+(C41)</f>
        <v>170253028.23000002</v>
      </c>
      <c r="D42" s="7">
        <f t="shared" si="2"/>
        <v>27438623.579999983</v>
      </c>
      <c r="E42" s="8">
        <f t="shared" si="3"/>
        <v>0.16116379171201764</v>
      </c>
    </row>
    <row r="43" spans="1:5" x14ac:dyDescent="0.2">
      <c r="A43" s="3" t="s">
        <v>41</v>
      </c>
      <c r="B43" s="4"/>
      <c r="C43" s="4"/>
      <c r="D43" s="5">
        <f t="shared" si="2"/>
        <v>0</v>
      </c>
      <c r="E43" s="6" t="str">
        <f t="shared" si="3"/>
        <v/>
      </c>
    </row>
    <row r="44" spans="1:5" x14ac:dyDescent="0.2">
      <c r="A44" s="3" t="s">
        <v>42</v>
      </c>
      <c r="B44" s="5">
        <f>54356467.33</f>
        <v>54356467.329999998</v>
      </c>
      <c r="C44" s="5">
        <f>40565146</f>
        <v>40565146</v>
      </c>
      <c r="D44" s="5">
        <f t="shared" si="2"/>
        <v>13791321.329999998</v>
      </c>
      <c r="E44" s="6">
        <f t="shared" si="3"/>
        <v>0.3399795807464861</v>
      </c>
    </row>
    <row r="45" spans="1:5" x14ac:dyDescent="0.2">
      <c r="A45" s="3" t="s">
        <v>43</v>
      </c>
      <c r="B45" s="5">
        <f>8552985</f>
        <v>8552985</v>
      </c>
      <c r="C45" s="5">
        <f>6874865</f>
        <v>6874865</v>
      </c>
      <c r="D45" s="5">
        <f t="shared" si="2"/>
        <v>1678120</v>
      </c>
      <c r="E45" s="6">
        <f t="shared" si="3"/>
        <v>0.24409497495587187</v>
      </c>
    </row>
    <row r="46" spans="1:5" x14ac:dyDescent="0.2">
      <c r="A46" s="3" t="s">
        <v>44</v>
      </c>
      <c r="B46" s="5">
        <f>11257814</f>
        <v>11257814</v>
      </c>
      <c r="C46" s="5">
        <f>15605398</f>
        <v>15605398</v>
      </c>
      <c r="D46" s="5">
        <f t="shared" si="2"/>
        <v>-4347584</v>
      </c>
      <c r="E46" s="6">
        <f t="shared" si="3"/>
        <v>-0.27859488107897024</v>
      </c>
    </row>
    <row r="47" spans="1:5" x14ac:dyDescent="0.2">
      <c r="A47" s="3" t="s">
        <v>45</v>
      </c>
      <c r="B47" s="7">
        <f>(((B43)+(B44))+(B45))+(B46)</f>
        <v>74167266.329999998</v>
      </c>
      <c r="C47" s="7">
        <f>(((C43)+(C44))+(C45))+(C46)</f>
        <v>63045409</v>
      </c>
      <c r="D47" s="7">
        <f t="shared" si="2"/>
        <v>11121857.329999998</v>
      </c>
      <c r="E47" s="8">
        <f t="shared" si="3"/>
        <v>0.17641026533748078</v>
      </c>
    </row>
    <row r="48" spans="1:5" x14ac:dyDescent="0.2">
      <c r="A48" s="3" t="s">
        <v>46</v>
      </c>
      <c r="B48" s="4"/>
      <c r="C48" s="4"/>
      <c r="D48" s="5">
        <f t="shared" si="2"/>
        <v>0</v>
      </c>
      <c r="E48" s="6" t="str">
        <f t="shared" si="3"/>
        <v/>
      </c>
    </row>
    <row r="49" spans="1:5" x14ac:dyDescent="0.2">
      <c r="A49" s="3" t="s">
        <v>47</v>
      </c>
      <c r="B49" s="5">
        <f>14587756</f>
        <v>14587756</v>
      </c>
      <c r="C49" s="5">
        <f>13874736</f>
        <v>13874736</v>
      </c>
      <c r="D49" s="5">
        <f t="shared" si="2"/>
        <v>713020</v>
      </c>
      <c r="E49" s="6">
        <f t="shared" si="3"/>
        <v>5.1389806624068377E-2</v>
      </c>
    </row>
    <row r="50" spans="1:5" x14ac:dyDescent="0.2">
      <c r="A50" s="3" t="s">
        <v>48</v>
      </c>
      <c r="B50" s="5">
        <f>15285467</f>
        <v>15285467</v>
      </c>
      <c r="C50" s="5">
        <f>12744401</f>
        <v>12744401</v>
      </c>
      <c r="D50" s="5">
        <f t="shared" si="2"/>
        <v>2541066</v>
      </c>
      <c r="E50" s="6">
        <f t="shared" si="3"/>
        <v>0.19938685231263517</v>
      </c>
    </row>
    <row r="51" spans="1:5" x14ac:dyDescent="0.2">
      <c r="A51" s="3" t="s">
        <v>49</v>
      </c>
      <c r="B51" s="5">
        <f>16838078.3</f>
        <v>16838078.300000001</v>
      </c>
      <c r="C51" s="5">
        <f>11416492</f>
        <v>11416492</v>
      </c>
      <c r="D51" s="5">
        <f t="shared" si="2"/>
        <v>5421586.3000000007</v>
      </c>
      <c r="E51" s="6">
        <f t="shared" si="3"/>
        <v>0.47489073701448753</v>
      </c>
    </row>
    <row r="52" spans="1:5" x14ac:dyDescent="0.2">
      <c r="A52" s="3" t="s">
        <v>50</v>
      </c>
      <c r="B52" s="5">
        <f>3385392</f>
        <v>3385392</v>
      </c>
      <c r="C52" s="5">
        <f>3422014</f>
        <v>3422014</v>
      </c>
      <c r="D52" s="5">
        <f t="shared" si="2"/>
        <v>-36622</v>
      </c>
      <c r="E52" s="6">
        <f t="shared" si="3"/>
        <v>-1.0701884913387263E-2</v>
      </c>
    </row>
    <row r="53" spans="1:5" x14ac:dyDescent="0.2">
      <c r="A53" s="3" t="s">
        <v>51</v>
      </c>
      <c r="B53" s="5">
        <f>1344694</f>
        <v>1344694</v>
      </c>
      <c r="C53" s="5">
        <f>944627</f>
        <v>944627</v>
      </c>
      <c r="D53" s="5">
        <f t="shared" si="2"/>
        <v>400067</v>
      </c>
      <c r="E53" s="6">
        <f t="shared" si="3"/>
        <v>0.42351848930847835</v>
      </c>
    </row>
    <row r="54" spans="1:5" x14ac:dyDescent="0.2">
      <c r="A54" s="3" t="s">
        <v>52</v>
      </c>
      <c r="B54" s="5">
        <f>5769151</f>
        <v>5769151</v>
      </c>
      <c r="C54" s="5">
        <f>2883942</f>
        <v>2883942</v>
      </c>
      <c r="D54" s="5">
        <f t="shared" si="2"/>
        <v>2885209</v>
      </c>
      <c r="E54" s="6">
        <f t="shared" si="3"/>
        <v>1.0004393292236806</v>
      </c>
    </row>
    <row r="55" spans="1:5" x14ac:dyDescent="0.2">
      <c r="A55" s="3" t="s">
        <v>53</v>
      </c>
      <c r="B55" s="5">
        <f>2215590</f>
        <v>2215590</v>
      </c>
      <c r="C55" s="5">
        <f>1865857</f>
        <v>1865857</v>
      </c>
      <c r="D55" s="5">
        <f t="shared" si="2"/>
        <v>349733</v>
      </c>
      <c r="E55" s="6">
        <f t="shared" si="3"/>
        <v>0.1874382656334328</v>
      </c>
    </row>
    <row r="56" spans="1:5" x14ac:dyDescent="0.2">
      <c r="A56" s="3" t="s">
        <v>54</v>
      </c>
      <c r="B56" s="5">
        <f>481100</f>
        <v>481100</v>
      </c>
      <c r="C56" s="4"/>
      <c r="D56" s="5">
        <f t="shared" si="2"/>
        <v>481100</v>
      </c>
      <c r="E56" s="6" t="str">
        <f t="shared" si="3"/>
        <v/>
      </c>
    </row>
    <row r="57" spans="1:5" x14ac:dyDescent="0.2">
      <c r="A57" s="3" t="s">
        <v>55</v>
      </c>
      <c r="B57" s="7">
        <f>((((((((B48)+(B49))+(B50))+(B51))+(B52))+(B53))+(B54))+(B55))+(B56)</f>
        <v>59907228.299999997</v>
      </c>
      <c r="C57" s="7">
        <f>((((((((C48)+(C49))+(C50))+(C51))+(C52))+(C53))+(C54))+(C55))+(C56)</f>
        <v>47152069</v>
      </c>
      <c r="D57" s="7">
        <f t="shared" si="2"/>
        <v>12755159.299999997</v>
      </c>
      <c r="E57" s="8">
        <f t="shared" si="3"/>
        <v>0.27051112645767456</v>
      </c>
    </row>
    <row r="58" spans="1:5" x14ac:dyDescent="0.2">
      <c r="A58" s="3" t="s">
        <v>56</v>
      </c>
      <c r="B58" s="7">
        <f>((B42)+(B47))+(B57)</f>
        <v>331766146.44</v>
      </c>
      <c r="C58" s="7">
        <f>((C42)+(C47))+(C57)</f>
        <v>280450506.23000002</v>
      </c>
      <c r="D58" s="7">
        <f t="shared" si="2"/>
        <v>51315640.209999979</v>
      </c>
      <c r="E58" s="8">
        <f t="shared" si="3"/>
        <v>0.18297574463251479</v>
      </c>
    </row>
    <row r="59" spans="1:5" x14ac:dyDescent="0.2">
      <c r="A59" s="3" t="s">
        <v>57</v>
      </c>
      <c r="B59" s="7">
        <f>(B20)-(B58)</f>
        <v>110268765.63999993</v>
      </c>
      <c r="C59" s="7">
        <f>(C20)-(C58)</f>
        <v>71858437.639999986</v>
      </c>
      <c r="D59" s="7">
        <f t="shared" si="2"/>
        <v>38410327.99999994</v>
      </c>
      <c r="E59" s="8">
        <f t="shared" si="3"/>
        <v>0.53452773621978722</v>
      </c>
    </row>
    <row r="60" spans="1:5" x14ac:dyDescent="0.2">
      <c r="A60" s="3" t="s">
        <v>58</v>
      </c>
      <c r="B60" s="4"/>
      <c r="C60" s="4"/>
      <c r="D60" s="4"/>
      <c r="E60" s="4"/>
    </row>
    <row r="61" spans="1:5" x14ac:dyDescent="0.2">
      <c r="A61" s="3" t="s">
        <v>59</v>
      </c>
      <c r="B61" s="4"/>
      <c r="C61" s="4"/>
      <c r="D61" s="5">
        <f>(B61)-(C61)</f>
        <v>0</v>
      </c>
      <c r="E61" s="6" t="str">
        <f>IF(ABS((C61))=0,"",((B61)-(C61))/(ABS((C61))))</f>
        <v/>
      </c>
    </row>
    <row r="62" spans="1:5" x14ac:dyDescent="0.2">
      <c r="A62" s="3" t="s">
        <v>60</v>
      </c>
      <c r="B62" s="5">
        <f>44165816</f>
        <v>44165816</v>
      </c>
      <c r="C62" s="5">
        <f>55194956.88</f>
        <v>55194956.880000003</v>
      </c>
      <c r="D62" s="5">
        <f>(B62)-(C62)</f>
        <v>-11029140.880000003</v>
      </c>
      <c r="E62" s="6">
        <f>IF(ABS((C62))=0,"",((B62)-(C62))/(ABS((C62))))</f>
        <v>-0.19982153268057778</v>
      </c>
    </row>
    <row r="63" spans="1:5" x14ac:dyDescent="0.2">
      <c r="A63" s="3" t="s">
        <v>61</v>
      </c>
      <c r="B63" s="5">
        <f>8774448.16</f>
        <v>8774448.1600000001</v>
      </c>
      <c r="C63" s="5">
        <f>2098728.16</f>
        <v>2098728.16</v>
      </c>
      <c r="D63" s="5">
        <f>(B63)-(C63)</f>
        <v>6675720</v>
      </c>
      <c r="E63" s="6">
        <f>IF(ABS((C63))=0,"",((B63)-(C63))/(ABS((C63))))</f>
        <v>3.1808407240316439</v>
      </c>
    </row>
    <row r="64" spans="1:5" x14ac:dyDescent="0.2">
      <c r="A64" s="3" t="s">
        <v>62</v>
      </c>
      <c r="B64" s="7">
        <f>((B61)+(B62))+(B63)</f>
        <v>52940264.159999996</v>
      </c>
      <c r="C64" s="7">
        <f>((C61)+(C62))+(C63)</f>
        <v>57293685.040000007</v>
      </c>
      <c r="D64" s="7">
        <f>(B64)-(C64)</f>
        <v>-4353420.8800000101</v>
      </c>
      <c r="E64" s="8">
        <f>IF(ABS((C64))=0,"",((B64)-(C64))/(ABS((C64))))</f>
        <v>-7.5984305721662648E-2</v>
      </c>
    </row>
    <row r="65" spans="1:5" x14ac:dyDescent="0.2">
      <c r="A65" s="3" t="s">
        <v>63</v>
      </c>
      <c r="B65" s="7">
        <f>B64</f>
        <v>52940264.159999996</v>
      </c>
      <c r="C65" s="7">
        <f>C64</f>
        <v>57293685.040000007</v>
      </c>
      <c r="D65" s="7">
        <f>(B65)-(C65)</f>
        <v>-4353420.8800000101</v>
      </c>
      <c r="E65" s="8">
        <f>IF(ABS((C65))=0,"",((B65)-(C65))/(ABS((C65))))</f>
        <v>-7.5984305721662648E-2</v>
      </c>
    </row>
    <row r="66" spans="1:5" x14ac:dyDescent="0.2">
      <c r="A66" s="3" t="s">
        <v>64</v>
      </c>
      <c r="B66" s="4"/>
      <c r="C66" s="4"/>
      <c r="D66" s="4"/>
      <c r="E66" s="4"/>
    </row>
    <row r="67" spans="1:5" x14ac:dyDescent="0.2">
      <c r="A67" s="3" t="s">
        <v>65</v>
      </c>
      <c r="B67" s="4"/>
      <c r="C67" s="4"/>
      <c r="D67" s="5">
        <f t="shared" ref="D67:D98" si="4">(B67)-(C67)</f>
        <v>0</v>
      </c>
      <c r="E67" s="6" t="str">
        <f t="shared" ref="E67:E98" si="5">IF(ABS((C67))=0,"",((B67)-(C67))/(ABS((C67))))</f>
        <v/>
      </c>
    </row>
    <row r="68" spans="1:5" x14ac:dyDescent="0.2">
      <c r="A68" s="3" t="s">
        <v>66</v>
      </c>
      <c r="B68" s="5">
        <f>8357523.67</f>
        <v>8357523.6699999999</v>
      </c>
      <c r="C68" s="5">
        <f>18636281</f>
        <v>18636281</v>
      </c>
      <c r="D68" s="5">
        <f t="shared" si="4"/>
        <v>-10278757.33</v>
      </c>
      <c r="E68" s="6">
        <f t="shared" si="5"/>
        <v>-0.55154552187746042</v>
      </c>
    </row>
    <row r="69" spans="1:5" x14ac:dyDescent="0.2">
      <c r="A69" s="3" t="s">
        <v>67</v>
      </c>
      <c r="B69" s="5">
        <f>4629080</f>
        <v>4629080</v>
      </c>
      <c r="C69" s="4"/>
      <c r="D69" s="5">
        <f t="shared" si="4"/>
        <v>4629080</v>
      </c>
      <c r="E69" s="6" t="str">
        <f t="shared" si="5"/>
        <v/>
      </c>
    </row>
    <row r="70" spans="1:5" x14ac:dyDescent="0.2">
      <c r="A70" s="3" t="s">
        <v>68</v>
      </c>
      <c r="B70" s="5">
        <f>1264366</f>
        <v>1264366</v>
      </c>
      <c r="C70" s="4"/>
      <c r="D70" s="5">
        <f t="shared" si="4"/>
        <v>1264366</v>
      </c>
      <c r="E70" s="6" t="str">
        <f t="shared" si="5"/>
        <v/>
      </c>
    </row>
    <row r="71" spans="1:5" x14ac:dyDescent="0.2">
      <c r="A71" s="3" t="s">
        <v>69</v>
      </c>
      <c r="B71" s="5">
        <f>6092763</f>
        <v>6092763</v>
      </c>
      <c r="C71" s="4"/>
      <c r="D71" s="5">
        <f t="shared" si="4"/>
        <v>6092763</v>
      </c>
      <c r="E71" s="6" t="str">
        <f t="shared" si="5"/>
        <v/>
      </c>
    </row>
    <row r="72" spans="1:5" x14ac:dyDescent="0.2">
      <c r="A72" s="3" t="s">
        <v>70</v>
      </c>
      <c r="B72" s="5">
        <f>2178024</f>
        <v>2178024</v>
      </c>
      <c r="C72" s="4"/>
      <c r="D72" s="5">
        <f t="shared" si="4"/>
        <v>2178024</v>
      </c>
      <c r="E72" s="6" t="str">
        <f t="shared" si="5"/>
        <v/>
      </c>
    </row>
    <row r="73" spans="1:5" x14ac:dyDescent="0.2">
      <c r="A73" s="3" t="s">
        <v>71</v>
      </c>
      <c r="B73" s="7">
        <f>((((B68)+(B69))+(B70))+(B71))+(B72)</f>
        <v>22521756.670000002</v>
      </c>
      <c r="C73" s="7">
        <f>((((C68)+(C69))+(C70))+(C71))+(C72)</f>
        <v>18636281</v>
      </c>
      <c r="D73" s="7">
        <f t="shared" si="4"/>
        <v>3885475.6700000018</v>
      </c>
      <c r="E73" s="8">
        <f t="shared" si="5"/>
        <v>0.20848986286480664</v>
      </c>
    </row>
    <row r="74" spans="1:5" x14ac:dyDescent="0.2">
      <c r="A74" s="3" t="s">
        <v>72</v>
      </c>
      <c r="B74" s="5">
        <f>2648460.5</f>
        <v>2648460.5</v>
      </c>
      <c r="C74" s="5">
        <f>2037475</f>
        <v>2037475</v>
      </c>
      <c r="D74" s="5">
        <f t="shared" si="4"/>
        <v>610985.5</v>
      </c>
      <c r="E74" s="6">
        <f t="shared" si="5"/>
        <v>0.2998738634829875</v>
      </c>
    </row>
    <row r="75" spans="1:5" x14ac:dyDescent="0.2">
      <c r="A75" s="3" t="s">
        <v>73</v>
      </c>
      <c r="B75" s="4"/>
      <c r="C75" s="4"/>
      <c r="D75" s="5">
        <f t="shared" si="4"/>
        <v>0</v>
      </c>
      <c r="E75" s="6" t="str">
        <f t="shared" si="5"/>
        <v/>
      </c>
    </row>
    <row r="76" spans="1:5" x14ac:dyDescent="0.2">
      <c r="A76" s="3" t="s">
        <v>74</v>
      </c>
      <c r="B76" s="5">
        <f>4818580</f>
        <v>4818580</v>
      </c>
      <c r="C76" s="5">
        <f>3743454</f>
        <v>3743454</v>
      </c>
      <c r="D76" s="5">
        <f t="shared" si="4"/>
        <v>1075126</v>
      </c>
      <c r="E76" s="6">
        <f t="shared" si="5"/>
        <v>0.28720160578973325</v>
      </c>
    </row>
    <row r="77" spans="1:5" x14ac:dyDescent="0.2">
      <c r="A77" s="3" t="s">
        <v>75</v>
      </c>
      <c r="B77" s="5">
        <f>3162319.12</f>
        <v>3162319.12</v>
      </c>
      <c r="C77" s="5">
        <f>4352018.94</f>
        <v>4352018.9400000004</v>
      </c>
      <c r="D77" s="5">
        <f t="shared" si="4"/>
        <v>-1189699.8200000003</v>
      </c>
      <c r="E77" s="6">
        <f t="shared" si="5"/>
        <v>-0.27336733511550393</v>
      </c>
    </row>
    <row r="78" spans="1:5" x14ac:dyDescent="0.2">
      <c r="A78" s="3" t="s">
        <v>76</v>
      </c>
      <c r="B78" s="7">
        <f>((B75)+(B76))+(B77)</f>
        <v>7980899.1200000001</v>
      </c>
      <c r="C78" s="7">
        <f>((C75)+(C76))+(C77)</f>
        <v>8095472.9400000004</v>
      </c>
      <c r="D78" s="7">
        <f t="shared" si="4"/>
        <v>-114573.8200000003</v>
      </c>
      <c r="E78" s="8">
        <f t="shared" si="5"/>
        <v>-1.4152826011422662E-2</v>
      </c>
    </row>
    <row r="79" spans="1:5" x14ac:dyDescent="0.2">
      <c r="A79" s="3" t="s">
        <v>77</v>
      </c>
      <c r="B79" s="7">
        <f>(((B67)+(B73))+(B74))+(B78)</f>
        <v>33151116.290000003</v>
      </c>
      <c r="C79" s="7">
        <f>(((C67)+(C73))+(C74))+(C78)</f>
        <v>28769228.940000001</v>
      </c>
      <c r="D79" s="7">
        <f t="shared" si="4"/>
        <v>4381887.3500000015</v>
      </c>
      <c r="E79" s="8">
        <f t="shared" si="5"/>
        <v>0.15231160206409067</v>
      </c>
    </row>
    <row r="80" spans="1:5" x14ac:dyDescent="0.2">
      <c r="A80" s="3" t="s">
        <v>78</v>
      </c>
      <c r="B80" s="4"/>
      <c r="C80" s="4"/>
      <c r="D80" s="5">
        <f t="shared" si="4"/>
        <v>0</v>
      </c>
      <c r="E80" s="6" t="str">
        <f t="shared" si="5"/>
        <v/>
      </c>
    </row>
    <row r="81" spans="1:5" x14ac:dyDescent="0.2">
      <c r="A81" s="3" t="s">
        <v>79</v>
      </c>
      <c r="B81" s="5">
        <f>2535083</f>
        <v>2535083</v>
      </c>
      <c r="C81" s="5">
        <f>2250260</f>
        <v>2250260</v>
      </c>
      <c r="D81" s="5">
        <f t="shared" si="4"/>
        <v>284823</v>
      </c>
      <c r="E81" s="6">
        <f t="shared" si="5"/>
        <v>0.12657337374347852</v>
      </c>
    </row>
    <row r="82" spans="1:5" x14ac:dyDescent="0.2">
      <c r="A82" s="3" t="s">
        <v>80</v>
      </c>
      <c r="B82" s="4"/>
      <c r="C82" s="5">
        <f>59221</f>
        <v>59221</v>
      </c>
      <c r="D82" s="5">
        <f t="shared" si="4"/>
        <v>-59221</v>
      </c>
      <c r="E82" s="6">
        <f t="shared" si="5"/>
        <v>-1</v>
      </c>
    </row>
    <row r="83" spans="1:5" x14ac:dyDescent="0.2">
      <c r="A83" s="3" t="s">
        <v>81</v>
      </c>
      <c r="B83" s="5">
        <f>27500</f>
        <v>27500</v>
      </c>
      <c r="C83" s="5">
        <f>45780</f>
        <v>45780</v>
      </c>
      <c r="D83" s="5">
        <f t="shared" si="4"/>
        <v>-18280</v>
      </c>
      <c r="E83" s="6">
        <f t="shared" si="5"/>
        <v>-0.39930100480559194</v>
      </c>
    </row>
    <row r="84" spans="1:5" x14ac:dyDescent="0.2">
      <c r="A84" s="3" t="s">
        <v>82</v>
      </c>
      <c r="B84" s="5">
        <f>11170</f>
        <v>11170</v>
      </c>
      <c r="C84" s="5">
        <f>31026</f>
        <v>31026</v>
      </c>
      <c r="D84" s="5">
        <f t="shared" si="4"/>
        <v>-19856</v>
      </c>
      <c r="E84" s="6">
        <f t="shared" si="5"/>
        <v>-0.63997937213949596</v>
      </c>
    </row>
    <row r="85" spans="1:5" x14ac:dyDescent="0.2">
      <c r="A85" s="3" t="s">
        <v>83</v>
      </c>
      <c r="B85" s="7">
        <f>((((B80)+(B81))+(B82))+(B83))+(B84)</f>
        <v>2573753</v>
      </c>
      <c r="C85" s="7">
        <f>((((C80)+(C81))+(C82))+(C83))+(C84)</f>
        <v>2386287</v>
      </c>
      <c r="D85" s="7">
        <f t="shared" si="4"/>
        <v>187466</v>
      </c>
      <c r="E85" s="8">
        <f t="shared" si="5"/>
        <v>7.8559703841155737E-2</v>
      </c>
    </row>
    <row r="86" spans="1:5" x14ac:dyDescent="0.2">
      <c r="A86" s="3" t="s">
        <v>84</v>
      </c>
      <c r="B86" s="4"/>
      <c r="C86" s="4"/>
      <c r="D86" s="5">
        <f t="shared" si="4"/>
        <v>0</v>
      </c>
      <c r="E86" s="6" t="str">
        <f t="shared" si="5"/>
        <v/>
      </c>
    </row>
    <row r="87" spans="1:5" x14ac:dyDescent="0.2">
      <c r="A87" s="3" t="s">
        <v>85</v>
      </c>
      <c r="B87" s="5">
        <f>1007557</f>
        <v>1007557</v>
      </c>
      <c r="C87" s="5">
        <f>817270</f>
        <v>817270</v>
      </c>
      <c r="D87" s="5">
        <f t="shared" si="4"/>
        <v>190287</v>
      </c>
      <c r="E87" s="6">
        <f t="shared" si="5"/>
        <v>0.23283247886255459</v>
      </c>
    </row>
    <row r="88" spans="1:5" x14ac:dyDescent="0.2">
      <c r="A88" s="3" t="s">
        <v>86</v>
      </c>
      <c r="B88" s="4"/>
      <c r="C88" s="5">
        <f>0</f>
        <v>0</v>
      </c>
      <c r="D88" s="5">
        <f t="shared" si="4"/>
        <v>0</v>
      </c>
      <c r="E88" s="6" t="str">
        <f t="shared" si="5"/>
        <v/>
      </c>
    </row>
    <row r="89" spans="1:5" x14ac:dyDescent="0.2">
      <c r="A89" s="3" t="s">
        <v>87</v>
      </c>
      <c r="B89" s="5">
        <f>86920</f>
        <v>86920</v>
      </c>
      <c r="C89" s="5">
        <f>63090</f>
        <v>63090</v>
      </c>
      <c r="D89" s="5">
        <f t="shared" si="4"/>
        <v>23830</v>
      </c>
      <c r="E89" s="6">
        <f t="shared" si="5"/>
        <v>0.37771437628784277</v>
      </c>
    </row>
    <row r="90" spans="1:5" x14ac:dyDescent="0.2">
      <c r="A90" s="3" t="s">
        <v>88</v>
      </c>
      <c r="B90" s="7">
        <f>(((B86)+(B87))+(B88))+(B89)</f>
        <v>1094477</v>
      </c>
      <c r="C90" s="7">
        <f>(((C86)+(C87))+(C88))+(C89)</f>
        <v>880360</v>
      </c>
      <c r="D90" s="7">
        <f t="shared" si="4"/>
        <v>214117</v>
      </c>
      <c r="E90" s="8">
        <f t="shared" si="5"/>
        <v>0.24321527556908537</v>
      </c>
    </row>
    <row r="91" spans="1:5" x14ac:dyDescent="0.2">
      <c r="A91" s="3" t="s">
        <v>89</v>
      </c>
      <c r="B91" s="4"/>
      <c r="C91" s="4"/>
      <c r="D91" s="5">
        <f t="shared" si="4"/>
        <v>0</v>
      </c>
      <c r="E91" s="6" t="str">
        <f t="shared" si="5"/>
        <v/>
      </c>
    </row>
    <row r="92" spans="1:5" x14ac:dyDescent="0.2">
      <c r="A92" s="3" t="s">
        <v>90</v>
      </c>
      <c r="B92" s="5">
        <f>384000</f>
        <v>384000</v>
      </c>
      <c r="C92" s="5">
        <f>160000</f>
        <v>160000</v>
      </c>
      <c r="D92" s="5">
        <f t="shared" si="4"/>
        <v>224000</v>
      </c>
      <c r="E92" s="6">
        <f t="shared" si="5"/>
        <v>1.4</v>
      </c>
    </row>
    <row r="93" spans="1:5" x14ac:dyDescent="0.2">
      <c r="A93" s="3" t="s">
        <v>91</v>
      </c>
      <c r="B93" s="5">
        <f>5635090.92</f>
        <v>5635090.9199999999</v>
      </c>
      <c r="C93" s="5">
        <f>3081437.4</f>
        <v>3081437.4</v>
      </c>
      <c r="D93" s="5">
        <f t="shared" si="4"/>
        <v>2553653.52</v>
      </c>
      <c r="E93" s="6">
        <f t="shared" si="5"/>
        <v>0.82872153106209467</v>
      </c>
    </row>
    <row r="94" spans="1:5" x14ac:dyDescent="0.2">
      <c r="A94" s="3" t="s">
        <v>92</v>
      </c>
      <c r="B94" s="4"/>
      <c r="C94" s="5">
        <f>35200</f>
        <v>35200</v>
      </c>
      <c r="D94" s="5">
        <f t="shared" si="4"/>
        <v>-35200</v>
      </c>
      <c r="E94" s="6">
        <f t="shared" si="5"/>
        <v>-1</v>
      </c>
    </row>
    <row r="95" spans="1:5" x14ac:dyDescent="0.2">
      <c r="A95" s="3" t="s">
        <v>93</v>
      </c>
      <c r="B95" s="5">
        <f>7621475.57</f>
        <v>7621475.5700000003</v>
      </c>
      <c r="C95" s="5">
        <f>1542251.9</f>
        <v>1542251.9</v>
      </c>
      <c r="D95" s="5">
        <f t="shared" si="4"/>
        <v>6079223.6699999999</v>
      </c>
      <c r="E95" s="6">
        <f t="shared" si="5"/>
        <v>3.9417838746056986</v>
      </c>
    </row>
    <row r="96" spans="1:5" x14ac:dyDescent="0.2">
      <c r="A96" s="3" t="s">
        <v>94</v>
      </c>
      <c r="B96" s="7">
        <f>((((B91)+(B92))+(B93))+(B94))+(B95)</f>
        <v>13640566.49</v>
      </c>
      <c r="C96" s="7">
        <f>((((C91)+(C92))+(C93))+(C94))+(C95)</f>
        <v>4818889.3</v>
      </c>
      <c r="D96" s="7">
        <f t="shared" si="4"/>
        <v>8821677.1900000013</v>
      </c>
      <c r="E96" s="8">
        <f t="shared" si="5"/>
        <v>1.8306453294123195</v>
      </c>
    </row>
    <row r="97" spans="1:5" x14ac:dyDescent="0.2">
      <c r="A97" s="3" t="s">
        <v>95</v>
      </c>
      <c r="B97" s="4"/>
      <c r="C97" s="4"/>
      <c r="D97" s="5">
        <f t="shared" si="4"/>
        <v>0</v>
      </c>
      <c r="E97" s="6" t="str">
        <f t="shared" si="5"/>
        <v/>
      </c>
    </row>
    <row r="98" spans="1:5" x14ac:dyDescent="0.2">
      <c r="A98" s="3" t="s">
        <v>96</v>
      </c>
      <c r="B98" s="5">
        <f>280345</f>
        <v>280345</v>
      </c>
      <c r="C98" s="5">
        <f>223675</f>
        <v>223675</v>
      </c>
      <c r="D98" s="5">
        <f t="shared" si="4"/>
        <v>56670</v>
      </c>
      <c r="E98" s="6">
        <f t="shared" si="5"/>
        <v>0.25335866770984689</v>
      </c>
    </row>
    <row r="99" spans="1:5" x14ac:dyDescent="0.2">
      <c r="A99" s="3" t="s">
        <v>97</v>
      </c>
      <c r="B99" s="5">
        <f>719617</f>
        <v>719617</v>
      </c>
      <c r="C99" s="5">
        <f>474040</f>
        <v>474040</v>
      </c>
      <c r="D99" s="5">
        <f t="shared" ref="D99:D130" si="6">(B99)-(C99)</f>
        <v>245577</v>
      </c>
      <c r="E99" s="6">
        <f t="shared" ref="E99:E127" si="7">IF(ABS((C99))=0,"",((B99)-(C99))/(ABS((C99))))</f>
        <v>0.51805121930638764</v>
      </c>
    </row>
    <row r="100" spans="1:5" x14ac:dyDescent="0.2">
      <c r="A100" s="3" t="s">
        <v>98</v>
      </c>
      <c r="B100" s="5">
        <f>40462</f>
        <v>40462</v>
      </c>
      <c r="C100" s="5">
        <f>10760</f>
        <v>10760</v>
      </c>
      <c r="D100" s="5">
        <f t="shared" si="6"/>
        <v>29702</v>
      </c>
      <c r="E100" s="6">
        <f t="shared" si="7"/>
        <v>2.7604089219330854</v>
      </c>
    </row>
    <row r="101" spans="1:5" x14ac:dyDescent="0.2">
      <c r="A101" s="3" t="s">
        <v>99</v>
      </c>
      <c r="B101" s="5">
        <f>55260</f>
        <v>55260</v>
      </c>
      <c r="C101" s="5">
        <f>48377</f>
        <v>48377</v>
      </c>
      <c r="D101" s="5">
        <f t="shared" si="6"/>
        <v>6883</v>
      </c>
      <c r="E101" s="6">
        <f t="shared" si="7"/>
        <v>0.14227835541683032</v>
      </c>
    </row>
    <row r="102" spans="1:5" x14ac:dyDescent="0.2">
      <c r="A102" s="3" t="s">
        <v>100</v>
      </c>
      <c r="B102" s="7">
        <f>((((B97)+(B98))+(B99))+(B100))+(B101)</f>
        <v>1095684</v>
      </c>
      <c r="C102" s="7">
        <f>((((C97)+(C98))+(C99))+(C100))+(C101)</f>
        <v>756852</v>
      </c>
      <c r="D102" s="7">
        <f t="shared" si="6"/>
        <v>338832</v>
      </c>
      <c r="E102" s="8">
        <f t="shared" si="7"/>
        <v>0.44768594124082384</v>
      </c>
    </row>
    <row r="103" spans="1:5" x14ac:dyDescent="0.2">
      <c r="A103" s="3" t="s">
        <v>101</v>
      </c>
      <c r="B103" s="4"/>
      <c r="C103" s="4"/>
      <c r="D103" s="5">
        <f t="shared" si="6"/>
        <v>0</v>
      </c>
      <c r="E103" s="6" t="str">
        <f t="shared" si="7"/>
        <v/>
      </c>
    </row>
    <row r="104" spans="1:5" x14ac:dyDescent="0.2">
      <c r="A104" s="3" t="s">
        <v>102</v>
      </c>
      <c r="B104" s="5">
        <f>63150</f>
        <v>63150</v>
      </c>
      <c r="C104" s="5">
        <f>212128</f>
        <v>212128</v>
      </c>
      <c r="D104" s="5">
        <f t="shared" si="6"/>
        <v>-148978</v>
      </c>
      <c r="E104" s="6">
        <f t="shared" si="7"/>
        <v>-0.70230238346658624</v>
      </c>
    </row>
    <row r="105" spans="1:5" x14ac:dyDescent="0.2">
      <c r="A105" s="3" t="s">
        <v>103</v>
      </c>
      <c r="B105" s="5">
        <f>319872</f>
        <v>319872</v>
      </c>
      <c r="C105" s="5">
        <f>677419</f>
        <v>677419</v>
      </c>
      <c r="D105" s="5">
        <f t="shared" si="6"/>
        <v>-357547</v>
      </c>
      <c r="E105" s="6">
        <f t="shared" si="7"/>
        <v>-0.52780775266120372</v>
      </c>
    </row>
    <row r="106" spans="1:5" x14ac:dyDescent="0.2">
      <c r="A106" s="3" t="s">
        <v>104</v>
      </c>
      <c r="B106" s="5">
        <f>292914</f>
        <v>292914</v>
      </c>
      <c r="C106" s="5">
        <f>288059</f>
        <v>288059</v>
      </c>
      <c r="D106" s="5">
        <f t="shared" si="6"/>
        <v>4855</v>
      </c>
      <c r="E106" s="6">
        <f t="shared" si="7"/>
        <v>1.6854186121593145E-2</v>
      </c>
    </row>
    <row r="107" spans="1:5" x14ac:dyDescent="0.2">
      <c r="A107" s="3" t="s">
        <v>105</v>
      </c>
      <c r="B107" s="7">
        <f>(((B103)+(B104))+(B105))+(B106)</f>
        <v>675936</v>
      </c>
      <c r="C107" s="7">
        <f>(((C103)+(C104))+(C105))+(C106)</f>
        <v>1177606</v>
      </c>
      <c r="D107" s="7">
        <f t="shared" si="6"/>
        <v>-501670</v>
      </c>
      <c r="E107" s="8">
        <f t="shared" si="7"/>
        <v>-0.42600835933240827</v>
      </c>
    </row>
    <row r="108" spans="1:5" x14ac:dyDescent="0.2">
      <c r="A108" s="3" t="s">
        <v>106</v>
      </c>
      <c r="B108" s="4"/>
      <c r="C108" s="4"/>
      <c r="D108" s="5">
        <f t="shared" si="6"/>
        <v>0</v>
      </c>
      <c r="E108" s="6" t="str">
        <f t="shared" si="7"/>
        <v/>
      </c>
    </row>
    <row r="109" spans="1:5" x14ac:dyDescent="0.2">
      <c r="A109" s="3" t="s">
        <v>107</v>
      </c>
      <c r="B109" s="4"/>
      <c r="C109" s="5">
        <f>8106</f>
        <v>8106</v>
      </c>
      <c r="D109" s="5">
        <f t="shared" si="6"/>
        <v>-8106</v>
      </c>
      <c r="E109" s="6">
        <f t="shared" si="7"/>
        <v>-1</v>
      </c>
    </row>
    <row r="110" spans="1:5" x14ac:dyDescent="0.2">
      <c r="A110" s="3" t="s">
        <v>108</v>
      </c>
      <c r="B110" s="5">
        <f>4496979.9</f>
        <v>4496979.9000000004</v>
      </c>
      <c r="C110" s="5">
        <f>1690253</f>
        <v>1690253</v>
      </c>
      <c r="D110" s="5">
        <f t="shared" si="6"/>
        <v>2806726.9000000004</v>
      </c>
      <c r="E110" s="6">
        <f t="shared" si="7"/>
        <v>1.6605365587281906</v>
      </c>
    </row>
    <row r="111" spans="1:5" x14ac:dyDescent="0.2">
      <c r="A111" s="3" t="s">
        <v>109</v>
      </c>
      <c r="B111" s="5">
        <f>47823</f>
        <v>47823</v>
      </c>
      <c r="C111" s="5">
        <f>151938</f>
        <v>151938</v>
      </c>
      <c r="D111" s="5">
        <f t="shared" si="6"/>
        <v>-104115</v>
      </c>
      <c r="E111" s="6">
        <f t="shared" si="7"/>
        <v>-0.68524661375034557</v>
      </c>
    </row>
    <row r="112" spans="1:5" x14ac:dyDescent="0.2">
      <c r="A112" s="3" t="s">
        <v>110</v>
      </c>
      <c r="B112" s="7">
        <f>(((B108)+(B109))+(B110))+(B111)</f>
        <v>4544802.9000000004</v>
      </c>
      <c r="C112" s="7">
        <f>(((C108)+(C109))+(C110))+(C111)</f>
        <v>1850297</v>
      </c>
      <c r="D112" s="7">
        <f t="shared" si="6"/>
        <v>2694505.9000000004</v>
      </c>
      <c r="E112" s="8">
        <f t="shared" si="7"/>
        <v>1.4562558875683203</v>
      </c>
    </row>
    <row r="113" spans="1:5" x14ac:dyDescent="0.2">
      <c r="A113" s="3" t="s">
        <v>111</v>
      </c>
      <c r="B113" s="4"/>
      <c r="C113" s="4"/>
      <c r="D113" s="5">
        <f t="shared" si="6"/>
        <v>0</v>
      </c>
      <c r="E113" s="6" t="str">
        <f t="shared" si="7"/>
        <v/>
      </c>
    </row>
    <row r="114" spans="1:5" x14ac:dyDescent="0.2">
      <c r="A114" s="3" t="s">
        <v>112</v>
      </c>
      <c r="B114" s="5">
        <f>301669</f>
        <v>301669</v>
      </c>
      <c r="C114" s="5">
        <f>342445</f>
        <v>342445</v>
      </c>
      <c r="D114" s="5">
        <f t="shared" si="6"/>
        <v>-40776</v>
      </c>
      <c r="E114" s="6">
        <f t="shared" si="7"/>
        <v>-0.11907313583203143</v>
      </c>
    </row>
    <row r="115" spans="1:5" x14ac:dyDescent="0.2">
      <c r="A115" s="3" t="s">
        <v>113</v>
      </c>
      <c r="B115" s="4"/>
      <c r="C115" s="5">
        <f>14890</f>
        <v>14890</v>
      </c>
      <c r="D115" s="5">
        <f t="shared" si="6"/>
        <v>-14890</v>
      </c>
      <c r="E115" s="6">
        <f t="shared" si="7"/>
        <v>-1</v>
      </c>
    </row>
    <row r="116" spans="1:5" x14ac:dyDescent="0.2">
      <c r="A116" s="3" t="s">
        <v>114</v>
      </c>
      <c r="B116" s="5">
        <f>433269</f>
        <v>433269</v>
      </c>
      <c r="C116" s="5">
        <f>268054</f>
        <v>268054</v>
      </c>
      <c r="D116" s="5">
        <f t="shared" si="6"/>
        <v>165215</v>
      </c>
      <c r="E116" s="6">
        <f t="shared" si="7"/>
        <v>0.61634969073395662</v>
      </c>
    </row>
    <row r="117" spans="1:5" x14ac:dyDescent="0.2">
      <c r="A117" s="3" t="s">
        <v>115</v>
      </c>
      <c r="B117" s="7">
        <f>(((B113)+(B114))+(B115))+(B116)</f>
        <v>734938</v>
      </c>
      <c r="C117" s="7">
        <f>(((C113)+(C114))+(C115))+(C116)</f>
        <v>625389</v>
      </c>
      <c r="D117" s="7">
        <f t="shared" si="6"/>
        <v>109549</v>
      </c>
      <c r="E117" s="8">
        <f t="shared" si="7"/>
        <v>0.17516937458126061</v>
      </c>
    </row>
    <row r="118" spans="1:5" x14ac:dyDescent="0.2">
      <c r="A118" s="3" t="s">
        <v>116</v>
      </c>
      <c r="B118" s="4"/>
      <c r="C118" s="4"/>
      <c r="D118" s="5">
        <f t="shared" si="6"/>
        <v>0</v>
      </c>
      <c r="E118" s="6" t="str">
        <f t="shared" si="7"/>
        <v/>
      </c>
    </row>
    <row r="119" spans="1:5" x14ac:dyDescent="0.2">
      <c r="A119" s="3" t="s">
        <v>117</v>
      </c>
      <c r="B119" s="5">
        <f>1383750</f>
        <v>1383750</v>
      </c>
      <c r="C119" s="5">
        <f>349662</f>
        <v>349662</v>
      </c>
      <c r="D119" s="5">
        <f t="shared" si="6"/>
        <v>1034088</v>
      </c>
      <c r="E119" s="6">
        <f t="shared" si="7"/>
        <v>2.9573931396605864</v>
      </c>
    </row>
    <row r="120" spans="1:5" x14ac:dyDescent="0.2">
      <c r="A120" s="3" t="s">
        <v>118</v>
      </c>
      <c r="B120" s="5">
        <f>2109240.1</f>
        <v>2109240.1</v>
      </c>
      <c r="C120" s="5">
        <f>5169754.04</f>
        <v>5169754.04</v>
      </c>
      <c r="D120" s="5">
        <f t="shared" si="6"/>
        <v>-3060513.94</v>
      </c>
      <c r="E120" s="6">
        <f t="shared" si="7"/>
        <v>-0.59200378128627562</v>
      </c>
    </row>
    <row r="121" spans="1:5" x14ac:dyDescent="0.2">
      <c r="A121" s="3" t="s">
        <v>119</v>
      </c>
      <c r="B121" s="5">
        <f>229446</f>
        <v>229446</v>
      </c>
      <c r="C121" s="5">
        <f>260000</f>
        <v>260000</v>
      </c>
      <c r="D121" s="5">
        <f t="shared" si="6"/>
        <v>-30554</v>
      </c>
      <c r="E121" s="6">
        <f t="shared" si="7"/>
        <v>-0.11751538461538462</v>
      </c>
    </row>
    <row r="122" spans="1:5" x14ac:dyDescent="0.2">
      <c r="A122" s="3" t="s">
        <v>120</v>
      </c>
      <c r="B122" s="7">
        <f>(((B118)+(B119))+(B120))+(B121)</f>
        <v>3722436.1</v>
      </c>
      <c r="C122" s="7">
        <f>(((C118)+(C119))+(C120))+(C121)</f>
        <v>5779416.04</v>
      </c>
      <c r="D122" s="7">
        <f t="shared" si="6"/>
        <v>-2056979.94</v>
      </c>
      <c r="E122" s="8">
        <f t="shared" si="7"/>
        <v>-0.35591484083571873</v>
      </c>
    </row>
    <row r="123" spans="1:5" x14ac:dyDescent="0.2">
      <c r="A123" s="3" t="s">
        <v>121</v>
      </c>
      <c r="B123" s="4"/>
      <c r="C123" s="4"/>
      <c r="D123" s="5">
        <f t="shared" si="6"/>
        <v>0</v>
      </c>
      <c r="E123" s="6" t="str">
        <f t="shared" si="7"/>
        <v/>
      </c>
    </row>
    <row r="124" spans="1:5" x14ac:dyDescent="0.2">
      <c r="A124" s="3" t="s">
        <v>122</v>
      </c>
      <c r="B124" s="5">
        <f>276720</f>
        <v>276720</v>
      </c>
      <c r="C124" s="5">
        <f>338357</f>
        <v>338357</v>
      </c>
      <c r="D124" s="5">
        <f t="shared" si="6"/>
        <v>-61637</v>
      </c>
      <c r="E124" s="6">
        <f t="shared" si="7"/>
        <v>-0.1821655825060513</v>
      </c>
    </row>
    <row r="125" spans="1:5" x14ac:dyDescent="0.2">
      <c r="A125" s="3" t="s">
        <v>123</v>
      </c>
      <c r="B125" s="5">
        <f>345549</f>
        <v>345549</v>
      </c>
      <c r="C125" s="5">
        <f>147512</f>
        <v>147512</v>
      </c>
      <c r="D125" s="5">
        <f t="shared" si="6"/>
        <v>198037</v>
      </c>
      <c r="E125" s="6">
        <f t="shared" si="7"/>
        <v>1.3425145072943219</v>
      </c>
    </row>
    <row r="126" spans="1:5" x14ac:dyDescent="0.2">
      <c r="A126" s="3" t="s">
        <v>124</v>
      </c>
      <c r="B126" s="7">
        <f>((B123)+(B124))+(B125)</f>
        <v>622269</v>
      </c>
      <c r="C126" s="7">
        <f>((C123)+(C124))+(C125)</f>
        <v>485869</v>
      </c>
      <c r="D126" s="7">
        <f t="shared" si="6"/>
        <v>136400</v>
      </c>
      <c r="E126" s="8">
        <f t="shared" si="7"/>
        <v>0.28073410734169085</v>
      </c>
    </row>
    <row r="127" spans="1:5" x14ac:dyDescent="0.2">
      <c r="A127" s="3" t="s">
        <v>125</v>
      </c>
      <c r="B127" s="7">
        <f>(((((((((B79)+(B85))+(B90))+(B96))+(B102))+(B107))+(B112))+(B117))+(B122))+(B126)</f>
        <v>61855978.780000009</v>
      </c>
      <c r="C127" s="7">
        <f>(((((((((C79)+(C85))+(C90))+(C96))+(C102))+(C107))+(C112))+(C117))+(C122))+(C126)</f>
        <v>47530194.280000001</v>
      </c>
      <c r="D127" s="7">
        <f t="shared" si="6"/>
        <v>14325784.500000007</v>
      </c>
      <c r="E127" s="8">
        <f t="shared" si="7"/>
        <v>0.30140387004536368</v>
      </c>
    </row>
    <row r="128" spans="1:5" x14ac:dyDescent="0.2">
      <c r="A128" s="3" t="s">
        <v>126</v>
      </c>
      <c r="B128" s="4"/>
      <c r="C128" s="4"/>
      <c r="D128" s="4"/>
      <c r="E128" s="4"/>
    </row>
    <row r="129" spans="1:5" x14ac:dyDescent="0.2">
      <c r="A129" s="3" t="s">
        <v>127</v>
      </c>
      <c r="B129" s="4"/>
      <c r="C129" s="4"/>
      <c r="D129" s="5">
        <f t="shared" ref="D129:D136" si="8">(B129)-(C129)</f>
        <v>0</v>
      </c>
      <c r="E129" s="6" t="str">
        <f t="shared" ref="E129:E136" si="9">IF(ABS((C129))=0,"",((B129)-(C129))/(ABS((C129))))</f>
        <v/>
      </c>
    </row>
    <row r="130" spans="1:5" x14ac:dyDescent="0.2">
      <c r="A130" s="3" t="s">
        <v>128</v>
      </c>
      <c r="B130" s="5">
        <f>37292950</f>
        <v>37292950</v>
      </c>
      <c r="C130" s="5">
        <f>45079740</f>
        <v>45079740</v>
      </c>
      <c r="D130" s="5">
        <f t="shared" si="8"/>
        <v>-7786790</v>
      </c>
      <c r="E130" s="6">
        <f t="shared" si="9"/>
        <v>-0.17273369367258995</v>
      </c>
    </row>
    <row r="131" spans="1:5" x14ac:dyDescent="0.2">
      <c r="A131" s="3" t="s">
        <v>129</v>
      </c>
      <c r="B131" s="5">
        <f>215552.96</f>
        <v>215552.96</v>
      </c>
      <c r="C131" s="5">
        <f>56059.67</f>
        <v>56059.67</v>
      </c>
      <c r="D131" s="5">
        <f t="shared" si="8"/>
        <v>159493.28999999998</v>
      </c>
      <c r="E131" s="6">
        <f t="shared" si="9"/>
        <v>2.8450629481051171</v>
      </c>
    </row>
    <row r="132" spans="1:5" x14ac:dyDescent="0.2">
      <c r="A132" s="3" t="s">
        <v>130</v>
      </c>
      <c r="B132" s="5">
        <f>5532627.87</f>
        <v>5532627.8700000001</v>
      </c>
      <c r="C132" s="5">
        <f>5697255.55</f>
        <v>5697255.5499999998</v>
      </c>
      <c r="D132" s="5">
        <f t="shared" si="8"/>
        <v>-164627.6799999997</v>
      </c>
      <c r="E132" s="6">
        <f t="shared" si="9"/>
        <v>-2.8895962021573653E-2</v>
      </c>
    </row>
    <row r="133" spans="1:5" x14ac:dyDescent="0.2">
      <c r="A133" s="3" t="s">
        <v>131</v>
      </c>
      <c r="B133" s="5">
        <f>12501989</f>
        <v>12501989</v>
      </c>
      <c r="C133" s="4"/>
      <c r="D133" s="5">
        <f t="shared" si="8"/>
        <v>12501989</v>
      </c>
      <c r="E133" s="6" t="str">
        <f t="shared" si="9"/>
        <v/>
      </c>
    </row>
    <row r="134" spans="1:5" x14ac:dyDescent="0.2">
      <c r="A134" s="3" t="s">
        <v>132</v>
      </c>
      <c r="B134" s="7">
        <f>((((B129)+(B130))+(B131))+(B132))+(B133)</f>
        <v>55543119.829999998</v>
      </c>
      <c r="C134" s="7">
        <f>((((C129)+(C130))+(C131))+(C132))+(C133)</f>
        <v>50833055.219999999</v>
      </c>
      <c r="D134" s="7">
        <f t="shared" si="8"/>
        <v>4710064.6099999994</v>
      </c>
      <c r="E134" s="8">
        <f t="shared" si="9"/>
        <v>9.2657515658174511E-2</v>
      </c>
    </row>
    <row r="135" spans="1:5" x14ac:dyDescent="0.2">
      <c r="A135" s="3" t="s">
        <v>133</v>
      </c>
      <c r="B135" s="7">
        <f>B134</f>
        <v>55543119.829999998</v>
      </c>
      <c r="C135" s="7">
        <f>C134</f>
        <v>50833055.219999999</v>
      </c>
      <c r="D135" s="7">
        <f t="shared" si="8"/>
        <v>4710064.6099999994</v>
      </c>
      <c r="E135" s="8">
        <f t="shared" si="9"/>
        <v>9.2657515658174511E-2</v>
      </c>
    </row>
    <row r="136" spans="1:5" x14ac:dyDescent="0.2">
      <c r="A136" s="3" t="s">
        <v>134</v>
      </c>
      <c r="B136" s="9">
        <f>((((B20)+(B65))-(B58))-(B127))-(B135)</f>
        <v>45809931.189999893</v>
      </c>
      <c r="C136" s="9">
        <f>((((C20)+(C65))-(C58))-(C127))-(C135)</f>
        <v>30788873.180000007</v>
      </c>
      <c r="D136" s="9">
        <f t="shared" si="8"/>
        <v>15021058.009999886</v>
      </c>
      <c r="E136" s="10">
        <f t="shared" si="9"/>
        <v>0.48787293780395125</v>
      </c>
    </row>
    <row r="137" spans="1:5" x14ac:dyDescent="0.2">
      <c r="A137" s="3"/>
      <c r="B137" s="4"/>
      <c r="C137" s="4"/>
      <c r="D137" s="4"/>
      <c r="E137" s="4"/>
    </row>
    <row r="140" spans="1:5" x14ac:dyDescent="0.2">
      <c r="A140" s="13" t="s">
        <v>135</v>
      </c>
      <c r="B140" s="14"/>
      <c r="C140" s="14"/>
      <c r="D140" s="14"/>
      <c r="E140" s="14"/>
    </row>
  </sheetData>
  <mergeCells count="5">
    <mergeCell ref="B5:E5"/>
    <mergeCell ref="A140:E140"/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2024-02-26T15:04:28Z</dcterms:created>
  <dcterms:modified xsi:type="dcterms:W3CDTF">2024-02-26T15:44:50Z</dcterms:modified>
</cp:coreProperties>
</file>