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F72C03A4-40DC-0F43-BD50-1E94011B240E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Budget vs. Actu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B129" i="1"/>
  <c r="B130" i="1" s="1"/>
  <c r="C128" i="1"/>
  <c r="C127" i="1"/>
  <c r="B127" i="1"/>
  <c r="C126" i="1"/>
  <c r="B126" i="1"/>
  <c r="C121" i="1"/>
  <c r="B121" i="1"/>
  <c r="C120" i="1"/>
  <c r="B120" i="1"/>
  <c r="B122" i="1" s="1"/>
  <c r="C114" i="1"/>
  <c r="B114" i="1"/>
  <c r="C113" i="1"/>
  <c r="C115" i="1" s="1"/>
  <c r="B113" i="1"/>
  <c r="C110" i="1"/>
  <c r="C109" i="1"/>
  <c r="B109" i="1"/>
  <c r="C108" i="1"/>
  <c r="B108" i="1"/>
  <c r="C105" i="1"/>
  <c r="B105" i="1"/>
  <c r="C104" i="1"/>
  <c r="C103" i="1"/>
  <c r="B103" i="1"/>
  <c r="B106" i="1" s="1"/>
  <c r="C101" i="1"/>
  <c r="C100" i="1"/>
  <c r="C99" i="1"/>
  <c r="B99" i="1"/>
  <c r="C96" i="1"/>
  <c r="B96" i="1"/>
  <c r="C95" i="1"/>
  <c r="B95" i="1"/>
  <c r="C94" i="1"/>
  <c r="C97" i="1" s="1"/>
  <c r="B94" i="1"/>
  <c r="C91" i="1"/>
  <c r="B91" i="1"/>
  <c r="C90" i="1"/>
  <c r="B90" i="1"/>
  <c r="C89" i="1"/>
  <c r="B89" i="1"/>
  <c r="C88" i="1"/>
  <c r="B88" i="1"/>
  <c r="B92" i="1" s="1"/>
  <c r="C85" i="1"/>
  <c r="B85" i="1"/>
  <c r="B84" i="1"/>
  <c r="C83" i="1"/>
  <c r="B83" i="1"/>
  <c r="C82" i="1"/>
  <c r="B82" i="1"/>
  <c r="C79" i="1"/>
  <c r="B79" i="1"/>
  <c r="B78" i="1"/>
  <c r="C77" i="1"/>
  <c r="B77" i="1"/>
  <c r="B80" i="1" s="1"/>
  <c r="C74" i="1"/>
  <c r="B74" i="1"/>
  <c r="C73" i="1"/>
  <c r="B73" i="1"/>
  <c r="B75" i="1" s="1"/>
  <c r="C70" i="1"/>
  <c r="C69" i="1"/>
  <c r="B69" i="1"/>
  <c r="B70" i="1" s="1"/>
  <c r="C67" i="1"/>
  <c r="B67" i="1"/>
  <c r="B65" i="1"/>
  <c r="B64" i="1"/>
  <c r="C63" i="1"/>
  <c r="B63" i="1"/>
  <c r="B62" i="1"/>
  <c r="B66" i="1" s="1"/>
  <c r="C61" i="1"/>
  <c r="C66" i="1" s="1"/>
  <c r="C71" i="1" s="1"/>
  <c r="C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B45" i="1"/>
  <c r="C44" i="1"/>
  <c r="B44" i="1"/>
  <c r="C43" i="1"/>
  <c r="C46" i="1" s="1"/>
  <c r="B43" i="1"/>
  <c r="C40" i="1"/>
  <c r="B40" i="1"/>
  <c r="C39" i="1"/>
  <c r="B39" i="1"/>
  <c r="C38" i="1"/>
  <c r="B38" i="1"/>
  <c r="C37" i="1"/>
  <c r="B37" i="1"/>
  <c r="C36" i="1"/>
  <c r="B36" i="1"/>
  <c r="C35" i="1"/>
  <c r="B35" i="1"/>
  <c r="C33" i="1"/>
  <c r="B33" i="1"/>
  <c r="C32" i="1"/>
  <c r="B32" i="1"/>
  <c r="C31" i="1"/>
  <c r="B31" i="1"/>
  <c r="C30" i="1"/>
  <c r="B30" i="1"/>
  <c r="C29" i="1"/>
  <c r="B29" i="1"/>
  <c r="C26" i="1"/>
  <c r="B26" i="1"/>
  <c r="C25" i="1"/>
  <c r="B25" i="1"/>
  <c r="C24" i="1"/>
  <c r="B24" i="1"/>
  <c r="C23" i="1"/>
  <c r="B23" i="1"/>
  <c r="B18" i="1"/>
  <c r="C17" i="1"/>
  <c r="B17" i="1"/>
  <c r="C16" i="1"/>
  <c r="B16" i="1"/>
  <c r="C14" i="1"/>
  <c r="B14" i="1"/>
  <c r="C13" i="1"/>
  <c r="B13" i="1"/>
  <c r="B15" i="1" s="1"/>
  <c r="C10" i="1"/>
  <c r="B10" i="1"/>
  <c r="C8" i="1"/>
  <c r="B8" i="1"/>
  <c r="C27" i="1" l="1"/>
  <c r="C106" i="1"/>
  <c r="B46" i="1"/>
  <c r="C92" i="1"/>
  <c r="B111" i="1"/>
  <c r="C15" i="1"/>
  <c r="B34" i="1"/>
  <c r="B71" i="1"/>
  <c r="C86" i="1"/>
  <c r="B86" i="1"/>
  <c r="B11" i="1"/>
  <c r="C34" i="1"/>
  <c r="C41" i="1" s="1"/>
  <c r="C11" i="1"/>
  <c r="B27" i="1"/>
  <c r="C80" i="1"/>
  <c r="B56" i="1"/>
  <c r="C56" i="1"/>
  <c r="C75" i="1"/>
  <c r="B101" i="1"/>
  <c r="C130" i="1"/>
  <c r="B131" i="1"/>
  <c r="B123" i="1"/>
  <c r="B97" i="1"/>
  <c r="C111" i="1"/>
  <c r="C122" i="1"/>
  <c r="B115" i="1"/>
  <c r="C116" i="1" l="1"/>
  <c r="C57" i="1"/>
  <c r="B132" i="1"/>
  <c r="B19" i="1"/>
  <c r="C131" i="1"/>
  <c r="C123" i="1"/>
  <c r="B41" i="1"/>
  <c r="B116" i="1"/>
  <c r="C19" i="1"/>
  <c r="C58" i="1" l="1"/>
  <c r="C132" i="1"/>
  <c r="B57" i="1"/>
  <c r="B58" i="1" l="1"/>
  <c r="C117" i="1"/>
  <c r="C133" i="1" l="1"/>
  <c r="B117" i="1"/>
  <c r="B133" i="1" l="1"/>
</calcChain>
</file>

<file path=xl/sharedStrings.xml><?xml version="1.0" encoding="utf-8"?>
<sst xmlns="http://schemas.openxmlformats.org/spreadsheetml/2006/main" count="134" uniqueCount="134">
  <si>
    <t>Apr 2024</t>
  </si>
  <si>
    <t>Actual</t>
  </si>
  <si>
    <t>Budget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</si>
  <si>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</si>
  <si>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</si>
  <si>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</si>
  <si>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</si>
  <si>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</si>
  <si>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</si>
  <si>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</si>
  <si>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</si>
  <si>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</si>
  <si>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</si>
  <si>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</si>
  <si>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</si>
  <si>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</si>
  <si>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</si>
  <si>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</si>
  <si>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</si>
  <si>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</si>
  <si>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</si>
  <si>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</si>
  <si>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</si>
  <si>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</si>
  <si>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</si>
  <si>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</si>
  <si>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</si>
  <si>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</si>
  <si>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</si>
  <si>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</si>
  <si>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</si>
  <si>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</si>
  <si>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</si>
  <si>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</si>
  <si>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</si>
  <si>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</si>
  <si>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</si>
  <si>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</si>
  <si>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</si>
  <si>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</si>
  <si>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</si>
  <si>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</si>
  <si>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</si>
  <si>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</si>
  <si>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</si>
  <si>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</si>
  <si>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</si>
  <si>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</si>
  <si>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</si>
  <si>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</si>
  <si>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</si>
  <si>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</si>
  <si>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</si>
  <si>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</si>
  <si>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</si>
  <si>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</si>
  <si>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</si>
  <si>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</si>
  <si>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</si>
  <si>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</si>
  <si>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</si>
  <si>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</si>
  <si>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</si>
  <si>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</si>
  <si>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</si>
  <si>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</si>
  <si>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</si>
  <si>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</si>
  <si>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</si>
  <si>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</si>
  <si>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</si>
  <si>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</si>
  <si>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</si>
  <si>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Electricity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</si>
  <si>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</si>
  <si>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</si>
  <si>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</si>
  <si>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</si>
  <si>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</si>
  <si>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</si>
  <si>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</si>
  <si>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</si>
  <si>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</si>
  <si>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</si>
  <si>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</si>
  <si>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</si>
  <si>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</si>
  <si>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</si>
  <si>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</si>
  <si>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</si>
  <si>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</si>
  <si>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</si>
  <si>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</si>
  <si>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</si>
  <si>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</si>
  <si>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</si>
  <si>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</si>
  <si>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</si>
  <si>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</si>
  <si>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</si>
  <si>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100802 Other Printing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</si>
  <si>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</si>
  <si>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</si>
  <si>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</si>
  <si>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</si>
  <si>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</si>
  <si>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</si>
  <si>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</si>
  <si>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</si>
  <si>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</si>
  <si>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</si>
  <si>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</si>
  <si>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</si>
  <si>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Net Operating Income</t>
  </si>
  <si>
    <t>Other Income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</si>
  <si>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</si>
  <si>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</si>
  <si>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</si>
  <si>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</si>
  <si>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</si>
  <si>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</si>
  <si>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</si>
  <si>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</si>
  <si>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</si>
  <si>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</si>
  <si>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</si>
  <si>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</si>
  <si>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</si>
  <si>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Other Income</t>
  </si>
  <si>
    <t>Net Income</t>
  </si>
  <si>
    <t>Monday, May 06, 2024 08:01:48 PM GMT+5 - Accrual Basis</t>
  </si>
  <si>
    <t>Hanif Rajput Catering Services</t>
  </si>
  <si>
    <t xml:space="preserve">Budget vs. Actuals: Financial Budget 2023-2024 - FY24 P&amp;L 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</si>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</sst>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40.33203125" customWidth="1"/>
    <col min="2" max="3" width="14.6640625" customWidth="1"/>
  </cols>
  <sheetData>
    <row r="1" spans="1:3" ht="18" x14ac:dyDescent="0.2">
      <c r="A1" s="12" t="s">
        <v>131</v>
      </c>
      <c r="B1" s="11"/>
      <c r="C1" s="11"/>
    </row>
    <row r="2" spans="1:3" ht="18" x14ac:dyDescent="0.2">
      <c r="A2" s="12" t="s">
        <v>132</v>
      </c>
      <c r="B2" s="11"/>
      <c r="C2" s="11"/>
    </row>
    <row r="3" spans="1:3" x14ac:dyDescent="0.2">
      <c r="A3" s="13" t="s">
        <v>133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34085687.6</f>
        <v>34085687.600000001</v>
      </c>
      <c r="C8" s="5">
        <f>31806720</f>
        <v>31806720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2161700</f>
        <v>2161700</v>
      </c>
      <c r="C10" s="5">
        <f>6050000</f>
        <v>6050000</v>
      </c>
    </row>
    <row r="11" spans="1:3" x14ac:dyDescent="0.2">
      <c r="A11" s="3" t="s">
        <v>7</v>
      </c>
      <c r="B11" s="6">
        <f>(B9)+(B10)</f>
        <v>2161700</v>
      </c>
      <c r="C11" s="6">
        <f>(C9)+(C10)</f>
        <v>6050000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9689822</f>
        <v>9689822</v>
      </c>
      <c r="C13" s="5">
        <f>9925000</f>
        <v>9925000</v>
      </c>
    </row>
    <row r="14" spans="1:3" x14ac:dyDescent="0.2">
      <c r="A14" s="3" t="s">
        <v>10</v>
      </c>
      <c r="B14" s="5">
        <f>756362</f>
        <v>756362</v>
      </c>
      <c r="C14" s="5">
        <f>397584</f>
        <v>397584</v>
      </c>
    </row>
    <row r="15" spans="1:3" x14ac:dyDescent="0.2">
      <c r="A15" s="3" t="s">
        <v>11</v>
      </c>
      <c r="B15" s="6">
        <f>((B12)+(B13))+(B14)</f>
        <v>10446184</v>
      </c>
      <c r="C15" s="6">
        <f>((C12)+(C13))+(C14)</f>
        <v>10322584</v>
      </c>
    </row>
    <row r="16" spans="1:3" x14ac:dyDescent="0.2">
      <c r="A16" s="3" t="s">
        <v>12</v>
      </c>
      <c r="B16" s="5">
        <f>1176040</f>
        <v>1176040</v>
      </c>
      <c r="C16" s="5">
        <f>1590336</f>
        <v>1590336</v>
      </c>
    </row>
    <row r="17" spans="1:3" x14ac:dyDescent="0.2">
      <c r="A17" s="3" t="s">
        <v>13</v>
      </c>
      <c r="B17" s="5">
        <f>2409015</f>
        <v>2409015</v>
      </c>
      <c r="C17" s="5">
        <f>3578256</f>
        <v>3578256</v>
      </c>
    </row>
    <row r="18" spans="1:3" x14ac:dyDescent="0.2">
      <c r="A18" s="3" t="s">
        <v>14</v>
      </c>
      <c r="B18" s="5">
        <f>151800</f>
        <v>151800</v>
      </c>
      <c r="C18" s="4"/>
    </row>
    <row r="19" spans="1:3" x14ac:dyDescent="0.2">
      <c r="A19" s="3" t="s">
        <v>15</v>
      </c>
      <c r="B19" s="6">
        <f>(((((B8)+(B11))+(B15))+(B16))+(B17))+(B18)</f>
        <v>50430426.600000001</v>
      </c>
      <c r="C19" s="6">
        <f>(((((C8)+(C11))+(C15))+(C16))+(C17))+(C18)</f>
        <v>53347896</v>
      </c>
    </row>
    <row r="20" spans="1:3" x14ac:dyDescent="0.2">
      <c r="A20" s="3" t="s">
        <v>16</v>
      </c>
      <c r="B20" s="4"/>
      <c r="C20" s="4"/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5">
        <f>3155424</f>
        <v>3155424</v>
      </c>
      <c r="C23" s="5">
        <f>2503903</f>
        <v>2503903</v>
      </c>
    </row>
    <row r="24" spans="1:3" x14ac:dyDescent="0.2">
      <c r="A24" s="3" t="s">
        <v>20</v>
      </c>
      <c r="B24" s="5">
        <f>6864046</f>
        <v>6864046</v>
      </c>
      <c r="C24" s="5">
        <f>5842441</f>
        <v>5842441</v>
      </c>
    </row>
    <row r="25" spans="1:3" x14ac:dyDescent="0.2">
      <c r="A25" s="3" t="s">
        <v>21</v>
      </c>
      <c r="B25" s="5">
        <f>961848</f>
        <v>961848</v>
      </c>
      <c r="C25" s="5">
        <f>1251952</f>
        <v>1251952</v>
      </c>
    </row>
    <row r="26" spans="1:3" x14ac:dyDescent="0.2">
      <c r="A26" s="3" t="s">
        <v>22</v>
      </c>
      <c r="B26" s="5">
        <f>271556</f>
        <v>271556</v>
      </c>
      <c r="C26" s="5">
        <f>417317</f>
        <v>417317</v>
      </c>
    </row>
    <row r="27" spans="1:3" x14ac:dyDescent="0.2">
      <c r="A27" s="3" t="s">
        <v>23</v>
      </c>
      <c r="B27" s="6">
        <f>((((B22)+(B23))+(B24))+(B25))+(B26)</f>
        <v>11252874</v>
      </c>
      <c r="C27" s="6">
        <f>((((C22)+(C23))+(C24))+(C25))+(C26)</f>
        <v>10015613</v>
      </c>
    </row>
    <row r="28" spans="1:3" x14ac:dyDescent="0.2">
      <c r="A28" s="3" t="s">
        <v>24</v>
      </c>
      <c r="B28" s="4"/>
      <c r="C28" s="4"/>
    </row>
    <row r="29" spans="1:3" x14ac:dyDescent="0.2">
      <c r="A29" s="3" t="s">
        <v>25</v>
      </c>
      <c r="B29" s="5">
        <f>1247906</f>
        <v>1247906</v>
      </c>
      <c r="C29" s="5">
        <f>1251952</f>
        <v>1251952</v>
      </c>
    </row>
    <row r="30" spans="1:3" x14ac:dyDescent="0.2">
      <c r="A30" s="3" t="s">
        <v>26</v>
      </c>
      <c r="B30" s="5">
        <f>432531</f>
        <v>432531</v>
      </c>
      <c r="C30" s="5">
        <f>417317</f>
        <v>417317</v>
      </c>
    </row>
    <row r="31" spans="1:3" x14ac:dyDescent="0.2">
      <c r="A31" s="3" t="s">
        <v>27</v>
      </c>
      <c r="B31" s="5">
        <f>827548</f>
        <v>827548</v>
      </c>
      <c r="C31" s="5">
        <f>834634</f>
        <v>834634</v>
      </c>
    </row>
    <row r="32" spans="1:3" x14ac:dyDescent="0.2">
      <c r="A32" s="3" t="s">
        <v>28</v>
      </c>
      <c r="B32" s="5">
        <f>215672</f>
        <v>215672</v>
      </c>
      <c r="C32" s="5">
        <f>208659</f>
        <v>208659</v>
      </c>
    </row>
    <row r="33" spans="1:3" x14ac:dyDescent="0.2">
      <c r="A33" s="3" t="s">
        <v>29</v>
      </c>
      <c r="B33" s="5">
        <f>2363790</f>
        <v>2363790</v>
      </c>
      <c r="C33" s="5">
        <f>1669269</f>
        <v>1669269</v>
      </c>
    </row>
    <row r="34" spans="1:3" x14ac:dyDescent="0.2">
      <c r="A34" s="3" t="s">
        <v>30</v>
      </c>
      <c r="B34" s="6">
        <f>(((((B28)+(B29))+(B30))+(B31))+(B32))+(B33)</f>
        <v>5087447</v>
      </c>
      <c r="C34" s="6">
        <f>(((((C28)+(C29))+(C30))+(C31))+(C32))+(C33)</f>
        <v>4381831</v>
      </c>
    </row>
    <row r="35" spans="1:3" x14ac:dyDescent="0.2">
      <c r="A35" s="3" t="s">
        <v>31</v>
      </c>
      <c r="B35" s="5">
        <f>1069357</f>
        <v>1069357</v>
      </c>
      <c r="C35" s="5">
        <f>1251952</f>
        <v>1251952</v>
      </c>
    </row>
    <row r="36" spans="1:3" x14ac:dyDescent="0.2">
      <c r="A36" s="3" t="s">
        <v>32</v>
      </c>
      <c r="B36" s="5">
        <f>1855602</f>
        <v>1855602</v>
      </c>
      <c r="C36" s="5">
        <f>1669269</f>
        <v>1669269</v>
      </c>
    </row>
    <row r="37" spans="1:3" x14ac:dyDescent="0.2">
      <c r="A37" s="3" t="s">
        <v>33</v>
      </c>
      <c r="B37" s="5">
        <f>1257714</f>
        <v>1257714</v>
      </c>
      <c r="C37" s="5">
        <f>1251952</f>
        <v>1251952</v>
      </c>
    </row>
    <row r="38" spans="1:3" x14ac:dyDescent="0.2">
      <c r="A38" s="3" t="s">
        <v>34</v>
      </c>
      <c r="B38" s="5">
        <f>743215</f>
        <v>743215</v>
      </c>
      <c r="C38" s="5">
        <f>1431302</f>
        <v>1431302</v>
      </c>
    </row>
    <row r="39" spans="1:3" x14ac:dyDescent="0.2">
      <c r="A39" s="3" t="s">
        <v>35</v>
      </c>
      <c r="B39" s="5">
        <f>575776</f>
        <v>575776</v>
      </c>
      <c r="C39" s="5">
        <f>1251952</f>
        <v>1251952</v>
      </c>
    </row>
    <row r="40" spans="1:3" x14ac:dyDescent="0.2">
      <c r="A40" s="3" t="s">
        <v>36</v>
      </c>
      <c r="B40" s="5">
        <f>1018506</f>
        <v>1018506</v>
      </c>
      <c r="C40" s="5">
        <f>1251952</f>
        <v>1251952</v>
      </c>
    </row>
    <row r="41" spans="1:3" x14ac:dyDescent="0.2">
      <c r="A41" s="3" t="s">
        <v>37</v>
      </c>
      <c r="B41" s="6">
        <f>((((((((B21)+(B27))+(B34))+(B35))+(B36))+(B37))+(B38))+(B39))+(B40)</f>
        <v>22860491</v>
      </c>
      <c r="C41" s="6">
        <f>((((((((C21)+(C27))+(C34))+(C35))+(C36))+(C37))+(C38))+(C39))+(C40)</f>
        <v>22505823</v>
      </c>
    </row>
    <row r="42" spans="1:3" x14ac:dyDescent="0.2">
      <c r="A42" s="3" t="s">
        <v>38</v>
      </c>
      <c r="B42" s="4"/>
      <c r="C42" s="4"/>
    </row>
    <row r="43" spans="1:3" x14ac:dyDescent="0.2">
      <c r="A43" s="3" t="s">
        <v>39</v>
      </c>
      <c r="B43" s="5">
        <f>5681386</f>
        <v>5681386</v>
      </c>
      <c r="C43" s="5">
        <f>5050000</f>
        <v>5050000</v>
      </c>
    </row>
    <row r="44" spans="1:3" x14ac:dyDescent="0.2">
      <c r="A44" s="3" t="s">
        <v>40</v>
      </c>
      <c r="B44" s="5">
        <f>1420930</f>
        <v>1420930</v>
      </c>
      <c r="C44" s="5">
        <f>533479</f>
        <v>533479</v>
      </c>
    </row>
    <row r="45" spans="1:3" x14ac:dyDescent="0.2">
      <c r="A45" s="3" t="s">
        <v>41</v>
      </c>
      <c r="B45" s="5">
        <f>840636</f>
        <v>840636</v>
      </c>
      <c r="C45" s="5">
        <f>1867176</f>
        <v>1867176</v>
      </c>
    </row>
    <row r="46" spans="1:3" x14ac:dyDescent="0.2">
      <c r="A46" s="3" t="s">
        <v>42</v>
      </c>
      <c r="B46" s="6">
        <f>(((B42)+(B43))+(B44))+(B45)</f>
        <v>7942952</v>
      </c>
      <c r="C46" s="6">
        <f>(((C42)+(C43))+(C44))+(C45)</f>
        <v>7450655</v>
      </c>
    </row>
    <row r="47" spans="1:3" x14ac:dyDescent="0.2">
      <c r="A47" s="3" t="s">
        <v>43</v>
      </c>
      <c r="B47" s="4"/>
      <c r="C47" s="4"/>
    </row>
    <row r="48" spans="1:3" x14ac:dyDescent="0.2">
      <c r="A48" s="3" t="s">
        <v>44</v>
      </c>
      <c r="B48" s="5">
        <f>1768695</f>
        <v>1768695</v>
      </c>
      <c r="C48" s="5">
        <f>1320000</f>
        <v>1320000</v>
      </c>
    </row>
    <row r="49" spans="1:3" x14ac:dyDescent="0.2">
      <c r="A49" s="3" t="s">
        <v>45</v>
      </c>
      <c r="B49" s="5">
        <f>3052928</f>
        <v>3052928</v>
      </c>
      <c r="C49" s="5">
        <f>2000546</f>
        <v>2000546</v>
      </c>
    </row>
    <row r="50" spans="1:3" x14ac:dyDescent="0.2">
      <c r="A50" s="3" t="s">
        <v>46</v>
      </c>
      <c r="B50" s="5">
        <f>2993130</f>
        <v>2993130</v>
      </c>
      <c r="C50" s="5">
        <f>1600437</f>
        <v>1600437</v>
      </c>
    </row>
    <row r="51" spans="1:3" x14ac:dyDescent="0.2">
      <c r="A51" s="3" t="s">
        <v>47</v>
      </c>
      <c r="B51" s="5">
        <f>422255</f>
        <v>422255</v>
      </c>
      <c r="C51" s="5">
        <f>373435</f>
        <v>373435</v>
      </c>
    </row>
    <row r="52" spans="1:3" x14ac:dyDescent="0.2">
      <c r="A52" s="3" t="s">
        <v>48</v>
      </c>
      <c r="B52" s="5">
        <f>606221</f>
        <v>606221</v>
      </c>
      <c r="C52" s="5">
        <f>106696</f>
        <v>106696</v>
      </c>
    </row>
    <row r="53" spans="1:3" x14ac:dyDescent="0.2">
      <c r="A53" s="3" t="s">
        <v>49</v>
      </c>
      <c r="B53" s="5">
        <f>360006</f>
        <v>360006</v>
      </c>
      <c r="C53" s="5">
        <f>266739</f>
        <v>266739</v>
      </c>
    </row>
    <row r="54" spans="1:3" x14ac:dyDescent="0.2">
      <c r="A54" s="3" t="s">
        <v>50</v>
      </c>
      <c r="B54" s="5">
        <f>332550</f>
        <v>332550</v>
      </c>
      <c r="C54" s="5">
        <f>213392</f>
        <v>213392</v>
      </c>
    </row>
    <row r="55" spans="1:3" x14ac:dyDescent="0.2">
      <c r="A55" s="3" t="s">
        <v>51</v>
      </c>
      <c r="B55" s="4"/>
      <c r="C55" s="5">
        <f>53348</f>
        <v>53348</v>
      </c>
    </row>
    <row r="56" spans="1:3" x14ac:dyDescent="0.2">
      <c r="A56" s="3" t="s">
        <v>52</v>
      </c>
      <c r="B56" s="6">
        <f>((((((((B47)+(B48))+(B49))+(B50))+(B51))+(B52))+(B53))+(B54))+(B55)</f>
        <v>9535785</v>
      </c>
      <c r="C56" s="6">
        <f>((((((((C47)+(C48))+(C49))+(C50))+(C51))+(C52))+(C53))+(C54))+(C55)</f>
        <v>5934593</v>
      </c>
    </row>
    <row r="57" spans="1:3" x14ac:dyDescent="0.2">
      <c r="A57" s="3" t="s">
        <v>53</v>
      </c>
      <c r="B57" s="6">
        <f>((B41)+(B46))+(B56)</f>
        <v>40339228</v>
      </c>
      <c r="C57" s="6">
        <f>((C41)+(C46))+(C56)</f>
        <v>35891071</v>
      </c>
    </row>
    <row r="58" spans="1:3" x14ac:dyDescent="0.2">
      <c r="A58" s="3" t="s">
        <v>54</v>
      </c>
      <c r="B58" s="6">
        <f>(B19)-(B57)</f>
        <v>10091198.600000001</v>
      </c>
      <c r="C58" s="6">
        <f>(C19)-(C57)</f>
        <v>17456825</v>
      </c>
    </row>
    <row r="59" spans="1:3" x14ac:dyDescent="0.2">
      <c r="A59" s="3" t="s">
        <v>55</v>
      </c>
      <c r="B59" s="4"/>
      <c r="C59" s="4"/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4"/>
      <c r="C61" s="5">
        <f>2415000</f>
        <v>2415000</v>
      </c>
    </row>
    <row r="62" spans="1:3" x14ac:dyDescent="0.2">
      <c r="A62" s="3" t="s">
        <v>58</v>
      </c>
      <c r="B62" s="5">
        <f>606710</f>
        <v>606710</v>
      </c>
      <c r="C62" s="4"/>
    </row>
    <row r="63" spans="1:3" x14ac:dyDescent="0.2">
      <c r="A63" s="3" t="s">
        <v>59</v>
      </c>
      <c r="B63" s="5">
        <f>0</f>
        <v>0</v>
      </c>
      <c r="C63" s="5">
        <f>270000</f>
        <v>270000</v>
      </c>
    </row>
    <row r="64" spans="1:3" x14ac:dyDescent="0.2">
      <c r="A64" s="3" t="s">
        <v>60</v>
      </c>
      <c r="B64" s="5">
        <f>1139833</f>
        <v>1139833</v>
      </c>
      <c r="C64" s="4"/>
    </row>
    <row r="65" spans="1:3" x14ac:dyDescent="0.2">
      <c r="A65" s="3" t="s">
        <v>61</v>
      </c>
      <c r="B65" s="5">
        <f>411245</f>
        <v>411245</v>
      </c>
      <c r="C65" s="4"/>
    </row>
    <row r="66" spans="1:3" x14ac:dyDescent="0.2">
      <c r="A66" s="3" t="s">
        <v>62</v>
      </c>
      <c r="B66" s="6">
        <f>((((B61)+(B62))+(B63))+(B64))+(B65)</f>
        <v>2157788</v>
      </c>
      <c r="C66" s="6">
        <f>((((C61)+(C62))+(C63))+(C64))+(C65)</f>
        <v>2685000</v>
      </c>
    </row>
    <row r="67" spans="1:3" x14ac:dyDescent="0.2">
      <c r="A67" s="3" t="s">
        <v>63</v>
      </c>
      <c r="B67" s="5">
        <f>347522.25</f>
        <v>347522.25</v>
      </c>
      <c r="C67" s="5">
        <f>175000</f>
        <v>175000</v>
      </c>
    </row>
    <row r="68" spans="1:3" x14ac:dyDescent="0.2">
      <c r="A68" s="3" t="s">
        <v>64</v>
      </c>
      <c r="B68" s="4"/>
      <c r="C68" s="4"/>
    </row>
    <row r="69" spans="1:3" x14ac:dyDescent="0.2">
      <c r="A69" s="3" t="s">
        <v>65</v>
      </c>
      <c r="B69" s="5">
        <f>479358</f>
        <v>479358</v>
      </c>
      <c r="C69" s="5">
        <f>891863</f>
        <v>891863</v>
      </c>
    </row>
    <row r="70" spans="1:3" x14ac:dyDescent="0.2">
      <c r="A70" s="3" t="s">
        <v>66</v>
      </c>
      <c r="B70" s="6">
        <f>(B68)+(B69)</f>
        <v>479358</v>
      </c>
      <c r="C70" s="6">
        <f>(C68)+(C69)</f>
        <v>891863</v>
      </c>
    </row>
    <row r="71" spans="1:3" x14ac:dyDescent="0.2">
      <c r="A71" s="3" t="s">
        <v>67</v>
      </c>
      <c r="B71" s="6">
        <f>(((B60)+(B66))+(B67))+(B70)</f>
        <v>2984668.25</v>
      </c>
      <c r="C71" s="6">
        <f>(((C60)+(C66))+(C67))+(C70)</f>
        <v>3751863</v>
      </c>
    </row>
    <row r="72" spans="1:3" x14ac:dyDescent="0.2">
      <c r="A72" s="3" t="s">
        <v>68</v>
      </c>
      <c r="B72" s="4"/>
      <c r="C72" s="4"/>
    </row>
    <row r="73" spans="1:3" x14ac:dyDescent="0.2">
      <c r="A73" s="3" t="s">
        <v>69</v>
      </c>
      <c r="B73" s="5">
        <f>323800</f>
        <v>323800</v>
      </c>
      <c r="C73" s="5">
        <f>311000</f>
        <v>311000</v>
      </c>
    </row>
    <row r="74" spans="1:3" x14ac:dyDescent="0.2">
      <c r="A74" s="3" t="s">
        <v>70</v>
      </c>
      <c r="B74" s="5">
        <f>5849</f>
        <v>5849</v>
      </c>
      <c r="C74" s="5">
        <f>3000</f>
        <v>3000</v>
      </c>
    </row>
    <row r="75" spans="1:3" x14ac:dyDescent="0.2">
      <c r="A75" s="3" t="s">
        <v>71</v>
      </c>
      <c r="B75" s="6">
        <f>((B72)+(B73))+(B74)</f>
        <v>329649</v>
      </c>
      <c r="C75" s="6">
        <f>((C72)+(C73))+(C74)</f>
        <v>314000</v>
      </c>
    </row>
    <row r="76" spans="1:3" x14ac:dyDescent="0.2">
      <c r="A76" s="3" t="s">
        <v>72</v>
      </c>
      <c r="B76" s="4"/>
      <c r="C76" s="4"/>
    </row>
    <row r="77" spans="1:3" x14ac:dyDescent="0.2">
      <c r="A77" s="3" t="s">
        <v>73</v>
      </c>
      <c r="B77" s="5">
        <f>95006</f>
        <v>95006</v>
      </c>
      <c r="C77" s="5">
        <f>254258</f>
        <v>254258</v>
      </c>
    </row>
    <row r="78" spans="1:3" x14ac:dyDescent="0.2">
      <c r="A78" s="3" t="s">
        <v>74</v>
      </c>
      <c r="B78" s="5">
        <f>64645</f>
        <v>64645</v>
      </c>
      <c r="C78" s="4"/>
    </row>
    <row r="79" spans="1:3" x14ac:dyDescent="0.2">
      <c r="A79" s="3" t="s">
        <v>75</v>
      </c>
      <c r="B79" s="5">
        <f>3600</f>
        <v>3600</v>
      </c>
      <c r="C79" s="5">
        <f>28251</f>
        <v>28251</v>
      </c>
    </row>
    <row r="80" spans="1:3" x14ac:dyDescent="0.2">
      <c r="A80" s="3" t="s">
        <v>76</v>
      </c>
      <c r="B80" s="6">
        <f>(((B76)+(B77))+(B78))+(B79)</f>
        <v>163251</v>
      </c>
      <c r="C80" s="6">
        <f>(((C76)+(C77))+(C78))+(C79)</f>
        <v>282509</v>
      </c>
    </row>
    <row r="81" spans="1:3" x14ac:dyDescent="0.2">
      <c r="A81" s="3" t="s">
        <v>77</v>
      </c>
      <c r="B81" s="4"/>
      <c r="C81" s="4"/>
    </row>
    <row r="82" spans="1:3" x14ac:dyDescent="0.2">
      <c r="A82" s="3" t="s">
        <v>78</v>
      </c>
      <c r="B82" s="5">
        <f>32000</f>
        <v>32000</v>
      </c>
      <c r="C82" s="5">
        <f>65000</f>
        <v>65000</v>
      </c>
    </row>
    <row r="83" spans="1:3" x14ac:dyDescent="0.2">
      <c r="A83" s="3" t="s">
        <v>79</v>
      </c>
      <c r="B83" s="5">
        <f>588600</f>
        <v>588600</v>
      </c>
      <c r="C83" s="5">
        <f>600000</f>
        <v>600000</v>
      </c>
    </row>
    <row r="84" spans="1:3" x14ac:dyDescent="0.2">
      <c r="A84" s="3" t="s">
        <v>80</v>
      </c>
      <c r="B84" s="5">
        <f>25000</f>
        <v>25000</v>
      </c>
      <c r="C84" s="4"/>
    </row>
    <row r="85" spans="1:3" x14ac:dyDescent="0.2">
      <c r="A85" s="3" t="s">
        <v>81</v>
      </c>
      <c r="B85" s="5">
        <f>101182</f>
        <v>101182</v>
      </c>
      <c r="C85" s="5">
        <f>300000</f>
        <v>300000</v>
      </c>
    </row>
    <row r="86" spans="1:3" x14ac:dyDescent="0.2">
      <c r="A86" s="3" t="s">
        <v>82</v>
      </c>
      <c r="B86" s="6">
        <f>((((B81)+(B82))+(B83))+(B84))+(B85)</f>
        <v>746782</v>
      </c>
      <c r="C86" s="6">
        <f>((((C81)+(C82))+(C83))+(C84))+(C85)</f>
        <v>965000</v>
      </c>
    </row>
    <row r="87" spans="1:3" x14ac:dyDescent="0.2">
      <c r="A87" s="3" t="s">
        <v>83</v>
      </c>
      <c r="B87" s="4"/>
      <c r="C87" s="4"/>
    </row>
    <row r="88" spans="1:3" x14ac:dyDescent="0.2">
      <c r="A88" s="3" t="s">
        <v>84</v>
      </c>
      <c r="B88" s="5">
        <f>26652</f>
        <v>26652</v>
      </c>
      <c r="C88" s="5">
        <f>27000</f>
        <v>27000</v>
      </c>
    </row>
    <row r="89" spans="1:3" x14ac:dyDescent="0.2">
      <c r="A89" s="3" t="s">
        <v>85</v>
      </c>
      <c r="B89" s="5">
        <f>106475</f>
        <v>106475</v>
      </c>
      <c r="C89" s="5">
        <f>48000</f>
        <v>48000</v>
      </c>
    </row>
    <row r="90" spans="1:3" x14ac:dyDescent="0.2">
      <c r="A90" s="3" t="s">
        <v>86</v>
      </c>
      <c r="B90" s="5">
        <f>560</f>
        <v>560</v>
      </c>
      <c r="C90" s="5">
        <f>2000</f>
        <v>2000</v>
      </c>
    </row>
    <row r="91" spans="1:3" x14ac:dyDescent="0.2">
      <c r="A91" s="3" t="s">
        <v>87</v>
      </c>
      <c r="B91" s="5">
        <f>6470</f>
        <v>6470</v>
      </c>
      <c r="C91" s="5">
        <f>4300</f>
        <v>4300</v>
      </c>
    </row>
    <row r="92" spans="1:3" x14ac:dyDescent="0.2">
      <c r="A92" s="3" t="s">
        <v>88</v>
      </c>
      <c r="B92" s="6">
        <f>((((B87)+(B88))+(B89))+(B90))+(B91)</f>
        <v>140157</v>
      </c>
      <c r="C92" s="6">
        <f>((((C87)+(C88))+(C89))+(C90))+(C91)</f>
        <v>81300</v>
      </c>
    </row>
    <row r="93" spans="1:3" x14ac:dyDescent="0.2">
      <c r="A93" s="3" t="s">
        <v>89</v>
      </c>
      <c r="B93" s="4"/>
      <c r="C93" s="4"/>
    </row>
    <row r="94" spans="1:3" x14ac:dyDescent="0.2">
      <c r="A94" s="3" t="s">
        <v>90</v>
      </c>
      <c r="B94" s="5">
        <f>44740</f>
        <v>44740</v>
      </c>
      <c r="C94" s="5">
        <f>40568</f>
        <v>40568</v>
      </c>
    </row>
    <row r="95" spans="1:3" x14ac:dyDescent="0.2">
      <c r="A95" s="3" t="s">
        <v>91</v>
      </c>
      <c r="B95" s="5">
        <f>45000</f>
        <v>45000</v>
      </c>
      <c r="C95" s="5">
        <f>5000</f>
        <v>5000</v>
      </c>
    </row>
    <row r="96" spans="1:3" x14ac:dyDescent="0.2">
      <c r="A96" s="3" t="s">
        <v>92</v>
      </c>
      <c r="B96" s="5">
        <f>50990</f>
        <v>50990</v>
      </c>
      <c r="C96" s="5">
        <f>40568</f>
        <v>40568</v>
      </c>
    </row>
    <row r="97" spans="1:3" x14ac:dyDescent="0.2">
      <c r="A97" s="3" t="s">
        <v>93</v>
      </c>
      <c r="B97" s="6">
        <f>(((B93)+(B94))+(B95))+(B96)</f>
        <v>140730</v>
      </c>
      <c r="C97" s="6">
        <f>(((C93)+(C94))+(C95))+(C96)</f>
        <v>86136</v>
      </c>
    </row>
    <row r="98" spans="1:3" x14ac:dyDescent="0.2">
      <c r="A98" s="3" t="s">
        <v>94</v>
      </c>
      <c r="B98" s="4"/>
      <c r="C98" s="4"/>
    </row>
    <row r="99" spans="1:3" x14ac:dyDescent="0.2">
      <c r="A99" s="3" t="s">
        <v>95</v>
      </c>
      <c r="B99" s="5">
        <f>398377</f>
        <v>398377</v>
      </c>
      <c r="C99" s="5">
        <f>300000</f>
        <v>300000</v>
      </c>
    </row>
    <row r="100" spans="1:3" x14ac:dyDescent="0.2">
      <c r="A100" s="3" t="s">
        <v>96</v>
      </c>
      <c r="B100" s="4"/>
      <c r="C100" s="5">
        <f>15000</f>
        <v>15000</v>
      </c>
    </row>
    <row r="101" spans="1:3" x14ac:dyDescent="0.2">
      <c r="A101" s="3" t="s">
        <v>97</v>
      </c>
      <c r="B101" s="6">
        <f>((B98)+(B99))+(B100)</f>
        <v>398377</v>
      </c>
      <c r="C101" s="6">
        <f>((C98)+(C99))+(C100)</f>
        <v>315000</v>
      </c>
    </row>
    <row r="102" spans="1:3" x14ac:dyDescent="0.2">
      <c r="A102" s="3" t="s">
        <v>98</v>
      </c>
      <c r="B102" s="4"/>
      <c r="C102" s="4"/>
    </row>
    <row r="103" spans="1:3" x14ac:dyDescent="0.2">
      <c r="A103" s="3" t="s">
        <v>99</v>
      </c>
      <c r="B103" s="5">
        <f>13462</f>
        <v>13462</v>
      </c>
      <c r="C103" s="5">
        <f>30000</f>
        <v>30000</v>
      </c>
    </row>
    <row r="104" spans="1:3" x14ac:dyDescent="0.2">
      <c r="A104" s="3" t="s">
        <v>100</v>
      </c>
      <c r="B104" s="4"/>
      <c r="C104" s="5">
        <f>5000</f>
        <v>5000</v>
      </c>
    </row>
    <row r="105" spans="1:3" x14ac:dyDescent="0.2">
      <c r="A105" s="3" t="s">
        <v>101</v>
      </c>
      <c r="B105" s="5">
        <f>55150</f>
        <v>55150</v>
      </c>
      <c r="C105" s="5">
        <f>20000</f>
        <v>20000</v>
      </c>
    </row>
    <row r="106" spans="1:3" x14ac:dyDescent="0.2">
      <c r="A106" s="3" t="s">
        <v>102</v>
      </c>
      <c r="B106" s="6">
        <f>(((B102)+(B103))+(B104))+(B105)</f>
        <v>68612</v>
      </c>
      <c r="C106" s="6">
        <f>(((C102)+(C103))+(C104))+(C105)</f>
        <v>55000</v>
      </c>
    </row>
    <row r="107" spans="1:3" x14ac:dyDescent="0.2">
      <c r="A107" s="3" t="s">
        <v>103</v>
      </c>
      <c r="B107" s="4"/>
      <c r="C107" s="4"/>
    </row>
    <row r="108" spans="1:3" x14ac:dyDescent="0.2">
      <c r="A108" s="3" t="s">
        <v>104</v>
      </c>
      <c r="B108" s="5">
        <f>140000</f>
        <v>140000</v>
      </c>
      <c r="C108" s="5">
        <f>150000</f>
        <v>150000</v>
      </c>
    </row>
    <row r="109" spans="1:3" x14ac:dyDescent="0.2">
      <c r="A109" s="3" t="s">
        <v>105</v>
      </c>
      <c r="B109" s="5">
        <f>387636</f>
        <v>387636</v>
      </c>
      <c r="C109" s="5">
        <f>150000</f>
        <v>150000</v>
      </c>
    </row>
    <row r="110" spans="1:3" x14ac:dyDescent="0.2">
      <c r="A110" s="3" t="s">
        <v>106</v>
      </c>
      <c r="B110" s="4"/>
      <c r="C110" s="5">
        <f>80000</f>
        <v>80000</v>
      </c>
    </row>
    <row r="111" spans="1:3" x14ac:dyDescent="0.2">
      <c r="A111" s="3" t="s">
        <v>107</v>
      </c>
      <c r="B111" s="6">
        <f>(((B107)+(B108))+(B109))+(B110)</f>
        <v>527636</v>
      </c>
      <c r="C111" s="6">
        <f>(((C107)+(C108))+(C109))+(C110)</f>
        <v>380000</v>
      </c>
    </row>
    <row r="112" spans="1:3" x14ac:dyDescent="0.2">
      <c r="A112" s="3" t="s">
        <v>108</v>
      </c>
      <c r="B112" s="4"/>
      <c r="C112" s="4"/>
    </row>
    <row r="113" spans="1:3" x14ac:dyDescent="0.2">
      <c r="A113" s="3" t="s">
        <v>109</v>
      </c>
      <c r="B113" s="5">
        <f>31527</f>
        <v>31527</v>
      </c>
      <c r="C113" s="5">
        <f>20000</f>
        <v>20000</v>
      </c>
    </row>
    <row r="114" spans="1:3" x14ac:dyDescent="0.2">
      <c r="A114" s="3" t="s">
        <v>110</v>
      </c>
      <c r="B114" s="5">
        <f>20450</f>
        <v>20450</v>
      </c>
      <c r="C114" s="5">
        <f>30000</f>
        <v>30000</v>
      </c>
    </row>
    <row r="115" spans="1:3" x14ac:dyDescent="0.2">
      <c r="A115" s="3" t="s">
        <v>111</v>
      </c>
      <c r="B115" s="6">
        <f>((B112)+(B113))+(B114)</f>
        <v>51977</v>
      </c>
      <c r="C115" s="6">
        <f>((C112)+(C113))+(C114)</f>
        <v>50000</v>
      </c>
    </row>
    <row r="116" spans="1:3" x14ac:dyDescent="0.2">
      <c r="A116" s="3" t="s">
        <v>112</v>
      </c>
      <c r="B116" s="6">
        <f>(((((((((B71)+(B75))+(B80))+(B86))+(B92))+(B97))+(B101))+(B106))+(B111))+(B115)</f>
        <v>5551839.25</v>
      </c>
      <c r="C116" s="6">
        <f>(((((((((C71)+(C75))+(C80))+(C86))+(C92))+(C97))+(C101))+(C106))+(C111))+(C115)</f>
        <v>6280808</v>
      </c>
    </row>
    <row r="117" spans="1:3" x14ac:dyDescent="0.2">
      <c r="A117" s="3" t="s">
        <v>113</v>
      </c>
      <c r="B117" s="6">
        <f>(B58)-(B116)</f>
        <v>4539359.3500000015</v>
      </c>
      <c r="C117" s="6">
        <f>(C58)-(C116)</f>
        <v>11176017</v>
      </c>
    </row>
    <row r="118" spans="1:3" x14ac:dyDescent="0.2">
      <c r="A118" s="3" t="s">
        <v>114</v>
      </c>
      <c r="B118" s="4"/>
      <c r="C118" s="4"/>
    </row>
    <row r="119" spans="1:3" x14ac:dyDescent="0.2">
      <c r="A119" s="3" t="s">
        <v>115</v>
      </c>
      <c r="B119" s="4"/>
      <c r="C119" s="4"/>
    </row>
    <row r="120" spans="1:3" x14ac:dyDescent="0.2">
      <c r="A120" s="3" t="s">
        <v>116</v>
      </c>
      <c r="B120" s="5">
        <f>10647539</f>
        <v>10647539</v>
      </c>
      <c r="C120" s="5">
        <f>7700000</f>
        <v>7700000</v>
      </c>
    </row>
    <row r="121" spans="1:3" x14ac:dyDescent="0.2">
      <c r="A121" s="3" t="s">
        <v>117</v>
      </c>
      <c r="B121" s="5">
        <f>860922</f>
        <v>860922</v>
      </c>
      <c r="C121" s="5">
        <f>122700</f>
        <v>122700</v>
      </c>
    </row>
    <row r="122" spans="1:3" x14ac:dyDescent="0.2">
      <c r="A122" s="3" t="s">
        <v>118</v>
      </c>
      <c r="B122" s="6">
        <f>((B119)+(B120))+(B121)</f>
        <v>11508461</v>
      </c>
      <c r="C122" s="6">
        <f>((C119)+(C120))+(C121)</f>
        <v>7822700</v>
      </c>
    </row>
    <row r="123" spans="1:3" x14ac:dyDescent="0.2">
      <c r="A123" s="3" t="s">
        <v>119</v>
      </c>
      <c r="B123" s="6">
        <f>B122</f>
        <v>11508461</v>
      </c>
      <c r="C123" s="6">
        <f>C122</f>
        <v>7822700</v>
      </c>
    </row>
    <row r="124" spans="1:3" x14ac:dyDescent="0.2">
      <c r="A124" s="3" t="s">
        <v>120</v>
      </c>
      <c r="B124" s="4"/>
      <c r="C124" s="4"/>
    </row>
    <row r="125" spans="1:3" x14ac:dyDescent="0.2">
      <c r="A125" s="3" t="s">
        <v>121</v>
      </c>
      <c r="B125" s="4"/>
      <c r="C125" s="4"/>
    </row>
    <row r="126" spans="1:3" x14ac:dyDescent="0.2">
      <c r="A126" s="3" t="s">
        <v>122</v>
      </c>
      <c r="B126" s="5">
        <f>7177731</f>
        <v>7177731</v>
      </c>
      <c r="C126" s="5">
        <f>6160000</f>
        <v>6160000</v>
      </c>
    </row>
    <row r="127" spans="1:3" x14ac:dyDescent="0.2">
      <c r="A127" s="3" t="s">
        <v>123</v>
      </c>
      <c r="B127" s="5">
        <f>22167.1</f>
        <v>22167.1</v>
      </c>
      <c r="C127" s="5">
        <f>18138</f>
        <v>18138</v>
      </c>
    </row>
    <row r="128" spans="1:3" x14ac:dyDescent="0.2">
      <c r="A128" s="3" t="s">
        <v>124</v>
      </c>
      <c r="B128" s="5"/>
      <c r="C128" s="5">
        <f>533479</f>
        <v>533479</v>
      </c>
    </row>
    <row r="129" spans="1:3" x14ac:dyDescent="0.2">
      <c r="A129" s="3" t="s">
        <v>125</v>
      </c>
      <c r="B129" s="5">
        <f>719312</f>
        <v>719312</v>
      </c>
      <c r="C129" s="5">
        <f>1760000</f>
        <v>1760000</v>
      </c>
    </row>
    <row r="130" spans="1:3" x14ac:dyDescent="0.2">
      <c r="A130" s="3" t="s">
        <v>126</v>
      </c>
      <c r="B130" s="6">
        <f>((((B125)+(B126))+(B127))+(B128))+(B129)</f>
        <v>7919210.0999999996</v>
      </c>
      <c r="C130" s="6">
        <f>((((C125)+(C126))+(C127))+(C128))+(C129)</f>
        <v>8471617</v>
      </c>
    </row>
    <row r="131" spans="1:3" x14ac:dyDescent="0.2">
      <c r="A131" s="3" t="s">
        <v>127</v>
      </c>
      <c r="B131" s="6">
        <f>B130</f>
        <v>7919210.0999999996</v>
      </c>
      <c r="C131" s="6">
        <f>C130</f>
        <v>8471617</v>
      </c>
    </row>
    <row r="132" spans="1:3" x14ac:dyDescent="0.2">
      <c r="A132" s="3" t="s">
        <v>128</v>
      </c>
      <c r="B132" s="6">
        <f>(B123)-(B131)</f>
        <v>3589250.9000000004</v>
      </c>
      <c r="C132" s="6">
        <f>(C123)-(C131)</f>
        <v>-648917</v>
      </c>
    </row>
    <row r="133" spans="1:3" x14ac:dyDescent="0.2">
      <c r="A133" s="3" t="s">
        <v>129</v>
      </c>
      <c r="B133" s="7">
        <f>(B117)+(B132)</f>
        <v>8128610.2500000019</v>
      </c>
      <c r="C133" s="7">
        <f>(C117)+(C132)</f>
        <v>10527100</v>
      </c>
    </row>
    <row r="134" spans="1:3" x14ac:dyDescent="0.2">
      <c r="A134" s="3"/>
      <c r="B134" s="4"/>
      <c r="C134" s="4"/>
    </row>
    <row r="137" spans="1:3" x14ac:dyDescent="0.2">
      <c r="A137" s="10" t="s">
        <v>130</v>
      </c>
      <c r="B137" s="11"/>
      <c r="C137" s="11"/>
    </row>
  </sheetData>
  <mergeCells count="5">
    <mergeCell ref="B5:C5"/>
    <mergeCell ref="A137:C137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vs. 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Khan, Adnan</cp:lastModifiedBy>
  <dcterms:created xsi:type="dcterms:W3CDTF">2024-05-06T15:01:48Z</dcterms:created>
  <dcterms:modified xsi:type="dcterms:W3CDTF">2024-05-06T15:02:23Z</dcterms:modified>
</cp:coreProperties>
</file>