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nan/Downloads/"/>
    </mc:Choice>
  </mc:AlternateContent>
  <xr:revisionPtr revIDLastSave="0" documentId="13_ncr:1_{A6CC5C38-23A8-2A4F-A0DA-CDE40F89BB19}" xr6:coauthVersionLast="47" xr6:coauthVersionMax="47" xr10:uidLastSave="{00000000-0000-0000-0000-000000000000}"/>
  <bookViews>
    <workbookView xWindow="0" yWindow="500" windowWidth="40960" windowHeight="21000" xr2:uid="{00000000-000D-0000-FFFF-FFFF00000000}"/>
  </bookViews>
  <sheets>
    <sheet name="Profit and Loss YTD Compari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1" i="1" l="1"/>
  <c r="C131" i="1"/>
  <c r="B131" i="1"/>
  <c r="D130" i="1"/>
  <c r="C130" i="1"/>
  <c r="B130" i="1"/>
  <c r="D129" i="1"/>
  <c r="C129" i="1"/>
  <c r="B129" i="1"/>
  <c r="D128" i="1"/>
  <c r="D132" i="1" s="1"/>
  <c r="D133" i="1" s="1"/>
  <c r="C128" i="1"/>
  <c r="C132" i="1" s="1"/>
  <c r="C133" i="1" s="1"/>
  <c r="B128" i="1"/>
  <c r="B132" i="1" s="1"/>
  <c r="B133" i="1" s="1"/>
  <c r="B124" i="1"/>
  <c r="D123" i="1"/>
  <c r="C123" i="1"/>
  <c r="B123" i="1"/>
  <c r="D122" i="1"/>
  <c r="D124" i="1" s="1"/>
  <c r="C122" i="1"/>
  <c r="C124" i="1" s="1"/>
  <c r="B122" i="1"/>
  <c r="B120" i="1"/>
  <c r="D119" i="1"/>
  <c r="C119" i="1"/>
  <c r="B119" i="1"/>
  <c r="D118" i="1"/>
  <c r="C118" i="1"/>
  <c r="B118" i="1"/>
  <c r="D117" i="1"/>
  <c r="D120" i="1" s="1"/>
  <c r="C117" i="1"/>
  <c r="C120" i="1" s="1"/>
  <c r="B117" i="1"/>
  <c r="C115" i="1"/>
  <c r="B115" i="1"/>
  <c r="D114" i="1"/>
  <c r="C114" i="1"/>
  <c r="B114" i="1"/>
  <c r="D113" i="1"/>
  <c r="D115" i="1" s="1"/>
  <c r="C113" i="1"/>
  <c r="B113" i="1"/>
  <c r="D111" i="1"/>
  <c r="C111" i="1"/>
  <c r="D110" i="1"/>
  <c r="C110" i="1"/>
  <c r="B110" i="1"/>
  <c r="D109" i="1"/>
  <c r="C109" i="1"/>
  <c r="B109" i="1"/>
  <c r="B111" i="1" s="1"/>
  <c r="D107" i="1"/>
  <c r="D106" i="1"/>
  <c r="C106" i="1"/>
  <c r="B106" i="1"/>
  <c r="D105" i="1"/>
  <c r="C105" i="1"/>
  <c r="B105" i="1"/>
  <c r="D104" i="1"/>
  <c r="C104" i="1"/>
  <c r="C107" i="1" s="1"/>
  <c r="B104" i="1"/>
  <c r="B107" i="1" s="1"/>
  <c r="D101" i="1"/>
  <c r="C101" i="1"/>
  <c r="B101" i="1"/>
  <c r="D100" i="1"/>
  <c r="C100" i="1"/>
  <c r="B100" i="1"/>
  <c r="D99" i="1"/>
  <c r="C99" i="1"/>
  <c r="B99" i="1"/>
  <c r="D98" i="1"/>
  <c r="D102" i="1" s="1"/>
  <c r="C98" i="1"/>
  <c r="C102" i="1" s="1"/>
  <c r="B98" i="1"/>
  <c r="B102" i="1" s="1"/>
  <c r="D95" i="1"/>
  <c r="C95" i="1"/>
  <c r="B95" i="1"/>
  <c r="C94" i="1"/>
  <c r="B94" i="1"/>
  <c r="D93" i="1"/>
  <c r="D96" i="1" s="1"/>
  <c r="C93" i="1"/>
  <c r="C96" i="1" s="1"/>
  <c r="B93" i="1"/>
  <c r="D92" i="1"/>
  <c r="C92" i="1"/>
  <c r="B92" i="1"/>
  <c r="C91" i="1"/>
  <c r="B91" i="1"/>
  <c r="B96" i="1" s="1"/>
  <c r="D89" i="1"/>
  <c r="D88" i="1"/>
  <c r="C88" i="1"/>
  <c r="B88" i="1"/>
  <c r="C87" i="1"/>
  <c r="B87" i="1"/>
  <c r="D86" i="1"/>
  <c r="C86" i="1"/>
  <c r="C89" i="1" s="1"/>
  <c r="B86" i="1"/>
  <c r="B89" i="1" s="1"/>
  <c r="C84" i="1"/>
  <c r="B84" i="1"/>
  <c r="D83" i="1"/>
  <c r="C83" i="1"/>
  <c r="B83" i="1"/>
  <c r="D82" i="1"/>
  <c r="D84" i="1" s="1"/>
  <c r="D81" i="1"/>
  <c r="C81" i="1"/>
  <c r="B81" i="1"/>
  <c r="D77" i="1"/>
  <c r="D76" i="1"/>
  <c r="D78" i="1" s="1"/>
  <c r="C76" i="1"/>
  <c r="C78" i="1" s="1"/>
  <c r="B76" i="1"/>
  <c r="B78" i="1" s="1"/>
  <c r="D74" i="1"/>
  <c r="C74" i="1"/>
  <c r="B74" i="1"/>
  <c r="D72" i="1"/>
  <c r="C72" i="1"/>
  <c r="B72" i="1"/>
  <c r="D71" i="1"/>
  <c r="C71" i="1"/>
  <c r="B71" i="1"/>
  <c r="D70" i="1"/>
  <c r="C70" i="1"/>
  <c r="B70" i="1"/>
  <c r="D69" i="1"/>
  <c r="C69" i="1"/>
  <c r="C73" i="1" s="1"/>
  <c r="C79" i="1" s="1"/>
  <c r="C125" i="1" s="1"/>
  <c r="B69" i="1"/>
  <c r="B73" i="1" s="1"/>
  <c r="D68" i="1"/>
  <c r="D73" i="1" s="1"/>
  <c r="D64" i="1"/>
  <c r="D65" i="1" s="1"/>
  <c r="D63" i="1"/>
  <c r="C63" i="1"/>
  <c r="B63" i="1"/>
  <c r="D62" i="1"/>
  <c r="C62" i="1"/>
  <c r="C64" i="1" s="1"/>
  <c r="C65" i="1" s="1"/>
  <c r="B62" i="1"/>
  <c r="B64" i="1" s="1"/>
  <c r="B65" i="1" s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D57" i="1" s="1"/>
  <c r="C49" i="1"/>
  <c r="C57" i="1" s="1"/>
  <c r="B49" i="1"/>
  <c r="B57" i="1" s="1"/>
  <c r="B47" i="1"/>
  <c r="D46" i="1"/>
  <c r="C46" i="1"/>
  <c r="B46" i="1"/>
  <c r="D45" i="1"/>
  <c r="C45" i="1"/>
  <c r="B45" i="1"/>
  <c r="D44" i="1"/>
  <c r="D47" i="1" s="1"/>
  <c r="C44" i="1"/>
  <c r="C47" i="1" s="1"/>
  <c r="B44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C35" i="1"/>
  <c r="D34" i="1"/>
  <c r="C34" i="1"/>
  <c r="B34" i="1"/>
  <c r="D33" i="1"/>
  <c r="C33" i="1"/>
  <c r="B33" i="1"/>
  <c r="D32" i="1"/>
  <c r="C32" i="1"/>
  <c r="B32" i="1"/>
  <c r="D31" i="1"/>
  <c r="D35" i="1" s="1"/>
  <c r="C31" i="1"/>
  <c r="B31" i="1"/>
  <c r="D30" i="1"/>
  <c r="C30" i="1"/>
  <c r="B30" i="1"/>
  <c r="B35" i="1" s="1"/>
  <c r="D27" i="1"/>
  <c r="C27" i="1"/>
  <c r="B27" i="1"/>
  <c r="D26" i="1"/>
  <c r="C26" i="1"/>
  <c r="B26" i="1"/>
  <c r="D25" i="1"/>
  <c r="C25" i="1"/>
  <c r="B25" i="1"/>
  <c r="D24" i="1"/>
  <c r="D28" i="1" s="1"/>
  <c r="C24" i="1"/>
  <c r="C28" i="1" s="1"/>
  <c r="C42" i="1" s="1"/>
  <c r="C58" i="1" s="1"/>
  <c r="B24" i="1"/>
  <c r="B28" i="1" s="1"/>
  <c r="B42" i="1" s="1"/>
  <c r="B58" i="1" s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D14" i="1"/>
  <c r="C14" i="1"/>
  <c r="B14" i="1"/>
  <c r="D13" i="1"/>
  <c r="C13" i="1"/>
  <c r="B13" i="1"/>
  <c r="B15" i="1" s="1"/>
  <c r="D11" i="1"/>
  <c r="D20" i="1" s="1"/>
  <c r="B11" i="1"/>
  <c r="D10" i="1"/>
  <c r="C10" i="1"/>
  <c r="C11" i="1" s="1"/>
  <c r="B10" i="1"/>
  <c r="D8" i="1"/>
  <c r="C8" i="1"/>
  <c r="C20" i="1" s="1"/>
  <c r="B8" i="1"/>
  <c r="B20" i="1" s="1"/>
  <c r="C134" i="1" l="1"/>
  <c r="C59" i="1"/>
  <c r="D42" i="1"/>
  <c r="D58" i="1" s="1"/>
  <c r="D59" i="1" s="1"/>
  <c r="D134" i="1"/>
  <c r="D79" i="1"/>
  <c r="D125" i="1" s="1"/>
  <c r="B134" i="1"/>
  <c r="B59" i="1"/>
  <c r="B79" i="1"/>
  <c r="B125" i="1" s="1"/>
</calcChain>
</file>

<file path=xl/sharedStrings.xml><?xml version="1.0" encoding="utf-8"?>
<sst xmlns="http://schemas.openxmlformats.org/spreadsheetml/2006/main" count="136" uniqueCount="136">
  <si>
    <t>Total</t>
  </si>
  <si>
    <t>Jul 2023 - Feb 2024</t>
  </si>
  <si>
    <t>Jul 2023 - Feb 2024 (YTD)</t>
  </si>
  <si>
    <t>Jul 2022 - Feb 2023 (PP)</t>
  </si>
  <si>
    <t>Income</t>
  </si>
  <si>
    <t xml:space="preserve">   0801 Catering &amp; Décor (Menu Sale)</t>
  </si>
  <si>
    <t xml:space="preserve">   0802 Euphoria</t>
  </si>
  <si>
    <t xml:space="preserve">      080201 Euphoria Décor</t>
  </si>
  <si>
    <t xml:space="preserve">   Total 0802 Euphoria</t>
  </si>
  <si>
    <t xml:space="preserve">   0803 Food Sale</t>
  </si>
  <si>
    <t xml:space="preserve">      080301 Food/Kg/Box</t>
  </si>
  <si>
    <t xml:space="preserve">      080302 Additional Food &amp; Stations</t>
  </si>
  <si>
    <t xml:space="preserve">   Total 0803 Food Sale</t>
  </si>
  <si>
    <t xml:space="preserve">   0804 Beverages</t>
  </si>
  <si>
    <t xml:space="preserve">   0805 Additional Item &amp; Setups</t>
  </si>
  <si>
    <t xml:space="preserve">   0806 Setup &amp; Services</t>
  </si>
  <si>
    <t xml:space="preserve">   0807 Kitchen Overhead Share</t>
  </si>
  <si>
    <t>Total Income</t>
  </si>
  <si>
    <t>Cost of Sales</t>
  </si>
  <si>
    <t xml:space="preserve">   0901 Supplies and materials - COS</t>
  </si>
  <si>
    <t xml:space="preserve">      090101 Meat</t>
  </si>
  <si>
    <t xml:space="preserve">         09010101 Mutton</t>
  </si>
  <si>
    <t xml:space="preserve">         09010102 Chicken</t>
  </si>
  <si>
    <t xml:space="preserve">         09010103 Beef</t>
  </si>
  <si>
    <t xml:space="preserve">         09010104 Fish &amp; Prawns</t>
  </si>
  <si>
    <t xml:space="preserve">      Total 090101 Meat</t>
  </si>
  <si>
    <t xml:space="preserve">      090102 Dry Stock</t>
  </si>
  <si>
    <t xml:space="preserve">         09010201 Oil</t>
  </si>
  <si>
    <t xml:space="preserve">         09010202 Flour</t>
  </si>
  <si>
    <t xml:space="preserve">         09010203 Rice</t>
  </si>
  <si>
    <t xml:space="preserve">         09010204 Sugar</t>
  </si>
  <si>
    <t xml:space="preserve">         09010205 Other Dry Stock</t>
  </si>
  <si>
    <t xml:space="preserve">      Total 090102 Dry Stock</t>
  </si>
  <si>
    <t xml:space="preserve">      090103 Outsourced Food</t>
  </si>
  <si>
    <t xml:space="preserve">      090104 Dairy &amp; Bakery Items</t>
  </si>
  <si>
    <t xml:space="preserve">      090105 Vegetables &amp; Fruits</t>
  </si>
  <si>
    <t xml:space="preserve">      090106 Beverages &amp; Soft drinks</t>
  </si>
  <si>
    <t xml:space="preserve">      090107 Other Consumables</t>
  </si>
  <si>
    <t xml:space="preserve">      090108 Disposible Material</t>
  </si>
  <si>
    <t xml:space="preserve">   Total 0901 Supplies and materials - COS</t>
  </si>
  <si>
    <t xml:space="preserve">   0902 Cost of labour-COS</t>
  </si>
  <si>
    <t xml:space="preserve">      090201 Salaries- Operation Staff</t>
  </si>
  <si>
    <t xml:space="preserve">      090202 Labour Out Sourced</t>
  </si>
  <si>
    <t xml:space="preserve">      090203 Wages &amp; Allowance</t>
  </si>
  <si>
    <t xml:space="preserve">   Total 0902 Cost of labour-COS</t>
  </si>
  <si>
    <t xml:space="preserve">   0903 Other costs of sales - COS</t>
  </si>
  <si>
    <t xml:space="preserve">      090301 Rents, rates &amp; taxes</t>
  </si>
  <si>
    <t xml:space="preserve">      090302 Utilitites</t>
  </si>
  <si>
    <t xml:space="preserve">      090303 Fuel &amp; Transporation</t>
  </si>
  <si>
    <t xml:space="preserve">      090304 Repair &amp; maintinance</t>
  </si>
  <si>
    <t xml:space="preserve">      090306 Boarding &amp; Lodging - COS</t>
  </si>
  <si>
    <t xml:space="preserve">      090307 Printing &amp; Stationary</t>
  </si>
  <si>
    <t xml:space="preserve">      090308 Laundry</t>
  </si>
  <si>
    <t xml:space="preserve">      090309 Staff Uniform</t>
  </si>
  <si>
    <t xml:space="preserve">   Total 0903 Other costs of sales - COS</t>
  </si>
  <si>
    <t>Total Cost of Sales</t>
  </si>
  <si>
    <t>Gross Profit</t>
  </si>
  <si>
    <t>Other Income(Loss)</t>
  </si>
  <si>
    <t xml:space="preserve">   15 Other Income</t>
  </si>
  <si>
    <t xml:space="preserve">      1501 Outsourced Items</t>
  </si>
  <si>
    <t xml:space="preserve">      1503 Other</t>
  </si>
  <si>
    <t xml:space="preserve">   Total 15 Other Income</t>
  </si>
  <si>
    <t>Total Other Income(Loss)</t>
  </si>
  <si>
    <t>Expenses</t>
  </si>
  <si>
    <t xml:space="preserve">   1001 Salaries &amp; Benefits</t>
  </si>
  <si>
    <t xml:space="preserve">      100101 Salaries &amp; Wages</t>
  </si>
  <si>
    <t xml:space="preserve">         10010101 Sales</t>
  </si>
  <si>
    <t xml:space="preserve">         10010102 Marketing</t>
  </si>
  <si>
    <t xml:space="preserve">         10010103 Accounts &amp; Finance</t>
  </si>
  <si>
    <t xml:space="preserve">         10010104 Admin &amp; HR</t>
  </si>
  <si>
    <t xml:space="preserve">      Total 100101 Salaries &amp; Wages</t>
  </si>
  <si>
    <t xml:space="preserve">      100102 Other benefits (Direct &amp; indrect)</t>
  </si>
  <si>
    <t xml:space="preserve">      100103 Sales Commission</t>
  </si>
  <si>
    <t xml:space="preserve">         10010301 Sales Rep Commission</t>
  </si>
  <si>
    <t xml:space="preserve">         10010302 Food Panda Commission</t>
  </si>
  <si>
    <t xml:space="preserve">      Total 100103 Sales Commission</t>
  </si>
  <si>
    <t xml:space="preserve">   Total 1001 Salaries &amp; Benefits</t>
  </si>
  <si>
    <t xml:space="preserve">   1002 Rent, Rate &amp; Taxes</t>
  </si>
  <si>
    <t xml:space="preserve">      100201 Office Rent</t>
  </si>
  <si>
    <t xml:space="preserve">      100203 Token Tax</t>
  </si>
  <si>
    <t xml:space="preserve">      100204 Toll Tax</t>
  </si>
  <si>
    <t xml:space="preserve">   Total 1002 Rent, Rate &amp; Taxes</t>
  </si>
  <si>
    <t xml:space="preserve">   1003 Utilities</t>
  </si>
  <si>
    <t xml:space="preserve">      100301 Elecricity Charges</t>
  </si>
  <si>
    <t xml:space="preserve">      100302 Gas Charges</t>
  </si>
  <si>
    <t xml:space="preserve">      100305 Water Charges</t>
  </si>
  <si>
    <t xml:space="preserve">   Total 1003 Utilities</t>
  </si>
  <si>
    <t xml:space="preserve">   1004 Legal &amp; Professional Charges</t>
  </si>
  <si>
    <t xml:space="preserve">      100401 Audit Fee</t>
  </si>
  <si>
    <t xml:space="preserve">      100402 Filing Fee</t>
  </si>
  <si>
    <t xml:space="preserve">      100404 Professional Services</t>
  </si>
  <si>
    <t xml:space="preserve">      100405 Registration Fee</t>
  </si>
  <si>
    <t xml:space="preserve">      100406 Fee &amp; Subcription</t>
  </si>
  <si>
    <t xml:space="preserve">   Total 1004 Legal &amp; Professional Charges</t>
  </si>
  <si>
    <t xml:space="preserve">   1005 Communication Charges</t>
  </si>
  <si>
    <t xml:space="preserve">      100501 Internet Charges</t>
  </si>
  <si>
    <t xml:space="preserve">      100502 Mobile Charges</t>
  </si>
  <si>
    <t xml:space="preserve">      100503 Postage &amp; Courier</t>
  </si>
  <si>
    <t xml:space="preserve">      100504 Telephone Bill</t>
  </si>
  <si>
    <t xml:space="preserve">   Total 1005 Communication Charges</t>
  </si>
  <si>
    <t xml:space="preserve">   1006 Repair &amp; Maintenance</t>
  </si>
  <si>
    <t xml:space="preserve">      100602 Equipment Repair</t>
  </si>
  <si>
    <t xml:space="preserve">      100604 Office Repair</t>
  </si>
  <si>
    <t xml:space="preserve">      100605 Vehicles Repair</t>
  </si>
  <si>
    <t xml:space="preserve">   Total 1006 Repair &amp; Maintenance</t>
  </si>
  <si>
    <t xml:space="preserve">   1007 Travelling &amp; Conveyance</t>
  </si>
  <si>
    <t xml:space="preserve">      100703 Fuel Charges</t>
  </si>
  <si>
    <t xml:space="preserve">      100704 Local Traveling</t>
  </si>
  <si>
    <t xml:space="preserve">   Total 1007 Travelling &amp; Conveyance</t>
  </si>
  <si>
    <t xml:space="preserve">   1008 Office Supplies &amp; Stationary</t>
  </si>
  <si>
    <t xml:space="preserve">      100801 Office Supplies</t>
  </si>
  <si>
    <t xml:space="preserve">      100804 Stationary Expense</t>
  </si>
  <si>
    <t xml:space="preserve">   Total 1008 Office Supplies &amp; Stationary</t>
  </si>
  <si>
    <t xml:space="preserve">   1009 Advertisement &amp; Publicity</t>
  </si>
  <si>
    <t xml:space="preserve">      100901 Agency Fee</t>
  </si>
  <si>
    <t xml:space="preserve">      100902 Ad Spend</t>
  </si>
  <si>
    <t xml:space="preserve">      100903 Ad Production</t>
  </si>
  <si>
    <t xml:space="preserve">   Total 1009 Advertisement &amp; Publicity</t>
  </si>
  <si>
    <t xml:space="preserve">   1010 Food &amp; Entertainment</t>
  </si>
  <si>
    <t xml:space="preserve">      101001 Office Entertainment</t>
  </si>
  <si>
    <t xml:space="preserve">      101002 Staff Food</t>
  </si>
  <si>
    <t xml:space="preserve">   Total 1010 Food &amp; Entertainment</t>
  </si>
  <si>
    <t>Total Expenses</t>
  </si>
  <si>
    <t>Other Expenses</t>
  </si>
  <si>
    <t xml:space="preserve">   16 Other Expenses</t>
  </si>
  <si>
    <t xml:space="preserve">      1601 Outsourced Items Rental</t>
  </si>
  <si>
    <t xml:space="preserve">      1602 Bank Service Charges</t>
  </si>
  <si>
    <t xml:space="preserve">      1603 Other expenses-Other</t>
  </si>
  <si>
    <t xml:space="preserve">      1604 Euphoria Outsourced Items Rental</t>
  </si>
  <si>
    <t xml:space="preserve">   Total 16 Other Expenses</t>
  </si>
  <si>
    <t>Total Other Expenses</t>
  </si>
  <si>
    <t>Net Earnings</t>
  </si>
  <si>
    <t>Saturday, Mar 09, 2024 12:58:14 PM GMT+5 - Accrual Basis</t>
  </si>
  <si>
    <t>Hanif Rajput Catering Services</t>
  </si>
  <si>
    <t>Profit and Loss YTD Comparison</t>
  </si>
  <si>
    <t>July 2023 - 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</si>
</sst>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PRs&quot;* #,##0.00\ _€"/>
  </numFmts>
  <fonts count="6" x14ac:knownFonts="1">
    <font>
      <sz val="11"/>
      <color indexed="8"/>
      <name val="Aptos Narrow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40.33203125" customWidth="1"/>
    <col min="2" max="4" width="15.5" customWidth="1"/>
  </cols>
  <sheetData>
    <row r="1" spans="1:4" ht="18" x14ac:dyDescent="0.2">
      <c r="A1" s="12" t="s">
        <v>133</v>
      </c>
      <c r="B1" s="11"/>
      <c r="C1" s="11"/>
      <c r="D1" s="11"/>
    </row>
    <row r="2" spans="1:4" ht="18" x14ac:dyDescent="0.2">
      <c r="A2" s="12" t="s">
        <v>134</v>
      </c>
      <c r="B2" s="11"/>
      <c r="C2" s="11"/>
      <c r="D2" s="11"/>
    </row>
    <row r="3" spans="1:4" x14ac:dyDescent="0.2">
      <c r="A3" s="13" t="s">
        <v>135</v>
      </c>
      <c r="B3" s="11"/>
      <c r="C3" s="11"/>
      <c r="D3" s="11"/>
    </row>
    <row r="5" spans="1:4" x14ac:dyDescent="0.2">
      <c r="A5" s="1"/>
      <c r="B5" s="8" t="s">
        <v>0</v>
      </c>
      <c r="C5" s="9"/>
      <c r="D5" s="9"/>
    </row>
    <row r="6" spans="1:4" ht="27" x14ac:dyDescent="0.2">
      <c r="A6" s="1"/>
      <c r="B6" s="2" t="s">
        <v>1</v>
      </c>
      <c r="C6" s="2" t="s">
        <v>2</v>
      </c>
      <c r="D6" s="2" t="s">
        <v>3</v>
      </c>
    </row>
    <row r="7" spans="1:4" x14ac:dyDescent="0.2">
      <c r="A7" s="3" t="s">
        <v>4</v>
      </c>
      <c r="B7" s="4"/>
      <c r="C7" s="4"/>
      <c r="D7" s="4"/>
    </row>
    <row r="8" spans="1:4" x14ac:dyDescent="0.2">
      <c r="A8" s="3" t="s">
        <v>5</v>
      </c>
      <c r="B8" s="5">
        <f>167781441.69</f>
        <v>167781441.69</v>
      </c>
      <c r="C8" s="5">
        <f>167781441.69</f>
        <v>167781441.69</v>
      </c>
      <c r="D8" s="5">
        <f>133474364.35</f>
        <v>133474364.34999999</v>
      </c>
    </row>
    <row r="9" spans="1:4" x14ac:dyDescent="0.2">
      <c r="A9" s="3" t="s">
        <v>6</v>
      </c>
      <c r="B9" s="4"/>
      <c r="C9" s="4"/>
      <c r="D9" s="4"/>
    </row>
    <row r="10" spans="1:4" x14ac:dyDescent="0.2">
      <c r="A10" s="3" t="s">
        <v>7</v>
      </c>
      <c r="B10" s="5">
        <f>12526000</f>
        <v>12526000</v>
      </c>
      <c r="C10" s="5">
        <f>12526000</f>
        <v>12526000</v>
      </c>
      <c r="D10" s="5">
        <f>21427739</f>
        <v>21427739</v>
      </c>
    </row>
    <row r="11" spans="1:4" x14ac:dyDescent="0.2">
      <c r="A11" s="3" t="s">
        <v>8</v>
      </c>
      <c r="B11" s="6">
        <f>(B9)+(B10)</f>
        <v>12526000</v>
      </c>
      <c r="C11" s="6">
        <f>(C9)+(C10)</f>
        <v>12526000</v>
      </c>
      <c r="D11" s="6">
        <f>(D9)+(D10)</f>
        <v>21427739</v>
      </c>
    </row>
    <row r="12" spans="1:4" x14ac:dyDescent="0.2">
      <c r="A12" s="3" t="s">
        <v>9</v>
      </c>
      <c r="B12" s="4"/>
      <c r="C12" s="4"/>
      <c r="D12" s="4"/>
    </row>
    <row r="13" spans="1:4" x14ac:dyDescent="0.2">
      <c r="A13" s="3" t="s">
        <v>10</v>
      </c>
      <c r="B13" s="5">
        <f>74166305.5</f>
        <v>74166305.5</v>
      </c>
      <c r="C13" s="5">
        <f>74166305.5</f>
        <v>74166305.5</v>
      </c>
      <c r="D13" s="5">
        <f>72563791.84</f>
        <v>72563791.840000004</v>
      </c>
    </row>
    <row r="14" spans="1:4" x14ac:dyDescent="0.2">
      <c r="A14" s="3" t="s">
        <v>11</v>
      </c>
      <c r="B14" s="5">
        <f>4726381</f>
        <v>4726381</v>
      </c>
      <c r="C14" s="5">
        <f>4726381</f>
        <v>4726381</v>
      </c>
      <c r="D14" s="5">
        <f>5278069</f>
        <v>5278069</v>
      </c>
    </row>
    <row r="15" spans="1:4" x14ac:dyDescent="0.2">
      <c r="A15" s="3" t="s">
        <v>12</v>
      </c>
      <c r="B15" s="6">
        <f>((B12)+(B13))+(B14)</f>
        <v>78892686.5</v>
      </c>
      <c r="C15" s="6">
        <f>((C12)+(C13))+(C14)</f>
        <v>78892686.5</v>
      </c>
      <c r="D15" s="6">
        <f>((D12)+(D13))+(D14)</f>
        <v>77841860.840000004</v>
      </c>
    </row>
    <row r="16" spans="1:4" x14ac:dyDescent="0.2">
      <c r="A16" s="3" t="s">
        <v>13</v>
      </c>
      <c r="B16" s="5">
        <f>7355000</f>
        <v>7355000</v>
      </c>
      <c r="C16" s="5">
        <f>7355000</f>
        <v>7355000</v>
      </c>
      <c r="D16" s="5">
        <f>5752905</f>
        <v>5752905</v>
      </c>
    </row>
    <row r="17" spans="1:4" x14ac:dyDescent="0.2">
      <c r="A17" s="3" t="s">
        <v>14</v>
      </c>
      <c r="B17" s="5">
        <f>19964292</f>
        <v>19964292</v>
      </c>
      <c r="C17" s="5">
        <f>19964292</f>
        <v>19964292</v>
      </c>
      <c r="D17" s="5">
        <f>17107557.1</f>
        <v>17107557.100000001</v>
      </c>
    </row>
    <row r="18" spans="1:4" x14ac:dyDescent="0.2">
      <c r="A18" s="3" t="s">
        <v>15</v>
      </c>
      <c r="B18" s="5">
        <f>982750</f>
        <v>982750</v>
      </c>
      <c r="C18" s="5">
        <f>982750</f>
        <v>982750</v>
      </c>
      <c r="D18" s="5">
        <f>1530120</f>
        <v>1530120</v>
      </c>
    </row>
    <row r="19" spans="1:4" x14ac:dyDescent="0.2">
      <c r="A19" s="3" t="s">
        <v>16</v>
      </c>
      <c r="B19" s="5">
        <f>1324000</f>
        <v>1324000</v>
      </c>
      <c r="C19" s="5">
        <f>1324000</f>
        <v>1324000</v>
      </c>
      <c r="D19" s="5">
        <f>1013400</f>
        <v>1013400</v>
      </c>
    </row>
    <row r="20" spans="1:4" x14ac:dyDescent="0.2">
      <c r="A20" s="3" t="s">
        <v>17</v>
      </c>
      <c r="B20" s="6">
        <f>((((((B8)+(B11))+(B15))+(B16))+(B17))+(B18))+(B19)</f>
        <v>288826170.19</v>
      </c>
      <c r="C20" s="6">
        <f>((((((C8)+(C11))+(C15))+(C16))+(C17))+(C18))+(C19)</f>
        <v>288826170.19</v>
      </c>
      <c r="D20" s="6">
        <f>((((((D8)+(D11))+(D15))+(D16))+(D17))+(D18))+(D19)</f>
        <v>258147946.28999999</v>
      </c>
    </row>
    <row r="21" spans="1:4" x14ac:dyDescent="0.2">
      <c r="A21" s="3" t="s">
        <v>18</v>
      </c>
      <c r="B21" s="4"/>
      <c r="C21" s="4"/>
      <c r="D21" s="4"/>
    </row>
    <row r="22" spans="1:4" x14ac:dyDescent="0.2">
      <c r="A22" s="3" t="s">
        <v>19</v>
      </c>
      <c r="B22" s="4"/>
      <c r="C22" s="4"/>
      <c r="D22" s="4"/>
    </row>
    <row r="23" spans="1:4" x14ac:dyDescent="0.2">
      <c r="A23" s="3" t="s">
        <v>20</v>
      </c>
      <c r="B23" s="4"/>
      <c r="C23" s="4"/>
      <c r="D23" s="4"/>
    </row>
    <row r="24" spans="1:4" x14ac:dyDescent="0.2">
      <c r="A24" s="3" t="s">
        <v>21</v>
      </c>
      <c r="B24" s="5">
        <f>22397402</f>
        <v>22397402</v>
      </c>
      <c r="C24" s="5">
        <f>22397402</f>
        <v>22397402</v>
      </c>
      <c r="D24" s="5">
        <f>18788529</f>
        <v>18788529</v>
      </c>
    </row>
    <row r="25" spans="1:4" x14ac:dyDescent="0.2">
      <c r="A25" s="3" t="s">
        <v>22</v>
      </c>
      <c r="B25" s="5">
        <f>27362215</f>
        <v>27362215</v>
      </c>
      <c r="C25" s="5">
        <f>27362215</f>
        <v>27362215</v>
      </c>
      <c r="D25" s="5">
        <f>24827288.28</f>
        <v>24827288.280000001</v>
      </c>
    </row>
    <row r="26" spans="1:4" x14ac:dyDescent="0.2">
      <c r="A26" s="3" t="s">
        <v>23</v>
      </c>
      <c r="B26" s="5">
        <f>4473500</f>
        <v>4473500</v>
      </c>
      <c r="C26" s="5">
        <f>4473500</f>
        <v>4473500</v>
      </c>
      <c r="D26" s="5">
        <f>3145048</f>
        <v>3145048</v>
      </c>
    </row>
    <row r="27" spans="1:4" x14ac:dyDescent="0.2">
      <c r="A27" s="3" t="s">
        <v>24</v>
      </c>
      <c r="B27" s="5">
        <f>4006157</f>
        <v>4006157</v>
      </c>
      <c r="C27" s="5">
        <f>4006157</f>
        <v>4006157</v>
      </c>
      <c r="D27" s="5">
        <f>3651926</f>
        <v>3651926</v>
      </c>
    </row>
    <row r="28" spans="1:4" x14ac:dyDescent="0.2">
      <c r="A28" s="3" t="s">
        <v>25</v>
      </c>
      <c r="B28" s="6">
        <f>((((B23)+(B24))+(B25))+(B26))+(B27)</f>
        <v>58239274</v>
      </c>
      <c r="C28" s="6">
        <f>((((C23)+(C24))+(C25))+(C26))+(C27)</f>
        <v>58239274</v>
      </c>
      <c r="D28" s="6">
        <f>((((D23)+(D24))+(D25))+(D26))+(D27)</f>
        <v>50412791.280000001</v>
      </c>
    </row>
    <row r="29" spans="1:4" x14ac:dyDescent="0.2">
      <c r="A29" s="3" t="s">
        <v>26</v>
      </c>
      <c r="B29" s="4"/>
      <c r="C29" s="4"/>
      <c r="D29" s="4"/>
    </row>
    <row r="30" spans="1:4" x14ac:dyDescent="0.2">
      <c r="A30" s="3" t="s">
        <v>27</v>
      </c>
      <c r="B30" s="5">
        <f>6268692</f>
        <v>6268692</v>
      </c>
      <c r="C30" s="5">
        <f>6268692</f>
        <v>6268692</v>
      </c>
      <c r="D30" s="5">
        <f>7317519.76</f>
        <v>7317519.7599999998</v>
      </c>
    </row>
    <row r="31" spans="1:4" x14ac:dyDescent="0.2">
      <c r="A31" s="3" t="s">
        <v>28</v>
      </c>
      <c r="B31" s="5">
        <f>3310247</f>
        <v>3310247</v>
      </c>
      <c r="C31" s="5">
        <f>3310247</f>
        <v>3310247</v>
      </c>
      <c r="D31" s="5">
        <f>2713484</f>
        <v>2713484</v>
      </c>
    </row>
    <row r="32" spans="1:4" x14ac:dyDescent="0.2">
      <c r="A32" s="3" t="s">
        <v>29</v>
      </c>
      <c r="B32" s="5">
        <f>4651782</f>
        <v>4651782</v>
      </c>
      <c r="C32" s="5">
        <f>4651782</f>
        <v>4651782</v>
      </c>
      <c r="D32" s="5">
        <f>4139220</f>
        <v>4139220</v>
      </c>
    </row>
    <row r="33" spans="1:4" x14ac:dyDescent="0.2">
      <c r="A33" s="3" t="s">
        <v>30</v>
      </c>
      <c r="B33" s="5">
        <f>1231406</f>
        <v>1231406</v>
      </c>
      <c r="C33" s="5">
        <f>1231406</f>
        <v>1231406</v>
      </c>
      <c r="D33" s="5">
        <f>659840</f>
        <v>659840</v>
      </c>
    </row>
    <row r="34" spans="1:4" x14ac:dyDescent="0.2">
      <c r="A34" s="3" t="s">
        <v>31</v>
      </c>
      <c r="B34" s="5">
        <f>13240842</f>
        <v>13240842</v>
      </c>
      <c r="C34" s="5">
        <f>13240842</f>
        <v>13240842</v>
      </c>
      <c r="D34" s="5">
        <f>8824229.78</f>
        <v>8824229.7799999993</v>
      </c>
    </row>
    <row r="35" spans="1:4" x14ac:dyDescent="0.2">
      <c r="A35" s="3" t="s">
        <v>32</v>
      </c>
      <c r="B35" s="6">
        <f>(((((B29)+(B30))+(B31))+(B32))+(B33))+(B34)</f>
        <v>28702969</v>
      </c>
      <c r="C35" s="6">
        <f>(((((C29)+(C30))+(C31))+(C32))+(C33))+(C34)</f>
        <v>28702969</v>
      </c>
      <c r="D35" s="6">
        <f>(((((D29)+(D30))+(D31))+(D32))+(D33))+(D34)</f>
        <v>23654293.539999999</v>
      </c>
    </row>
    <row r="36" spans="1:4" x14ac:dyDescent="0.2">
      <c r="A36" s="3" t="s">
        <v>33</v>
      </c>
      <c r="B36" s="5">
        <f>6021393</f>
        <v>6021393</v>
      </c>
      <c r="C36" s="5">
        <f>6021393</f>
        <v>6021393</v>
      </c>
      <c r="D36" s="5">
        <f>6586095</f>
        <v>6586095</v>
      </c>
    </row>
    <row r="37" spans="1:4" x14ac:dyDescent="0.2">
      <c r="A37" s="3" t="s">
        <v>34</v>
      </c>
      <c r="B37" s="5">
        <f>13361244</f>
        <v>13361244</v>
      </c>
      <c r="C37" s="5">
        <f>13361244</f>
        <v>13361244</v>
      </c>
      <c r="D37" s="5">
        <f>9987568.74</f>
        <v>9987568.7400000002</v>
      </c>
    </row>
    <row r="38" spans="1:4" x14ac:dyDescent="0.2">
      <c r="A38" s="3" t="s">
        <v>35</v>
      </c>
      <c r="B38" s="5">
        <f>7578249</f>
        <v>7578249</v>
      </c>
      <c r="C38" s="5">
        <f>7578249</f>
        <v>7578249</v>
      </c>
      <c r="D38" s="5">
        <f>6688347</f>
        <v>6688347</v>
      </c>
    </row>
    <row r="39" spans="1:4" x14ac:dyDescent="0.2">
      <c r="A39" s="3" t="s">
        <v>36</v>
      </c>
      <c r="B39" s="5">
        <f>4351906</f>
        <v>4351906</v>
      </c>
      <c r="C39" s="5">
        <f>4351906</f>
        <v>4351906</v>
      </c>
      <c r="D39" s="5">
        <f>3066851.65</f>
        <v>3066851.65</v>
      </c>
    </row>
    <row r="40" spans="1:4" x14ac:dyDescent="0.2">
      <c r="A40" s="3" t="s">
        <v>37</v>
      </c>
      <c r="B40" s="5">
        <f>5768977.4</f>
        <v>5768977.4000000004</v>
      </c>
      <c r="C40" s="5">
        <f>5768977.4</f>
        <v>5768977.4000000004</v>
      </c>
      <c r="D40" s="5">
        <f>6086338</f>
        <v>6086338</v>
      </c>
    </row>
    <row r="41" spans="1:4" x14ac:dyDescent="0.2">
      <c r="A41" s="3" t="s">
        <v>38</v>
      </c>
      <c r="B41" s="5">
        <f>4363899</f>
        <v>4363899</v>
      </c>
      <c r="C41" s="5">
        <f>4363899</f>
        <v>4363899</v>
      </c>
      <c r="D41" s="5">
        <f>3798149</f>
        <v>3798149</v>
      </c>
    </row>
    <row r="42" spans="1:4" x14ac:dyDescent="0.2">
      <c r="A42" s="3" t="s">
        <v>39</v>
      </c>
      <c r="B42" s="6">
        <f>((((((((B22)+(B28))+(B35))+(B36))+(B37))+(B38))+(B39))+(B40))+(B41)</f>
        <v>128387911.40000001</v>
      </c>
      <c r="C42" s="6">
        <f>((((((((C22)+(C28))+(C35))+(C36))+(C37))+(C38))+(C39))+(C40))+(C41)</f>
        <v>128387911.40000001</v>
      </c>
      <c r="D42" s="6">
        <f>((((((((D22)+(D28))+(D35))+(D36))+(D37))+(D38))+(D39))+(D40))+(D41)</f>
        <v>110280434.20999999</v>
      </c>
    </row>
    <row r="43" spans="1:4" x14ac:dyDescent="0.2">
      <c r="A43" s="3" t="s">
        <v>40</v>
      </c>
      <c r="B43" s="4"/>
      <c r="C43" s="4"/>
      <c r="D43" s="4"/>
    </row>
    <row r="44" spans="1:4" x14ac:dyDescent="0.2">
      <c r="A44" s="3" t="s">
        <v>41</v>
      </c>
      <c r="B44" s="5">
        <f>36535874</f>
        <v>36535874</v>
      </c>
      <c r="C44" s="5">
        <f>36535874</f>
        <v>36535874</v>
      </c>
      <c r="D44" s="5">
        <f>35882654.33</f>
        <v>35882654.329999998</v>
      </c>
    </row>
    <row r="45" spans="1:4" x14ac:dyDescent="0.2">
      <c r="A45" s="3" t="s">
        <v>42</v>
      </c>
      <c r="B45" s="5">
        <f>6099690</f>
        <v>6099690</v>
      </c>
      <c r="C45" s="5">
        <f>6099690</f>
        <v>6099690</v>
      </c>
      <c r="D45" s="5">
        <f>3659270</f>
        <v>3659270</v>
      </c>
    </row>
    <row r="46" spans="1:4" x14ac:dyDescent="0.2">
      <c r="A46" s="3" t="s">
        <v>43</v>
      </c>
      <c r="B46" s="5">
        <f>6324493</f>
        <v>6324493</v>
      </c>
      <c r="C46" s="5">
        <f>6324493</f>
        <v>6324493</v>
      </c>
      <c r="D46" s="5">
        <f>7332728</f>
        <v>7332728</v>
      </c>
    </row>
    <row r="47" spans="1:4" x14ac:dyDescent="0.2">
      <c r="A47" s="3" t="s">
        <v>44</v>
      </c>
      <c r="B47" s="6">
        <f>(((B43)+(B44))+(B45))+(B46)</f>
        <v>48960057</v>
      </c>
      <c r="C47" s="6">
        <f>(((C43)+(C44))+(C45))+(C46)</f>
        <v>48960057</v>
      </c>
      <c r="D47" s="6">
        <f>(((D43)+(D44))+(D45))+(D46)</f>
        <v>46874652.329999998</v>
      </c>
    </row>
    <row r="48" spans="1:4" x14ac:dyDescent="0.2">
      <c r="A48" s="3" t="s">
        <v>45</v>
      </c>
      <c r="B48" s="4"/>
      <c r="C48" s="4"/>
      <c r="D48" s="4"/>
    </row>
    <row r="49" spans="1:4" x14ac:dyDescent="0.2">
      <c r="A49" s="3" t="s">
        <v>46</v>
      </c>
      <c r="B49" s="5">
        <f>11699399</f>
        <v>11699399</v>
      </c>
      <c r="C49" s="5">
        <f>11699399</f>
        <v>11699399</v>
      </c>
      <c r="D49" s="5">
        <f>9302886</f>
        <v>9302886</v>
      </c>
    </row>
    <row r="50" spans="1:4" x14ac:dyDescent="0.2">
      <c r="A50" s="3" t="s">
        <v>47</v>
      </c>
      <c r="B50" s="5">
        <f>14748236.79</f>
        <v>14748236.789999999</v>
      </c>
      <c r="C50" s="5">
        <f>14748236.79</f>
        <v>14748236.789999999</v>
      </c>
      <c r="D50" s="5">
        <f>9454890</f>
        <v>9454890</v>
      </c>
    </row>
    <row r="51" spans="1:4" x14ac:dyDescent="0.2">
      <c r="A51" s="3" t="s">
        <v>48</v>
      </c>
      <c r="B51" s="5">
        <f>11025517</f>
        <v>11025517</v>
      </c>
      <c r="C51" s="5">
        <f>11025517</f>
        <v>11025517</v>
      </c>
      <c r="D51" s="5">
        <f>11334591.3</f>
        <v>11334591.300000001</v>
      </c>
    </row>
    <row r="52" spans="1:4" x14ac:dyDescent="0.2">
      <c r="A52" s="3" t="s">
        <v>49</v>
      </c>
      <c r="B52" s="5">
        <f>1694990</f>
        <v>1694990</v>
      </c>
      <c r="C52" s="5">
        <f>1694990</f>
        <v>1694990</v>
      </c>
      <c r="D52" s="5">
        <f>2062281</f>
        <v>2062281</v>
      </c>
    </row>
    <row r="53" spans="1:4" x14ac:dyDescent="0.2">
      <c r="A53" s="3" t="s">
        <v>50</v>
      </c>
      <c r="B53" s="5">
        <f>818313</f>
        <v>818313</v>
      </c>
      <c r="C53" s="5">
        <f>818313</f>
        <v>818313</v>
      </c>
      <c r="D53" s="5">
        <f>1063241</f>
        <v>1063241</v>
      </c>
    </row>
    <row r="54" spans="1:4" x14ac:dyDescent="0.2">
      <c r="A54" s="3" t="s">
        <v>51</v>
      </c>
      <c r="B54" s="5">
        <f>2166973</f>
        <v>2166973</v>
      </c>
      <c r="C54" s="5">
        <f>2166973</f>
        <v>2166973</v>
      </c>
      <c r="D54" s="5">
        <f>2130871</f>
        <v>2130871</v>
      </c>
    </row>
    <row r="55" spans="1:4" x14ac:dyDescent="0.2">
      <c r="A55" s="3" t="s">
        <v>52</v>
      </c>
      <c r="B55" s="5">
        <f>1910306</f>
        <v>1910306</v>
      </c>
      <c r="C55" s="5">
        <f>1910306</f>
        <v>1910306</v>
      </c>
      <c r="D55" s="5">
        <f>1491177</f>
        <v>1491177</v>
      </c>
    </row>
    <row r="56" spans="1:4" x14ac:dyDescent="0.2">
      <c r="A56" s="3" t="s">
        <v>53</v>
      </c>
      <c r="B56" s="5">
        <f>883200</f>
        <v>883200</v>
      </c>
      <c r="C56" s="5">
        <f>883200</f>
        <v>883200</v>
      </c>
      <c r="D56" s="5">
        <f>130000</f>
        <v>130000</v>
      </c>
    </row>
    <row r="57" spans="1:4" x14ac:dyDescent="0.2">
      <c r="A57" s="3" t="s">
        <v>54</v>
      </c>
      <c r="B57" s="6">
        <f>((((((((B48)+(B49))+(B50))+(B51))+(B52))+(B53))+(B54))+(B55))+(B56)</f>
        <v>44946934.789999999</v>
      </c>
      <c r="C57" s="6">
        <f>((((((((C48)+(C49))+(C50))+(C51))+(C52))+(C53))+(C54))+(C55))+(C56)</f>
        <v>44946934.789999999</v>
      </c>
      <c r="D57" s="6">
        <f>((((((((D48)+(D49))+(D50))+(D51))+(D52))+(D53))+(D54))+(D55))+(D56)</f>
        <v>36969937.299999997</v>
      </c>
    </row>
    <row r="58" spans="1:4" x14ac:dyDescent="0.2">
      <c r="A58" s="3" t="s">
        <v>55</v>
      </c>
      <c r="B58" s="6">
        <f>((B42)+(B47))+(B57)</f>
        <v>222294903.19</v>
      </c>
      <c r="C58" s="6">
        <f>((C42)+(C47))+(C57)</f>
        <v>222294903.19</v>
      </c>
      <c r="D58" s="6">
        <f>((D42)+(D47))+(D57)</f>
        <v>194125023.83999997</v>
      </c>
    </row>
    <row r="59" spans="1:4" x14ac:dyDescent="0.2">
      <c r="A59" s="3" t="s">
        <v>56</v>
      </c>
      <c r="B59" s="6">
        <f>(B20)-(B58)</f>
        <v>66531267</v>
      </c>
      <c r="C59" s="6">
        <f>(C20)-(C58)</f>
        <v>66531267</v>
      </c>
      <c r="D59" s="6">
        <f>(D20)-(D58)</f>
        <v>64022922.450000018</v>
      </c>
    </row>
    <row r="60" spans="1:4" x14ac:dyDescent="0.2">
      <c r="A60" s="3" t="s">
        <v>57</v>
      </c>
      <c r="B60" s="4"/>
      <c r="C60" s="4"/>
      <c r="D60" s="4"/>
    </row>
    <row r="61" spans="1:4" x14ac:dyDescent="0.2">
      <c r="A61" s="3" t="s">
        <v>58</v>
      </c>
      <c r="B61" s="4"/>
      <c r="C61" s="4"/>
      <c r="D61" s="4"/>
    </row>
    <row r="62" spans="1:4" x14ac:dyDescent="0.2">
      <c r="A62" s="3" t="s">
        <v>59</v>
      </c>
      <c r="B62" s="5">
        <f>48727350</f>
        <v>48727350</v>
      </c>
      <c r="C62" s="5">
        <f>48727350</f>
        <v>48727350</v>
      </c>
      <c r="D62" s="5">
        <f>34338491</f>
        <v>34338491</v>
      </c>
    </row>
    <row r="63" spans="1:4" x14ac:dyDescent="0.2">
      <c r="A63" s="3" t="s">
        <v>60</v>
      </c>
      <c r="B63" s="5">
        <f>8074682.5</f>
        <v>8074682.5</v>
      </c>
      <c r="C63" s="5">
        <f>8074682.5</f>
        <v>8074682.5</v>
      </c>
      <c r="D63" s="5">
        <f>5668074.52</f>
        <v>5668074.5199999996</v>
      </c>
    </row>
    <row r="64" spans="1:4" x14ac:dyDescent="0.2">
      <c r="A64" s="3" t="s">
        <v>61</v>
      </c>
      <c r="B64" s="6">
        <f>((B61)+(B62))+(B63)</f>
        <v>56802032.5</v>
      </c>
      <c r="C64" s="6">
        <f>((C61)+(C62))+(C63)</f>
        <v>56802032.5</v>
      </c>
      <c r="D64" s="6">
        <f>((D61)+(D62))+(D63)</f>
        <v>40006565.519999996</v>
      </c>
    </row>
    <row r="65" spans="1:4" x14ac:dyDescent="0.2">
      <c r="A65" s="3" t="s">
        <v>62</v>
      </c>
      <c r="B65" s="6">
        <f>B64</f>
        <v>56802032.5</v>
      </c>
      <c r="C65" s="6">
        <f>C64</f>
        <v>56802032.5</v>
      </c>
      <c r="D65" s="6">
        <f>D64</f>
        <v>40006565.519999996</v>
      </c>
    </row>
    <row r="66" spans="1:4" x14ac:dyDescent="0.2">
      <c r="A66" s="3" t="s">
        <v>63</v>
      </c>
      <c r="B66" s="4"/>
      <c r="C66" s="4"/>
      <c r="D66" s="4"/>
    </row>
    <row r="67" spans="1:4" x14ac:dyDescent="0.2">
      <c r="A67" s="3" t="s">
        <v>64</v>
      </c>
      <c r="B67" s="4"/>
      <c r="C67" s="4"/>
      <c r="D67" s="4"/>
    </row>
    <row r="68" spans="1:4" x14ac:dyDescent="0.2">
      <c r="A68" s="3" t="s">
        <v>65</v>
      </c>
      <c r="B68" s="4"/>
      <c r="C68" s="4"/>
      <c r="D68" s="5">
        <f>8357523.67</f>
        <v>8357523.6699999999</v>
      </c>
    </row>
    <row r="69" spans="1:4" x14ac:dyDescent="0.2">
      <c r="A69" s="3" t="s">
        <v>66</v>
      </c>
      <c r="B69" s="5">
        <f>5249650</f>
        <v>5249650</v>
      </c>
      <c r="C69" s="5">
        <f>5249650</f>
        <v>5249650</v>
      </c>
      <c r="D69" s="5">
        <f>2019583</f>
        <v>2019583</v>
      </c>
    </row>
    <row r="70" spans="1:4" x14ac:dyDescent="0.2">
      <c r="A70" s="3" t="s">
        <v>67</v>
      </c>
      <c r="B70" s="5">
        <f>403667</f>
        <v>403667</v>
      </c>
      <c r="C70" s="5">
        <f>403667</f>
        <v>403667</v>
      </c>
      <c r="D70" s="5">
        <f>783333</f>
        <v>783333</v>
      </c>
    </row>
    <row r="71" spans="1:4" x14ac:dyDescent="0.2">
      <c r="A71" s="3" t="s">
        <v>68</v>
      </c>
      <c r="B71" s="5">
        <f>8460301</f>
        <v>8460301</v>
      </c>
      <c r="C71" s="5">
        <f>8460301</f>
        <v>8460301</v>
      </c>
      <c r="D71" s="5">
        <f>2308648</f>
        <v>2308648</v>
      </c>
    </row>
    <row r="72" spans="1:4" x14ac:dyDescent="0.2">
      <c r="A72" s="3" t="s">
        <v>69</v>
      </c>
      <c r="B72" s="5">
        <f>2832771</f>
        <v>2832771</v>
      </c>
      <c r="C72" s="5">
        <f>2832771</f>
        <v>2832771</v>
      </c>
      <c r="D72" s="5">
        <f>934851</f>
        <v>934851</v>
      </c>
    </row>
    <row r="73" spans="1:4" x14ac:dyDescent="0.2">
      <c r="A73" s="3" t="s">
        <v>70</v>
      </c>
      <c r="B73" s="6">
        <f>((((B68)+(B69))+(B70))+(B71))+(B72)</f>
        <v>16946389</v>
      </c>
      <c r="C73" s="6">
        <f>((((C68)+(C69))+(C70))+(C71))+(C72)</f>
        <v>16946389</v>
      </c>
      <c r="D73" s="6">
        <f>((((D68)+(D69))+(D70))+(D71))+(D72)</f>
        <v>14403938.67</v>
      </c>
    </row>
    <row r="74" spans="1:4" x14ac:dyDescent="0.2">
      <c r="A74" s="3" t="s">
        <v>71</v>
      </c>
      <c r="B74" s="5">
        <f>2150715</f>
        <v>2150715</v>
      </c>
      <c r="C74" s="5">
        <f>2150715</f>
        <v>2150715</v>
      </c>
      <c r="D74" s="5">
        <f>1254745.5</f>
        <v>1254745.5</v>
      </c>
    </row>
    <row r="75" spans="1:4" x14ac:dyDescent="0.2">
      <c r="A75" s="3" t="s">
        <v>72</v>
      </c>
      <c r="B75" s="4"/>
      <c r="C75" s="4"/>
      <c r="D75" s="4"/>
    </row>
    <row r="76" spans="1:4" x14ac:dyDescent="0.2">
      <c r="A76" s="3" t="s">
        <v>73</v>
      </c>
      <c r="B76" s="5">
        <f>3022807</f>
        <v>3022807</v>
      </c>
      <c r="C76" s="5">
        <f>3022807</f>
        <v>3022807</v>
      </c>
      <c r="D76" s="5">
        <f>2441158</f>
        <v>2441158</v>
      </c>
    </row>
    <row r="77" spans="1:4" x14ac:dyDescent="0.2">
      <c r="A77" s="3" t="s">
        <v>74</v>
      </c>
      <c r="B77" s="4"/>
      <c r="C77" s="4"/>
      <c r="D77" s="5">
        <f>2903584.75</f>
        <v>2903584.75</v>
      </c>
    </row>
    <row r="78" spans="1:4" x14ac:dyDescent="0.2">
      <c r="A78" s="3" t="s">
        <v>75</v>
      </c>
      <c r="B78" s="6">
        <f>((B75)+(B76))+(B77)</f>
        <v>3022807</v>
      </c>
      <c r="C78" s="6">
        <f>((C75)+(C76))+(C77)</f>
        <v>3022807</v>
      </c>
      <c r="D78" s="6">
        <f>((D75)+(D76))+(D77)</f>
        <v>5344742.75</v>
      </c>
    </row>
    <row r="79" spans="1:4" x14ac:dyDescent="0.2">
      <c r="A79" s="3" t="s">
        <v>76</v>
      </c>
      <c r="B79" s="6">
        <f>(((B67)+(B73))+(B74))+(B78)</f>
        <v>22119911</v>
      </c>
      <c r="C79" s="6">
        <f>(((C67)+(C73))+(C74))+(C78)</f>
        <v>22119911</v>
      </c>
      <c r="D79" s="6">
        <f>(((D67)+(D73))+(D74))+(D78)</f>
        <v>21003426.920000002</v>
      </c>
    </row>
    <row r="80" spans="1:4" x14ac:dyDescent="0.2">
      <c r="A80" s="3" t="s">
        <v>77</v>
      </c>
      <c r="B80" s="4"/>
      <c r="C80" s="4"/>
      <c r="D80" s="4"/>
    </row>
    <row r="81" spans="1:4" x14ac:dyDescent="0.2">
      <c r="A81" s="3" t="s">
        <v>78</v>
      </c>
      <c r="B81" s="5">
        <f>2476900</f>
        <v>2476900</v>
      </c>
      <c r="C81" s="5">
        <f>2476900</f>
        <v>2476900</v>
      </c>
      <c r="D81" s="5">
        <f>1465083</f>
        <v>1465083</v>
      </c>
    </row>
    <row r="82" spans="1:4" x14ac:dyDescent="0.2">
      <c r="A82" s="3" t="s">
        <v>79</v>
      </c>
      <c r="B82" s="4"/>
      <c r="C82" s="4"/>
      <c r="D82" s="5">
        <f>27500</f>
        <v>27500</v>
      </c>
    </row>
    <row r="83" spans="1:4" x14ac:dyDescent="0.2">
      <c r="A83" s="3" t="s">
        <v>80</v>
      </c>
      <c r="B83" s="5">
        <f>4430</f>
        <v>4430</v>
      </c>
      <c r="C83" s="5">
        <f>4430</f>
        <v>4430</v>
      </c>
      <c r="D83" s="5">
        <f>6830</f>
        <v>6830</v>
      </c>
    </row>
    <row r="84" spans="1:4" x14ac:dyDescent="0.2">
      <c r="A84" s="3" t="s">
        <v>81</v>
      </c>
      <c r="B84" s="6">
        <f>(((B80)+(B81))+(B82))+(B83)</f>
        <v>2481330</v>
      </c>
      <c r="C84" s="6">
        <f>(((C80)+(C81))+(C82))+(C83)</f>
        <v>2481330</v>
      </c>
      <c r="D84" s="6">
        <f>(((D80)+(D81))+(D82))+(D83)</f>
        <v>1499413</v>
      </c>
    </row>
    <row r="85" spans="1:4" x14ac:dyDescent="0.2">
      <c r="A85" s="3" t="s">
        <v>82</v>
      </c>
      <c r="B85" s="4"/>
      <c r="C85" s="4"/>
      <c r="D85" s="4"/>
    </row>
    <row r="86" spans="1:4" x14ac:dyDescent="0.2">
      <c r="A86" s="3" t="s">
        <v>83</v>
      </c>
      <c r="B86" s="5">
        <f>1432962</f>
        <v>1432962</v>
      </c>
      <c r="C86" s="5">
        <f>1432962</f>
        <v>1432962</v>
      </c>
      <c r="D86" s="5">
        <f>713932</f>
        <v>713932</v>
      </c>
    </row>
    <row r="87" spans="1:4" x14ac:dyDescent="0.2">
      <c r="A87" s="3" t="s">
        <v>84</v>
      </c>
      <c r="B87" s="5">
        <f>129290</f>
        <v>129290</v>
      </c>
      <c r="C87" s="5">
        <f>129290</f>
        <v>129290</v>
      </c>
      <c r="D87" s="4"/>
    </row>
    <row r="88" spans="1:4" x14ac:dyDescent="0.2">
      <c r="A88" s="3" t="s">
        <v>85</v>
      </c>
      <c r="B88" s="5">
        <f>50020</f>
        <v>50020</v>
      </c>
      <c r="C88" s="5">
        <f>50020</f>
        <v>50020</v>
      </c>
      <c r="D88" s="5">
        <f>66420</f>
        <v>66420</v>
      </c>
    </row>
    <row r="89" spans="1:4" x14ac:dyDescent="0.2">
      <c r="A89" s="3" t="s">
        <v>86</v>
      </c>
      <c r="B89" s="6">
        <f>(((B85)+(B86))+(B87))+(B88)</f>
        <v>1612272</v>
      </c>
      <c r="C89" s="6">
        <f>(((C85)+(C86))+(C87))+(C88)</f>
        <v>1612272</v>
      </c>
      <c r="D89" s="6">
        <f>(((D85)+(D86))+(D87))+(D88)</f>
        <v>780352</v>
      </c>
    </row>
    <row r="90" spans="1:4" x14ac:dyDescent="0.2">
      <c r="A90" s="3" t="s">
        <v>87</v>
      </c>
      <c r="B90" s="4"/>
      <c r="C90" s="4"/>
      <c r="D90" s="4"/>
    </row>
    <row r="91" spans="1:4" x14ac:dyDescent="0.2">
      <c r="A91" s="3" t="s">
        <v>88</v>
      </c>
      <c r="B91" s="5">
        <f>32000</f>
        <v>32000</v>
      </c>
      <c r="C91" s="5">
        <f>32000</f>
        <v>32000</v>
      </c>
      <c r="D91" s="4"/>
    </row>
    <row r="92" spans="1:4" x14ac:dyDescent="0.2">
      <c r="A92" s="3" t="s">
        <v>89</v>
      </c>
      <c r="B92" s="5">
        <f>256000</f>
        <v>256000</v>
      </c>
      <c r="C92" s="5">
        <f>256000</f>
        <v>256000</v>
      </c>
      <c r="D92" s="5">
        <f>256000</f>
        <v>256000</v>
      </c>
    </row>
    <row r="93" spans="1:4" x14ac:dyDescent="0.2">
      <c r="A93" s="3" t="s">
        <v>90</v>
      </c>
      <c r="B93" s="5">
        <f>4198050</f>
        <v>4198050</v>
      </c>
      <c r="C93" s="5">
        <f>4198050</f>
        <v>4198050</v>
      </c>
      <c r="D93" s="5">
        <f>3812151.5</f>
        <v>3812151.5</v>
      </c>
    </row>
    <row r="94" spans="1:4" x14ac:dyDescent="0.2">
      <c r="A94" s="3" t="s">
        <v>91</v>
      </c>
      <c r="B94" s="5">
        <f>30770</f>
        <v>30770</v>
      </c>
      <c r="C94" s="5">
        <f>30770</f>
        <v>30770</v>
      </c>
      <c r="D94" s="4"/>
    </row>
    <row r="95" spans="1:4" x14ac:dyDescent="0.2">
      <c r="A95" s="3" t="s">
        <v>92</v>
      </c>
      <c r="B95" s="5">
        <f>3016329.47</f>
        <v>3016329.47</v>
      </c>
      <c r="C95" s="5">
        <f>3016329.47</f>
        <v>3016329.47</v>
      </c>
      <c r="D95" s="5">
        <f>2619863.78</f>
        <v>2619863.7799999998</v>
      </c>
    </row>
    <row r="96" spans="1:4" x14ac:dyDescent="0.2">
      <c r="A96" s="3" t="s">
        <v>93</v>
      </c>
      <c r="B96" s="6">
        <f>(((((B90)+(B91))+(B92))+(B93))+(B94))+(B95)</f>
        <v>7533149.4700000007</v>
      </c>
      <c r="C96" s="6">
        <f>(((((C90)+(C91))+(C92))+(C93))+(C94))+(C95)</f>
        <v>7533149.4700000007</v>
      </c>
      <c r="D96" s="6">
        <f>(((((D90)+(D91))+(D92))+(D93))+(D94))+(D95)</f>
        <v>6688015.2799999993</v>
      </c>
    </row>
    <row r="97" spans="1:4" x14ac:dyDescent="0.2">
      <c r="A97" s="3" t="s">
        <v>94</v>
      </c>
      <c r="B97" s="4"/>
      <c r="C97" s="4"/>
      <c r="D97" s="4"/>
    </row>
    <row r="98" spans="1:4" x14ac:dyDescent="0.2">
      <c r="A98" s="3" t="s">
        <v>95</v>
      </c>
      <c r="B98" s="5">
        <f>195478</f>
        <v>195478</v>
      </c>
      <c r="C98" s="5">
        <f>195478</f>
        <v>195478</v>
      </c>
      <c r="D98" s="5">
        <f>193448</f>
        <v>193448</v>
      </c>
    </row>
    <row r="99" spans="1:4" x14ac:dyDescent="0.2">
      <c r="A99" s="3" t="s">
        <v>96</v>
      </c>
      <c r="B99" s="5">
        <f>643306.21</f>
        <v>643306.21</v>
      </c>
      <c r="C99" s="5">
        <f>643306.21</f>
        <v>643306.21</v>
      </c>
      <c r="D99" s="5">
        <f>425466</f>
        <v>425466</v>
      </c>
    </row>
    <row r="100" spans="1:4" x14ac:dyDescent="0.2">
      <c r="A100" s="3" t="s">
        <v>97</v>
      </c>
      <c r="B100" s="5">
        <f>11089</f>
        <v>11089</v>
      </c>
      <c r="C100" s="5">
        <f>11089</f>
        <v>11089</v>
      </c>
      <c r="D100" s="5">
        <f>21456</f>
        <v>21456</v>
      </c>
    </row>
    <row r="101" spans="1:4" x14ac:dyDescent="0.2">
      <c r="A101" s="3" t="s">
        <v>98</v>
      </c>
      <c r="B101" s="5">
        <f>42500</f>
        <v>42500</v>
      </c>
      <c r="C101" s="5">
        <f>42500</f>
        <v>42500</v>
      </c>
      <c r="D101" s="5">
        <f>36560</f>
        <v>36560</v>
      </c>
    </row>
    <row r="102" spans="1:4" x14ac:dyDescent="0.2">
      <c r="A102" s="3" t="s">
        <v>99</v>
      </c>
      <c r="B102" s="6">
        <f>((((B97)+(B98))+(B99))+(B100))+(B101)</f>
        <v>892373.21</v>
      </c>
      <c r="C102" s="6">
        <f>((((C97)+(C98))+(C99))+(C100))+(C101)</f>
        <v>892373.21</v>
      </c>
      <c r="D102" s="6">
        <f>((((D97)+(D98))+(D99))+(D100))+(D101)</f>
        <v>676930</v>
      </c>
    </row>
    <row r="103" spans="1:4" x14ac:dyDescent="0.2">
      <c r="A103" s="3" t="s">
        <v>100</v>
      </c>
      <c r="B103" s="4"/>
      <c r="C103" s="4"/>
      <c r="D103" s="4"/>
    </row>
    <row r="104" spans="1:4" x14ac:dyDescent="0.2">
      <c r="A104" s="3" t="s">
        <v>101</v>
      </c>
      <c r="B104" s="5">
        <f>252305</f>
        <v>252305</v>
      </c>
      <c r="C104" s="5">
        <f>252305</f>
        <v>252305</v>
      </c>
      <c r="D104" s="5">
        <f>41900</f>
        <v>41900</v>
      </c>
    </row>
    <row r="105" spans="1:4" x14ac:dyDescent="0.2">
      <c r="A105" s="3" t="s">
        <v>102</v>
      </c>
      <c r="B105" s="5">
        <f>271254</f>
        <v>271254</v>
      </c>
      <c r="C105" s="5">
        <f>271254</f>
        <v>271254</v>
      </c>
      <c r="D105" s="5">
        <f>179125</f>
        <v>179125</v>
      </c>
    </row>
    <row r="106" spans="1:4" x14ac:dyDescent="0.2">
      <c r="A106" s="3" t="s">
        <v>103</v>
      </c>
      <c r="B106" s="5">
        <f>480778</f>
        <v>480778</v>
      </c>
      <c r="C106" s="5">
        <f>480778</f>
        <v>480778</v>
      </c>
      <c r="D106" s="5">
        <f>224465</f>
        <v>224465</v>
      </c>
    </row>
    <row r="107" spans="1:4" x14ac:dyDescent="0.2">
      <c r="A107" s="3" t="s">
        <v>104</v>
      </c>
      <c r="B107" s="6">
        <f>(((B103)+(B104))+(B105))+(B106)</f>
        <v>1004337</v>
      </c>
      <c r="C107" s="6">
        <f>(((C103)+(C104))+(C105))+(C106)</f>
        <v>1004337</v>
      </c>
      <c r="D107" s="6">
        <f>(((D103)+(D104))+(D105))+(D106)</f>
        <v>445490</v>
      </c>
    </row>
    <row r="108" spans="1:4" x14ac:dyDescent="0.2">
      <c r="A108" s="3" t="s">
        <v>105</v>
      </c>
      <c r="B108" s="4"/>
      <c r="C108" s="4"/>
      <c r="D108" s="4"/>
    </row>
    <row r="109" spans="1:4" x14ac:dyDescent="0.2">
      <c r="A109" s="3" t="s">
        <v>106</v>
      </c>
      <c r="B109" s="5">
        <f>3745853</f>
        <v>3745853</v>
      </c>
      <c r="C109" s="5">
        <f>3745853</f>
        <v>3745853</v>
      </c>
      <c r="D109" s="5">
        <f>2848503</f>
        <v>2848503</v>
      </c>
    </row>
    <row r="110" spans="1:4" x14ac:dyDescent="0.2">
      <c r="A110" s="3" t="s">
        <v>107</v>
      </c>
      <c r="B110" s="5">
        <f>0</f>
        <v>0</v>
      </c>
      <c r="C110" s="5">
        <f>0</f>
        <v>0</v>
      </c>
      <c r="D110" s="5">
        <f>32530</f>
        <v>32530</v>
      </c>
    </row>
    <row r="111" spans="1:4" x14ac:dyDescent="0.2">
      <c r="A111" s="3" t="s">
        <v>108</v>
      </c>
      <c r="B111" s="6">
        <f>((B108)+(B109))+(B110)</f>
        <v>3745853</v>
      </c>
      <c r="C111" s="6">
        <f>((C108)+(C109))+(C110)</f>
        <v>3745853</v>
      </c>
      <c r="D111" s="6">
        <f>((D108)+(D109))+(D110)</f>
        <v>2881033</v>
      </c>
    </row>
    <row r="112" spans="1:4" x14ac:dyDescent="0.2">
      <c r="A112" s="3" t="s">
        <v>109</v>
      </c>
      <c r="B112" s="4"/>
      <c r="C112" s="4"/>
      <c r="D112" s="4"/>
    </row>
    <row r="113" spans="1:4" x14ac:dyDescent="0.2">
      <c r="A113" s="3" t="s">
        <v>110</v>
      </c>
      <c r="B113" s="5">
        <f>372339</f>
        <v>372339</v>
      </c>
      <c r="C113" s="5">
        <f>372339</f>
        <v>372339</v>
      </c>
      <c r="D113" s="5">
        <f>208100</f>
        <v>208100</v>
      </c>
    </row>
    <row r="114" spans="1:4" x14ac:dyDescent="0.2">
      <c r="A114" s="3" t="s">
        <v>111</v>
      </c>
      <c r="B114" s="5">
        <f>350303</f>
        <v>350303</v>
      </c>
      <c r="C114" s="5">
        <f>350303</f>
        <v>350303</v>
      </c>
      <c r="D114" s="5">
        <f>321019</f>
        <v>321019</v>
      </c>
    </row>
    <row r="115" spans="1:4" x14ac:dyDescent="0.2">
      <c r="A115" s="3" t="s">
        <v>112</v>
      </c>
      <c r="B115" s="6">
        <f>((B112)+(B113))+(B114)</f>
        <v>722642</v>
      </c>
      <c r="C115" s="6">
        <f>((C112)+(C113))+(C114)</f>
        <v>722642</v>
      </c>
      <c r="D115" s="6">
        <f>((D112)+(D113))+(D114)</f>
        <v>529119</v>
      </c>
    </row>
    <row r="116" spans="1:4" x14ac:dyDescent="0.2">
      <c r="A116" s="3" t="s">
        <v>113</v>
      </c>
      <c r="B116" s="4"/>
      <c r="C116" s="4"/>
      <c r="D116" s="4"/>
    </row>
    <row r="117" spans="1:4" x14ac:dyDescent="0.2">
      <c r="A117" s="3" t="s">
        <v>114</v>
      </c>
      <c r="B117" s="5">
        <f>1180000</f>
        <v>1180000</v>
      </c>
      <c r="C117" s="5">
        <f>1180000</f>
        <v>1180000</v>
      </c>
      <c r="D117" s="5">
        <f>783750</f>
        <v>783750</v>
      </c>
    </row>
    <row r="118" spans="1:4" x14ac:dyDescent="0.2">
      <c r="A118" s="3" t="s">
        <v>115</v>
      </c>
      <c r="B118" s="5">
        <f>2054086.52</f>
        <v>2054086.52</v>
      </c>
      <c r="C118" s="5">
        <f>2054086.52</f>
        <v>2054086.52</v>
      </c>
      <c r="D118" s="5">
        <f>1320150.06</f>
        <v>1320150.06</v>
      </c>
    </row>
    <row r="119" spans="1:4" x14ac:dyDescent="0.2">
      <c r="A119" s="3" t="s">
        <v>116</v>
      </c>
      <c r="B119" s="5">
        <f>40000</f>
        <v>40000</v>
      </c>
      <c r="C119" s="5">
        <f>40000</f>
        <v>40000</v>
      </c>
      <c r="D119" s="5">
        <f>99446</f>
        <v>99446</v>
      </c>
    </row>
    <row r="120" spans="1:4" x14ac:dyDescent="0.2">
      <c r="A120" s="3" t="s">
        <v>117</v>
      </c>
      <c r="B120" s="6">
        <f>(((B116)+(B117))+(B118))+(B119)</f>
        <v>3274086.52</v>
      </c>
      <c r="C120" s="6">
        <f>(((C116)+(C117))+(C118))+(C119)</f>
        <v>3274086.52</v>
      </c>
      <c r="D120" s="6">
        <f>(((D116)+(D117))+(D118))+(D119)</f>
        <v>2203346.06</v>
      </c>
    </row>
    <row r="121" spans="1:4" x14ac:dyDescent="0.2">
      <c r="A121" s="3" t="s">
        <v>118</v>
      </c>
      <c r="B121" s="4"/>
      <c r="C121" s="4"/>
      <c r="D121" s="4"/>
    </row>
    <row r="122" spans="1:4" x14ac:dyDescent="0.2">
      <c r="A122" s="3" t="s">
        <v>119</v>
      </c>
      <c r="B122" s="5">
        <f>105212.39</f>
        <v>105212.39</v>
      </c>
      <c r="C122" s="5">
        <f>105212.39</f>
        <v>105212.39</v>
      </c>
      <c r="D122" s="5">
        <f>145737</f>
        <v>145737</v>
      </c>
    </row>
    <row r="123" spans="1:4" x14ac:dyDescent="0.2">
      <c r="A123" s="3" t="s">
        <v>120</v>
      </c>
      <c r="B123" s="5">
        <f>198061</f>
        <v>198061</v>
      </c>
      <c r="C123" s="5">
        <f>198061</f>
        <v>198061</v>
      </c>
      <c r="D123" s="5">
        <f>204957</f>
        <v>204957</v>
      </c>
    </row>
    <row r="124" spans="1:4" x14ac:dyDescent="0.2">
      <c r="A124" s="3" t="s">
        <v>121</v>
      </c>
      <c r="B124" s="6">
        <f>((B121)+(B122))+(B123)</f>
        <v>303273.39</v>
      </c>
      <c r="C124" s="6">
        <f>((C121)+(C122))+(C123)</f>
        <v>303273.39</v>
      </c>
      <c r="D124" s="6">
        <f>((D121)+(D122))+(D123)</f>
        <v>350694</v>
      </c>
    </row>
    <row r="125" spans="1:4" x14ac:dyDescent="0.2">
      <c r="A125" s="3" t="s">
        <v>122</v>
      </c>
      <c r="B125" s="6">
        <f>(((((((((B79)+(B84))+(B89))+(B96))+(B102))+(B107))+(B111))+(B115))+(B120))+(B124)</f>
        <v>43689227.590000004</v>
      </c>
      <c r="C125" s="6">
        <f>(((((((((C79)+(C84))+(C89))+(C96))+(C102))+(C107))+(C111))+(C115))+(C120))+(C124)</f>
        <v>43689227.590000004</v>
      </c>
      <c r="D125" s="6">
        <f>(((((((((D79)+(D84))+(D89))+(D96))+(D102))+(D107))+(D111))+(D115))+(D120))+(D124)</f>
        <v>37057819.260000005</v>
      </c>
    </row>
    <row r="126" spans="1:4" x14ac:dyDescent="0.2">
      <c r="A126" s="3" t="s">
        <v>123</v>
      </c>
      <c r="B126" s="4"/>
      <c r="C126" s="4"/>
      <c r="D126" s="4"/>
    </row>
    <row r="127" spans="1:4" x14ac:dyDescent="0.2">
      <c r="A127" s="3" t="s">
        <v>124</v>
      </c>
      <c r="B127" s="4"/>
      <c r="C127" s="4"/>
      <c r="D127" s="4"/>
    </row>
    <row r="128" spans="1:4" x14ac:dyDescent="0.2">
      <c r="A128" s="3" t="s">
        <v>125</v>
      </c>
      <c r="B128" s="5">
        <f>24356846</f>
        <v>24356846</v>
      </c>
      <c r="C128" s="5">
        <f>24356846</f>
        <v>24356846</v>
      </c>
      <c r="D128" s="5">
        <f>28533620</f>
        <v>28533620</v>
      </c>
    </row>
    <row r="129" spans="1:4" x14ac:dyDescent="0.2">
      <c r="A129" s="3" t="s">
        <v>126</v>
      </c>
      <c r="B129" s="5">
        <f>259099.63</f>
        <v>259099.63</v>
      </c>
      <c r="C129" s="5">
        <f>259099.63</f>
        <v>259099.63</v>
      </c>
      <c r="D129" s="5">
        <f>77046.98</f>
        <v>77046.98</v>
      </c>
    </row>
    <row r="130" spans="1:4" x14ac:dyDescent="0.2">
      <c r="A130" s="3" t="s">
        <v>127</v>
      </c>
      <c r="B130" s="5">
        <f>152555</f>
        <v>152555</v>
      </c>
      <c r="C130" s="5">
        <f>152555</f>
        <v>152555</v>
      </c>
      <c r="D130" s="5">
        <f>4903260.44</f>
        <v>4903260.4400000004</v>
      </c>
    </row>
    <row r="131" spans="1:4" x14ac:dyDescent="0.2">
      <c r="A131" s="3" t="s">
        <v>128</v>
      </c>
      <c r="B131" s="5">
        <f>11865796</f>
        <v>11865796</v>
      </c>
      <c r="C131" s="5">
        <f>11865796</f>
        <v>11865796</v>
      </c>
      <c r="D131" s="5">
        <f>8084406</f>
        <v>8084406</v>
      </c>
    </row>
    <row r="132" spans="1:4" x14ac:dyDescent="0.2">
      <c r="A132" s="3" t="s">
        <v>129</v>
      </c>
      <c r="B132" s="6">
        <f>((((B127)+(B128))+(B129))+(B130))+(B131)</f>
        <v>36634296.629999995</v>
      </c>
      <c r="C132" s="6">
        <f>((((C127)+(C128))+(C129))+(C130))+(C131)</f>
        <v>36634296.629999995</v>
      </c>
      <c r="D132" s="6">
        <f>((((D127)+(D128))+(D129))+(D130))+(D131)</f>
        <v>41598333.420000002</v>
      </c>
    </row>
    <row r="133" spans="1:4" x14ac:dyDescent="0.2">
      <c r="A133" s="3" t="s">
        <v>130</v>
      </c>
      <c r="B133" s="6">
        <f>B132</f>
        <v>36634296.629999995</v>
      </c>
      <c r="C133" s="6">
        <f>C132</f>
        <v>36634296.629999995</v>
      </c>
      <c r="D133" s="6">
        <f>D132</f>
        <v>41598333.420000002</v>
      </c>
    </row>
    <row r="134" spans="1:4" x14ac:dyDescent="0.2">
      <c r="A134" s="3" t="s">
        <v>131</v>
      </c>
      <c r="B134" s="7">
        <f>((((B20)+(B65))-(B58))-(B125))-(B133)</f>
        <v>43009775.280000001</v>
      </c>
      <c r="C134" s="7">
        <f>((((C20)+(C65))-(C58))-(C125))-(C133)</f>
        <v>43009775.280000001</v>
      </c>
      <c r="D134" s="7">
        <f>((((D20)+(D65))-(D58))-(D125))-(D133)</f>
        <v>25373335.290000021</v>
      </c>
    </row>
    <row r="135" spans="1:4" x14ac:dyDescent="0.2">
      <c r="A135" s="3"/>
      <c r="B135" s="4"/>
      <c r="C135" s="4"/>
      <c r="D135" s="4"/>
    </row>
    <row r="138" spans="1:4" x14ac:dyDescent="0.2">
      <c r="A138" s="10" t="s">
        <v>132</v>
      </c>
      <c r="B138" s="11"/>
      <c r="C138" s="11"/>
      <c r="D138" s="11"/>
    </row>
  </sheetData>
  <mergeCells count="5">
    <mergeCell ref="B5:D5"/>
    <mergeCell ref="A138:D138"/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and Loss YTD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Adnan Khan</cp:lastModifiedBy>
  <dcterms:created xsi:type="dcterms:W3CDTF">2024-03-09T07:58:14Z</dcterms:created>
  <dcterms:modified xsi:type="dcterms:W3CDTF">2024-03-09T07:58:25Z</dcterms:modified>
</cp:coreProperties>
</file>