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"/>
    </mc:Choice>
  </mc:AlternateContent>
  <xr:revisionPtr revIDLastSave="0" documentId="13_ncr:1_{84984F86-7272-6043-977B-BF7A4B3EE837}" xr6:coauthVersionLast="47" xr6:coauthVersionMax="47" xr10:uidLastSave="{00000000-0000-0000-0000-000000000000}"/>
  <bookViews>
    <workbookView xWindow="3820" yWindow="2360" windowWidth="35340" windowHeight="203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E129" i="1" s="1"/>
  <c r="B129" i="1"/>
  <c r="D129" i="1" s="1"/>
  <c r="C128" i="1"/>
  <c r="E128" i="1" s="1"/>
  <c r="B128" i="1"/>
  <c r="D128" i="1" s="1"/>
  <c r="C127" i="1"/>
  <c r="E127" i="1" s="1"/>
  <c r="B127" i="1"/>
  <c r="D127" i="1" s="1"/>
  <c r="C126" i="1"/>
  <c r="E126" i="1" s="1"/>
  <c r="B126" i="1"/>
  <c r="D126" i="1" s="1"/>
  <c r="E125" i="1"/>
  <c r="D125" i="1"/>
  <c r="C121" i="1"/>
  <c r="E121" i="1" s="1"/>
  <c r="B121" i="1"/>
  <c r="D121" i="1" s="1"/>
  <c r="C120" i="1"/>
  <c r="C122" i="1" s="1"/>
  <c r="B120" i="1"/>
  <c r="B122" i="1" s="1"/>
  <c r="D122" i="1" s="1"/>
  <c r="E119" i="1"/>
  <c r="D119" i="1"/>
  <c r="C117" i="1"/>
  <c r="E117" i="1" s="1"/>
  <c r="B117" i="1"/>
  <c r="C116" i="1"/>
  <c r="E116" i="1" s="1"/>
  <c r="B116" i="1"/>
  <c r="C115" i="1"/>
  <c r="E115" i="1" s="1"/>
  <c r="B115" i="1"/>
  <c r="B118" i="1" s="1"/>
  <c r="E114" i="1"/>
  <c r="D114" i="1"/>
  <c r="E112" i="1"/>
  <c r="C112" i="1"/>
  <c r="B112" i="1"/>
  <c r="D112" i="1" s="1"/>
  <c r="E111" i="1"/>
  <c r="C111" i="1"/>
  <c r="C113" i="1" s="1"/>
  <c r="B111" i="1"/>
  <c r="B113" i="1" s="1"/>
  <c r="D113" i="1" s="1"/>
  <c r="E110" i="1"/>
  <c r="D110" i="1"/>
  <c r="C108" i="1"/>
  <c r="E108" i="1" s="1"/>
  <c r="B108" i="1"/>
  <c r="C107" i="1"/>
  <c r="E107" i="1" s="1"/>
  <c r="B107" i="1"/>
  <c r="B109" i="1" s="1"/>
  <c r="E106" i="1"/>
  <c r="D106" i="1"/>
  <c r="E104" i="1"/>
  <c r="C104" i="1"/>
  <c r="B104" i="1"/>
  <c r="D104" i="1" s="1"/>
  <c r="E103" i="1"/>
  <c r="C103" i="1"/>
  <c r="B103" i="1"/>
  <c r="D103" i="1" s="1"/>
  <c r="E102" i="1"/>
  <c r="C102" i="1"/>
  <c r="C105" i="1" s="1"/>
  <c r="B102" i="1"/>
  <c r="B105" i="1" s="1"/>
  <c r="D105" i="1" s="1"/>
  <c r="E101" i="1"/>
  <c r="D101" i="1"/>
  <c r="C99" i="1"/>
  <c r="E99" i="1" s="1"/>
  <c r="B99" i="1"/>
  <c r="C98" i="1"/>
  <c r="E98" i="1" s="1"/>
  <c r="B98" i="1"/>
  <c r="C97" i="1"/>
  <c r="E97" i="1" s="1"/>
  <c r="B97" i="1"/>
  <c r="C96" i="1"/>
  <c r="E96" i="1" s="1"/>
  <c r="B96" i="1"/>
  <c r="B100" i="1" s="1"/>
  <c r="E95" i="1"/>
  <c r="D95" i="1"/>
  <c r="E93" i="1"/>
  <c r="C93" i="1"/>
  <c r="C94" i="1" s="1"/>
  <c r="B93" i="1"/>
  <c r="D93" i="1" s="1"/>
  <c r="E92" i="1"/>
  <c r="B92" i="1"/>
  <c r="D92" i="1" s="1"/>
  <c r="D91" i="1"/>
  <c r="C91" i="1"/>
  <c r="B91" i="1"/>
  <c r="E91" i="1" s="1"/>
  <c r="E90" i="1"/>
  <c r="D90" i="1"/>
  <c r="C90" i="1"/>
  <c r="B90" i="1"/>
  <c r="B94" i="1" s="1"/>
  <c r="D94" i="1" s="1"/>
  <c r="E89" i="1"/>
  <c r="D89" i="1"/>
  <c r="C87" i="1"/>
  <c r="E87" i="1" s="1"/>
  <c r="B87" i="1"/>
  <c r="D87" i="1" s="1"/>
  <c r="C86" i="1"/>
  <c r="C88" i="1" s="1"/>
  <c r="B86" i="1"/>
  <c r="D86" i="1" s="1"/>
  <c r="E85" i="1"/>
  <c r="D85" i="1"/>
  <c r="E83" i="1"/>
  <c r="D83" i="1"/>
  <c r="C83" i="1"/>
  <c r="B83" i="1"/>
  <c r="E82" i="1"/>
  <c r="D82" i="1"/>
  <c r="C82" i="1"/>
  <c r="C81" i="1"/>
  <c r="E81" i="1" s="1"/>
  <c r="B81" i="1"/>
  <c r="B84" i="1" s="1"/>
  <c r="E80" i="1"/>
  <c r="D80" i="1"/>
  <c r="B78" i="1"/>
  <c r="D78" i="1" s="1"/>
  <c r="E77" i="1"/>
  <c r="D77" i="1"/>
  <c r="C77" i="1"/>
  <c r="E76" i="1"/>
  <c r="D76" i="1"/>
  <c r="C76" i="1"/>
  <c r="C78" i="1" s="1"/>
  <c r="E78" i="1" s="1"/>
  <c r="B76" i="1"/>
  <c r="E75" i="1"/>
  <c r="D75" i="1"/>
  <c r="C74" i="1"/>
  <c r="E74" i="1" s="1"/>
  <c r="B74" i="1"/>
  <c r="D74" i="1" s="1"/>
  <c r="C72" i="1"/>
  <c r="E72" i="1" s="1"/>
  <c r="B72" i="1"/>
  <c r="D72" i="1" s="1"/>
  <c r="C71" i="1"/>
  <c r="E71" i="1" s="1"/>
  <c r="B71" i="1"/>
  <c r="D71" i="1" s="1"/>
  <c r="C70" i="1"/>
  <c r="E70" i="1" s="1"/>
  <c r="B70" i="1"/>
  <c r="D70" i="1" s="1"/>
  <c r="C69" i="1"/>
  <c r="E69" i="1" s="1"/>
  <c r="B69" i="1"/>
  <c r="D69" i="1" s="1"/>
  <c r="C68" i="1"/>
  <c r="D68" i="1" s="1"/>
  <c r="E67" i="1"/>
  <c r="D67" i="1"/>
  <c r="C63" i="1"/>
  <c r="E63" i="1" s="1"/>
  <c r="B63" i="1"/>
  <c r="C62" i="1"/>
  <c r="E62" i="1" s="1"/>
  <c r="B62" i="1"/>
  <c r="B64" i="1" s="1"/>
  <c r="E61" i="1"/>
  <c r="D61" i="1"/>
  <c r="B57" i="1"/>
  <c r="D57" i="1" s="1"/>
  <c r="E56" i="1"/>
  <c r="D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C57" i="1" s="1"/>
  <c r="E57" i="1" s="1"/>
  <c r="B49" i="1"/>
  <c r="E48" i="1"/>
  <c r="D48" i="1"/>
  <c r="C46" i="1"/>
  <c r="E46" i="1" s="1"/>
  <c r="B46" i="1"/>
  <c r="D46" i="1" s="1"/>
  <c r="C45" i="1"/>
  <c r="E45" i="1" s="1"/>
  <c r="B45" i="1"/>
  <c r="D45" i="1" s="1"/>
  <c r="C44" i="1"/>
  <c r="C47" i="1" s="1"/>
  <c r="B44" i="1"/>
  <c r="D44" i="1" s="1"/>
  <c r="E43" i="1"/>
  <c r="D43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C35" i="1" s="1"/>
  <c r="E35" i="1" s="1"/>
  <c r="B30" i="1"/>
  <c r="B35" i="1" s="1"/>
  <c r="E29" i="1"/>
  <c r="D29" i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E23" i="1"/>
  <c r="D23" i="1"/>
  <c r="E22" i="1"/>
  <c r="D22" i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4" i="1"/>
  <c r="E14" i="1" s="1"/>
  <c r="B14" i="1"/>
  <c r="D14" i="1" s="1"/>
  <c r="C13" i="1"/>
  <c r="C15" i="1" s="1"/>
  <c r="B13" i="1"/>
  <c r="D13" i="1" s="1"/>
  <c r="E12" i="1"/>
  <c r="D12" i="1"/>
  <c r="E10" i="1"/>
  <c r="D10" i="1"/>
  <c r="C10" i="1"/>
  <c r="C11" i="1" s="1"/>
  <c r="E11" i="1" s="1"/>
  <c r="B10" i="1"/>
  <c r="B11" i="1" s="1"/>
  <c r="E9" i="1"/>
  <c r="D9" i="1"/>
  <c r="C8" i="1"/>
  <c r="E8" i="1" s="1"/>
  <c r="B8" i="1"/>
  <c r="D8" i="1" s="1"/>
  <c r="E15" i="1" l="1"/>
  <c r="E105" i="1"/>
  <c r="D11" i="1"/>
  <c r="D35" i="1"/>
  <c r="B65" i="1"/>
  <c r="E94" i="1"/>
  <c r="E113" i="1"/>
  <c r="E122" i="1"/>
  <c r="C20" i="1"/>
  <c r="C28" i="1"/>
  <c r="E13" i="1"/>
  <c r="E44" i="1"/>
  <c r="E68" i="1"/>
  <c r="C84" i="1"/>
  <c r="E84" i="1" s="1"/>
  <c r="E86" i="1"/>
  <c r="D102" i="1"/>
  <c r="D111" i="1"/>
  <c r="D120" i="1"/>
  <c r="B130" i="1"/>
  <c r="B15" i="1"/>
  <c r="D15" i="1" s="1"/>
  <c r="B20" i="1"/>
  <c r="B47" i="1"/>
  <c r="D47" i="1" s="1"/>
  <c r="C64" i="1"/>
  <c r="B73" i="1"/>
  <c r="B88" i="1"/>
  <c r="D88" i="1" s="1"/>
  <c r="C100" i="1"/>
  <c r="E100" i="1" s="1"/>
  <c r="C109" i="1"/>
  <c r="E109" i="1" s="1"/>
  <c r="C118" i="1"/>
  <c r="E118" i="1" s="1"/>
  <c r="E120" i="1"/>
  <c r="C130" i="1"/>
  <c r="D63" i="1"/>
  <c r="D81" i="1"/>
  <c r="D96" i="1"/>
  <c r="D97" i="1"/>
  <c r="D98" i="1"/>
  <c r="D99" i="1"/>
  <c r="D107" i="1"/>
  <c r="D108" i="1"/>
  <c r="D115" i="1"/>
  <c r="D116" i="1"/>
  <c r="D117" i="1"/>
  <c r="B28" i="1"/>
  <c r="D62" i="1"/>
  <c r="C73" i="1"/>
  <c r="C79" i="1" l="1"/>
  <c r="E73" i="1"/>
  <c r="D20" i="1"/>
  <c r="E20" i="1"/>
  <c r="D73" i="1"/>
  <c r="B79" i="1"/>
  <c r="D118" i="1"/>
  <c r="E88" i="1"/>
  <c r="E64" i="1"/>
  <c r="C65" i="1"/>
  <c r="E65" i="1" s="1"/>
  <c r="D130" i="1"/>
  <c r="B131" i="1"/>
  <c r="D64" i="1"/>
  <c r="D109" i="1"/>
  <c r="B42" i="1"/>
  <c r="D28" i="1"/>
  <c r="E130" i="1"/>
  <c r="C131" i="1"/>
  <c r="E131" i="1" s="1"/>
  <c r="C42" i="1"/>
  <c r="E28" i="1"/>
  <c r="D100" i="1"/>
  <c r="E47" i="1"/>
  <c r="D84" i="1"/>
  <c r="C58" i="1" l="1"/>
  <c r="E42" i="1"/>
  <c r="B58" i="1"/>
  <c r="D42" i="1"/>
  <c r="D65" i="1"/>
  <c r="B123" i="1"/>
  <c r="D123" i="1" s="1"/>
  <c r="D79" i="1"/>
  <c r="D131" i="1"/>
  <c r="C123" i="1"/>
  <c r="E123" i="1" s="1"/>
  <c r="E79" i="1"/>
  <c r="D58" i="1" l="1"/>
  <c r="B132" i="1"/>
  <c r="B59" i="1"/>
  <c r="D59" i="1" s="1"/>
  <c r="C132" i="1"/>
  <c r="E132" i="1" s="1"/>
  <c r="E58" i="1"/>
  <c r="C59" i="1"/>
  <c r="E59" i="1" l="1"/>
  <c r="D132" i="1"/>
</calcChain>
</file>

<file path=xl/sharedStrings.xml><?xml version="1.0" encoding="utf-8"?>
<sst xmlns="http://schemas.openxmlformats.org/spreadsheetml/2006/main" count="131" uniqueCount="131">
  <si>
    <t>Total</t>
  </si>
  <si>
    <t>Jul 2023 - Jan 2024</t>
  </si>
  <si>
    <t>Jul 2022 - Jan 2023 (PP)</t>
  </si>
  <si>
    <t>Change</t>
  </si>
  <si>
    <t>% Change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</si>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</sst>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0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zoomScale="150" zoomScaleNormal="150" workbookViewId="0">
      <selection activeCell="G10" sqref="G10"/>
    </sheetView>
  </sheetViews>
  <sheetFormatPr baseColWidth="10" defaultColWidth="8.83203125" defaultRowHeight="15" x14ac:dyDescent="0.2"/>
  <cols>
    <col min="1" max="1" width="40.33203125" customWidth="1"/>
    <col min="2" max="4" width="15.5" customWidth="1"/>
    <col min="5" max="5" width="11.1640625" customWidth="1"/>
  </cols>
  <sheetData>
    <row r="1" spans="1:5" ht="18" x14ac:dyDescent="0.2">
      <c r="A1" s="15"/>
      <c r="B1" s="14"/>
      <c r="C1" s="14"/>
      <c r="D1" s="14"/>
      <c r="E1" s="14"/>
    </row>
    <row r="2" spans="1:5" ht="18" x14ac:dyDescent="0.2">
      <c r="A2" s="15"/>
      <c r="B2" s="14"/>
      <c r="C2" s="14"/>
      <c r="D2" s="14"/>
      <c r="E2" s="14"/>
    </row>
    <row r="3" spans="1:5" x14ac:dyDescent="0.2">
      <c r="A3" s="16"/>
      <c r="B3" s="14"/>
      <c r="C3" s="14"/>
      <c r="D3" s="14"/>
      <c r="E3" s="14"/>
    </row>
    <row r="5" spans="1:5" x14ac:dyDescent="0.2">
      <c r="A5" s="1"/>
      <c r="B5" s="11" t="s">
        <v>0</v>
      </c>
      <c r="C5" s="12"/>
      <c r="D5" s="12"/>
      <c r="E5" s="12"/>
    </row>
    <row r="6" spans="1:5" ht="27" x14ac:dyDescent="0.2">
      <c r="A6" s="1"/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2">
      <c r="A7" s="3" t="s">
        <v>5</v>
      </c>
      <c r="B7" s="4"/>
      <c r="C7" s="4"/>
      <c r="D7" s="4"/>
      <c r="E7" s="4"/>
    </row>
    <row r="8" spans="1:5" x14ac:dyDescent="0.2">
      <c r="A8" s="3" t="s">
        <v>6</v>
      </c>
      <c r="B8" s="5">
        <f>146278941.69</f>
        <v>146278941.69</v>
      </c>
      <c r="C8" s="5">
        <f>112206319.35</f>
        <v>112206319.34999999</v>
      </c>
      <c r="D8" s="5">
        <f t="shared" ref="D8:D20" si="0">(B8)-(C8)</f>
        <v>34072622.340000004</v>
      </c>
      <c r="E8" s="6">
        <f t="shared" ref="E8:E20" si="1">IF(ABS((C8))=0,"",((B8)-(C8))/(ABS((C8))))</f>
        <v>0.30366045813978487</v>
      </c>
    </row>
    <row r="9" spans="1:5" x14ac:dyDescent="0.2">
      <c r="A9" s="3" t="s">
        <v>7</v>
      </c>
      <c r="B9" s="4"/>
      <c r="C9" s="4"/>
      <c r="D9" s="5">
        <f t="shared" si="0"/>
        <v>0</v>
      </c>
      <c r="E9" s="6" t="str">
        <f t="shared" si="1"/>
        <v/>
      </c>
    </row>
    <row r="10" spans="1:5" x14ac:dyDescent="0.2">
      <c r="A10" s="3" t="s">
        <v>8</v>
      </c>
      <c r="B10" s="5">
        <f>11385000</f>
        <v>11385000</v>
      </c>
      <c r="C10" s="5">
        <f>15945039</f>
        <v>15945039</v>
      </c>
      <c r="D10" s="5">
        <f t="shared" si="0"/>
        <v>-4560039</v>
      </c>
      <c r="E10" s="6">
        <f t="shared" si="1"/>
        <v>-0.28598481320741831</v>
      </c>
    </row>
    <row r="11" spans="1:5" x14ac:dyDescent="0.2">
      <c r="A11" s="3" t="s">
        <v>9</v>
      </c>
      <c r="B11" s="7">
        <f>(B9)+(B10)</f>
        <v>11385000</v>
      </c>
      <c r="C11" s="7">
        <f>(C9)+(C10)</f>
        <v>15945039</v>
      </c>
      <c r="D11" s="7">
        <f t="shared" si="0"/>
        <v>-4560039</v>
      </c>
      <c r="E11" s="8">
        <f t="shared" si="1"/>
        <v>-0.28598481320741831</v>
      </c>
    </row>
    <row r="12" spans="1:5" x14ac:dyDescent="0.2">
      <c r="A12" s="3" t="s">
        <v>10</v>
      </c>
      <c r="B12" s="4"/>
      <c r="C12" s="4"/>
      <c r="D12" s="5">
        <f t="shared" si="0"/>
        <v>0</v>
      </c>
      <c r="E12" s="6" t="str">
        <f t="shared" si="1"/>
        <v/>
      </c>
    </row>
    <row r="13" spans="1:5" x14ac:dyDescent="0.2">
      <c r="A13" s="3" t="s">
        <v>11</v>
      </c>
      <c r="B13" s="5">
        <f>64720595.5</f>
        <v>64720595.5</v>
      </c>
      <c r="C13" s="5">
        <f>60833533.72</f>
        <v>60833533.719999999</v>
      </c>
      <c r="D13" s="5">
        <f t="shared" si="0"/>
        <v>3887061.7800000012</v>
      </c>
      <c r="E13" s="6">
        <f t="shared" si="1"/>
        <v>6.3896695495137198E-2</v>
      </c>
    </row>
    <row r="14" spans="1:5" x14ac:dyDescent="0.2">
      <c r="A14" s="3" t="s">
        <v>12</v>
      </c>
      <c r="B14" s="5">
        <f>4496071</f>
        <v>4496071</v>
      </c>
      <c r="C14" s="5">
        <f>4730969</f>
        <v>4730969</v>
      </c>
      <c r="D14" s="5">
        <f t="shared" si="0"/>
        <v>-234898</v>
      </c>
      <c r="E14" s="6">
        <f t="shared" si="1"/>
        <v>-4.9651139121816269E-2</v>
      </c>
    </row>
    <row r="15" spans="1:5" x14ac:dyDescent="0.2">
      <c r="A15" s="3" t="s">
        <v>13</v>
      </c>
      <c r="B15" s="7">
        <f>((B12)+(B13))+(B14)</f>
        <v>69216666.5</v>
      </c>
      <c r="C15" s="7">
        <f>((C12)+(C13))+(C14)</f>
        <v>65564502.719999999</v>
      </c>
      <c r="D15" s="7">
        <f t="shared" si="0"/>
        <v>3652163.7800000012</v>
      </c>
      <c r="E15" s="8">
        <f t="shared" si="1"/>
        <v>5.570337039841429E-2</v>
      </c>
    </row>
    <row r="16" spans="1:5" x14ac:dyDescent="0.2">
      <c r="A16" s="3" t="s">
        <v>14</v>
      </c>
      <c r="B16" s="5">
        <f>6654160</f>
        <v>6654160</v>
      </c>
      <c r="C16" s="5">
        <f>5038835</f>
        <v>5038835</v>
      </c>
      <c r="D16" s="5">
        <f t="shared" si="0"/>
        <v>1615325</v>
      </c>
      <c r="E16" s="6">
        <f t="shared" si="1"/>
        <v>0.32057509325072164</v>
      </c>
    </row>
    <row r="17" spans="1:5" x14ac:dyDescent="0.2">
      <c r="A17" s="3" t="s">
        <v>15</v>
      </c>
      <c r="B17" s="5">
        <f>17646132</f>
        <v>17646132</v>
      </c>
      <c r="C17" s="5">
        <f>13594652.1</f>
        <v>13594652.1</v>
      </c>
      <c r="D17" s="5">
        <f t="shared" si="0"/>
        <v>4051479.9000000004</v>
      </c>
      <c r="E17" s="6">
        <f t="shared" si="1"/>
        <v>0.2980201236631867</v>
      </c>
    </row>
    <row r="18" spans="1:5" x14ac:dyDescent="0.2">
      <c r="A18" s="3" t="s">
        <v>16</v>
      </c>
      <c r="B18" s="5">
        <f>750750</f>
        <v>750750</v>
      </c>
      <c r="C18" s="5">
        <f>1176120</f>
        <v>1176120</v>
      </c>
      <c r="D18" s="5">
        <f t="shared" si="0"/>
        <v>-425370</v>
      </c>
      <c r="E18" s="6">
        <f t="shared" si="1"/>
        <v>-0.361672278338945</v>
      </c>
    </row>
    <row r="19" spans="1:5" x14ac:dyDescent="0.2">
      <c r="A19" s="3" t="s">
        <v>17</v>
      </c>
      <c r="B19" s="5">
        <f>1139200</f>
        <v>1139200</v>
      </c>
      <c r="C19" s="5">
        <f>793200</f>
        <v>793200</v>
      </c>
      <c r="D19" s="5">
        <f t="shared" si="0"/>
        <v>346000</v>
      </c>
      <c r="E19" s="6">
        <f t="shared" si="1"/>
        <v>0.43620776601109429</v>
      </c>
    </row>
    <row r="20" spans="1:5" x14ac:dyDescent="0.2">
      <c r="A20" s="3" t="s">
        <v>18</v>
      </c>
      <c r="B20" s="7">
        <f>((((((B8)+(B11))+(B15))+(B16))+(B17))+(B18))+(B19)</f>
        <v>253070850.19</v>
      </c>
      <c r="C20" s="7">
        <f>((((((C8)+(C11))+(C15))+(C16))+(C17))+(C18))+(C19)</f>
        <v>214318668.16999999</v>
      </c>
      <c r="D20" s="7">
        <f t="shared" si="0"/>
        <v>38752182.020000011</v>
      </c>
      <c r="E20" s="8">
        <f t="shared" si="1"/>
        <v>0.18081570938683392</v>
      </c>
    </row>
    <row r="21" spans="1:5" x14ac:dyDescent="0.2">
      <c r="A21" s="3" t="s">
        <v>19</v>
      </c>
      <c r="B21" s="4"/>
      <c r="C21" s="4"/>
      <c r="D21" s="4"/>
      <c r="E21" s="4"/>
    </row>
    <row r="22" spans="1:5" x14ac:dyDescent="0.2">
      <c r="A22" s="3" t="s">
        <v>20</v>
      </c>
      <c r="B22" s="4"/>
      <c r="C22" s="4"/>
      <c r="D22" s="5">
        <f t="shared" ref="D22:D59" si="2">(B22)-(C22)</f>
        <v>0</v>
      </c>
      <c r="E22" s="6" t="str">
        <f t="shared" ref="E22:E59" si="3">IF(ABS((C22))=0,"",((B22)-(C22))/(ABS((C22))))</f>
        <v/>
      </c>
    </row>
    <row r="23" spans="1:5" x14ac:dyDescent="0.2">
      <c r="A23" s="3" t="s">
        <v>21</v>
      </c>
      <c r="B23" s="4"/>
      <c r="C23" s="4"/>
      <c r="D23" s="5">
        <f t="shared" si="2"/>
        <v>0</v>
      </c>
      <c r="E23" s="6" t="str">
        <f t="shared" si="3"/>
        <v/>
      </c>
    </row>
    <row r="24" spans="1:5" x14ac:dyDescent="0.2">
      <c r="A24" s="3" t="s">
        <v>22</v>
      </c>
      <c r="B24" s="5">
        <f>19838046</f>
        <v>19838046</v>
      </c>
      <c r="C24" s="5">
        <f>15768732</f>
        <v>15768732</v>
      </c>
      <c r="D24" s="5">
        <f t="shared" si="2"/>
        <v>4069314</v>
      </c>
      <c r="E24" s="6">
        <f t="shared" si="3"/>
        <v>0.25806222085580505</v>
      </c>
    </row>
    <row r="25" spans="1:5" x14ac:dyDescent="0.2">
      <c r="A25" s="3" t="s">
        <v>23</v>
      </c>
      <c r="B25" s="5">
        <f>23248624</f>
        <v>23248624</v>
      </c>
      <c r="C25" s="5">
        <f>20023380.28</f>
        <v>20023380.280000001</v>
      </c>
      <c r="D25" s="5">
        <f t="shared" si="2"/>
        <v>3225243.7199999988</v>
      </c>
      <c r="E25" s="6">
        <f t="shared" si="3"/>
        <v>0.1610738883694616</v>
      </c>
    </row>
    <row r="26" spans="1:5" x14ac:dyDescent="0.2">
      <c r="A26" s="3" t="s">
        <v>24</v>
      </c>
      <c r="B26" s="5">
        <f>3800199</f>
        <v>3800199</v>
      </c>
      <c r="C26" s="5">
        <f>2373584</f>
        <v>2373584</v>
      </c>
      <c r="D26" s="5">
        <f t="shared" si="2"/>
        <v>1426615</v>
      </c>
      <c r="E26" s="6">
        <f t="shared" si="3"/>
        <v>0.60103834538823986</v>
      </c>
    </row>
    <row r="27" spans="1:5" x14ac:dyDescent="0.2">
      <c r="A27" s="3" t="s">
        <v>25</v>
      </c>
      <c r="B27" s="5">
        <f>3522985</f>
        <v>3522985</v>
      </c>
      <c r="C27" s="5">
        <f>2799593</f>
        <v>2799593</v>
      </c>
      <c r="D27" s="5">
        <f t="shared" si="2"/>
        <v>723392</v>
      </c>
      <c r="E27" s="6">
        <f t="shared" si="3"/>
        <v>0.25839184481458555</v>
      </c>
    </row>
    <row r="28" spans="1:5" x14ac:dyDescent="0.2">
      <c r="A28" s="3" t="s">
        <v>26</v>
      </c>
      <c r="B28" s="7">
        <f>((((B23)+(B24))+(B25))+(B26))+(B27)</f>
        <v>50409854</v>
      </c>
      <c r="C28" s="7">
        <f>((((C23)+(C24))+(C25))+(C26))+(C27)</f>
        <v>40965289.280000001</v>
      </c>
      <c r="D28" s="7">
        <f t="shared" si="2"/>
        <v>9444564.7199999988</v>
      </c>
      <c r="E28" s="8">
        <f t="shared" si="3"/>
        <v>0.23055042173499327</v>
      </c>
    </row>
    <row r="29" spans="1:5" x14ac:dyDescent="0.2">
      <c r="A29" s="3" t="s">
        <v>27</v>
      </c>
      <c r="B29" s="4"/>
      <c r="C29" s="4"/>
      <c r="D29" s="5">
        <f t="shared" si="2"/>
        <v>0</v>
      </c>
      <c r="E29" s="6" t="str">
        <f t="shared" si="3"/>
        <v/>
      </c>
    </row>
    <row r="30" spans="1:5" x14ac:dyDescent="0.2">
      <c r="A30" s="3" t="s">
        <v>28</v>
      </c>
      <c r="B30" s="5">
        <f>5497890</f>
        <v>5497890</v>
      </c>
      <c r="C30" s="5">
        <f>6503007.76</f>
        <v>6503007.7599999998</v>
      </c>
      <c r="D30" s="5">
        <f t="shared" si="2"/>
        <v>-1005117.7599999998</v>
      </c>
      <c r="E30" s="6">
        <f t="shared" si="3"/>
        <v>-0.15456198071644309</v>
      </c>
    </row>
    <row r="31" spans="1:5" x14ac:dyDescent="0.2">
      <c r="A31" s="3" t="s">
        <v>29</v>
      </c>
      <c r="B31" s="5">
        <f>2879966</f>
        <v>2879966</v>
      </c>
      <c r="C31" s="5">
        <f>2284149</f>
        <v>2284149</v>
      </c>
      <c r="D31" s="5">
        <f t="shared" si="2"/>
        <v>595817</v>
      </c>
      <c r="E31" s="6">
        <f t="shared" si="3"/>
        <v>0.2608485698612481</v>
      </c>
    </row>
    <row r="32" spans="1:5" x14ac:dyDescent="0.2">
      <c r="A32" s="3" t="s">
        <v>30</v>
      </c>
      <c r="B32" s="5">
        <f>4189321</f>
        <v>4189321</v>
      </c>
      <c r="C32" s="5">
        <f>3591436</f>
        <v>3591436</v>
      </c>
      <c r="D32" s="5">
        <f t="shared" si="2"/>
        <v>597885</v>
      </c>
      <c r="E32" s="6">
        <f t="shared" si="3"/>
        <v>0.16647519265274391</v>
      </c>
    </row>
    <row r="33" spans="1:5" x14ac:dyDescent="0.2">
      <c r="A33" s="3" t="s">
        <v>31</v>
      </c>
      <c r="B33" s="5">
        <f>1063278</f>
        <v>1063278</v>
      </c>
      <c r="C33" s="5">
        <f>559813</f>
        <v>559813</v>
      </c>
      <c r="D33" s="5">
        <f t="shared" si="2"/>
        <v>503465</v>
      </c>
      <c r="E33" s="6">
        <f t="shared" si="3"/>
        <v>0.899344959834802</v>
      </c>
    </row>
    <row r="34" spans="1:5" x14ac:dyDescent="0.2">
      <c r="A34" s="3" t="s">
        <v>32</v>
      </c>
      <c r="B34" s="5">
        <f>11537065</f>
        <v>11537065</v>
      </c>
      <c r="C34" s="5">
        <f>7067364.78</f>
        <v>7067364.7800000003</v>
      </c>
      <c r="D34" s="5">
        <f t="shared" si="2"/>
        <v>4469700.22</v>
      </c>
      <c r="E34" s="6">
        <f t="shared" si="3"/>
        <v>0.63244226938007286</v>
      </c>
    </row>
    <row r="35" spans="1:5" x14ac:dyDescent="0.2">
      <c r="A35" s="3" t="s">
        <v>33</v>
      </c>
      <c r="B35" s="7">
        <f>(((((B29)+(B30))+(B31))+(B32))+(B33))+(B34)</f>
        <v>25167520</v>
      </c>
      <c r="C35" s="7">
        <f>(((((C29)+(C30))+(C31))+(C32))+(C33))+(C34)</f>
        <v>20005770.539999999</v>
      </c>
      <c r="D35" s="7">
        <f t="shared" si="2"/>
        <v>5161749.4600000009</v>
      </c>
      <c r="E35" s="8">
        <f t="shared" si="3"/>
        <v>0.25801302927470249</v>
      </c>
    </row>
    <row r="36" spans="1:5" x14ac:dyDescent="0.2">
      <c r="A36" s="3" t="s">
        <v>34</v>
      </c>
      <c r="B36" s="5">
        <f>5383087</f>
        <v>5383087</v>
      </c>
      <c r="C36" s="5">
        <f>5725174</f>
        <v>5725174</v>
      </c>
      <c r="D36" s="5">
        <f t="shared" si="2"/>
        <v>-342087</v>
      </c>
      <c r="E36" s="6">
        <f t="shared" si="3"/>
        <v>-5.9751371748701439E-2</v>
      </c>
    </row>
    <row r="37" spans="1:5" x14ac:dyDescent="0.2">
      <c r="A37" s="3" t="s">
        <v>35</v>
      </c>
      <c r="B37" s="5">
        <f>11717227</f>
        <v>11717227</v>
      </c>
      <c r="C37" s="5">
        <f>8328739.74</f>
        <v>8328739.7400000002</v>
      </c>
      <c r="D37" s="5">
        <f t="shared" si="2"/>
        <v>3388487.26</v>
      </c>
      <c r="E37" s="6">
        <f t="shared" si="3"/>
        <v>0.40684273560936118</v>
      </c>
    </row>
    <row r="38" spans="1:5" x14ac:dyDescent="0.2">
      <c r="A38" s="3" t="s">
        <v>36</v>
      </c>
      <c r="B38" s="5">
        <f>6462248</f>
        <v>6462248</v>
      </c>
      <c r="C38" s="5">
        <f>5714227</f>
        <v>5714227</v>
      </c>
      <c r="D38" s="5">
        <f t="shared" si="2"/>
        <v>748021</v>
      </c>
      <c r="E38" s="6">
        <f t="shared" si="3"/>
        <v>0.130905020049081</v>
      </c>
    </row>
    <row r="39" spans="1:5" x14ac:dyDescent="0.2">
      <c r="A39" s="3" t="s">
        <v>37</v>
      </c>
      <c r="B39" s="5">
        <f>3955092</f>
        <v>3955092</v>
      </c>
      <c r="C39" s="5">
        <f>2776860.65</f>
        <v>2776860.65</v>
      </c>
      <c r="D39" s="5">
        <f t="shared" si="2"/>
        <v>1178231.3500000001</v>
      </c>
      <c r="E39" s="6">
        <f t="shared" si="3"/>
        <v>0.4243033765486216</v>
      </c>
    </row>
    <row r="40" spans="1:5" x14ac:dyDescent="0.2">
      <c r="A40" s="3" t="s">
        <v>38</v>
      </c>
      <c r="B40" s="5">
        <f>5360259.4</f>
        <v>5360259.4000000004</v>
      </c>
      <c r="C40" s="5">
        <f>5022374</f>
        <v>5022374</v>
      </c>
      <c r="D40" s="5">
        <f t="shared" si="2"/>
        <v>337885.40000000037</v>
      </c>
      <c r="E40" s="6">
        <f t="shared" si="3"/>
        <v>6.7276033206607147E-2</v>
      </c>
    </row>
    <row r="41" spans="1:5" x14ac:dyDescent="0.2">
      <c r="A41" s="3" t="s">
        <v>39</v>
      </c>
      <c r="B41" s="5">
        <f>3883894</f>
        <v>3883894</v>
      </c>
      <c r="C41" s="5">
        <f>3188916</f>
        <v>3188916</v>
      </c>
      <c r="D41" s="5">
        <f t="shared" si="2"/>
        <v>694978</v>
      </c>
      <c r="E41" s="6">
        <f t="shared" si="3"/>
        <v>0.21793549908495552</v>
      </c>
    </row>
    <row r="42" spans="1:5" x14ac:dyDescent="0.2">
      <c r="A42" s="3" t="s">
        <v>40</v>
      </c>
      <c r="B42" s="7">
        <f>((((((((B22)+(B28))+(B35))+(B36))+(B37))+(B38))+(B39))+(B40))+(B41)</f>
        <v>112339181.40000001</v>
      </c>
      <c r="C42" s="7">
        <f>((((((((C22)+(C28))+(C35))+(C36))+(C37))+(C38))+(C39))+(C40))+(C41)</f>
        <v>91727351.210000008</v>
      </c>
      <c r="D42" s="7">
        <f t="shared" si="2"/>
        <v>20611830.189999998</v>
      </c>
      <c r="E42" s="8">
        <f t="shared" si="3"/>
        <v>0.22470756996799576</v>
      </c>
    </row>
    <row r="43" spans="1:5" x14ac:dyDescent="0.2">
      <c r="A43" s="3" t="s">
        <v>41</v>
      </c>
      <c r="B43" s="4"/>
      <c r="C43" s="4"/>
      <c r="D43" s="5">
        <f t="shared" si="2"/>
        <v>0</v>
      </c>
      <c r="E43" s="6" t="str">
        <f t="shared" si="3"/>
        <v/>
      </c>
    </row>
    <row r="44" spans="1:5" x14ac:dyDescent="0.2">
      <c r="A44" s="3" t="s">
        <v>42</v>
      </c>
      <c r="B44" s="5">
        <f>31724243</f>
        <v>31724243</v>
      </c>
      <c r="C44" s="5">
        <f>31318401.33</f>
        <v>31318401.329999998</v>
      </c>
      <c r="D44" s="5">
        <f t="shared" si="2"/>
        <v>405841.67000000179</v>
      </c>
      <c r="E44" s="6">
        <f t="shared" si="3"/>
        <v>1.2958569172279069E-2</v>
      </c>
    </row>
    <row r="45" spans="1:5" x14ac:dyDescent="0.2">
      <c r="A45" s="3" t="s">
        <v>43</v>
      </c>
      <c r="B45" s="5">
        <f>5613330</f>
        <v>5613330</v>
      </c>
      <c r="C45" s="5">
        <f>3075870</f>
        <v>3075870</v>
      </c>
      <c r="D45" s="5">
        <f t="shared" si="2"/>
        <v>2537460</v>
      </c>
      <c r="E45" s="6">
        <f t="shared" si="3"/>
        <v>0.82495684147899617</v>
      </c>
    </row>
    <row r="46" spans="1:5" x14ac:dyDescent="0.2">
      <c r="A46" s="3" t="s">
        <v>44</v>
      </c>
      <c r="B46" s="5">
        <f>5509755</f>
        <v>5509755</v>
      </c>
      <c r="C46" s="5">
        <f>6357741</f>
        <v>6357741</v>
      </c>
      <c r="D46" s="5">
        <f t="shared" si="2"/>
        <v>-847986</v>
      </c>
      <c r="E46" s="6">
        <f t="shared" si="3"/>
        <v>-0.13337850661107459</v>
      </c>
    </row>
    <row r="47" spans="1:5" x14ac:dyDescent="0.2">
      <c r="A47" s="3" t="s">
        <v>45</v>
      </c>
      <c r="B47" s="7">
        <f>(((B43)+(B44))+(B45))+(B46)</f>
        <v>42847328</v>
      </c>
      <c r="C47" s="7">
        <f>(((C43)+(C44))+(C45))+(C46)</f>
        <v>40752012.329999998</v>
      </c>
      <c r="D47" s="7">
        <f t="shared" si="2"/>
        <v>2095315.6700000018</v>
      </c>
      <c r="E47" s="8">
        <f t="shared" si="3"/>
        <v>5.1416250393542272E-2</v>
      </c>
    </row>
    <row r="48" spans="1:5" x14ac:dyDescent="0.2">
      <c r="A48" s="3" t="s">
        <v>46</v>
      </c>
      <c r="B48" s="4"/>
      <c r="C48" s="4"/>
      <c r="D48" s="5">
        <f t="shared" si="2"/>
        <v>0</v>
      </c>
      <c r="E48" s="6" t="str">
        <f t="shared" si="3"/>
        <v/>
      </c>
    </row>
    <row r="49" spans="1:5" x14ac:dyDescent="0.2">
      <c r="A49" s="3" t="s">
        <v>47</v>
      </c>
      <c r="B49" s="5">
        <f>10157791</f>
        <v>10157791</v>
      </c>
      <c r="C49" s="5">
        <f>8109391</f>
        <v>8109391</v>
      </c>
      <c r="D49" s="5">
        <f t="shared" si="2"/>
        <v>2048400</v>
      </c>
      <c r="E49" s="6">
        <f t="shared" si="3"/>
        <v>0.25259603341360654</v>
      </c>
    </row>
    <row r="50" spans="1:5" x14ac:dyDescent="0.2">
      <c r="A50" s="3" t="s">
        <v>48</v>
      </c>
      <c r="B50" s="5">
        <f>11850509.79</f>
        <v>11850509.789999999</v>
      </c>
      <c r="C50" s="5">
        <f>7767374</f>
        <v>7767374</v>
      </c>
      <c r="D50" s="5">
        <f t="shared" si="2"/>
        <v>4083135.7899999991</v>
      </c>
      <c r="E50" s="6">
        <f t="shared" si="3"/>
        <v>0.52567776316680503</v>
      </c>
    </row>
    <row r="51" spans="1:5" x14ac:dyDescent="0.2">
      <c r="A51" s="3" t="s">
        <v>49</v>
      </c>
      <c r="B51" s="5">
        <f>9800315</f>
        <v>9800315</v>
      </c>
      <c r="C51" s="5">
        <f>9703143.3</f>
        <v>9703143.3000000007</v>
      </c>
      <c r="D51" s="5">
        <f t="shared" si="2"/>
        <v>97171.699999999255</v>
      </c>
      <c r="E51" s="6">
        <f t="shared" si="3"/>
        <v>1.001445583102944E-2</v>
      </c>
    </row>
    <row r="52" spans="1:5" x14ac:dyDescent="0.2">
      <c r="A52" s="3" t="s">
        <v>50</v>
      </c>
      <c r="B52" s="5">
        <f>1575561</f>
        <v>1575561</v>
      </c>
      <c r="C52" s="5">
        <f>1775331</f>
        <v>1775331</v>
      </c>
      <c r="D52" s="5">
        <f t="shared" si="2"/>
        <v>-199770</v>
      </c>
      <c r="E52" s="6">
        <f t="shared" si="3"/>
        <v>-0.11252549524567532</v>
      </c>
    </row>
    <row r="53" spans="1:5" x14ac:dyDescent="0.2">
      <c r="A53" s="3" t="s">
        <v>51</v>
      </c>
      <c r="B53" s="5">
        <f>703228</f>
        <v>703228</v>
      </c>
      <c r="C53" s="5">
        <f>962071</f>
        <v>962071</v>
      </c>
      <c r="D53" s="5">
        <f t="shared" si="2"/>
        <v>-258843</v>
      </c>
      <c r="E53" s="6">
        <f t="shared" si="3"/>
        <v>-0.26904771061595245</v>
      </c>
    </row>
    <row r="54" spans="1:5" x14ac:dyDescent="0.2">
      <c r="A54" s="3" t="s">
        <v>52</v>
      </c>
      <c r="B54" s="5">
        <f>1737493</f>
        <v>1737493</v>
      </c>
      <c r="C54" s="5">
        <f>1935156</f>
        <v>1935156</v>
      </c>
      <c r="D54" s="5">
        <f t="shared" si="2"/>
        <v>-197663</v>
      </c>
      <c r="E54" s="6">
        <f t="shared" si="3"/>
        <v>-0.10214318638910765</v>
      </c>
    </row>
    <row r="55" spans="1:5" x14ac:dyDescent="0.2">
      <c r="A55" s="3" t="s">
        <v>53</v>
      </c>
      <c r="B55" s="5">
        <f>1679206</f>
        <v>1679206</v>
      </c>
      <c r="C55" s="5">
        <f>1233257</f>
        <v>1233257</v>
      </c>
      <c r="D55" s="5">
        <f t="shared" si="2"/>
        <v>445949</v>
      </c>
      <c r="E55" s="6">
        <f t="shared" si="3"/>
        <v>0.36160265054242546</v>
      </c>
    </row>
    <row r="56" spans="1:5" x14ac:dyDescent="0.2">
      <c r="A56" s="3" t="s">
        <v>54</v>
      </c>
      <c r="B56" s="5">
        <f>883200</f>
        <v>883200</v>
      </c>
      <c r="C56" s="4"/>
      <c r="D56" s="5">
        <f t="shared" si="2"/>
        <v>883200</v>
      </c>
      <c r="E56" s="6" t="str">
        <f t="shared" si="3"/>
        <v/>
      </c>
    </row>
    <row r="57" spans="1:5" x14ac:dyDescent="0.2">
      <c r="A57" s="3" t="s">
        <v>55</v>
      </c>
      <c r="B57" s="7">
        <f>((((((((B48)+(B49))+(B50))+(B51))+(B52))+(B53))+(B54))+(B55))+(B56)</f>
        <v>38387303.789999999</v>
      </c>
      <c r="C57" s="7">
        <f>((((((((C48)+(C49))+(C50))+(C51))+(C52))+(C53))+(C54))+(C55))+(C56)</f>
        <v>31485723.300000001</v>
      </c>
      <c r="D57" s="7">
        <f t="shared" si="2"/>
        <v>6901580.4899999984</v>
      </c>
      <c r="E57" s="8">
        <f t="shared" si="3"/>
        <v>0.21919713973983879</v>
      </c>
    </row>
    <row r="58" spans="1:5" x14ac:dyDescent="0.2">
      <c r="A58" s="3" t="s">
        <v>56</v>
      </c>
      <c r="B58" s="7">
        <f>((B42)+(B47))+(B57)</f>
        <v>193573813.19</v>
      </c>
      <c r="C58" s="7">
        <f>((C42)+(C47))+(C57)</f>
        <v>163965086.84</v>
      </c>
      <c r="D58" s="7">
        <f t="shared" si="2"/>
        <v>29608726.349999994</v>
      </c>
      <c r="E58" s="8">
        <f t="shared" si="3"/>
        <v>0.1805794570089955</v>
      </c>
    </row>
    <row r="59" spans="1:5" x14ac:dyDescent="0.2">
      <c r="A59" s="3" t="s">
        <v>57</v>
      </c>
      <c r="B59" s="7">
        <f>(B20)-(B58)</f>
        <v>59497037</v>
      </c>
      <c r="C59" s="7">
        <f>(C20)-(C58)</f>
        <v>50353581.329999983</v>
      </c>
      <c r="D59" s="7">
        <f t="shared" si="2"/>
        <v>9143455.6700000167</v>
      </c>
      <c r="E59" s="8">
        <f t="shared" si="3"/>
        <v>0.18158501199898705</v>
      </c>
    </row>
    <row r="60" spans="1:5" x14ac:dyDescent="0.2">
      <c r="A60" s="3" t="s">
        <v>58</v>
      </c>
      <c r="B60" s="4"/>
      <c r="C60" s="4"/>
      <c r="D60" s="4"/>
      <c r="E60" s="4"/>
    </row>
    <row r="61" spans="1:5" x14ac:dyDescent="0.2">
      <c r="A61" s="3" t="s">
        <v>59</v>
      </c>
      <c r="B61" s="4"/>
      <c r="C61" s="4"/>
      <c r="D61" s="5">
        <f>(B61)-(C61)</f>
        <v>0</v>
      </c>
      <c r="E61" s="6" t="str">
        <f>IF(ABS((C61))=0,"",((B61)-(C61))/(ABS((C61))))</f>
        <v/>
      </c>
    </row>
    <row r="62" spans="1:5" x14ac:dyDescent="0.2">
      <c r="A62" s="3" t="s">
        <v>60</v>
      </c>
      <c r="B62" s="5">
        <f>42288550</f>
        <v>42288550</v>
      </c>
      <c r="C62" s="5">
        <f>31788791</f>
        <v>31788791</v>
      </c>
      <c r="D62" s="5">
        <f>(B62)-(C62)</f>
        <v>10499759</v>
      </c>
      <c r="E62" s="6">
        <f>IF(ABS((C62))=0,"",((B62)-(C62))/(ABS((C62))))</f>
        <v>0.33029752531324641</v>
      </c>
    </row>
    <row r="63" spans="1:5" x14ac:dyDescent="0.2">
      <c r="A63" s="3" t="s">
        <v>61</v>
      </c>
      <c r="B63" s="5">
        <f>7202391.5</f>
        <v>7202391.5</v>
      </c>
      <c r="C63" s="5">
        <f>4953356.21</f>
        <v>4953356.21</v>
      </c>
      <c r="D63" s="5">
        <f>(B63)-(C63)</f>
        <v>2249035.29</v>
      </c>
      <c r="E63" s="6">
        <f>IF(ABS((C63))=0,"",((B63)-(C63))/(ABS((C63))))</f>
        <v>0.45404271258739132</v>
      </c>
    </row>
    <row r="64" spans="1:5" x14ac:dyDescent="0.2">
      <c r="A64" s="3" t="s">
        <v>62</v>
      </c>
      <c r="B64" s="7">
        <f>((B61)+(B62))+(B63)</f>
        <v>49490941.5</v>
      </c>
      <c r="C64" s="7">
        <f>((C61)+(C62))+(C63)</f>
        <v>36742147.210000001</v>
      </c>
      <c r="D64" s="7">
        <f>(B64)-(C64)</f>
        <v>12748794.289999999</v>
      </c>
      <c r="E64" s="8">
        <f>IF(ABS((C64))=0,"",((B64)-(C64))/(ABS((C64))))</f>
        <v>0.34698011025687137</v>
      </c>
    </row>
    <row r="65" spans="1:5" x14ac:dyDescent="0.2">
      <c r="A65" s="3" t="s">
        <v>63</v>
      </c>
      <c r="B65" s="7">
        <f>B64</f>
        <v>49490941.5</v>
      </c>
      <c r="C65" s="7">
        <f>C64</f>
        <v>36742147.210000001</v>
      </c>
      <c r="D65" s="7">
        <f>(B65)-(C65)</f>
        <v>12748794.289999999</v>
      </c>
      <c r="E65" s="8">
        <f>IF(ABS((C65))=0,"",((B65)-(C65))/(ABS((C65))))</f>
        <v>0.34698011025687137</v>
      </c>
    </row>
    <row r="66" spans="1:5" x14ac:dyDescent="0.2">
      <c r="A66" s="3" t="s">
        <v>64</v>
      </c>
      <c r="B66" s="4"/>
      <c r="C66" s="4"/>
      <c r="D66" s="4"/>
      <c r="E66" s="4"/>
    </row>
    <row r="67" spans="1:5" x14ac:dyDescent="0.2">
      <c r="A67" s="3" t="s">
        <v>65</v>
      </c>
      <c r="B67" s="4"/>
      <c r="C67" s="4"/>
      <c r="D67" s="5">
        <f t="shared" ref="D67:D98" si="4">(B67)-(C67)</f>
        <v>0</v>
      </c>
      <c r="E67" s="6" t="str">
        <f t="shared" ref="E67:E98" si="5">IF(ABS((C67))=0,"",((B67)-(C67))/(ABS((C67))))</f>
        <v/>
      </c>
    </row>
    <row r="68" spans="1:5" x14ac:dyDescent="0.2">
      <c r="A68" s="3" t="s">
        <v>66</v>
      </c>
      <c r="B68" s="4"/>
      <c r="C68" s="5">
        <f>8357523.67</f>
        <v>8357523.6699999999</v>
      </c>
      <c r="D68" s="5">
        <f t="shared" si="4"/>
        <v>-8357523.6699999999</v>
      </c>
      <c r="E68" s="6">
        <f t="shared" si="5"/>
        <v>-1</v>
      </c>
    </row>
    <row r="69" spans="1:5" x14ac:dyDescent="0.2">
      <c r="A69" s="3" t="s">
        <v>67</v>
      </c>
      <c r="B69" s="5">
        <f>4620050</f>
        <v>4620050</v>
      </c>
      <c r="C69" s="5">
        <f>1499583</f>
        <v>1499583</v>
      </c>
      <c r="D69" s="5">
        <f t="shared" si="4"/>
        <v>3120467</v>
      </c>
      <c r="E69" s="6">
        <f t="shared" si="5"/>
        <v>2.0808898207034887</v>
      </c>
    </row>
    <row r="70" spans="1:5" x14ac:dyDescent="0.2">
      <c r="A70" s="3" t="s">
        <v>68</v>
      </c>
      <c r="B70" s="5">
        <f>403667</f>
        <v>403667</v>
      </c>
      <c r="C70" s="5">
        <f>623333</f>
        <v>623333</v>
      </c>
      <c r="D70" s="5">
        <f t="shared" si="4"/>
        <v>-219666</v>
      </c>
      <c r="E70" s="6">
        <f t="shared" si="5"/>
        <v>-0.35240553604574121</v>
      </c>
    </row>
    <row r="71" spans="1:5" x14ac:dyDescent="0.2">
      <c r="A71" s="3" t="s">
        <v>69</v>
      </c>
      <c r="B71" s="5">
        <f>7206153</f>
        <v>7206153</v>
      </c>
      <c r="C71" s="5">
        <f>1516220</f>
        <v>1516220</v>
      </c>
      <c r="D71" s="5">
        <f t="shared" si="4"/>
        <v>5689933</v>
      </c>
      <c r="E71" s="6">
        <f t="shared" si="5"/>
        <v>3.7527093693527322</v>
      </c>
    </row>
    <row r="72" spans="1:5" x14ac:dyDescent="0.2">
      <c r="A72" s="3" t="s">
        <v>70</v>
      </c>
      <c r="B72" s="5">
        <f>2322271</f>
        <v>2322271</v>
      </c>
      <c r="C72" s="5">
        <f>674833</f>
        <v>674833</v>
      </c>
      <c r="D72" s="5">
        <f t="shared" si="4"/>
        <v>1647438</v>
      </c>
      <c r="E72" s="6">
        <f t="shared" si="5"/>
        <v>2.4412528729330072</v>
      </c>
    </row>
    <row r="73" spans="1:5" x14ac:dyDescent="0.2">
      <c r="A73" s="3" t="s">
        <v>71</v>
      </c>
      <c r="B73" s="7">
        <f>((((B68)+(B69))+(B70))+(B71))+(B72)</f>
        <v>14552141</v>
      </c>
      <c r="C73" s="7">
        <f>((((C68)+(C69))+(C70))+(C71))+(C72)</f>
        <v>12671492.67</v>
      </c>
      <c r="D73" s="7">
        <f t="shared" si="4"/>
        <v>1880648.33</v>
      </c>
      <c r="E73" s="8">
        <f t="shared" si="5"/>
        <v>0.14841569016193892</v>
      </c>
    </row>
    <row r="74" spans="1:5" x14ac:dyDescent="0.2">
      <c r="A74" s="3" t="s">
        <v>72</v>
      </c>
      <c r="B74" s="5">
        <f>1942145.75</f>
        <v>1942145.75</v>
      </c>
      <c r="C74" s="5">
        <f>1024096.25</f>
        <v>1024096.25</v>
      </c>
      <c r="D74" s="5">
        <f t="shared" si="4"/>
        <v>918049.5</v>
      </c>
      <c r="E74" s="6">
        <f t="shared" si="5"/>
        <v>0.89644845394170714</v>
      </c>
    </row>
    <row r="75" spans="1:5" x14ac:dyDescent="0.2">
      <c r="A75" s="3" t="s">
        <v>73</v>
      </c>
      <c r="B75" s="4"/>
      <c r="C75" s="4"/>
      <c r="D75" s="5">
        <f t="shared" si="4"/>
        <v>0</v>
      </c>
      <c r="E75" s="6" t="str">
        <f t="shared" si="5"/>
        <v/>
      </c>
    </row>
    <row r="76" spans="1:5" x14ac:dyDescent="0.2">
      <c r="A76" s="3" t="s">
        <v>74</v>
      </c>
      <c r="B76" s="5">
        <f>2790522</f>
        <v>2790522</v>
      </c>
      <c r="C76" s="5">
        <f>2068156</f>
        <v>2068156</v>
      </c>
      <c r="D76" s="5">
        <f t="shared" si="4"/>
        <v>722366</v>
      </c>
      <c r="E76" s="6">
        <f t="shared" si="5"/>
        <v>0.34928022837735645</v>
      </c>
    </row>
    <row r="77" spans="1:5" x14ac:dyDescent="0.2">
      <c r="A77" s="3" t="s">
        <v>75</v>
      </c>
      <c r="B77" s="4"/>
      <c r="C77" s="5">
        <f>2672536.67</f>
        <v>2672536.67</v>
      </c>
      <c r="D77" s="5">
        <f t="shared" si="4"/>
        <v>-2672536.67</v>
      </c>
      <c r="E77" s="6">
        <f t="shared" si="5"/>
        <v>-1</v>
      </c>
    </row>
    <row r="78" spans="1:5" x14ac:dyDescent="0.2">
      <c r="A78" s="3" t="s">
        <v>76</v>
      </c>
      <c r="B78" s="7">
        <f>((B75)+(B76))+(B77)</f>
        <v>2790522</v>
      </c>
      <c r="C78" s="7">
        <f>((C75)+(C76))+(C77)</f>
        <v>4740692.67</v>
      </c>
      <c r="D78" s="7">
        <f t="shared" si="4"/>
        <v>-1950170.67</v>
      </c>
      <c r="E78" s="8">
        <f t="shared" si="5"/>
        <v>-0.41136829694551785</v>
      </c>
    </row>
    <row r="79" spans="1:5" x14ac:dyDescent="0.2">
      <c r="A79" s="3" t="s">
        <v>77</v>
      </c>
      <c r="B79" s="7">
        <f>(((B67)+(B73))+(B74))+(B78)</f>
        <v>19284808.75</v>
      </c>
      <c r="C79" s="7">
        <f>(((C67)+(C73))+(C74))+(C78)</f>
        <v>18436281.59</v>
      </c>
      <c r="D79" s="7">
        <f t="shared" si="4"/>
        <v>848527.16000000015</v>
      </c>
      <c r="E79" s="8">
        <f t="shared" si="5"/>
        <v>4.6024853539894328E-2</v>
      </c>
    </row>
    <row r="80" spans="1:5" x14ac:dyDescent="0.2">
      <c r="A80" s="3" t="s">
        <v>78</v>
      </c>
      <c r="B80" s="4"/>
      <c r="C80" s="4"/>
      <c r="D80" s="5">
        <f t="shared" si="4"/>
        <v>0</v>
      </c>
      <c r="E80" s="6" t="str">
        <f t="shared" si="5"/>
        <v/>
      </c>
    </row>
    <row r="81" spans="1:5" x14ac:dyDescent="0.2">
      <c r="A81" s="3" t="s">
        <v>79</v>
      </c>
      <c r="B81" s="5">
        <f>2153100</f>
        <v>2153100</v>
      </c>
      <c r="C81" s="5">
        <f>1232583</f>
        <v>1232583</v>
      </c>
      <c r="D81" s="5">
        <f t="shared" si="4"/>
        <v>920517</v>
      </c>
      <c r="E81" s="6">
        <f t="shared" si="5"/>
        <v>0.74681948396172915</v>
      </c>
    </row>
    <row r="82" spans="1:5" x14ac:dyDescent="0.2">
      <c r="A82" s="3" t="s">
        <v>80</v>
      </c>
      <c r="B82" s="4"/>
      <c r="C82" s="5">
        <f>27500</f>
        <v>27500</v>
      </c>
      <c r="D82" s="5">
        <f t="shared" si="4"/>
        <v>-27500</v>
      </c>
      <c r="E82" s="6">
        <f t="shared" si="5"/>
        <v>-1</v>
      </c>
    </row>
    <row r="83" spans="1:5" x14ac:dyDescent="0.2">
      <c r="A83" s="3" t="s">
        <v>81</v>
      </c>
      <c r="B83" s="5">
        <f>4370</f>
        <v>4370</v>
      </c>
      <c r="C83" s="5">
        <f>6830</f>
        <v>6830</v>
      </c>
      <c r="D83" s="5">
        <f t="shared" si="4"/>
        <v>-2460</v>
      </c>
      <c r="E83" s="6">
        <f t="shared" si="5"/>
        <v>-0.3601756954612006</v>
      </c>
    </row>
    <row r="84" spans="1:5" x14ac:dyDescent="0.2">
      <c r="A84" s="3" t="s">
        <v>82</v>
      </c>
      <c r="B84" s="7">
        <f>(((B80)+(B81))+(B82))+(B83)</f>
        <v>2157470</v>
      </c>
      <c r="C84" s="7">
        <f>(((C80)+(C81))+(C82))+(C83)</f>
        <v>1266913</v>
      </c>
      <c r="D84" s="7">
        <f t="shared" si="4"/>
        <v>890557</v>
      </c>
      <c r="E84" s="8">
        <f t="shared" si="5"/>
        <v>0.70293461350542619</v>
      </c>
    </row>
    <row r="85" spans="1:5" x14ac:dyDescent="0.2">
      <c r="A85" s="3" t="s">
        <v>83</v>
      </c>
      <c r="B85" s="4"/>
      <c r="C85" s="4"/>
      <c r="D85" s="5">
        <f t="shared" si="4"/>
        <v>0</v>
      </c>
      <c r="E85" s="6" t="str">
        <f t="shared" si="5"/>
        <v/>
      </c>
    </row>
    <row r="86" spans="1:5" x14ac:dyDescent="0.2">
      <c r="A86" s="3" t="s">
        <v>84</v>
      </c>
      <c r="B86" s="5">
        <f>1208835</f>
        <v>1208835</v>
      </c>
      <c r="C86" s="5">
        <f>527351</f>
        <v>527351</v>
      </c>
      <c r="D86" s="5">
        <f t="shared" si="4"/>
        <v>681484</v>
      </c>
      <c r="E86" s="6">
        <f t="shared" si="5"/>
        <v>1.2922778187582844</v>
      </c>
    </row>
    <row r="87" spans="1:5" x14ac:dyDescent="0.2">
      <c r="A87" s="3" t="s">
        <v>85</v>
      </c>
      <c r="B87" s="5">
        <f>44420</f>
        <v>44420</v>
      </c>
      <c r="C87" s="5">
        <f>61440</f>
        <v>61440</v>
      </c>
      <c r="D87" s="5">
        <f t="shared" si="4"/>
        <v>-17020</v>
      </c>
      <c r="E87" s="6">
        <f t="shared" si="5"/>
        <v>-0.27701822916666669</v>
      </c>
    </row>
    <row r="88" spans="1:5" x14ac:dyDescent="0.2">
      <c r="A88" s="3" t="s">
        <v>86</v>
      </c>
      <c r="B88" s="7">
        <f>((B85)+(B86))+(B87)</f>
        <v>1253255</v>
      </c>
      <c r="C88" s="7">
        <f>((C85)+(C86))+(C87)</f>
        <v>588791</v>
      </c>
      <c r="D88" s="7">
        <f t="shared" si="4"/>
        <v>664464</v>
      </c>
      <c r="E88" s="8">
        <f t="shared" si="5"/>
        <v>1.1285226846198397</v>
      </c>
    </row>
    <row r="89" spans="1:5" x14ac:dyDescent="0.2">
      <c r="A89" s="3" t="s">
        <v>87</v>
      </c>
      <c r="B89" s="4"/>
      <c r="C89" s="4"/>
      <c r="D89" s="5">
        <f t="shared" si="4"/>
        <v>0</v>
      </c>
      <c r="E89" s="6" t="str">
        <f t="shared" si="5"/>
        <v/>
      </c>
    </row>
    <row r="90" spans="1:5" x14ac:dyDescent="0.2">
      <c r="A90" s="3" t="s">
        <v>88</v>
      </c>
      <c r="B90" s="5">
        <f>224000</f>
        <v>224000</v>
      </c>
      <c r="C90" s="5">
        <f>224000</f>
        <v>224000</v>
      </c>
      <c r="D90" s="5">
        <f t="shared" si="4"/>
        <v>0</v>
      </c>
      <c r="E90" s="6">
        <f t="shared" si="5"/>
        <v>0</v>
      </c>
    </row>
    <row r="91" spans="1:5" x14ac:dyDescent="0.2">
      <c r="A91" s="3" t="s">
        <v>89</v>
      </c>
      <c r="B91" s="5">
        <f>3714037.5</f>
        <v>3714037.5</v>
      </c>
      <c r="C91" s="5">
        <f>3268620</f>
        <v>3268620</v>
      </c>
      <c r="D91" s="5">
        <f t="shared" si="4"/>
        <v>445417.5</v>
      </c>
      <c r="E91" s="6">
        <f t="shared" si="5"/>
        <v>0.13627081153514328</v>
      </c>
    </row>
    <row r="92" spans="1:5" x14ac:dyDescent="0.2">
      <c r="A92" s="3" t="s">
        <v>90</v>
      </c>
      <c r="B92" s="5">
        <f>30770</f>
        <v>30770</v>
      </c>
      <c r="C92" s="4"/>
      <c r="D92" s="5">
        <f t="shared" si="4"/>
        <v>30770</v>
      </c>
      <c r="E92" s="6" t="str">
        <f t="shared" si="5"/>
        <v/>
      </c>
    </row>
    <row r="93" spans="1:5" x14ac:dyDescent="0.2">
      <c r="A93" s="3" t="s">
        <v>91</v>
      </c>
      <c r="B93" s="5">
        <f>2964370.47</f>
        <v>2964370.47</v>
      </c>
      <c r="C93" s="5">
        <f>2500856.29</f>
        <v>2500856.29</v>
      </c>
      <c r="D93" s="5">
        <f t="shared" si="4"/>
        <v>463514.18000000017</v>
      </c>
      <c r="E93" s="6">
        <f t="shared" si="5"/>
        <v>0.18534218933467791</v>
      </c>
    </row>
    <row r="94" spans="1:5" x14ac:dyDescent="0.2">
      <c r="A94" s="3" t="s">
        <v>92</v>
      </c>
      <c r="B94" s="7">
        <f>((((B89)+(B90))+(B91))+(B92))+(B93)</f>
        <v>6933177.9700000007</v>
      </c>
      <c r="C94" s="7">
        <f>((((C89)+(C90))+(C91))+(C92))+(C93)</f>
        <v>5993476.29</v>
      </c>
      <c r="D94" s="7">
        <f t="shared" si="4"/>
        <v>939701.68000000063</v>
      </c>
      <c r="E94" s="8">
        <f t="shared" si="5"/>
        <v>0.15678741927583409</v>
      </c>
    </row>
    <row r="95" spans="1:5" x14ac:dyDescent="0.2">
      <c r="A95" s="3" t="s">
        <v>93</v>
      </c>
      <c r="B95" s="4"/>
      <c r="C95" s="4"/>
      <c r="D95" s="5">
        <f t="shared" si="4"/>
        <v>0</v>
      </c>
      <c r="E95" s="6" t="str">
        <f t="shared" si="5"/>
        <v/>
      </c>
    </row>
    <row r="96" spans="1:5" x14ac:dyDescent="0.2">
      <c r="A96" s="3" t="s">
        <v>94</v>
      </c>
      <c r="B96" s="5">
        <f>167870</f>
        <v>167870</v>
      </c>
      <c r="C96" s="5">
        <f>162062</f>
        <v>162062</v>
      </c>
      <c r="D96" s="5">
        <f t="shared" si="4"/>
        <v>5808</v>
      </c>
      <c r="E96" s="6">
        <f t="shared" si="5"/>
        <v>3.5838136022016263E-2</v>
      </c>
    </row>
    <row r="97" spans="1:5" x14ac:dyDescent="0.2">
      <c r="A97" s="3" t="s">
        <v>95</v>
      </c>
      <c r="B97" s="5">
        <f>554838.21</f>
        <v>554838.21</v>
      </c>
      <c r="C97" s="5">
        <f>352593</f>
        <v>352593</v>
      </c>
      <c r="D97" s="5">
        <f t="shared" si="4"/>
        <v>202245.20999999996</v>
      </c>
      <c r="E97" s="6">
        <f t="shared" si="5"/>
        <v>0.5735939454271638</v>
      </c>
    </row>
    <row r="98" spans="1:5" x14ac:dyDescent="0.2">
      <c r="A98" s="3" t="s">
        <v>96</v>
      </c>
      <c r="B98" s="5">
        <f>7899</f>
        <v>7899</v>
      </c>
      <c r="C98" s="5">
        <f>20496</f>
        <v>20496</v>
      </c>
      <c r="D98" s="5">
        <f t="shared" si="4"/>
        <v>-12597</v>
      </c>
      <c r="E98" s="6">
        <f t="shared" si="5"/>
        <v>-0.61460772833723654</v>
      </c>
    </row>
    <row r="99" spans="1:5" x14ac:dyDescent="0.2">
      <c r="A99" s="3" t="s">
        <v>97</v>
      </c>
      <c r="B99" s="5">
        <f>36070</f>
        <v>36070</v>
      </c>
      <c r="C99" s="5">
        <f>30280</f>
        <v>30280</v>
      </c>
      <c r="D99" s="5">
        <f t="shared" ref="D99:D130" si="6">(B99)-(C99)</f>
        <v>5790</v>
      </c>
      <c r="E99" s="6">
        <f t="shared" ref="E99:E123" si="7">IF(ABS((C99))=0,"",((B99)-(C99))/(ABS((C99))))</f>
        <v>0.19121532364597094</v>
      </c>
    </row>
    <row r="100" spans="1:5" x14ac:dyDescent="0.2">
      <c r="A100" s="3" t="s">
        <v>98</v>
      </c>
      <c r="B100" s="7">
        <f>((((B95)+(B96))+(B97))+(B98))+(B99)</f>
        <v>766677.21</v>
      </c>
      <c r="C100" s="7">
        <f>((((C95)+(C96))+(C97))+(C98))+(C99)</f>
        <v>565431</v>
      </c>
      <c r="D100" s="7">
        <f t="shared" si="6"/>
        <v>201246.20999999996</v>
      </c>
      <c r="E100" s="8">
        <f t="shared" si="7"/>
        <v>0.35591647787263159</v>
      </c>
    </row>
    <row r="101" spans="1:5" x14ac:dyDescent="0.2">
      <c r="A101" s="3" t="s">
        <v>99</v>
      </c>
      <c r="B101" s="4"/>
      <c r="C101" s="4"/>
      <c r="D101" s="5">
        <f t="shared" si="6"/>
        <v>0</v>
      </c>
      <c r="E101" s="6" t="str">
        <f t="shared" si="7"/>
        <v/>
      </c>
    </row>
    <row r="102" spans="1:5" x14ac:dyDescent="0.2">
      <c r="A102" s="3" t="s">
        <v>100</v>
      </c>
      <c r="B102" s="5">
        <f>229305</f>
        <v>229305</v>
      </c>
      <c r="C102" s="5">
        <f>36100</f>
        <v>36100</v>
      </c>
      <c r="D102" s="5">
        <f t="shared" si="6"/>
        <v>193205</v>
      </c>
      <c r="E102" s="6">
        <f t="shared" si="7"/>
        <v>5.3519390581717454</v>
      </c>
    </row>
    <row r="103" spans="1:5" x14ac:dyDescent="0.2">
      <c r="A103" s="3" t="s">
        <v>101</v>
      </c>
      <c r="B103" s="5">
        <f>252804</f>
        <v>252804</v>
      </c>
      <c r="C103" s="5">
        <f>179125</f>
        <v>179125</v>
      </c>
      <c r="D103" s="5">
        <f t="shared" si="6"/>
        <v>73679</v>
      </c>
      <c r="E103" s="6">
        <f t="shared" si="7"/>
        <v>0.41132728541521285</v>
      </c>
    </row>
    <row r="104" spans="1:5" x14ac:dyDescent="0.2">
      <c r="A104" s="3" t="s">
        <v>102</v>
      </c>
      <c r="B104" s="5">
        <f>415596</f>
        <v>415596</v>
      </c>
      <c r="C104" s="5">
        <f>207604</f>
        <v>207604</v>
      </c>
      <c r="D104" s="5">
        <f t="shared" si="6"/>
        <v>207992</v>
      </c>
      <c r="E104" s="6">
        <f t="shared" si="7"/>
        <v>1.0018689427949365</v>
      </c>
    </row>
    <row r="105" spans="1:5" x14ac:dyDescent="0.2">
      <c r="A105" s="3" t="s">
        <v>103</v>
      </c>
      <c r="B105" s="7">
        <f>(((B101)+(B102))+(B103))+(B104)</f>
        <v>897705</v>
      </c>
      <c r="C105" s="7">
        <f>(((C101)+(C102))+(C103))+(C104)</f>
        <v>422829</v>
      </c>
      <c r="D105" s="7">
        <f t="shared" si="6"/>
        <v>474876</v>
      </c>
      <c r="E105" s="8">
        <f t="shared" si="7"/>
        <v>1.1230923139141356</v>
      </c>
    </row>
    <row r="106" spans="1:5" x14ac:dyDescent="0.2">
      <c r="A106" s="3" t="s">
        <v>104</v>
      </c>
      <c r="B106" s="4"/>
      <c r="C106" s="4"/>
      <c r="D106" s="5">
        <f t="shared" si="6"/>
        <v>0</v>
      </c>
      <c r="E106" s="6" t="str">
        <f t="shared" si="7"/>
        <v/>
      </c>
    </row>
    <row r="107" spans="1:5" x14ac:dyDescent="0.2">
      <c r="A107" s="3" t="s">
        <v>105</v>
      </c>
      <c r="B107" s="5">
        <f>3322504</f>
        <v>3322504</v>
      </c>
      <c r="C107" s="5">
        <f>2530438</f>
        <v>2530438</v>
      </c>
      <c r="D107" s="5">
        <f t="shared" si="6"/>
        <v>792066</v>
      </c>
      <c r="E107" s="6">
        <f t="shared" si="7"/>
        <v>0.31301537520381845</v>
      </c>
    </row>
    <row r="108" spans="1:5" x14ac:dyDescent="0.2">
      <c r="A108" s="3" t="s">
        <v>106</v>
      </c>
      <c r="B108" s="5">
        <f>0</f>
        <v>0</v>
      </c>
      <c r="C108" s="5">
        <f>32530</f>
        <v>32530</v>
      </c>
      <c r="D108" s="5">
        <f t="shared" si="6"/>
        <v>-32530</v>
      </c>
      <c r="E108" s="6">
        <f t="shared" si="7"/>
        <v>-1</v>
      </c>
    </row>
    <row r="109" spans="1:5" x14ac:dyDescent="0.2">
      <c r="A109" s="3" t="s">
        <v>107</v>
      </c>
      <c r="B109" s="7">
        <f>((B106)+(B107))+(B108)</f>
        <v>3322504</v>
      </c>
      <c r="C109" s="7">
        <f>((C106)+(C107))+(C108)</f>
        <v>2562968</v>
      </c>
      <c r="D109" s="7">
        <f t="shared" si="6"/>
        <v>759536</v>
      </c>
      <c r="E109" s="8">
        <f t="shared" si="7"/>
        <v>0.29635016902278921</v>
      </c>
    </row>
    <row r="110" spans="1:5" x14ac:dyDescent="0.2">
      <c r="A110" s="3" t="s">
        <v>108</v>
      </c>
      <c r="B110" s="4"/>
      <c r="C110" s="4"/>
      <c r="D110" s="5">
        <f t="shared" si="6"/>
        <v>0</v>
      </c>
      <c r="E110" s="6" t="str">
        <f t="shared" si="7"/>
        <v/>
      </c>
    </row>
    <row r="111" spans="1:5" x14ac:dyDescent="0.2">
      <c r="A111" s="3" t="s">
        <v>109</v>
      </c>
      <c r="B111" s="5">
        <f>337506</f>
        <v>337506</v>
      </c>
      <c r="C111" s="5">
        <f>183168</f>
        <v>183168</v>
      </c>
      <c r="D111" s="5">
        <f t="shared" si="6"/>
        <v>154338</v>
      </c>
      <c r="E111" s="6">
        <f t="shared" si="7"/>
        <v>0.84260351153039836</v>
      </c>
    </row>
    <row r="112" spans="1:5" x14ac:dyDescent="0.2">
      <c r="A112" s="3" t="s">
        <v>110</v>
      </c>
      <c r="B112" s="5">
        <f>326125</f>
        <v>326125</v>
      </c>
      <c r="C112" s="5">
        <f>267854</f>
        <v>267854</v>
      </c>
      <c r="D112" s="5">
        <f t="shared" si="6"/>
        <v>58271</v>
      </c>
      <c r="E112" s="6">
        <f t="shared" si="7"/>
        <v>0.21754761922539892</v>
      </c>
    </row>
    <row r="113" spans="1:5" x14ac:dyDescent="0.2">
      <c r="A113" s="3" t="s">
        <v>111</v>
      </c>
      <c r="B113" s="7">
        <f>((B110)+(B111))+(B112)</f>
        <v>663631</v>
      </c>
      <c r="C113" s="7">
        <f>((C110)+(C111))+(C112)</f>
        <v>451022</v>
      </c>
      <c r="D113" s="7">
        <f t="shared" si="6"/>
        <v>212609</v>
      </c>
      <c r="E113" s="8">
        <f t="shared" si="7"/>
        <v>0.4713938566189676</v>
      </c>
    </row>
    <row r="114" spans="1:5" x14ac:dyDescent="0.2">
      <c r="A114" s="3" t="s">
        <v>112</v>
      </c>
      <c r="B114" s="4"/>
      <c r="C114" s="4"/>
      <c r="D114" s="5">
        <f t="shared" si="6"/>
        <v>0</v>
      </c>
      <c r="E114" s="6" t="str">
        <f t="shared" si="7"/>
        <v/>
      </c>
    </row>
    <row r="115" spans="1:5" x14ac:dyDescent="0.2">
      <c r="A115" s="3" t="s">
        <v>113</v>
      </c>
      <c r="B115" s="5">
        <f>1040000</f>
        <v>1040000</v>
      </c>
      <c r="C115" s="5">
        <f>783750</f>
        <v>783750</v>
      </c>
      <c r="D115" s="5">
        <f t="shared" si="6"/>
        <v>256250</v>
      </c>
      <c r="E115" s="6">
        <f t="shared" si="7"/>
        <v>0.32695374800637961</v>
      </c>
    </row>
    <row r="116" spans="1:5" x14ac:dyDescent="0.2">
      <c r="A116" s="3" t="s">
        <v>114</v>
      </c>
      <c r="B116" s="5">
        <f>1720191.52</f>
        <v>1720191.52</v>
      </c>
      <c r="C116" s="5">
        <f>1249578.61</f>
        <v>1249578.6100000001</v>
      </c>
      <c r="D116" s="5">
        <f t="shared" si="6"/>
        <v>470612.90999999992</v>
      </c>
      <c r="E116" s="6">
        <f t="shared" si="7"/>
        <v>0.37661729020793649</v>
      </c>
    </row>
    <row r="117" spans="1:5" x14ac:dyDescent="0.2">
      <c r="A117" s="3" t="s">
        <v>115</v>
      </c>
      <c r="B117" s="5">
        <f>40000</f>
        <v>40000</v>
      </c>
      <c r="C117" s="5">
        <f>94446</f>
        <v>94446</v>
      </c>
      <c r="D117" s="5">
        <f t="shared" si="6"/>
        <v>-54446</v>
      </c>
      <c r="E117" s="6">
        <f t="shared" si="7"/>
        <v>-0.57647756389894755</v>
      </c>
    </row>
    <row r="118" spans="1:5" x14ac:dyDescent="0.2">
      <c r="A118" s="3" t="s">
        <v>116</v>
      </c>
      <c r="B118" s="7">
        <f>(((B114)+(B115))+(B116))+(B117)</f>
        <v>2800191.52</v>
      </c>
      <c r="C118" s="7">
        <f>(((C114)+(C115))+(C116))+(C117)</f>
        <v>2127774.6100000003</v>
      </c>
      <c r="D118" s="7">
        <f t="shared" si="6"/>
        <v>672416.90999999968</v>
      </c>
      <c r="E118" s="8">
        <f t="shared" si="7"/>
        <v>0.31601886160301518</v>
      </c>
    </row>
    <row r="119" spans="1:5" x14ac:dyDescent="0.2">
      <c r="A119" s="3" t="s">
        <v>117</v>
      </c>
      <c r="B119" s="4"/>
      <c r="C119" s="4"/>
      <c r="D119" s="5">
        <f t="shared" si="6"/>
        <v>0</v>
      </c>
      <c r="E119" s="6" t="str">
        <f t="shared" si="7"/>
        <v/>
      </c>
    </row>
    <row r="120" spans="1:5" x14ac:dyDescent="0.2">
      <c r="A120" s="3" t="s">
        <v>118</v>
      </c>
      <c r="B120" s="5">
        <f>95212.39</f>
        <v>95212.39</v>
      </c>
      <c r="C120" s="5">
        <f>135435</f>
        <v>135435</v>
      </c>
      <c r="D120" s="5">
        <f t="shared" si="6"/>
        <v>-40222.61</v>
      </c>
      <c r="E120" s="6">
        <f t="shared" si="7"/>
        <v>-0.29698829696902573</v>
      </c>
    </row>
    <row r="121" spans="1:5" x14ac:dyDescent="0.2">
      <c r="A121" s="3" t="s">
        <v>119</v>
      </c>
      <c r="B121" s="5">
        <f>177571</f>
        <v>177571</v>
      </c>
      <c r="C121" s="5">
        <f>175641</f>
        <v>175641</v>
      </c>
      <c r="D121" s="5">
        <f t="shared" si="6"/>
        <v>1930</v>
      </c>
      <c r="E121" s="6">
        <f t="shared" si="7"/>
        <v>1.0988322772017924E-2</v>
      </c>
    </row>
    <row r="122" spans="1:5" x14ac:dyDescent="0.2">
      <c r="A122" s="3" t="s">
        <v>120</v>
      </c>
      <c r="B122" s="7">
        <f>((B119)+(B120))+(B121)</f>
        <v>272783.39</v>
      </c>
      <c r="C122" s="7">
        <f>((C119)+(C120))+(C121)</f>
        <v>311076</v>
      </c>
      <c r="D122" s="7">
        <f t="shared" si="6"/>
        <v>-38292.609999999986</v>
      </c>
      <c r="E122" s="8">
        <f t="shared" si="7"/>
        <v>-0.12309728169321962</v>
      </c>
    </row>
    <row r="123" spans="1:5" x14ac:dyDescent="0.2">
      <c r="A123" s="3" t="s">
        <v>121</v>
      </c>
      <c r="B123" s="7">
        <f>(((((((((B79)+(B84))+(B88))+(B94))+(B100))+(B105))+(B109))+(B113))+(B118))+(B122)</f>
        <v>38352203.840000004</v>
      </c>
      <c r="C123" s="7">
        <f>(((((((((C79)+(C84))+(C88))+(C94))+(C100))+(C105))+(C109))+(C113))+(C118))+(C122)</f>
        <v>32726562.489999998</v>
      </c>
      <c r="D123" s="7">
        <f t="shared" si="6"/>
        <v>5625641.3500000052</v>
      </c>
      <c r="E123" s="8">
        <f t="shared" si="7"/>
        <v>0.17189832729053009</v>
      </c>
    </row>
    <row r="124" spans="1:5" x14ac:dyDescent="0.2">
      <c r="A124" s="3" t="s">
        <v>122</v>
      </c>
      <c r="B124" s="4"/>
      <c r="C124" s="4"/>
      <c r="D124" s="4"/>
      <c r="E124" s="4"/>
    </row>
    <row r="125" spans="1:5" x14ac:dyDescent="0.2">
      <c r="A125" s="3" t="s">
        <v>123</v>
      </c>
      <c r="B125" s="4"/>
      <c r="C125" s="4"/>
      <c r="D125" s="5">
        <f t="shared" ref="D125:D132" si="8">(B125)-(C125)</f>
        <v>0</v>
      </c>
      <c r="E125" s="6" t="str">
        <f t="shared" ref="E125:E132" si="9">IF(ABS((C125))=0,"",((B125)-(C125))/(ABS((C125))))</f>
        <v/>
      </c>
    </row>
    <row r="126" spans="1:5" x14ac:dyDescent="0.2">
      <c r="A126" s="3" t="s">
        <v>124</v>
      </c>
      <c r="B126" s="5">
        <f>21253146</f>
        <v>21253146</v>
      </c>
      <c r="C126" s="5">
        <f>26443113</f>
        <v>26443113</v>
      </c>
      <c r="D126" s="5">
        <f t="shared" si="8"/>
        <v>-5189967</v>
      </c>
      <c r="E126" s="6">
        <f t="shared" si="9"/>
        <v>-0.19626913820623162</v>
      </c>
    </row>
    <row r="127" spans="1:5" x14ac:dyDescent="0.2">
      <c r="A127" s="3" t="s">
        <v>125</v>
      </c>
      <c r="B127" s="5">
        <f>234608.23</f>
        <v>234608.23</v>
      </c>
      <c r="C127" s="5">
        <f>66571.87</f>
        <v>66571.87</v>
      </c>
      <c r="D127" s="5">
        <f t="shared" si="8"/>
        <v>168036.36000000002</v>
      </c>
      <c r="E127" s="6">
        <f t="shared" si="9"/>
        <v>2.5241345931847796</v>
      </c>
    </row>
    <row r="128" spans="1:5" x14ac:dyDescent="0.2">
      <c r="A128" s="3" t="s">
        <v>126</v>
      </c>
      <c r="B128" s="5">
        <f>33193</f>
        <v>33193</v>
      </c>
      <c r="C128" s="5">
        <f>4585273.96</f>
        <v>4585273.96</v>
      </c>
      <c r="D128" s="5">
        <f t="shared" si="8"/>
        <v>-4552080.96</v>
      </c>
      <c r="E128" s="6">
        <f t="shared" si="9"/>
        <v>-0.99276095598876712</v>
      </c>
    </row>
    <row r="129" spans="1:5" x14ac:dyDescent="0.2">
      <c r="A129" s="3" t="s">
        <v>127</v>
      </c>
      <c r="B129" s="5">
        <f>11094616</f>
        <v>11094616</v>
      </c>
      <c r="C129" s="5">
        <f>5780314</f>
        <v>5780314</v>
      </c>
      <c r="D129" s="5">
        <f t="shared" si="8"/>
        <v>5314302</v>
      </c>
      <c r="E129" s="6">
        <f t="shared" si="9"/>
        <v>0.91937946623660927</v>
      </c>
    </row>
    <row r="130" spans="1:5" x14ac:dyDescent="0.2">
      <c r="A130" s="3" t="s">
        <v>128</v>
      </c>
      <c r="B130" s="7">
        <f>((((B125)+(B126))+(B127))+(B128))+(B129)</f>
        <v>32615563.23</v>
      </c>
      <c r="C130" s="7">
        <f>((((C125)+(C126))+(C127))+(C128))+(C129)</f>
        <v>36875272.829999998</v>
      </c>
      <c r="D130" s="7">
        <f t="shared" si="8"/>
        <v>-4259709.5999999978</v>
      </c>
      <c r="E130" s="8">
        <f t="shared" si="9"/>
        <v>-0.11551669379201168</v>
      </c>
    </row>
    <row r="131" spans="1:5" x14ac:dyDescent="0.2">
      <c r="A131" s="3" t="s">
        <v>129</v>
      </c>
      <c r="B131" s="7">
        <f>B130</f>
        <v>32615563.23</v>
      </c>
      <c r="C131" s="7">
        <f>C130</f>
        <v>36875272.829999998</v>
      </c>
      <c r="D131" s="7">
        <f t="shared" si="8"/>
        <v>-4259709.5999999978</v>
      </c>
      <c r="E131" s="8">
        <f t="shared" si="9"/>
        <v>-0.11551669379201168</v>
      </c>
    </row>
    <row r="132" spans="1:5" x14ac:dyDescent="0.2">
      <c r="A132" s="3" t="s">
        <v>130</v>
      </c>
      <c r="B132" s="9">
        <f>((((B20)+(B65))-(B58))-(B123))-(B131)</f>
        <v>38020211.429999992</v>
      </c>
      <c r="C132" s="9">
        <f>((((C20)+(C65))-(C58))-(C123))-(C131)</f>
        <v>17493893.219999999</v>
      </c>
      <c r="D132" s="9">
        <f t="shared" si="8"/>
        <v>20526318.209999993</v>
      </c>
      <c r="E132" s="10">
        <f t="shared" si="9"/>
        <v>1.1733419171973198</v>
      </c>
    </row>
    <row r="133" spans="1:5" x14ac:dyDescent="0.2">
      <c r="A133" s="3"/>
      <c r="B133" s="4"/>
      <c r="C133" s="4"/>
      <c r="D133" s="4"/>
      <c r="E133" s="4"/>
    </row>
    <row r="136" spans="1:5" x14ac:dyDescent="0.2">
      <c r="A136" s="13"/>
      <c r="B136" s="14"/>
      <c r="C136" s="14"/>
      <c r="D136" s="14"/>
      <c r="E136" s="14"/>
    </row>
  </sheetData>
  <mergeCells count="5">
    <mergeCell ref="B5:E5"/>
    <mergeCell ref="A136:E136"/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2024-02-14T16:56:33Z</dcterms:created>
  <dcterms:modified xsi:type="dcterms:W3CDTF">2024-02-14T17:04:12Z</dcterms:modified>
</cp:coreProperties>
</file>