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nan/Desktop/Python stuff/sample PLs/"/>
    </mc:Choice>
  </mc:AlternateContent>
  <xr:revisionPtr revIDLastSave="0" documentId="13_ncr:1_{B5EB8F56-23DB-6047-89B6-9E26DC7CFB43}" xr6:coauthVersionLast="47" xr6:coauthVersionMax="47" xr10:uidLastSave="{00000000-0000-0000-0000-000000000000}"/>
  <bookViews>
    <workbookView xWindow="0" yWindow="500" windowWidth="40960" windowHeight="21000" xr2:uid="{00000000-000D-0000-FFFF-FFFF00000000}"/>
  </bookViews>
  <sheets>
    <sheet name="Profit and Loss by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9" i="1" l="1"/>
  <c r="D109" i="1"/>
  <c r="I108" i="1"/>
  <c r="I109" i="1" s="1"/>
  <c r="H108" i="1"/>
  <c r="G108" i="1"/>
  <c r="G109" i="1" s="1"/>
  <c r="F108" i="1"/>
  <c r="F109" i="1" s="1"/>
  <c r="E108" i="1"/>
  <c r="E109" i="1" s="1"/>
  <c r="D108" i="1"/>
  <c r="C108" i="1"/>
  <c r="B108" i="1"/>
  <c r="B109" i="1" s="1"/>
  <c r="J107" i="1"/>
  <c r="C107" i="1"/>
  <c r="C109" i="1" s="1"/>
  <c r="F104" i="1"/>
  <c r="E104" i="1"/>
  <c r="D104" i="1"/>
  <c r="C104" i="1"/>
  <c r="J104" i="1" s="1"/>
  <c r="B104" i="1"/>
  <c r="E103" i="1"/>
  <c r="B103" i="1"/>
  <c r="J103" i="1" s="1"/>
  <c r="I102" i="1"/>
  <c r="H102" i="1"/>
  <c r="G102" i="1"/>
  <c r="F102" i="1"/>
  <c r="E102" i="1"/>
  <c r="D102" i="1"/>
  <c r="C102" i="1"/>
  <c r="B102" i="1"/>
  <c r="J102" i="1" s="1"/>
  <c r="H101" i="1"/>
  <c r="G101" i="1"/>
  <c r="F101" i="1"/>
  <c r="D101" i="1"/>
  <c r="I100" i="1"/>
  <c r="I101" i="1" s="1"/>
  <c r="C100" i="1"/>
  <c r="J100" i="1" s="1"/>
  <c r="B100" i="1"/>
  <c r="B101" i="1" s="1"/>
  <c r="E99" i="1"/>
  <c r="E101" i="1" s="1"/>
  <c r="J98" i="1"/>
  <c r="F96" i="1"/>
  <c r="C96" i="1"/>
  <c r="J96" i="1" s="1"/>
  <c r="I95" i="1"/>
  <c r="H95" i="1"/>
  <c r="H97" i="1" s="1"/>
  <c r="G95" i="1"/>
  <c r="G97" i="1" s="1"/>
  <c r="F95" i="1"/>
  <c r="E95" i="1"/>
  <c r="D95" i="1"/>
  <c r="D97" i="1" s="1"/>
  <c r="C95" i="1"/>
  <c r="C97" i="1" s="1"/>
  <c r="B95" i="1"/>
  <c r="J95" i="1" s="1"/>
  <c r="I94" i="1"/>
  <c r="I97" i="1" s="1"/>
  <c r="H94" i="1"/>
  <c r="G94" i="1"/>
  <c r="F94" i="1"/>
  <c r="F97" i="1" s="1"/>
  <c r="E94" i="1"/>
  <c r="E97" i="1" s="1"/>
  <c r="D94" i="1"/>
  <c r="C94" i="1"/>
  <c r="B94" i="1"/>
  <c r="B97" i="1" s="1"/>
  <c r="J93" i="1"/>
  <c r="C92" i="1"/>
  <c r="B92" i="1"/>
  <c r="I91" i="1"/>
  <c r="H91" i="1"/>
  <c r="H92" i="1" s="1"/>
  <c r="G91" i="1"/>
  <c r="F91" i="1"/>
  <c r="E91" i="1"/>
  <c r="E92" i="1" s="1"/>
  <c r="D91" i="1"/>
  <c r="D92" i="1" s="1"/>
  <c r="C91" i="1"/>
  <c r="B91" i="1"/>
  <c r="J91" i="1" s="1"/>
  <c r="G90" i="1"/>
  <c r="G92" i="1" s="1"/>
  <c r="F90" i="1"/>
  <c r="F92" i="1" s="1"/>
  <c r="D90" i="1"/>
  <c r="C90" i="1"/>
  <c r="J90" i="1" s="1"/>
  <c r="J89" i="1"/>
  <c r="I89" i="1"/>
  <c r="I92" i="1" s="1"/>
  <c r="H89" i="1"/>
  <c r="J88" i="1"/>
  <c r="I87" i="1"/>
  <c r="G87" i="1"/>
  <c r="E87" i="1"/>
  <c r="C87" i="1"/>
  <c r="I86" i="1"/>
  <c r="H86" i="1"/>
  <c r="H87" i="1" s="1"/>
  <c r="F86" i="1"/>
  <c r="F87" i="1" s="1"/>
  <c r="D86" i="1"/>
  <c r="D87" i="1" s="1"/>
  <c r="B86" i="1"/>
  <c r="B85" i="1"/>
  <c r="J85" i="1" s="1"/>
  <c r="J84" i="1"/>
  <c r="H83" i="1"/>
  <c r="G82" i="1"/>
  <c r="G83" i="1" s="1"/>
  <c r="F82" i="1"/>
  <c r="E82" i="1"/>
  <c r="D82" i="1"/>
  <c r="C82" i="1"/>
  <c r="B82" i="1"/>
  <c r="J82" i="1" s="1"/>
  <c r="G81" i="1"/>
  <c r="D81" i="1"/>
  <c r="D83" i="1" s="1"/>
  <c r="C81" i="1"/>
  <c r="C83" i="1" s="1"/>
  <c r="B81" i="1"/>
  <c r="J81" i="1" s="1"/>
  <c r="I80" i="1"/>
  <c r="H80" i="1"/>
  <c r="G80" i="1"/>
  <c r="F80" i="1"/>
  <c r="E80" i="1"/>
  <c r="D80" i="1"/>
  <c r="C80" i="1"/>
  <c r="B80" i="1"/>
  <c r="J80" i="1" s="1"/>
  <c r="I79" i="1"/>
  <c r="I83" i="1" s="1"/>
  <c r="H79" i="1"/>
  <c r="G79" i="1"/>
  <c r="F79" i="1"/>
  <c r="F83" i="1" s="1"/>
  <c r="E79" i="1"/>
  <c r="E83" i="1" s="1"/>
  <c r="D79" i="1"/>
  <c r="C79" i="1"/>
  <c r="B79" i="1"/>
  <c r="B83" i="1" s="1"/>
  <c r="J83" i="1" s="1"/>
  <c r="J78" i="1"/>
  <c r="I76" i="1"/>
  <c r="H76" i="1"/>
  <c r="G76" i="1"/>
  <c r="F76" i="1"/>
  <c r="E76" i="1"/>
  <c r="D76" i="1"/>
  <c r="C76" i="1"/>
  <c r="B76" i="1"/>
  <c r="J76" i="1" s="1"/>
  <c r="J75" i="1"/>
  <c r="G75" i="1"/>
  <c r="I74" i="1"/>
  <c r="I77" i="1" s="1"/>
  <c r="H74" i="1"/>
  <c r="H77" i="1" s="1"/>
  <c r="G74" i="1"/>
  <c r="G77" i="1" s="1"/>
  <c r="F74" i="1"/>
  <c r="F77" i="1" s="1"/>
  <c r="E74" i="1"/>
  <c r="E77" i="1" s="1"/>
  <c r="D74" i="1"/>
  <c r="D77" i="1" s="1"/>
  <c r="C74" i="1"/>
  <c r="C77" i="1" s="1"/>
  <c r="B74" i="1"/>
  <c r="B77" i="1" s="1"/>
  <c r="J73" i="1"/>
  <c r="I72" i="1"/>
  <c r="E72" i="1"/>
  <c r="B72" i="1"/>
  <c r="I71" i="1"/>
  <c r="H71" i="1"/>
  <c r="G71" i="1"/>
  <c r="F71" i="1"/>
  <c r="J71" i="1" s="1"/>
  <c r="H70" i="1"/>
  <c r="F70" i="1"/>
  <c r="J70" i="1" s="1"/>
  <c r="I69" i="1"/>
  <c r="H69" i="1"/>
  <c r="H72" i="1" s="1"/>
  <c r="G69" i="1"/>
  <c r="G72" i="1" s="1"/>
  <c r="F69" i="1"/>
  <c r="E69" i="1"/>
  <c r="D69" i="1"/>
  <c r="D72" i="1" s="1"/>
  <c r="C69" i="1"/>
  <c r="C72" i="1" s="1"/>
  <c r="B69" i="1"/>
  <c r="J69" i="1" s="1"/>
  <c r="J68" i="1"/>
  <c r="I67" i="1"/>
  <c r="H67" i="1"/>
  <c r="G67" i="1"/>
  <c r="F67" i="1"/>
  <c r="E67" i="1"/>
  <c r="C67" i="1"/>
  <c r="B67" i="1"/>
  <c r="J67" i="1" s="1"/>
  <c r="J66" i="1"/>
  <c r="D66" i="1"/>
  <c r="D67" i="1" s="1"/>
  <c r="J65" i="1"/>
  <c r="I63" i="1"/>
  <c r="H63" i="1"/>
  <c r="G63" i="1"/>
  <c r="F63" i="1"/>
  <c r="E63" i="1"/>
  <c r="D63" i="1"/>
  <c r="C63" i="1"/>
  <c r="B63" i="1"/>
  <c r="J63" i="1" s="1"/>
  <c r="G62" i="1"/>
  <c r="G64" i="1" s="1"/>
  <c r="G105" i="1" s="1"/>
  <c r="C62" i="1"/>
  <c r="C64" i="1" s="1"/>
  <c r="I61" i="1"/>
  <c r="H61" i="1"/>
  <c r="G61" i="1"/>
  <c r="F61" i="1"/>
  <c r="E61" i="1"/>
  <c r="D61" i="1"/>
  <c r="C61" i="1"/>
  <c r="B61" i="1"/>
  <c r="J61" i="1" s="1"/>
  <c r="I60" i="1"/>
  <c r="H60" i="1"/>
  <c r="G60" i="1"/>
  <c r="F60" i="1"/>
  <c r="E60" i="1"/>
  <c r="D60" i="1"/>
  <c r="C60" i="1"/>
  <c r="B60" i="1"/>
  <c r="J60" i="1" s="1"/>
  <c r="I59" i="1"/>
  <c r="I62" i="1" s="1"/>
  <c r="I64" i="1" s="1"/>
  <c r="H59" i="1"/>
  <c r="H62" i="1" s="1"/>
  <c r="H64" i="1" s="1"/>
  <c r="H105" i="1" s="1"/>
  <c r="G59" i="1"/>
  <c r="F59" i="1"/>
  <c r="F62" i="1" s="1"/>
  <c r="F64" i="1" s="1"/>
  <c r="E59" i="1"/>
  <c r="E62" i="1" s="1"/>
  <c r="E64" i="1" s="1"/>
  <c r="D59" i="1"/>
  <c r="D62" i="1" s="1"/>
  <c r="D64" i="1" s="1"/>
  <c r="D105" i="1" s="1"/>
  <c r="C59" i="1"/>
  <c r="B59" i="1"/>
  <c r="J59" i="1" s="1"/>
  <c r="J58" i="1"/>
  <c r="J57" i="1"/>
  <c r="I55" i="1"/>
  <c r="H55" i="1"/>
  <c r="E55" i="1"/>
  <c r="D55" i="1"/>
  <c r="I54" i="1"/>
  <c r="H54" i="1"/>
  <c r="G54" i="1"/>
  <c r="G55" i="1" s="1"/>
  <c r="F54" i="1"/>
  <c r="F55" i="1" s="1"/>
  <c r="C54" i="1"/>
  <c r="B54" i="1"/>
  <c r="B55" i="1" s="1"/>
  <c r="C53" i="1"/>
  <c r="C55" i="1" s="1"/>
  <c r="H48" i="1"/>
  <c r="E48" i="1"/>
  <c r="D48" i="1"/>
  <c r="C48" i="1"/>
  <c r="J48" i="1" s="1"/>
  <c r="B48" i="1"/>
  <c r="I47" i="1"/>
  <c r="H47" i="1"/>
  <c r="G47" i="1"/>
  <c r="F47" i="1"/>
  <c r="E47" i="1"/>
  <c r="D47" i="1"/>
  <c r="C47" i="1"/>
  <c r="B47" i="1"/>
  <c r="J47" i="1" s="1"/>
  <c r="I46" i="1"/>
  <c r="H46" i="1"/>
  <c r="G46" i="1"/>
  <c r="F46" i="1"/>
  <c r="D46" i="1"/>
  <c r="J46" i="1" s="1"/>
  <c r="I45" i="1"/>
  <c r="H45" i="1"/>
  <c r="G45" i="1"/>
  <c r="F45" i="1"/>
  <c r="E45" i="1"/>
  <c r="D45" i="1"/>
  <c r="C45" i="1"/>
  <c r="B45" i="1"/>
  <c r="J45" i="1" s="1"/>
  <c r="I44" i="1"/>
  <c r="H44" i="1"/>
  <c r="G44" i="1"/>
  <c r="F44" i="1"/>
  <c r="E44" i="1"/>
  <c r="D44" i="1"/>
  <c r="C44" i="1"/>
  <c r="B44" i="1"/>
  <c r="J44" i="1" s="1"/>
  <c r="I43" i="1"/>
  <c r="I49" i="1" s="1"/>
  <c r="H43" i="1"/>
  <c r="H49" i="1" s="1"/>
  <c r="G43" i="1"/>
  <c r="G49" i="1" s="1"/>
  <c r="F43" i="1"/>
  <c r="F49" i="1" s="1"/>
  <c r="E43" i="1"/>
  <c r="E49" i="1" s="1"/>
  <c r="D43" i="1"/>
  <c r="D49" i="1" s="1"/>
  <c r="C43" i="1"/>
  <c r="C49" i="1" s="1"/>
  <c r="B43" i="1"/>
  <c r="B49" i="1" s="1"/>
  <c r="J49" i="1" s="1"/>
  <c r="J42" i="1"/>
  <c r="I41" i="1"/>
  <c r="G41" i="1"/>
  <c r="E41" i="1"/>
  <c r="C41" i="1"/>
  <c r="J40" i="1"/>
  <c r="G40" i="1"/>
  <c r="E40" i="1"/>
  <c r="B40" i="1"/>
  <c r="I39" i="1"/>
  <c r="H39" i="1"/>
  <c r="H41" i="1" s="1"/>
  <c r="G39" i="1"/>
  <c r="F39" i="1"/>
  <c r="F41" i="1" s="1"/>
  <c r="E39" i="1"/>
  <c r="D39" i="1"/>
  <c r="D41" i="1" s="1"/>
  <c r="C39" i="1"/>
  <c r="B39" i="1"/>
  <c r="J39" i="1" s="1"/>
  <c r="J38" i="1"/>
  <c r="I36" i="1"/>
  <c r="H36" i="1"/>
  <c r="G36" i="1"/>
  <c r="F36" i="1"/>
  <c r="E36" i="1"/>
  <c r="D36" i="1"/>
  <c r="C36" i="1"/>
  <c r="B36" i="1"/>
  <c r="J36" i="1" s="1"/>
  <c r="I35" i="1"/>
  <c r="H35" i="1"/>
  <c r="G35" i="1"/>
  <c r="F35" i="1"/>
  <c r="E35" i="1"/>
  <c r="D35" i="1"/>
  <c r="C35" i="1"/>
  <c r="B35" i="1"/>
  <c r="J35" i="1" s="1"/>
  <c r="I34" i="1"/>
  <c r="H34" i="1"/>
  <c r="G34" i="1"/>
  <c r="F34" i="1"/>
  <c r="E34" i="1"/>
  <c r="D34" i="1"/>
  <c r="C34" i="1"/>
  <c r="B34" i="1"/>
  <c r="J34" i="1" s="1"/>
  <c r="I33" i="1"/>
  <c r="H33" i="1"/>
  <c r="G33" i="1"/>
  <c r="F33" i="1"/>
  <c r="E33" i="1"/>
  <c r="D33" i="1"/>
  <c r="C33" i="1"/>
  <c r="B33" i="1"/>
  <c r="J33" i="1" s="1"/>
  <c r="I32" i="1"/>
  <c r="H32" i="1"/>
  <c r="G32" i="1"/>
  <c r="F32" i="1"/>
  <c r="E32" i="1"/>
  <c r="D32" i="1"/>
  <c r="C32" i="1"/>
  <c r="B32" i="1"/>
  <c r="J32" i="1" s="1"/>
  <c r="I31" i="1"/>
  <c r="H31" i="1"/>
  <c r="G31" i="1"/>
  <c r="F31" i="1"/>
  <c r="E31" i="1"/>
  <c r="D31" i="1"/>
  <c r="C31" i="1"/>
  <c r="B31" i="1"/>
  <c r="J31" i="1" s="1"/>
  <c r="I29" i="1"/>
  <c r="H29" i="1"/>
  <c r="G29" i="1"/>
  <c r="F29" i="1"/>
  <c r="E29" i="1"/>
  <c r="D29" i="1"/>
  <c r="C29" i="1"/>
  <c r="B29" i="1"/>
  <c r="J29" i="1" s="1"/>
  <c r="I28" i="1"/>
  <c r="H28" i="1"/>
  <c r="G28" i="1"/>
  <c r="F28" i="1"/>
  <c r="E28" i="1"/>
  <c r="D28" i="1"/>
  <c r="C28" i="1"/>
  <c r="B28" i="1"/>
  <c r="J28" i="1" s="1"/>
  <c r="I27" i="1"/>
  <c r="H27" i="1"/>
  <c r="G27" i="1"/>
  <c r="F27" i="1"/>
  <c r="E27" i="1"/>
  <c r="D27" i="1"/>
  <c r="C27" i="1"/>
  <c r="B27" i="1"/>
  <c r="J27" i="1" s="1"/>
  <c r="I26" i="1"/>
  <c r="I30" i="1" s="1"/>
  <c r="H26" i="1"/>
  <c r="G26" i="1"/>
  <c r="F26" i="1"/>
  <c r="E26" i="1"/>
  <c r="E30" i="1" s="1"/>
  <c r="D26" i="1"/>
  <c r="C26" i="1"/>
  <c r="B26" i="1"/>
  <c r="J26" i="1" s="1"/>
  <c r="I25" i="1"/>
  <c r="H25" i="1"/>
  <c r="H30" i="1" s="1"/>
  <c r="G25" i="1"/>
  <c r="G30" i="1" s="1"/>
  <c r="F25" i="1"/>
  <c r="F30" i="1" s="1"/>
  <c r="E25" i="1"/>
  <c r="D25" i="1"/>
  <c r="D30" i="1" s="1"/>
  <c r="C25" i="1"/>
  <c r="C30" i="1" s="1"/>
  <c r="B25" i="1"/>
  <c r="B30" i="1" s="1"/>
  <c r="J24" i="1"/>
  <c r="I22" i="1"/>
  <c r="H22" i="1"/>
  <c r="G22" i="1"/>
  <c r="F22" i="1"/>
  <c r="E22" i="1"/>
  <c r="D22" i="1"/>
  <c r="C22" i="1"/>
  <c r="B22" i="1"/>
  <c r="J22" i="1" s="1"/>
  <c r="I21" i="1"/>
  <c r="H21" i="1"/>
  <c r="G21" i="1"/>
  <c r="F21" i="1"/>
  <c r="E21" i="1"/>
  <c r="D21" i="1"/>
  <c r="C21" i="1"/>
  <c r="B21" i="1"/>
  <c r="J21" i="1" s="1"/>
  <c r="I20" i="1"/>
  <c r="H20" i="1"/>
  <c r="G20" i="1"/>
  <c r="F20" i="1"/>
  <c r="E20" i="1"/>
  <c r="D20" i="1"/>
  <c r="C20" i="1"/>
  <c r="B20" i="1"/>
  <c r="J20" i="1" s="1"/>
  <c r="I19" i="1"/>
  <c r="I23" i="1" s="1"/>
  <c r="I37" i="1" s="1"/>
  <c r="I50" i="1" s="1"/>
  <c r="H19" i="1"/>
  <c r="H23" i="1" s="1"/>
  <c r="G19" i="1"/>
  <c r="G23" i="1" s="1"/>
  <c r="G37" i="1" s="1"/>
  <c r="F19" i="1"/>
  <c r="F23" i="1" s="1"/>
  <c r="F37" i="1" s="1"/>
  <c r="F50" i="1" s="1"/>
  <c r="E19" i="1"/>
  <c r="E23" i="1" s="1"/>
  <c r="E37" i="1" s="1"/>
  <c r="E50" i="1" s="1"/>
  <c r="D19" i="1"/>
  <c r="D23" i="1" s="1"/>
  <c r="C19" i="1"/>
  <c r="C23" i="1" s="1"/>
  <c r="C37" i="1" s="1"/>
  <c r="B19" i="1"/>
  <c r="B23" i="1" s="1"/>
  <c r="J18" i="1"/>
  <c r="J17" i="1"/>
  <c r="I14" i="1"/>
  <c r="H14" i="1"/>
  <c r="G14" i="1"/>
  <c r="F14" i="1"/>
  <c r="E14" i="1"/>
  <c r="D14" i="1"/>
  <c r="C14" i="1"/>
  <c r="B14" i="1"/>
  <c r="J14" i="1" s="1"/>
  <c r="I13" i="1"/>
  <c r="H13" i="1"/>
  <c r="G13" i="1"/>
  <c r="F13" i="1"/>
  <c r="E13" i="1"/>
  <c r="D13" i="1"/>
  <c r="C13" i="1"/>
  <c r="B13" i="1"/>
  <c r="J13" i="1" s="1"/>
  <c r="I12" i="1"/>
  <c r="H12" i="1"/>
  <c r="G12" i="1"/>
  <c r="F12" i="1"/>
  <c r="E12" i="1"/>
  <c r="D12" i="1"/>
  <c r="C12" i="1"/>
  <c r="B12" i="1"/>
  <c r="J12" i="1" s="1"/>
  <c r="G11" i="1"/>
  <c r="C11" i="1"/>
  <c r="I10" i="1"/>
  <c r="H10" i="1"/>
  <c r="H11" i="1" s="1"/>
  <c r="G10" i="1"/>
  <c r="F10" i="1"/>
  <c r="E10" i="1"/>
  <c r="D10" i="1"/>
  <c r="D11" i="1" s="1"/>
  <c r="C10" i="1"/>
  <c r="B10" i="1"/>
  <c r="J10" i="1" s="1"/>
  <c r="I9" i="1"/>
  <c r="I11" i="1" s="1"/>
  <c r="H9" i="1"/>
  <c r="G9" i="1"/>
  <c r="F9" i="1"/>
  <c r="F11" i="1" s="1"/>
  <c r="E9" i="1"/>
  <c r="E11" i="1" s="1"/>
  <c r="J8" i="1"/>
  <c r="I7" i="1"/>
  <c r="H7" i="1"/>
  <c r="H15" i="1" s="1"/>
  <c r="G7" i="1"/>
  <c r="G15" i="1" s="1"/>
  <c r="F7" i="1"/>
  <c r="E7" i="1"/>
  <c r="D7" i="1"/>
  <c r="D15" i="1" s="1"/>
  <c r="C7" i="1"/>
  <c r="C15" i="1" s="1"/>
  <c r="B7" i="1"/>
  <c r="J7" i="1" s="1"/>
  <c r="G51" i="1" l="1"/>
  <c r="G110" i="1"/>
  <c r="J23" i="1"/>
  <c r="B37" i="1"/>
  <c r="C50" i="1"/>
  <c r="J30" i="1"/>
  <c r="E105" i="1"/>
  <c r="J109" i="1"/>
  <c r="C51" i="1"/>
  <c r="H51" i="1"/>
  <c r="H110" i="1"/>
  <c r="E15" i="1"/>
  <c r="I15" i="1"/>
  <c r="G50" i="1"/>
  <c r="I105" i="1"/>
  <c r="J77" i="1"/>
  <c r="J97" i="1"/>
  <c r="F15" i="1"/>
  <c r="D37" i="1"/>
  <c r="D50" i="1" s="1"/>
  <c r="D51" i="1" s="1"/>
  <c r="H37" i="1"/>
  <c r="H50" i="1" s="1"/>
  <c r="J55" i="1"/>
  <c r="J92" i="1"/>
  <c r="J9" i="1"/>
  <c r="B11" i="1"/>
  <c r="J11" i="1" s="1"/>
  <c r="B15" i="1"/>
  <c r="B41" i="1"/>
  <c r="J41" i="1" s="1"/>
  <c r="B62" i="1"/>
  <c r="J86" i="1"/>
  <c r="C101" i="1"/>
  <c r="J101" i="1" s="1"/>
  <c r="J25" i="1"/>
  <c r="J54" i="1"/>
  <c r="F72" i="1"/>
  <c r="J72" i="1" s="1"/>
  <c r="J79" i="1"/>
  <c r="B87" i="1"/>
  <c r="J87" i="1" s="1"/>
  <c r="J108" i="1"/>
  <c r="J43" i="1"/>
  <c r="J53" i="1"/>
  <c r="J94" i="1"/>
  <c r="J99" i="1"/>
  <c r="J19" i="1"/>
  <c r="J74" i="1"/>
  <c r="J15" i="1" l="1"/>
  <c r="C105" i="1"/>
  <c r="C110" i="1" s="1"/>
  <c r="E51" i="1"/>
  <c r="E110" i="1"/>
  <c r="F105" i="1"/>
  <c r="F110" i="1" s="1"/>
  <c r="F51" i="1"/>
  <c r="B64" i="1"/>
  <c r="J62" i="1"/>
  <c r="B50" i="1"/>
  <c r="J50" i="1" s="1"/>
  <c r="J37" i="1"/>
  <c r="D110" i="1"/>
  <c r="I51" i="1"/>
  <c r="I110" i="1"/>
  <c r="B105" i="1" l="1"/>
  <c r="J64" i="1"/>
  <c r="B51" i="1"/>
  <c r="J51" i="1" s="1"/>
  <c r="J105" i="1" l="1"/>
  <c r="B110" i="1"/>
  <c r="J110" i="1" s="1"/>
</calcChain>
</file>

<file path=xl/sharedStrings.xml><?xml version="1.0" encoding="utf-8"?>
<sst xmlns="http://schemas.openxmlformats.org/spreadsheetml/2006/main" count="118" uniqueCount="118">
  <si>
    <t>Jul 2023</t>
  </si>
  <si>
    <t>Aug 2023</t>
  </si>
  <si>
    <t>Sep 2023</t>
  </si>
  <si>
    <t>Oct 2023</t>
  </si>
  <si>
    <t>Nov 2023</t>
  </si>
  <si>
    <t>Dec 2023</t>
  </si>
  <si>
    <t>Jan 2024</t>
  </si>
  <si>
    <t>Feb 2024</t>
  </si>
  <si>
    <t>Total</t>
  </si>
  <si>
    <t>Income</t>
  </si>
  <si>
    <t xml:space="preserve">   19 Food &amp; Menu Sale</t>
  </si>
  <si>
    <t xml:space="preserve">   20 Beverages</t>
  </si>
  <si>
    <t xml:space="preserve">      2001 Bar</t>
  </si>
  <si>
    <t xml:space="preserve">      2002 Other Beverages</t>
  </si>
  <si>
    <t xml:space="preserve">   Total 20 Beverages</t>
  </si>
  <si>
    <t xml:space="preserve">   21 Dawat Box</t>
  </si>
  <si>
    <t xml:space="preserve">   22 Food Panda</t>
  </si>
  <si>
    <t xml:space="preserve">   24 Other Services</t>
  </si>
  <si>
    <t>Total Income</t>
  </si>
  <si>
    <t>Cost of Sales</t>
  </si>
  <si>
    <t xml:space="preserve">   25 Supplies and Materials</t>
  </si>
  <si>
    <t xml:space="preserve">      2501 Meat</t>
  </si>
  <si>
    <t xml:space="preserve">         250101 Mutton</t>
  </si>
  <si>
    <t xml:space="preserve">         250102 Chicken</t>
  </si>
  <si>
    <t xml:space="preserve">         250103 Beef</t>
  </si>
  <si>
    <t xml:space="preserve">         250104 Fish &amp; Prawns</t>
  </si>
  <si>
    <t xml:space="preserve">      Total 2501 Meat</t>
  </si>
  <si>
    <t xml:space="preserve">      2502 Dry Stock</t>
  </si>
  <si>
    <t xml:space="preserve">         250201 Oil</t>
  </si>
  <si>
    <t xml:space="preserve">         250202 Flour</t>
  </si>
  <si>
    <t xml:space="preserve">         250203 Rice</t>
  </si>
  <si>
    <t xml:space="preserve">         250204 Sugar</t>
  </si>
  <si>
    <t xml:space="preserve">         250205 Other Dry Stock</t>
  </si>
  <si>
    <t xml:space="preserve">      Total 2502 Dry Stock</t>
  </si>
  <si>
    <t xml:space="preserve">      2503 Outsourced Food</t>
  </si>
  <si>
    <t xml:space="preserve">      2504 Dairy &amp; Bakery Items</t>
  </si>
  <si>
    <t xml:space="preserve">      2505 Vegetables &amp; Fruits</t>
  </si>
  <si>
    <t xml:space="preserve">      2506 Beverages &amp; Soft Drinks</t>
  </si>
  <si>
    <t xml:space="preserve">      2507 Other Consumables</t>
  </si>
  <si>
    <t xml:space="preserve">      2508 Disposable Material</t>
  </si>
  <si>
    <t xml:space="preserve">   Total 25 Supplies and Materials</t>
  </si>
  <si>
    <t xml:space="preserve">   26 Cost of Labour</t>
  </si>
  <si>
    <t xml:space="preserve">      2601 Salaries- Operation Staff</t>
  </si>
  <si>
    <t xml:space="preserve">      2603 Wages &amp; Allowance</t>
  </si>
  <si>
    <t xml:space="preserve">   Total 26 Cost of Labour</t>
  </si>
  <si>
    <t xml:space="preserve">   27 Cost of Overheads</t>
  </si>
  <si>
    <t xml:space="preserve">      2701 Restaurant Rent</t>
  </si>
  <si>
    <t xml:space="preserve">      2702 Utilitites</t>
  </si>
  <si>
    <t xml:space="preserve">      2703 Fuel &amp; Transporation</t>
  </si>
  <si>
    <t xml:space="preserve">      2704 Repair &amp; Maintenance</t>
  </si>
  <si>
    <t xml:space="preserve">      2705 Laundry</t>
  </si>
  <si>
    <t xml:space="preserve">      2706 Other Direct Cost</t>
  </si>
  <si>
    <t xml:space="preserve">   Total 27 Cost of Overheads</t>
  </si>
  <si>
    <t>Total Cost of Sales</t>
  </si>
  <si>
    <t>Gross Profit</t>
  </si>
  <si>
    <t>Other Income(Loss)</t>
  </si>
  <si>
    <t xml:space="preserve">   45 Outsourced Items</t>
  </si>
  <si>
    <t xml:space="preserve">   47 Others</t>
  </si>
  <si>
    <t>Total Other Income(Loss)</t>
  </si>
  <si>
    <t>Expenses</t>
  </si>
  <si>
    <t xml:space="preserve">   28 Salaries &amp; Benefits</t>
  </si>
  <si>
    <t xml:space="preserve">      2801 Salaries - Non Operation Staff</t>
  </si>
  <si>
    <t xml:space="preserve">         280101 Sales</t>
  </si>
  <si>
    <t xml:space="preserve">         280103 Accounts &amp; Finance</t>
  </si>
  <si>
    <t xml:space="preserve">         280104 Admin &amp; HR</t>
  </si>
  <si>
    <t xml:space="preserve">      Total 2801 Salaries - Non Operation Staff</t>
  </si>
  <si>
    <t xml:space="preserve">      2802 Other Benefits (Direct &amp; Indirect)</t>
  </si>
  <si>
    <t xml:space="preserve">   Total 28 Salaries &amp; Benefits</t>
  </si>
  <si>
    <t xml:space="preserve">   29 Rent, Rate &amp; Taxes</t>
  </si>
  <si>
    <t xml:space="preserve">      2904 Toll Tax</t>
  </si>
  <si>
    <t xml:space="preserve">   Total 29 Rent, Rate &amp; Taxes</t>
  </si>
  <si>
    <t xml:space="preserve">   30 Legal &amp; Professional Charges</t>
  </si>
  <si>
    <t xml:space="preserve">      3003 Legal Services</t>
  </si>
  <si>
    <t xml:space="preserve">      3005 Registration Fee</t>
  </si>
  <si>
    <t xml:space="preserve">      3006 Dues &amp; Subscriptions</t>
  </si>
  <si>
    <t xml:space="preserve">   Total 30 Legal &amp; Professional Charges</t>
  </si>
  <si>
    <t xml:space="preserve">   31 Communication Charges</t>
  </si>
  <si>
    <t xml:space="preserve">      3102 Mobile Charges</t>
  </si>
  <si>
    <t xml:space="preserve">      3103 Postage &amp; Courier</t>
  </si>
  <si>
    <t xml:space="preserve">      3104 Telephone Bill</t>
  </si>
  <si>
    <t xml:space="preserve">   Total 31 Communication Charges</t>
  </si>
  <si>
    <t xml:space="preserve">   32 Repair &amp; Maintenance</t>
  </si>
  <si>
    <t xml:space="preserve">      3201 Equipment Repair &amp; Maintenance</t>
  </si>
  <si>
    <t xml:space="preserve">      3202 Vehicle Repair &amp; Maintenance</t>
  </si>
  <si>
    <t xml:space="preserve">      3203 Computer &amp; Accessories</t>
  </si>
  <si>
    <t xml:space="preserve">      3205 Building Repair &amp; Maintenance</t>
  </si>
  <si>
    <t xml:space="preserve">   Total 32 Repair &amp; Maintenance</t>
  </si>
  <si>
    <t xml:space="preserve">   33 Travelling &amp; Conveyance</t>
  </si>
  <si>
    <t xml:space="preserve">      3301 Fuel Charges</t>
  </si>
  <si>
    <t xml:space="preserve">      3303 Transportation &amp; Carriage</t>
  </si>
  <si>
    <t xml:space="preserve">   Total 33 Travelling &amp; Conveyance</t>
  </si>
  <si>
    <t xml:space="preserve">   34 Office Supplies &amp; Stationary</t>
  </si>
  <si>
    <t xml:space="preserve">      3401 Office Supplies</t>
  </si>
  <si>
    <t xml:space="preserve">      3402 Other Printing</t>
  </si>
  <si>
    <t xml:space="preserve">      3404 Stationary Expense</t>
  </si>
  <si>
    <t xml:space="preserve">   Total 34 Office Supplies &amp; Stationary</t>
  </si>
  <si>
    <t xml:space="preserve">   35 Advertisement &amp; Publicity</t>
  </si>
  <si>
    <t xml:space="preserve">      3501 Agency Fee</t>
  </si>
  <si>
    <t xml:space="preserve">      3502 Ad Spend</t>
  </si>
  <si>
    <t xml:space="preserve">      3503 Ad Production</t>
  </si>
  <si>
    <t xml:space="preserve">   Total 35 Advertisement &amp; Publicity</t>
  </si>
  <si>
    <t xml:space="preserve">   36 Food &amp; Entertainment</t>
  </si>
  <si>
    <t xml:space="preserve">      3601 Office Entertainment</t>
  </si>
  <si>
    <t xml:space="preserve">      3602 Staff Food</t>
  </si>
  <si>
    <t xml:space="preserve">   Total 36 Food &amp; Entertainment</t>
  </si>
  <si>
    <t xml:space="preserve">   37 Cleaning, Washing &amp; Janitorial Expenses</t>
  </si>
  <si>
    <t xml:space="preserve">   38 Staff Uniform</t>
  </si>
  <si>
    <t xml:space="preserve">   40 Misc Expenses</t>
  </si>
  <si>
    <t>Total Expenses</t>
  </si>
  <si>
    <t>Other Expenses</t>
  </si>
  <si>
    <t xml:space="preserve">   48 Outsourced Items Rental</t>
  </si>
  <si>
    <t xml:space="preserve">   49 Bank Service Charges</t>
  </si>
  <si>
    <t>Total Other Expenses</t>
  </si>
  <si>
    <t>Net Earnings</t>
  </si>
  <si>
    <t>Saturday, Mar 16, 2024 02:38:52 AM GMT+5 - Accrual Basis</t>
  </si>
  <si>
    <t>Hanif Rajput-Roof Top Grill</t>
  </si>
  <si>
    <t>Profit and Loss by Month</t>
  </si>
  <si>
    <t>July 2023 - 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</si>
</sst>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PRs&quot;* #,##0.00\ _€"/>
  </numFmts>
  <fonts count="6" x14ac:knownFonts="1">
    <font>
      <sz val="11"/>
      <color indexed="8"/>
      <name val="Aptos Narrow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4"/>
  <sheetViews>
    <sheetView tabSelected="1" workbookViewId="0">
      <selection activeCell="F18" sqref="F18"/>
    </sheetView>
  </sheetViews>
  <sheetFormatPr baseColWidth="10" defaultColWidth="8.83203125" defaultRowHeight="15" x14ac:dyDescent="0.2"/>
  <cols>
    <col min="1" max="1" width="41.1640625" customWidth="1"/>
    <col min="2" max="4" width="13.6640625" customWidth="1"/>
    <col min="5" max="5" width="14.6640625" customWidth="1"/>
    <col min="6" max="6" width="13.6640625" customWidth="1"/>
    <col min="7" max="10" width="14.6640625" customWidth="1"/>
  </cols>
  <sheetData>
    <row r="1" spans="1:10" ht="18" x14ac:dyDescent="0.2">
      <c r="A1" s="10" t="s">
        <v>115</v>
      </c>
      <c r="B1" s="9"/>
      <c r="C1" s="9"/>
      <c r="D1" s="9"/>
      <c r="E1" s="9"/>
      <c r="F1" s="9"/>
      <c r="G1" s="9"/>
      <c r="H1" s="9"/>
      <c r="I1" s="9"/>
      <c r="J1" s="9"/>
    </row>
    <row r="2" spans="1:10" ht="18" x14ac:dyDescent="0.2">
      <c r="A2" s="10" t="s">
        <v>116</v>
      </c>
      <c r="B2" s="9"/>
      <c r="C2" s="9"/>
      <c r="D2" s="9"/>
      <c r="E2" s="9"/>
      <c r="F2" s="9"/>
      <c r="G2" s="9"/>
      <c r="H2" s="9"/>
      <c r="I2" s="9"/>
      <c r="J2" s="9"/>
    </row>
    <row r="3" spans="1:10" x14ac:dyDescent="0.2">
      <c r="A3" s="11" t="s">
        <v>117</v>
      </c>
      <c r="B3" s="9"/>
      <c r="C3" s="9"/>
      <c r="D3" s="9"/>
      <c r="E3" s="9"/>
      <c r="F3" s="9"/>
      <c r="G3" s="9"/>
      <c r="H3" s="9"/>
      <c r="I3" s="9"/>
      <c r="J3" s="9"/>
    </row>
    <row r="5" spans="1:10" x14ac:dyDescent="0.2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</row>
    <row r="6" spans="1:10" x14ac:dyDescent="0.2">
      <c r="A6" s="3" t="s">
        <v>9</v>
      </c>
      <c r="B6" s="4"/>
      <c r="C6" s="4"/>
      <c r="D6" s="4"/>
      <c r="E6" s="4"/>
      <c r="F6" s="4"/>
      <c r="G6" s="4"/>
      <c r="H6" s="4"/>
      <c r="I6" s="4"/>
      <c r="J6" s="4"/>
    </row>
    <row r="7" spans="1:10" x14ac:dyDescent="0.2">
      <c r="A7" s="3" t="s">
        <v>10</v>
      </c>
      <c r="B7" s="5">
        <f>7675911.66</f>
        <v>7675911.6600000001</v>
      </c>
      <c r="C7" s="5">
        <f>8479431.91</f>
        <v>8479431.9100000001</v>
      </c>
      <c r="D7" s="5">
        <f>7867590.62</f>
        <v>7867590.6200000001</v>
      </c>
      <c r="E7" s="5">
        <f>10225831.2</f>
        <v>10225831.199999999</v>
      </c>
      <c r="F7" s="5">
        <f>8593215.15</f>
        <v>8593215.1500000004</v>
      </c>
      <c r="G7" s="5">
        <f>12931382.07</f>
        <v>12931382.07</v>
      </c>
      <c r="H7" s="5">
        <f>12312355.41</f>
        <v>12312355.41</v>
      </c>
      <c r="I7" s="5">
        <f>10387147.68</f>
        <v>10387147.68</v>
      </c>
      <c r="J7" s="5">
        <f t="shared" ref="J7:J15" si="0">(((((((B7)+(C7))+(D7))+(E7))+(F7))+(G7))+(H7))+(I7)</f>
        <v>78472865.699999988</v>
      </c>
    </row>
    <row r="8" spans="1:10" x14ac:dyDescent="0.2">
      <c r="A8" s="3" t="s">
        <v>11</v>
      </c>
      <c r="B8" s="4"/>
      <c r="C8" s="4"/>
      <c r="D8" s="4"/>
      <c r="E8" s="4"/>
      <c r="F8" s="4"/>
      <c r="G8" s="4"/>
      <c r="H8" s="4"/>
      <c r="I8" s="4"/>
      <c r="J8" s="5">
        <f t="shared" si="0"/>
        <v>0</v>
      </c>
    </row>
    <row r="9" spans="1:10" x14ac:dyDescent="0.2">
      <c r="A9" s="3" t="s">
        <v>12</v>
      </c>
      <c r="B9" s="4"/>
      <c r="C9" s="4"/>
      <c r="D9" s="4"/>
      <c r="E9" s="5">
        <f>69140</f>
        <v>69140</v>
      </c>
      <c r="F9" s="5">
        <f>171651</f>
        <v>171651</v>
      </c>
      <c r="G9" s="5">
        <f>186775</f>
        <v>186775</v>
      </c>
      <c r="H9" s="5">
        <f>156284.75</f>
        <v>156284.75</v>
      </c>
      <c r="I9" s="5">
        <f>193411.5</f>
        <v>193411.5</v>
      </c>
      <c r="J9" s="5">
        <f t="shared" si="0"/>
        <v>777262.25</v>
      </c>
    </row>
    <row r="10" spans="1:10" x14ac:dyDescent="0.2">
      <c r="A10" s="3" t="s">
        <v>13</v>
      </c>
      <c r="B10" s="5">
        <f>383619</f>
        <v>383619</v>
      </c>
      <c r="C10" s="5">
        <f>609055</f>
        <v>609055</v>
      </c>
      <c r="D10" s="5">
        <f>508930</f>
        <v>508930</v>
      </c>
      <c r="E10" s="5">
        <f>629435</f>
        <v>629435</v>
      </c>
      <c r="F10" s="5">
        <f>487730</f>
        <v>487730</v>
      </c>
      <c r="G10" s="5">
        <f>546619.99</f>
        <v>546619.99</v>
      </c>
      <c r="H10" s="5">
        <f>461156</f>
        <v>461156</v>
      </c>
      <c r="I10" s="5">
        <f>480384</f>
        <v>480384</v>
      </c>
      <c r="J10" s="5">
        <f t="shared" si="0"/>
        <v>4106928.99</v>
      </c>
    </row>
    <row r="11" spans="1:10" x14ac:dyDescent="0.2">
      <c r="A11" s="3" t="s">
        <v>14</v>
      </c>
      <c r="B11" s="6">
        <f t="shared" ref="B11:I11" si="1">((B8)+(B9))+(B10)</f>
        <v>383619</v>
      </c>
      <c r="C11" s="6">
        <f t="shared" si="1"/>
        <v>609055</v>
      </c>
      <c r="D11" s="6">
        <f t="shared" si="1"/>
        <v>508930</v>
      </c>
      <c r="E11" s="6">
        <f t="shared" si="1"/>
        <v>698575</v>
      </c>
      <c r="F11" s="6">
        <f t="shared" si="1"/>
        <v>659381</v>
      </c>
      <c r="G11" s="6">
        <f t="shared" si="1"/>
        <v>733394.99</v>
      </c>
      <c r="H11" s="6">
        <f t="shared" si="1"/>
        <v>617440.75</v>
      </c>
      <c r="I11" s="6">
        <f t="shared" si="1"/>
        <v>673795.5</v>
      </c>
      <c r="J11" s="6">
        <f t="shared" si="0"/>
        <v>4884191.24</v>
      </c>
    </row>
    <row r="12" spans="1:10" x14ac:dyDescent="0.2">
      <c r="A12" s="3" t="s">
        <v>15</v>
      </c>
      <c r="B12" s="5">
        <f>371700</f>
        <v>371700</v>
      </c>
      <c r="C12" s="5">
        <f>187200</f>
        <v>187200</v>
      </c>
      <c r="D12" s="5">
        <f>648900</f>
        <v>648900</v>
      </c>
      <c r="E12" s="5">
        <f>377200</f>
        <v>377200</v>
      </c>
      <c r="F12" s="5">
        <f>402590</f>
        <v>402590</v>
      </c>
      <c r="G12" s="5">
        <f>711686</f>
        <v>711686</v>
      </c>
      <c r="H12" s="5">
        <f>371027.5</f>
        <v>371027.5</v>
      </c>
      <c r="I12" s="5">
        <f>72575</f>
        <v>72575</v>
      </c>
      <c r="J12" s="5">
        <f t="shared" si="0"/>
        <v>3142878.5</v>
      </c>
    </row>
    <row r="13" spans="1:10" x14ac:dyDescent="0.2">
      <c r="A13" s="3" t="s">
        <v>16</v>
      </c>
      <c r="B13" s="5">
        <f>2613.32</f>
        <v>2613.3200000000002</v>
      </c>
      <c r="C13" s="5">
        <f>46701.21</f>
        <v>46701.21</v>
      </c>
      <c r="D13" s="5">
        <f>27451.93</f>
        <v>27451.93</v>
      </c>
      <c r="E13" s="5">
        <f>40537.63</f>
        <v>40537.629999999997</v>
      </c>
      <c r="F13" s="5">
        <f>65700.95</f>
        <v>65700.95</v>
      </c>
      <c r="G13" s="5">
        <f>42908</f>
        <v>42908</v>
      </c>
      <c r="H13" s="5">
        <f>30080.17</f>
        <v>30080.17</v>
      </c>
      <c r="I13" s="5">
        <f>49402</f>
        <v>49402</v>
      </c>
      <c r="J13" s="5">
        <f t="shared" si="0"/>
        <v>305395.20999999996</v>
      </c>
    </row>
    <row r="14" spans="1:10" x14ac:dyDescent="0.2">
      <c r="A14" s="3" t="s">
        <v>17</v>
      </c>
      <c r="B14" s="5">
        <f>24500</f>
        <v>24500</v>
      </c>
      <c r="C14" s="5">
        <f>12000</f>
        <v>12000</v>
      </c>
      <c r="D14" s="5">
        <f>125235.42</f>
        <v>125235.42</v>
      </c>
      <c r="E14" s="5">
        <f>362417.48</f>
        <v>362417.48</v>
      </c>
      <c r="F14" s="5">
        <f>176543.58</f>
        <v>176543.58</v>
      </c>
      <c r="G14" s="5">
        <f>243721.81</f>
        <v>243721.81</v>
      </c>
      <c r="H14" s="5">
        <f>284407.4</f>
        <v>284407.40000000002</v>
      </c>
      <c r="I14" s="5">
        <f>208319.27</f>
        <v>208319.27</v>
      </c>
      <c r="J14" s="5">
        <f t="shared" si="0"/>
        <v>1437144.96</v>
      </c>
    </row>
    <row r="15" spans="1:10" x14ac:dyDescent="0.2">
      <c r="A15" s="3" t="s">
        <v>18</v>
      </c>
      <c r="B15" s="6">
        <f t="shared" ref="B15:I15" si="2">((((B7)+(B11))+(B12))+(B13))+(B14)</f>
        <v>8458343.9800000004</v>
      </c>
      <c r="C15" s="6">
        <f t="shared" si="2"/>
        <v>9334388.120000001</v>
      </c>
      <c r="D15" s="6">
        <f t="shared" si="2"/>
        <v>9178107.9700000007</v>
      </c>
      <c r="E15" s="6">
        <f t="shared" si="2"/>
        <v>11704561.310000001</v>
      </c>
      <c r="F15" s="6">
        <f t="shared" si="2"/>
        <v>9897430.6799999997</v>
      </c>
      <c r="G15" s="6">
        <f t="shared" si="2"/>
        <v>14663092.870000001</v>
      </c>
      <c r="H15" s="6">
        <f t="shared" si="2"/>
        <v>13615311.23</v>
      </c>
      <c r="I15" s="6">
        <f t="shared" si="2"/>
        <v>11391239.449999999</v>
      </c>
      <c r="J15" s="6">
        <f t="shared" si="0"/>
        <v>88242475.610000014</v>
      </c>
    </row>
    <row r="16" spans="1:10" x14ac:dyDescent="0.2">
      <c r="A16" s="3" t="s">
        <v>19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A17" s="3" t="s">
        <v>20</v>
      </c>
      <c r="B17" s="4"/>
      <c r="C17" s="4"/>
      <c r="D17" s="4"/>
      <c r="E17" s="4"/>
      <c r="F17" s="4"/>
      <c r="G17" s="4"/>
      <c r="H17" s="4"/>
      <c r="I17" s="4"/>
      <c r="J17" s="5">
        <f t="shared" ref="J17:J51" si="3">(((((((B17)+(C17))+(D17))+(E17))+(F17))+(G17))+(H17))+(I17)</f>
        <v>0</v>
      </c>
    </row>
    <row r="18" spans="1:10" x14ac:dyDescent="0.2">
      <c r="A18" s="3" t="s">
        <v>21</v>
      </c>
      <c r="B18" s="4"/>
      <c r="C18" s="4"/>
      <c r="D18" s="4"/>
      <c r="E18" s="4"/>
      <c r="F18" s="4"/>
      <c r="G18" s="4"/>
      <c r="H18" s="4"/>
      <c r="I18" s="4"/>
      <c r="J18" s="5">
        <f t="shared" si="3"/>
        <v>0</v>
      </c>
    </row>
    <row r="19" spans="1:10" x14ac:dyDescent="0.2">
      <c r="A19" s="3" t="s">
        <v>22</v>
      </c>
      <c r="B19" s="5">
        <f>620143</f>
        <v>620143</v>
      </c>
      <c r="C19" s="5">
        <f>697655</f>
        <v>697655</v>
      </c>
      <c r="D19" s="5">
        <f>726473</f>
        <v>726473</v>
      </c>
      <c r="E19" s="5">
        <f>831917</f>
        <v>831917</v>
      </c>
      <c r="F19" s="5">
        <f>643501</f>
        <v>643501</v>
      </c>
      <c r="G19" s="5">
        <f>927674</f>
        <v>927674</v>
      </c>
      <c r="H19" s="5">
        <f>902742</f>
        <v>902742</v>
      </c>
      <c r="I19" s="5">
        <f>762178</f>
        <v>762178</v>
      </c>
      <c r="J19" s="5">
        <f t="shared" si="3"/>
        <v>6112283</v>
      </c>
    </row>
    <row r="20" spans="1:10" x14ac:dyDescent="0.2">
      <c r="A20" s="3" t="s">
        <v>23</v>
      </c>
      <c r="B20" s="5">
        <f>1014477</f>
        <v>1014477</v>
      </c>
      <c r="C20" s="5">
        <f>1167824</f>
        <v>1167824</v>
      </c>
      <c r="D20" s="5">
        <f>1127693</f>
        <v>1127693</v>
      </c>
      <c r="E20" s="5">
        <f>1155256</f>
        <v>1155256</v>
      </c>
      <c r="F20" s="5">
        <f>1089110</f>
        <v>1089110</v>
      </c>
      <c r="G20" s="5">
        <f>1495680</f>
        <v>1495680</v>
      </c>
      <c r="H20" s="5">
        <f>1831514</f>
        <v>1831514</v>
      </c>
      <c r="I20" s="5">
        <f>1686495</f>
        <v>1686495</v>
      </c>
      <c r="J20" s="5">
        <f t="shared" si="3"/>
        <v>10568049</v>
      </c>
    </row>
    <row r="21" spans="1:10" x14ac:dyDescent="0.2">
      <c r="A21" s="3" t="s">
        <v>24</v>
      </c>
      <c r="B21" s="5">
        <f>191591</f>
        <v>191591</v>
      </c>
      <c r="C21" s="5">
        <f>183108</f>
        <v>183108</v>
      </c>
      <c r="D21" s="5">
        <f>222281</f>
        <v>222281</v>
      </c>
      <c r="E21" s="5">
        <f>144761</f>
        <v>144761</v>
      </c>
      <c r="F21" s="5">
        <f>123246</f>
        <v>123246</v>
      </c>
      <c r="G21" s="5">
        <f>186171</f>
        <v>186171</v>
      </c>
      <c r="H21" s="5">
        <f>160691</f>
        <v>160691</v>
      </c>
      <c r="I21" s="5">
        <f>130090</f>
        <v>130090</v>
      </c>
      <c r="J21" s="5">
        <f t="shared" si="3"/>
        <v>1341939</v>
      </c>
    </row>
    <row r="22" spans="1:10" x14ac:dyDescent="0.2">
      <c r="A22" s="3" t="s">
        <v>25</v>
      </c>
      <c r="B22" s="5">
        <f>1486</f>
        <v>1486</v>
      </c>
      <c r="C22" s="5">
        <f>0</f>
        <v>0</v>
      </c>
      <c r="D22" s="5">
        <f>12000</f>
        <v>12000</v>
      </c>
      <c r="E22" s="5">
        <f>23500</f>
        <v>23500</v>
      </c>
      <c r="F22" s="5">
        <f>48901</f>
        <v>48901</v>
      </c>
      <c r="G22" s="5">
        <f>137338</f>
        <v>137338</v>
      </c>
      <c r="H22" s="5">
        <f>132789</f>
        <v>132789</v>
      </c>
      <c r="I22" s="5">
        <f>77790</f>
        <v>77790</v>
      </c>
      <c r="J22" s="5">
        <f t="shared" si="3"/>
        <v>433804</v>
      </c>
    </row>
    <row r="23" spans="1:10" x14ac:dyDescent="0.2">
      <c r="A23" s="3" t="s">
        <v>26</v>
      </c>
      <c r="B23" s="6">
        <f t="shared" ref="B23:I23" si="4">((((B18)+(B19))+(B20))+(B21))+(B22)</f>
        <v>1827697</v>
      </c>
      <c r="C23" s="6">
        <f t="shared" si="4"/>
        <v>2048587</v>
      </c>
      <c r="D23" s="6">
        <f t="shared" si="4"/>
        <v>2088447</v>
      </c>
      <c r="E23" s="6">
        <f t="shared" si="4"/>
        <v>2155434</v>
      </c>
      <c r="F23" s="6">
        <f t="shared" si="4"/>
        <v>1904758</v>
      </c>
      <c r="G23" s="6">
        <f t="shared" si="4"/>
        <v>2746863</v>
      </c>
      <c r="H23" s="6">
        <f t="shared" si="4"/>
        <v>3027736</v>
      </c>
      <c r="I23" s="6">
        <f t="shared" si="4"/>
        <v>2656553</v>
      </c>
      <c r="J23" s="6">
        <f t="shared" si="3"/>
        <v>18456075</v>
      </c>
    </row>
    <row r="24" spans="1:10" x14ac:dyDescent="0.2">
      <c r="A24" s="3" t="s">
        <v>27</v>
      </c>
      <c r="B24" s="4"/>
      <c r="C24" s="4"/>
      <c r="D24" s="4"/>
      <c r="E24" s="4"/>
      <c r="F24" s="4"/>
      <c r="G24" s="4"/>
      <c r="H24" s="4"/>
      <c r="I24" s="4"/>
      <c r="J24" s="5">
        <f t="shared" si="3"/>
        <v>0</v>
      </c>
    </row>
    <row r="25" spans="1:10" x14ac:dyDescent="0.2">
      <c r="A25" s="3" t="s">
        <v>28</v>
      </c>
      <c r="B25" s="5">
        <f>243070</f>
        <v>243070</v>
      </c>
      <c r="C25" s="5">
        <f>242376</f>
        <v>242376</v>
      </c>
      <c r="D25" s="5">
        <f>261119</f>
        <v>261119</v>
      </c>
      <c r="E25" s="5">
        <f>294305</f>
        <v>294305</v>
      </c>
      <c r="F25" s="5">
        <f>244105</f>
        <v>244105</v>
      </c>
      <c r="G25" s="5">
        <f>299287</f>
        <v>299287</v>
      </c>
      <c r="H25" s="5">
        <f>295960</f>
        <v>295960</v>
      </c>
      <c r="I25" s="5">
        <f>248763</f>
        <v>248763</v>
      </c>
      <c r="J25" s="5">
        <f t="shared" si="3"/>
        <v>2128985</v>
      </c>
    </row>
    <row r="26" spans="1:10" x14ac:dyDescent="0.2">
      <c r="A26" s="3" t="s">
        <v>29</v>
      </c>
      <c r="B26" s="5">
        <f>174980</f>
        <v>174980</v>
      </c>
      <c r="C26" s="5">
        <f>191462</f>
        <v>191462</v>
      </c>
      <c r="D26" s="5">
        <f>197629</f>
        <v>197629</v>
      </c>
      <c r="E26" s="5">
        <f>199164</f>
        <v>199164</v>
      </c>
      <c r="F26" s="5">
        <f>171683</f>
        <v>171683</v>
      </c>
      <c r="G26" s="5">
        <f>215243</f>
        <v>215243</v>
      </c>
      <c r="H26" s="5">
        <f>200367</f>
        <v>200367</v>
      </c>
      <c r="I26" s="5">
        <f>153613</f>
        <v>153613</v>
      </c>
      <c r="J26" s="5">
        <f t="shared" si="3"/>
        <v>1504141</v>
      </c>
    </row>
    <row r="27" spans="1:10" x14ac:dyDescent="0.2">
      <c r="A27" s="3" t="s">
        <v>30</v>
      </c>
      <c r="B27" s="5">
        <f>68823</f>
        <v>68823</v>
      </c>
      <c r="C27" s="5">
        <f>70091</f>
        <v>70091</v>
      </c>
      <c r="D27" s="5">
        <f>62542</f>
        <v>62542</v>
      </c>
      <c r="E27" s="5">
        <f>16533</f>
        <v>16533</v>
      </c>
      <c r="F27" s="5">
        <f>73056</f>
        <v>73056</v>
      </c>
      <c r="G27" s="5">
        <f>105056</f>
        <v>105056</v>
      </c>
      <c r="H27" s="5">
        <f>104871</f>
        <v>104871</v>
      </c>
      <c r="I27" s="5">
        <f>83432</f>
        <v>83432</v>
      </c>
      <c r="J27" s="5">
        <f t="shared" si="3"/>
        <v>584404</v>
      </c>
    </row>
    <row r="28" spans="1:10" x14ac:dyDescent="0.2">
      <c r="A28" s="3" t="s">
        <v>31</v>
      </c>
      <c r="B28" s="5">
        <f>16969</f>
        <v>16969</v>
      </c>
      <c r="C28" s="5">
        <f>27826</f>
        <v>27826</v>
      </c>
      <c r="D28" s="5">
        <f>25396</f>
        <v>25396</v>
      </c>
      <c r="E28" s="5">
        <f>24150</f>
        <v>24150</v>
      </c>
      <c r="F28" s="5">
        <f>10714</f>
        <v>10714</v>
      </c>
      <c r="G28" s="5">
        <f>21374</f>
        <v>21374</v>
      </c>
      <c r="H28" s="5">
        <f>26580</f>
        <v>26580</v>
      </c>
      <c r="I28" s="5">
        <f>25366</f>
        <v>25366</v>
      </c>
      <c r="J28" s="5">
        <f t="shared" si="3"/>
        <v>178375</v>
      </c>
    </row>
    <row r="29" spans="1:10" x14ac:dyDescent="0.2">
      <c r="A29" s="3" t="s">
        <v>32</v>
      </c>
      <c r="B29" s="5">
        <f>445446</f>
        <v>445446</v>
      </c>
      <c r="C29" s="5">
        <f>716298</f>
        <v>716298</v>
      </c>
      <c r="D29" s="5">
        <f>612997</f>
        <v>612997</v>
      </c>
      <c r="E29" s="5">
        <f>708090</f>
        <v>708090</v>
      </c>
      <c r="F29" s="5">
        <f>550789</f>
        <v>550789</v>
      </c>
      <c r="G29" s="5">
        <f>759092</f>
        <v>759092</v>
      </c>
      <c r="H29" s="5">
        <f>762870</f>
        <v>762870</v>
      </c>
      <c r="I29" s="5">
        <f>590607</f>
        <v>590607</v>
      </c>
      <c r="J29" s="5">
        <f t="shared" si="3"/>
        <v>5146189</v>
      </c>
    </row>
    <row r="30" spans="1:10" x14ac:dyDescent="0.2">
      <c r="A30" s="3" t="s">
        <v>33</v>
      </c>
      <c r="B30" s="6">
        <f t="shared" ref="B30:I30" si="5">(((((B24)+(B25))+(B26))+(B27))+(B28))+(B29)</f>
        <v>949288</v>
      </c>
      <c r="C30" s="6">
        <f t="shared" si="5"/>
        <v>1248053</v>
      </c>
      <c r="D30" s="6">
        <f t="shared" si="5"/>
        <v>1159683</v>
      </c>
      <c r="E30" s="6">
        <f t="shared" si="5"/>
        <v>1242242</v>
      </c>
      <c r="F30" s="6">
        <f t="shared" si="5"/>
        <v>1050347</v>
      </c>
      <c r="G30" s="6">
        <f t="shared" si="5"/>
        <v>1400052</v>
      </c>
      <c r="H30" s="6">
        <f t="shared" si="5"/>
        <v>1390648</v>
      </c>
      <c r="I30" s="6">
        <f t="shared" si="5"/>
        <v>1101781</v>
      </c>
      <c r="J30" s="6">
        <f t="shared" si="3"/>
        <v>9542094</v>
      </c>
    </row>
    <row r="31" spans="1:10" x14ac:dyDescent="0.2">
      <c r="A31" s="3" t="s">
        <v>34</v>
      </c>
      <c r="B31" s="5">
        <f>82924</f>
        <v>82924</v>
      </c>
      <c r="C31" s="5">
        <f>81510</f>
        <v>81510</v>
      </c>
      <c r="D31" s="5">
        <f>105995</f>
        <v>105995</v>
      </c>
      <c r="E31" s="5">
        <f>117372</f>
        <v>117372</v>
      </c>
      <c r="F31" s="5">
        <f>107006</f>
        <v>107006</v>
      </c>
      <c r="G31" s="5">
        <f>267554</f>
        <v>267554</v>
      </c>
      <c r="H31" s="5">
        <f>262511</f>
        <v>262511</v>
      </c>
      <c r="I31" s="5">
        <f>221170</f>
        <v>221170</v>
      </c>
      <c r="J31" s="5">
        <f t="shared" si="3"/>
        <v>1246042</v>
      </c>
    </row>
    <row r="32" spans="1:10" x14ac:dyDescent="0.2">
      <c r="A32" s="3" t="s">
        <v>35</v>
      </c>
      <c r="B32" s="5">
        <f>375534</f>
        <v>375534</v>
      </c>
      <c r="C32" s="5">
        <f>396872</f>
        <v>396872</v>
      </c>
      <c r="D32" s="5">
        <f>334875</f>
        <v>334875</v>
      </c>
      <c r="E32" s="5">
        <f>433301</f>
        <v>433301</v>
      </c>
      <c r="F32" s="5">
        <f>383984</f>
        <v>383984</v>
      </c>
      <c r="G32" s="5">
        <f>526175</f>
        <v>526175</v>
      </c>
      <c r="H32" s="5">
        <f>503954</f>
        <v>503954</v>
      </c>
      <c r="I32" s="5">
        <f>462482</f>
        <v>462482</v>
      </c>
      <c r="J32" s="5">
        <f t="shared" si="3"/>
        <v>3417177</v>
      </c>
    </row>
    <row r="33" spans="1:10" x14ac:dyDescent="0.2">
      <c r="A33" s="3" t="s">
        <v>36</v>
      </c>
      <c r="B33" s="5">
        <f>281167</f>
        <v>281167</v>
      </c>
      <c r="C33" s="5">
        <f>329623</f>
        <v>329623</v>
      </c>
      <c r="D33" s="5">
        <f>327724</f>
        <v>327724</v>
      </c>
      <c r="E33" s="5">
        <f>403361</f>
        <v>403361</v>
      </c>
      <c r="F33" s="5">
        <f>362322</f>
        <v>362322</v>
      </c>
      <c r="G33" s="5">
        <f>432362</f>
        <v>432362</v>
      </c>
      <c r="H33" s="5">
        <f>466465</f>
        <v>466465</v>
      </c>
      <c r="I33" s="5">
        <f>413833</f>
        <v>413833</v>
      </c>
      <c r="J33" s="5">
        <f t="shared" si="3"/>
        <v>3016857</v>
      </c>
    </row>
    <row r="34" spans="1:10" x14ac:dyDescent="0.2">
      <c r="A34" s="3" t="s">
        <v>37</v>
      </c>
      <c r="B34" s="5">
        <f>261861</f>
        <v>261861</v>
      </c>
      <c r="C34" s="5">
        <f>310977</f>
        <v>310977</v>
      </c>
      <c r="D34" s="5">
        <f>282847</f>
        <v>282847</v>
      </c>
      <c r="E34" s="5">
        <f>337961</f>
        <v>337961</v>
      </c>
      <c r="F34" s="5">
        <f>253052</f>
        <v>253052</v>
      </c>
      <c r="G34" s="5">
        <f>341478</f>
        <v>341478</v>
      </c>
      <c r="H34" s="5">
        <f>321123</f>
        <v>321123</v>
      </c>
      <c r="I34" s="5">
        <f>268823</f>
        <v>268823</v>
      </c>
      <c r="J34" s="5">
        <f t="shared" si="3"/>
        <v>2378122</v>
      </c>
    </row>
    <row r="35" spans="1:10" x14ac:dyDescent="0.2">
      <c r="A35" s="3" t="s">
        <v>38</v>
      </c>
      <c r="B35" s="5">
        <f>198072</f>
        <v>198072</v>
      </c>
      <c r="C35" s="5">
        <f>194508</f>
        <v>194508</v>
      </c>
      <c r="D35" s="5">
        <f>155321</f>
        <v>155321</v>
      </c>
      <c r="E35" s="5">
        <f>182224</f>
        <v>182224</v>
      </c>
      <c r="F35" s="5">
        <f>165021</f>
        <v>165021</v>
      </c>
      <c r="G35" s="5">
        <f>335837</f>
        <v>335837</v>
      </c>
      <c r="H35" s="5">
        <f>333080</f>
        <v>333080</v>
      </c>
      <c r="I35" s="5">
        <f>203024</f>
        <v>203024</v>
      </c>
      <c r="J35" s="5">
        <f t="shared" si="3"/>
        <v>1767087</v>
      </c>
    </row>
    <row r="36" spans="1:10" x14ac:dyDescent="0.2">
      <c r="A36" s="3" t="s">
        <v>39</v>
      </c>
      <c r="B36" s="5">
        <f>88366</f>
        <v>88366</v>
      </c>
      <c r="C36" s="5">
        <f>181036</f>
        <v>181036</v>
      </c>
      <c r="D36" s="5">
        <f>125417</f>
        <v>125417</v>
      </c>
      <c r="E36" s="5">
        <f>137657</f>
        <v>137657</v>
      </c>
      <c r="F36" s="5">
        <f>124642</f>
        <v>124642</v>
      </c>
      <c r="G36" s="5">
        <f>126217</f>
        <v>126217</v>
      </c>
      <c r="H36" s="5">
        <f>155125</f>
        <v>155125</v>
      </c>
      <c r="I36" s="5">
        <f>93154</f>
        <v>93154</v>
      </c>
      <c r="J36" s="5">
        <f t="shared" si="3"/>
        <v>1031614</v>
      </c>
    </row>
    <row r="37" spans="1:10" x14ac:dyDescent="0.2">
      <c r="A37" s="3" t="s">
        <v>40</v>
      </c>
      <c r="B37" s="6">
        <f t="shared" ref="B37:I37" si="6">((((((((B17)+(B23))+(B30))+(B31))+(B32))+(B33))+(B34))+(B35))+(B36)</f>
        <v>4064909</v>
      </c>
      <c r="C37" s="6">
        <f t="shared" si="6"/>
        <v>4791166</v>
      </c>
      <c r="D37" s="6">
        <f t="shared" si="6"/>
        <v>4580309</v>
      </c>
      <c r="E37" s="6">
        <f t="shared" si="6"/>
        <v>5009552</v>
      </c>
      <c r="F37" s="6">
        <f t="shared" si="6"/>
        <v>4351132</v>
      </c>
      <c r="G37" s="6">
        <f t="shared" si="6"/>
        <v>6176538</v>
      </c>
      <c r="H37" s="6">
        <f t="shared" si="6"/>
        <v>6460642</v>
      </c>
      <c r="I37" s="6">
        <f t="shared" si="6"/>
        <v>5420820</v>
      </c>
      <c r="J37" s="6">
        <f t="shared" si="3"/>
        <v>40855068</v>
      </c>
    </row>
    <row r="38" spans="1:10" x14ac:dyDescent="0.2">
      <c r="A38" s="3" t="s">
        <v>41</v>
      </c>
      <c r="B38" s="4"/>
      <c r="C38" s="4"/>
      <c r="D38" s="4"/>
      <c r="E38" s="4"/>
      <c r="F38" s="4"/>
      <c r="G38" s="4"/>
      <c r="H38" s="4"/>
      <c r="I38" s="4"/>
      <c r="J38" s="5">
        <f t="shared" si="3"/>
        <v>0</v>
      </c>
    </row>
    <row r="39" spans="1:10" x14ac:dyDescent="0.2">
      <c r="A39" s="3" t="s">
        <v>42</v>
      </c>
      <c r="B39" s="5">
        <f>1578434</f>
        <v>1578434</v>
      </c>
      <c r="C39" s="5">
        <f>1633000</f>
        <v>1633000</v>
      </c>
      <c r="D39" s="5">
        <f>1567716</f>
        <v>1567716</v>
      </c>
      <c r="E39" s="5">
        <f>1588000</f>
        <v>1588000</v>
      </c>
      <c r="F39" s="5">
        <f>1569734</f>
        <v>1569734</v>
      </c>
      <c r="G39" s="5">
        <f>1583200</f>
        <v>1583200</v>
      </c>
      <c r="H39" s="5">
        <f>1690334</f>
        <v>1690334</v>
      </c>
      <c r="I39" s="5">
        <f>1672133</f>
        <v>1672133</v>
      </c>
      <c r="J39" s="5">
        <f t="shared" si="3"/>
        <v>12882551</v>
      </c>
    </row>
    <row r="40" spans="1:10" x14ac:dyDescent="0.2">
      <c r="A40" s="3" t="s">
        <v>43</v>
      </c>
      <c r="B40" s="5">
        <f>16000</f>
        <v>16000</v>
      </c>
      <c r="C40" s="4"/>
      <c r="D40" s="4"/>
      <c r="E40" s="5">
        <f>2360</f>
        <v>2360</v>
      </c>
      <c r="F40" s="4"/>
      <c r="G40" s="5">
        <f>5500</f>
        <v>5500</v>
      </c>
      <c r="H40" s="4"/>
      <c r="I40" s="4"/>
      <c r="J40" s="5">
        <f t="shared" si="3"/>
        <v>23860</v>
      </c>
    </row>
    <row r="41" spans="1:10" x14ac:dyDescent="0.2">
      <c r="A41" s="3" t="s">
        <v>44</v>
      </c>
      <c r="B41" s="6">
        <f t="shared" ref="B41:I41" si="7">((B38)+(B39))+(B40)</f>
        <v>1594434</v>
      </c>
      <c r="C41" s="6">
        <f t="shared" si="7"/>
        <v>1633000</v>
      </c>
      <c r="D41" s="6">
        <f t="shared" si="7"/>
        <v>1567716</v>
      </c>
      <c r="E41" s="6">
        <f t="shared" si="7"/>
        <v>1590360</v>
      </c>
      <c r="F41" s="6">
        <f t="shared" si="7"/>
        <v>1569734</v>
      </c>
      <c r="G41" s="6">
        <f t="shared" si="7"/>
        <v>1588700</v>
      </c>
      <c r="H41" s="6">
        <f t="shared" si="7"/>
        <v>1690334</v>
      </c>
      <c r="I41" s="6">
        <f t="shared" si="7"/>
        <v>1672133</v>
      </c>
      <c r="J41" s="6">
        <f t="shared" si="3"/>
        <v>12906411</v>
      </c>
    </row>
    <row r="42" spans="1:10" x14ac:dyDescent="0.2">
      <c r="A42" s="3" t="s">
        <v>45</v>
      </c>
      <c r="B42" s="4"/>
      <c r="C42" s="4"/>
      <c r="D42" s="4"/>
      <c r="E42" s="4"/>
      <c r="F42" s="4"/>
      <c r="G42" s="4"/>
      <c r="H42" s="4"/>
      <c r="I42" s="4"/>
      <c r="J42" s="5">
        <f t="shared" si="3"/>
        <v>0</v>
      </c>
    </row>
    <row r="43" spans="1:10" x14ac:dyDescent="0.2">
      <c r="A43" s="3" t="s">
        <v>46</v>
      </c>
      <c r="B43" s="5">
        <f>805983</f>
        <v>805983</v>
      </c>
      <c r="C43" s="5">
        <f>908077</f>
        <v>908077</v>
      </c>
      <c r="D43" s="5">
        <f>837587</f>
        <v>837587</v>
      </c>
      <c r="E43" s="5">
        <f>1092320</f>
        <v>1092320</v>
      </c>
      <c r="F43" s="5">
        <f>925668</f>
        <v>925668</v>
      </c>
      <c r="G43" s="5">
        <f>1366722</f>
        <v>1366722</v>
      </c>
      <c r="H43" s="5">
        <f>1293643</f>
        <v>1293643</v>
      </c>
      <c r="I43" s="5">
        <f>1106060</f>
        <v>1106060</v>
      </c>
      <c r="J43" s="5">
        <f t="shared" si="3"/>
        <v>8336060</v>
      </c>
    </row>
    <row r="44" spans="1:10" x14ac:dyDescent="0.2">
      <c r="A44" s="3" t="s">
        <v>47</v>
      </c>
      <c r="B44" s="5">
        <f>1194670</f>
        <v>1194670</v>
      </c>
      <c r="C44" s="5">
        <f>1314699</f>
        <v>1314699</v>
      </c>
      <c r="D44" s="5">
        <f>1534539</f>
        <v>1534539</v>
      </c>
      <c r="E44" s="5">
        <f>1406169</f>
        <v>1406169</v>
      </c>
      <c r="F44" s="5">
        <f>1009609</f>
        <v>1009609</v>
      </c>
      <c r="G44" s="5">
        <f>1386086</f>
        <v>1386086</v>
      </c>
      <c r="H44" s="5">
        <f>1940185</f>
        <v>1940185</v>
      </c>
      <c r="I44" s="5">
        <f>1688023</f>
        <v>1688023</v>
      </c>
      <c r="J44" s="5">
        <f t="shared" si="3"/>
        <v>11473980</v>
      </c>
    </row>
    <row r="45" spans="1:10" x14ac:dyDescent="0.2">
      <c r="A45" s="3" t="s">
        <v>48</v>
      </c>
      <c r="B45" s="5">
        <f>2190</f>
        <v>2190</v>
      </c>
      <c r="C45" s="5">
        <f>28040</f>
        <v>28040</v>
      </c>
      <c r="D45" s="5">
        <f>52150</f>
        <v>52150</v>
      </c>
      <c r="E45" s="5">
        <f>41730</f>
        <v>41730</v>
      </c>
      <c r="F45" s="5">
        <f>42820</f>
        <v>42820</v>
      </c>
      <c r="G45" s="5">
        <f>46342</f>
        <v>46342</v>
      </c>
      <c r="H45" s="5">
        <f>49300</f>
        <v>49300</v>
      </c>
      <c r="I45" s="5">
        <f>33920</f>
        <v>33920</v>
      </c>
      <c r="J45" s="5">
        <f t="shared" si="3"/>
        <v>296492</v>
      </c>
    </row>
    <row r="46" spans="1:10" x14ac:dyDescent="0.2">
      <c r="A46" s="3" t="s">
        <v>49</v>
      </c>
      <c r="B46" s="4"/>
      <c r="C46" s="4"/>
      <c r="D46" s="5">
        <f>14150</f>
        <v>14150</v>
      </c>
      <c r="E46" s="4"/>
      <c r="F46" s="5">
        <f>5660</f>
        <v>5660</v>
      </c>
      <c r="G46" s="5">
        <f>3380</f>
        <v>3380</v>
      </c>
      <c r="H46" s="5">
        <f>2280</f>
        <v>2280</v>
      </c>
      <c r="I46" s="5">
        <f>3290</f>
        <v>3290</v>
      </c>
      <c r="J46" s="5">
        <f t="shared" si="3"/>
        <v>28760</v>
      </c>
    </row>
    <row r="47" spans="1:10" x14ac:dyDescent="0.2">
      <c r="A47" s="3" t="s">
        <v>50</v>
      </c>
      <c r="B47" s="5">
        <f>50680</f>
        <v>50680</v>
      </c>
      <c r="C47" s="5">
        <f>51560</f>
        <v>51560</v>
      </c>
      <c r="D47" s="5">
        <f>51920</f>
        <v>51920</v>
      </c>
      <c r="E47" s="5">
        <f>50000</f>
        <v>50000</v>
      </c>
      <c r="F47" s="5">
        <f>52220</f>
        <v>52220</v>
      </c>
      <c r="G47" s="5">
        <f>50000</f>
        <v>50000</v>
      </c>
      <c r="H47" s="5">
        <f>55400</f>
        <v>55400</v>
      </c>
      <c r="I47" s="5">
        <f>50000</f>
        <v>50000</v>
      </c>
      <c r="J47" s="5">
        <f t="shared" si="3"/>
        <v>411780</v>
      </c>
    </row>
    <row r="48" spans="1:10" x14ac:dyDescent="0.2">
      <c r="A48" s="3" t="s">
        <v>51</v>
      </c>
      <c r="B48" s="5">
        <f>15000</f>
        <v>15000</v>
      </c>
      <c r="C48" s="5">
        <f>6000</f>
        <v>6000</v>
      </c>
      <c r="D48" s="5">
        <f>37615</f>
        <v>37615</v>
      </c>
      <c r="E48" s="5">
        <f>167500</f>
        <v>167500</v>
      </c>
      <c r="F48" s="4"/>
      <c r="G48" s="4"/>
      <c r="H48" s="5">
        <f>47000</f>
        <v>47000</v>
      </c>
      <c r="I48" s="4"/>
      <c r="J48" s="5">
        <f t="shared" si="3"/>
        <v>273115</v>
      </c>
    </row>
    <row r="49" spans="1:10" x14ac:dyDescent="0.2">
      <c r="A49" s="3" t="s">
        <v>52</v>
      </c>
      <c r="B49" s="6">
        <f t="shared" ref="B49:I49" si="8">((((((B42)+(B43))+(B44))+(B45))+(B46))+(B47))+(B48)</f>
        <v>2068523</v>
      </c>
      <c r="C49" s="6">
        <f t="shared" si="8"/>
        <v>2308376</v>
      </c>
      <c r="D49" s="6">
        <f t="shared" si="8"/>
        <v>2527961</v>
      </c>
      <c r="E49" s="6">
        <f t="shared" si="8"/>
        <v>2757719</v>
      </c>
      <c r="F49" s="6">
        <f t="shared" si="8"/>
        <v>2035977</v>
      </c>
      <c r="G49" s="6">
        <f t="shared" si="8"/>
        <v>2852530</v>
      </c>
      <c r="H49" s="6">
        <f t="shared" si="8"/>
        <v>3387808</v>
      </c>
      <c r="I49" s="6">
        <f t="shared" si="8"/>
        <v>2881293</v>
      </c>
      <c r="J49" s="6">
        <f t="shared" si="3"/>
        <v>20820187</v>
      </c>
    </row>
    <row r="50" spans="1:10" x14ac:dyDescent="0.2">
      <c r="A50" s="3" t="s">
        <v>53</v>
      </c>
      <c r="B50" s="6">
        <f t="shared" ref="B50:I50" si="9">((B37)+(B41))+(B49)</f>
        <v>7727866</v>
      </c>
      <c r="C50" s="6">
        <f t="shared" si="9"/>
        <v>8732542</v>
      </c>
      <c r="D50" s="6">
        <f t="shared" si="9"/>
        <v>8675986</v>
      </c>
      <c r="E50" s="6">
        <f t="shared" si="9"/>
        <v>9357631</v>
      </c>
      <c r="F50" s="6">
        <f t="shared" si="9"/>
        <v>7956843</v>
      </c>
      <c r="G50" s="6">
        <f t="shared" si="9"/>
        <v>10617768</v>
      </c>
      <c r="H50" s="6">
        <f t="shared" si="9"/>
        <v>11538784</v>
      </c>
      <c r="I50" s="6">
        <f t="shared" si="9"/>
        <v>9974246</v>
      </c>
      <c r="J50" s="6">
        <f t="shared" si="3"/>
        <v>74581666</v>
      </c>
    </row>
    <row r="51" spans="1:10" x14ac:dyDescent="0.2">
      <c r="A51" s="3" t="s">
        <v>54</v>
      </c>
      <c r="B51" s="6">
        <f t="shared" ref="B51:I51" si="10">(B15)-(B50)</f>
        <v>730477.98000000045</v>
      </c>
      <c r="C51" s="6">
        <f t="shared" si="10"/>
        <v>601846.12000000104</v>
      </c>
      <c r="D51" s="6">
        <f t="shared" si="10"/>
        <v>502121.97000000067</v>
      </c>
      <c r="E51" s="6">
        <f t="shared" si="10"/>
        <v>2346930.3100000005</v>
      </c>
      <c r="F51" s="6">
        <f t="shared" si="10"/>
        <v>1940587.6799999997</v>
      </c>
      <c r="G51" s="6">
        <f t="shared" si="10"/>
        <v>4045324.870000001</v>
      </c>
      <c r="H51" s="6">
        <f t="shared" si="10"/>
        <v>2076527.2300000004</v>
      </c>
      <c r="I51" s="6">
        <f t="shared" si="10"/>
        <v>1416993.4499999993</v>
      </c>
      <c r="J51" s="6">
        <f t="shared" si="3"/>
        <v>13660809.610000003</v>
      </c>
    </row>
    <row r="52" spans="1:10" x14ac:dyDescent="0.2">
      <c r="A52" s="3" t="s">
        <v>55</v>
      </c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">
      <c r="A53" s="3" t="s">
        <v>56</v>
      </c>
      <c r="B53" s="4"/>
      <c r="C53" s="5">
        <f>3500</f>
        <v>3500</v>
      </c>
      <c r="D53" s="4"/>
      <c r="E53" s="4"/>
      <c r="F53" s="4"/>
      <c r="G53" s="4"/>
      <c r="H53" s="4"/>
      <c r="I53" s="4"/>
      <c r="J53" s="5">
        <f>(((((((B53)+(C53))+(D53))+(E53))+(F53))+(G53))+(H53))+(I53)</f>
        <v>3500</v>
      </c>
    </row>
    <row r="54" spans="1:10" x14ac:dyDescent="0.2">
      <c r="A54" s="3" t="s">
        <v>57</v>
      </c>
      <c r="B54" s="5">
        <f>32700</f>
        <v>32700</v>
      </c>
      <c r="C54" s="5">
        <f>7732</f>
        <v>7732</v>
      </c>
      <c r="D54" s="4"/>
      <c r="E54" s="4"/>
      <c r="F54" s="5">
        <f>11990</f>
        <v>11990</v>
      </c>
      <c r="G54" s="5">
        <f>12970</f>
        <v>12970</v>
      </c>
      <c r="H54" s="5">
        <f>20190</f>
        <v>20190</v>
      </c>
      <c r="I54" s="5">
        <f>10490</f>
        <v>10490</v>
      </c>
      <c r="J54" s="5">
        <f>(((((((B54)+(C54))+(D54))+(E54))+(F54))+(G54))+(H54))+(I54)</f>
        <v>96072</v>
      </c>
    </row>
    <row r="55" spans="1:10" x14ac:dyDescent="0.2">
      <c r="A55" s="3" t="s">
        <v>58</v>
      </c>
      <c r="B55" s="6">
        <f t="shared" ref="B55:I55" si="11">(B53)+(B54)</f>
        <v>32700</v>
      </c>
      <c r="C55" s="6">
        <f t="shared" si="11"/>
        <v>11232</v>
      </c>
      <c r="D55" s="6">
        <f t="shared" si="11"/>
        <v>0</v>
      </c>
      <c r="E55" s="6">
        <f t="shared" si="11"/>
        <v>0</v>
      </c>
      <c r="F55" s="6">
        <f t="shared" si="11"/>
        <v>11990</v>
      </c>
      <c r="G55" s="6">
        <f t="shared" si="11"/>
        <v>12970</v>
      </c>
      <c r="H55" s="6">
        <f t="shared" si="11"/>
        <v>20190</v>
      </c>
      <c r="I55" s="6">
        <f t="shared" si="11"/>
        <v>10490</v>
      </c>
      <c r="J55" s="6">
        <f>(((((((B55)+(C55))+(D55))+(E55))+(F55))+(G55))+(H55))+(I55)</f>
        <v>99572</v>
      </c>
    </row>
    <row r="56" spans="1:10" x14ac:dyDescent="0.2">
      <c r="A56" s="3" t="s">
        <v>59</v>
      </c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">
      <c r="A57" s="3" t="s">
        <v>60</v>
      </c>
      <c r="B57" s="4"/>
      <c r="C57" s="4"/>
      <c r="D57" s="4"/>
      <c r="E57" s="4"/>
      <c r="F57" s="4"/>
      <c r="G57" s="4"/>
      <c r="H57" s="4"/>
      <c r="I57" s="4"/>
      <c r="J57" s="5">
        <f t="shared" ref="J57:J88" si="12">(((((((B57)+(C57))+(D57))+(E57))+(F57))+(G57))+(H57))+(I57)</f>
        <v>0</v>
      </c>
    </row>
    <row r="58" spans="1:10" x14ac:dyDescent="0.2">
      <c r="A58" s="3" t="s">
        <v>61</v>
      </c>
      <c r="B58" s="4"/>
      <c r="C58" s="4"/>
      <c r="D58" s="4"/>
      <c r="E58" s="4"/>
      <c r="F58" s="4"/>
      <c r="G58" s="4"/>
      <c r="H58" s="4"/>
      <c r="I58" s="4"/>
      <c r="J58" s="5">
        <f t="shared" si="12"/>
        <v>0</v>
      </c>
    </row>
    <row r="59" spans="1:10" x14ac:dyDescent="0.2">
      <c r="A59" s="3" t="s">
        <v>62</v>
      </c>
      <c r="B59" s="5">
        <f>169500</f>
        <v>169500</v>
      </c>
      <c r="C59" s="5">
        <f>169500</f>
        <v>169500</v>
      </c>
      <c r="D59" s="5">
        <f>164500</f>
        <v>164500</v>
      </c>
      <c r="E59" s="5">
        <f>164500</f>
        <v>164500</v>
      </c>
      <c r="F59" s="5">
        <f>164500</f>
        <v>164500</v>
      </c>
      <c r="G59" s="5">
        <f>164500</f>
        <v>164500</v>
      </c>
      <c r="H59" s="5">
        <f>164500</f>
        <v>164500</v>
      </c>
      <c r="I59" s="5">
        <f>15000</f>
        <v>15000</v>
      </c>
      <c r="J59" s="5">
        <f t="shared" si="12"/>
        <v>1176500</v>
      </c>
    </row>
    <row r="60" spans="1:10" x14ac:dyDescent="0.2">
      <c r="A60" s="3" t="s">
        <v>63</v>
      </c>
      <c r="B60" s="5">
        <f>122500</f>
        <v>122500</v>
      </c>
      <c r="C60" s="5">
        <f>121666</f>
        <v>121666</v>
      </c>
      <c r="D60" s="5">
        <f>127500</f>
        <v>127500</v>
      </c>
      <c r="E60" s="5">
        <f>139500</f>
        <v>139500</v>
      </c>
      <c r="F60" s="5">
        <f>126083</f>
        <v>126083</v>
      </c>
      <c r="G60" s="5">
        <f>100000</f>
        <v>100000</v>
      </c>
      <c r="H60" s="5">
        <f>100000</f>
        <v>100000</v>
      </c>
      <c r="I60" s="5">
        <f>105000</f>
        <v>105000</v>
      </c>
      <c r="J60" s="5">
        <f t="shared" si="12"/>
        <v>942249</v>
      </c>
    </row>
    <row r="61" spans="1:10" x14ac:dyDescent="0.2">
      <c r="A61" s="3" t="s">
        <v>64</v>
      </c>
      <c r="B61" s="5">
        <f>54500</f>
        <v>54500</v>
      </c>
      <c r="C61" s="5">
        <f>54500</f>
        <v>54500</v>
      </c>
      <c r="D61" s="5">
        <f>54500</f>
        <v>54500</v>
      </c>
      <c r="E61" s="5">
        <f>54500</f>
        <v>54500</v>
      </c>
      <c r="F61" s="5">
        <f>54500</f>
        <v>54500</v>
      </c>
      <c r="G61" s="5">
        <f>54500</f>
        <v>54500</v>
      </c>
      <c r="H61" s="5">
        <f>54500</f>
        <v>54500</v>
      </c>
      <c r="I61" s="5">
        <f>54500</f>
        <v>54500</v>
      </c>
      <c r="J61" s="5">
        <f t="shared" si="12"/>
        <v>436000</v>
      </c>
    </row>
    <row r="62" spans="1:10" x14ac:dyDescent="0.2">
      <c r="A62" s="3" t="s">
        <v>65</v>
      </c>
      <c r="B62" s="6">
        <f t="shared" ref="B62:I62" si="13">(((B58)+(B59))+(B60))+(B61)</f>
        <v>346500</v>
      </c>
      <c r="C62" s="6">
        <f t="shared" si="13"/>
        <v>345666</v>
      </c>
      <c r="D62" s="6">
        <f t="shared" si="13"/>
        <v>346500</v>
      </c>
      <c r="E62" s="6">
        <f t="shared" si="13"/>
        <v>358500</v>
      </c>
      <c r="F62" s="6">
        <f t="shared" si="13"/>
        <v>345083</v>
      </c>
      <c r="G62" s="6">
        <f t="shared" si="13"/>
        <v>319000</v>
      </c>
      <c r="H62" s="6">
        <f t="shared" si="13"/>
        <v>319000</v>
      </c>
      <c r="I62" s="6">
        <f t="shared" si="13"/>
        <v>174500</v>
      </c>
      <c r="J62" s="6">
        <f t="shared" si="12"/>
        <v>2554749</v>
      </c>
    </row>
    <row r="63" spans="1:10" x14ac:dyDescent="0.2">
      <c r="A63" s="3" t="s">
        <v>66</v>
      </c>
      <c r="B63" s="5">
        <f>306849</f>
        <v>306849</v>
      </c>
      <c r="C63" s="5">
        <f>401112</f>
        <v>401112</v>
      </c>
      <c r="D63" s="5">
        <f>391247</f>
        <v>391247</v>
      </c>
      <c r="E63" s="5">
        <f>332457</f>
        <v>332457</v>
      </c>
      <c r="F63" s="5">
        <f>251548</f>
        <v>251548</v>
      </c>
      <c r="G63" s="5">
        <f>281790</f>
        <v>281790</v>
      </c>
      <c r="H63" s="5">
        <f>293731</f>
        <v>293731</v>
      </c>
      <c r="I63" s="5">
        <f>462852</f>
        <v>462852</v>
      </c>
      <c r="J63" s="5">
        <f t="shared" si="12"/>
        <v>2721586</v>
      </c>
    </row>
    <row r="64" spans="1:10" x14ac:dyDescent="0.2">
      <c r="A64" s="3" t="s">
        <v>67</v>
      </c>
      <c r="B64" s="6">
        <f t="shared" ref="B64:I64" si="14">((B57)+(B62))+(B63)</f>
        <v>653349</v>
      </c>
      <c r="C64" s="6">
        <f t="shared" si="14"/>
        <v>746778</v>
      </c>
      <c r="D64" s="6">
        <f t="shared" si="14"/>
        <v>737747</v>
      </c>
      <c r="E64" s="6">
        <f t="shared" si="14"/>
        <v>690957</v>
      </c>
      <c r="F64" s="6">
        <f t="shared" si="14"/>
        <v>596631</v>
      </c>
      <c r="G64" s="6">
        <f t="shared" si="14"/>
        <v>600790</v>
      </c>
      <c r="H64" s="6">
        <f t="shared" si="14"/>
        <v>612731</v>
      </c>
      <c r="I64" s="6">
        <f t="shared" si="14"/>
        <v>637352</v>
      </c>
      <c r="J64" s="6">
        <f t="shared" si="12"/>
        <v>5276335</v>
      </c>
    </row>
    <row r="65" spans="1:10" x14ac:dyDescent="0.2">
      <c r="A65" s="3" t="s">
        <v>68</v>
      </c>
      <c r="B65" s="4"/>
      <c r="C65" s="4"/>
      <c r="D65" s="4"/>
      <c r="E65" s="4"/>
      <c r="F65" s="4"/>
      <c r="G65" s="4"/>
      <c r="H65" s="4"/>
      <c r="I65" s="4"/>
      <c r="J65" s="5">
        <f t="shared" si="12"/>
        <v>0</v>
      </c>
    </row>
    <row r="66" spans="1:10" x14ac:dyDescent="0.2">
      <c r="A66" s="3" t="s">
        <v>69</v>
      </c>
      <c r="B66" s="4"/>
      <c r="C66" s="4"/>
      <c r="D66" s="5">
        <f>60</f>
        <v>60</v>
      </c>
      <c r="E66" s="4"/>
      <c r="F66" s="4"/>
      <c r="G66" s="4"/>
      <c r="H66" s="4"/>
      <c r="I66" s="4"/>
      <c r="J66" s="5">
        <f t="shared" si="12"/>
        <v>60</v>
      </c>
    </row>
    <row r="67" spans="1:10" x14ac:dyDescent="0.2">
      <c r="A67" s="3" t="s">
        <v>70</v>
      </c>
      <c r="B67" s="6">
        <f t="shared" ref="B67:I67" si="15">(B65)+(B66)</f>
        <v>0</v>
      </c>
      <c r="C67" s="6">
        <f t="shared" si="15"/>
        <v>0</v>
      </c>
      <c r="D67" s="6">
        <f t="shared" si="15"/>
        <v>60</v>
      </c>
      <c r="E67" s="6">
        <f t="shared" si="15"/>
        <v>0</v>
      </c>
      <c r="F67" s="6">
        <f t="shared" si="15"/>
        <v>0</v>
      </c>
      <c r="G67" s="6">
        <f t="shared" si="15"/>
        <v>0</v>
      </c>
      <c r="H67" s="6">
        <f t="shared" si="15"/>
        <v>0</v>
      </c>
      <c r="I67" s="6">
        <f t="shared" si="15"/>
        <v>0</v>
      </c>
      <c r="J67" s="6">
        <f t="shared" si="12"/>
        <v>60</v>
      </c>
    </row>
    <row r="68" spans="1:10" x14ac:dyDescent="0.2">
      <c r="A68" s="3" t="s">
        <v>71</v>
      </c>
      <c r="B68" s="4"/>
      <c r="C68" s="4"/>
      <c r="D68" s="4"/>
      <c r="E68" s="4"/>
      <c r="F68" s="4"/>
      <c r="G68" s="4"/>
      <c r="H68" s="4"/>
      <c r="I68" s="4"/>
      <c r="J68" s="5">
        <f t="shared" si="12"/>
        <v>0</v>
      </c>
    </row>
    <row r="69" spans="1:10" x14ac:dyDescent="0.2">
      <c r="A69" s="3" t="s">
        <v>72</v>
      </c>
      <c r="B69" s="5">
        <f>945</f>
        <v>945</v>
      </c>
      <c r="C69" s="5">
        <f>1180</f>
        <v>1180</v>
      </c>
      <c r="D69" s="5">
        <f>1075</f>
        <v>1075</v>
      </c>
      <c r="E69" s="5">
        <f>1295</f>
        <v>1295</v>
      </c>
      <c r="F69" s="5">
        <f>1130</f>
        <v>1130</v>
      </c>
      <c r="G69" s="5">
        <f>1495</f>
        <v>1495</v>
      </c>
      <c r="H69" s="5">
        <f>1420</f>
        <v>1420</v>
      </c>
      <c r="I69" s="5">
        <f>1495</f>
        <v>1495</v>
      </c>
      <c r="J69" s="5">
        <f t="shared" si="12"/>
        <v>10035</v>
      </c>
    </row>
    <row r="70" spans="1:10" x14ac:dyDescent="0.2">
      <c r="A70" s="3" t="s">
        <v>73</v>
      </c>
      <c r="B70" s="4"/>
      <c r="C70" s="4"/>
      <c r="D70" s="4"/>
      <c r="E70" s="4"/>
      <c r="F70" s="5">
        <f>100000</f>
        <v>100000</v>
      </c>
      <c r="G70" s="4"/>
      <c r="H70" s="5">
        <f>30000</f>
        <v>30000</v>
      </c>
      <c r="I70" s="4"/>
      <c r="J70" s="5">
        <f t="shared" si="12"/>
        <v>130000</v>
      </c>
    </row>
    <row r="71" spans="1:10" x14ac:dyDescent="0.2">
      <c r="A71" s="3" t="s">
        <v>74</v>
      </c>
      <c r="B71" s="4"/>
      <c r="C71" s="4"/>
      <c r="D71" s="4"/>
      <c r="E71" s="4"/>
      <c r="F71" s="5">
        <f>10162</f>
        <v>10162</v>
      </c>
      <c r="G71" s="5">
        <f>49253</f>
        <v>49253</v>
      </c>
      <c r="H71" s="5">
        <f>43422</f>
        <v>43422</v>
      </c>
      <c r="I71" s="5">
        <f>38422</f>
        <v>38422</v>
      </c>
      <c r="J71" s="5">
        <f t="shared" si="12"/>
        <v>141259</v>
      </c>
    </row>
    <row r="72" spans="1:10" x14ac:dyDescent="0.2">
      <c r="A72" s="3" t="s">
        <v>75</v>
      </c>
      <c r="B72" s="6">
        <f t="shared" ref="B72:I72" si="16">(((B68)+(B69))+(B70))+(B71)</f>
        <v>945</v>
      </c>
      <c r="C72" s="6">
        <f t="shared" si="16"/>
        <v>1180</v>
      </c>
      <c r="D72" s="6">
        <f t="shared" si="16"/>
        <v>1075</v>
      </c>
      <c r="E72" s="6">
        <f t="shared" si="16"/>
        <v>1295</v>
      </c>
      <c r="F72" s="6">
        <f t="shared" si="16"/>
        <v>111292</v>
      </c>
      <c r="G72" s="6">
        <f t="shared" si="16"/>
        <v>50748</v>
      </c>
      <c r="H72" s="6">
        <f t="shared" si="16"/>
        <v>74842</v>
      </c>
      <c r="I72" s="6">
        <f t="shared" si="16"/>
        <v>39917</v>
      </c>
      <c r="J72" s="6">
        <f t="shared" si="12"/>
        <v>281294</v>
      </c>
    </row>
    <row r="73" spans="1:10" x14ac:dyDescent="0.2">
      <c r="A73" s="3" t="s">
        <v>76</v>
      </c>
      <c r="B73" s="4"/>
      <c r="C73" s="4"/>
      <c r="D73" s="4"/>
      <c r="E73" s="4"/>
      <c r="F73" s="4"/>
      <c r="G73" s="4"/>
      <c r="H73" s="4"/>
      <c r="I73" s="4"/>
      <c r="J73" s="5">
        <f t="shared" si="12"/>
        <v>0</v>
      </c>
    </row>
    <row r="74" spans="1:10" x14ac:dyDescent="0.2">
      <c r="A74" s="3" t="s">
        <v>77</v>
      </c>
      <c r="B74" s="5">
        <f>14771</f>
        <v>14771</v>
      </c>
      <c r="C74" s="5">
        <f>26706</f>
        <v>26706</v>
      </c>
      <c r="D74" s="5">
        <f>21140</f>
        <v>21140</v>
      </c>
      <c r="E74" s="5">
        <f>22474</f>
        <v>22474</v>
      </c>
      <c r="F74" s="5">
        <f>32805</f>
        <v>32805</v>
      </c>
      <c r="G74" s="5">
        <f>28341</f>
        <v>28341</v>
      </c>
      <c r="H74" s="5">
        <f>28081</f>
        <v>28081</v>
      </c>
      <c r="I74" s="5">
        <f>25000</f>
        <v>25000</v>
      </c>
      <c r="J74" s="5">
        <f t="shared" si="12"/>
        <v>199318</v>
      </c>
    </row>
    <row r="75" spans="1:10" x14ac:dyDescent="0.2">
      <c r="A75" s="3" t="s">
        <v>78</v>
      </c>
      <c r="B75" s="4"/>
      <c r="C75" s="4"/>
      <c r="D75" s="4"/>
      <c r="E75" s="4"/>
      <c r="F75" s="4"/>
      <c r="G75" s="5">
        <f>1690</f>
        <v>1690</v>
      </c>
      <c r="H75" s="4"/>
      <c r="I75" s="4"/>
      <c r="J75" s="5">
        <f t="shared" si="12"/>
        <v>1690</v>
      </c>
    </row>
    <row r="76" spans="1:10" x14ac:dyDescent="0.2">
      <c r="A76" s="3" t="s">
        <v>79</v>
      </c>
      <c r="B76" s="5">
        <f>5640</f>
        <v>5640</v>
      </c>
      <c r="C76" s="5">
        <f>5680</f>
        <v>5680</v>
      </c>
      <c r="D76" s="5">
        <f>8160</f>
        <v>8160</v>
      </c>
      <c r="E76" s="5">
        <f>7760</f>
        <v>7760</v>
      </c>
      <c r="F76" s="5">
        <f>7490</f>
        <v>7490</v>
      </c>
      <c r="G76" s="5">
        <f>7620</f>
        <v>7620</v>
      </c>
      <c r="H76" s="5">
        <f>8080</f>
        <v>8080</v>
      </c>
      <c r="I76" s="5">
        <f>8330</f>
        <v>8330</v>
      </c>
      <c r="J76" s="5">
        <f t="shared" si="12"/>
        <v>58760</v>
      </c>
    </row>
    <row r="77" spans="1:10" x14ac:dyDescent="0.2">
      <c r="A77" s="3" t="s">
        <v>80</v>
      </c>
      <c r="B77" s="6">
        <f t="shared" ref="B77:I77" si="17">(((B73)+(B74))+(B75))+(B76)</f>
        <v>20411</v>
      </c>
      <c r="C77" s="6">
        <f t="shared" si="17"/>
        <v>32386</v>
      </c>
      <c r="D77" s="6">
        <f t="shared" si="17"/>
        <v>29300</v>
      </c>
      <c r="E77" s="6">
        <f t="shared" si="17"/>
        <v>30234</v>
      </c>
      <c r="F77" s="6">
        <f t="shared" si="17"/>
        <v>40295</v>
      </c>
      <c r="G77" s="6">
        <f t="shared" si="17"/>
        <v>37651</v>
      </c>
      <c r="H77" s="6">
        <f t="shared" si="17"/>
        <v>36161</v>
      </c>
      <c r="I77" s="6">
        <f t="shared" si="17"/>
        <v>33330</v>
      </c>
      <c r="J77" s="6">
        <f t="shared" si="12"/>
        <v>259768</v>
      </c>
    </row>
    <row r="78" spans="1:10" x14ac:dyDescent="0.2">
      <c r="A78" s="3" t="s">
        <v>81</v>
      </c>
      <c r="B78" s="4"/>
      <c r="C78" s="4"/>
      <c r="D78" s="4"/>
      <c r="E78" s="4"/>
      <c r="F78" s="4"/>
      <c r="G78" s="4"/>
      <c r="H78" s="4"/>
      <c r="I78" s="4"/>
      <c r="J78" s="5">
        <f t="shared" si="12"/>
        <v>0</v>
      </c>
    </row>
    <row r="79" spans="1:10" x14ac:dyDescent="0.2">
      <c r="A79" s="3" t="s">
        <v>82</v>
      </c>
      <c r="B79" s="5">
        <f>27450</f>
        <v>27450</v>
      </c>
      <c r="C79" s="5">
        <f>26351</f>
        <v>26351</v>
      </c>
      <c r="D79" s="5">
        <f>5830</f>
        <v>5830</v>
      </c>
      <c r="E79" s="5">
        <f>43640</f>
        <v>43640</v>
      </c>
      <c r="F79" s="5">
        <f>88360</f>
        <v>88360</v>
      </c>
      <c r="G79" s="5">
        <f>68010</f>
        <v>68010</v>
      </c>
      <c r="H79" s="5">
        <f>74030</f>
        <v>74030</v>
      </c>
      <c r="I79" s="5">
        <f>21370</f>
        <v>21370</v>
      </c>
      <c r="J79" s="5">
        <f t="shared" si="12"/>
        <v>355041</v>
      </c>
    </row>
    <row r="80" spans="1:10" x14ac:dyDescent="0.2">
      <c r="A80" s="3" t="s">
        <v>83</v>
      </c>
      <c r="B80" s="5">
        <f>1538</f>
        <v>1538</v>
      </c>
      <c r="C80" s="5">
        <f>862</f>
        <v>862</v>
      </c>
      <c r="D80" s="5">
        <f>5860</f>
        <v>5860</v>
      </c>
      <c r="E80" s="5">
        <f>3300</f>
        <v>3300</v>
      </c>
      <c r="F80" s="5">
        <f>11415</f>
        <v>11415</v>
      </c>
      <c r="G80" s="5">
        <f>5910</f>
        <v>5910</v>
      </c>
      <c r="H80" s="5">
        <f>1340</f>
        <v>1340</v>
      </c>
      <c r="I80" s="5">
        <f>9100</f>
        <v>9100</v>
      </c>
      <c r="J80" s="5">
        <f t="shared" si="12"/>
        <v>39325</v>
      </c>
    </row>
    <row r="81" spans="1:10" x14ac:dyDescent="0.2">
      <c r="A81" s="3" t="s">
        <v>84</v>
      </c>
      <c r="B81" s="5">
        <f>4350</f>
        <v>4350</v>
      </c>
      <c r="C81" s="5">
        <f>850</f>
        <v>850</v>
      </c>
      <c r="D81" s="5">
        <f>5900</f>
        <v>5900</v>
      </c>
      <c r="E81" s="4"/>
      <c r="F81" s="4"/>
      <c r="G81" s="5">
        <f>5200</f>
        <v>5200</v>
      </c>
      <c r="H81" s="4"/>
      <c r="I81" s="4"/>
      <c r="J81" s="5">
        <f t="shared" si="12"/>
        <v>16300</v>
      </c>
    </row>
    <row r="82" spans="1:10" x14ac:dyDescent="0.2">
      <c r="A82" s="3" t="s">
        <v>85</v>
      </c>
      <c r="B82" s="5">
        <f>30000</f>
        <v>30000</v>
      </c>
      <c r="C82" s="5">
        <f>20070</f>
        <v>20070</v>
      </c>
      <c r="D82" s="5">
        <f>5860</f>
        <v>5860</v>
      </c>
      <c r="E82" s="5">
        <f>85580</f>
        <v>85580</v>
      </c>
      <c r="F82" s="5">
        <f>56260</f>
        <v>56260</v>
      </c>
      <c r="G82" s="5">
        <f>1100</f>
        <v>1100</v>
      </c>
      <c r="H82" s="4"/>
      <c r="I82" s="4"/>
      <c r="J82" s="5">
        <f t="shared" si="12"/>
        <v>198870</v>
      </c>
    </row>
    <row r="83" spans="1:10" x14ac:dyDescent="0.2">
      <c r="A83" s="3" t="s">
        <v>86</v>
      </c>
      <c r="B83" s="6">
        <f t="shared" ref="B83:I83" si="18">((((B78)+(B79))+(B80))+(B81))+(B82)</f>
        <v>63338</v>
      </c>
      <c r="C83" s="6">
        <f t="shared" si="18"/>
        <v>48133</v>
      </c>
      <c r="D83" s="6">
        <f t="shared" si="18"/>
        <v>23450</v>
      </c>
      <c r="E83" s="6">
        <f t="shared" si="18"/>
        <v>132520</v>
      </c>
      <c r="F83" s="6">
        <f t="shared" si="18"/>
        <v>156035</v>
      </c>
      <c r="G83" s="6">
        <f t="shared" si="18"/>
        <v>80220</v>
      </c>
      <c r="H83" s="6">
        <f t="shared" si="18"/>
        <v>75370</v>
      </c>
      <c r="I83" s="6">
        <f t="shared" si="18"/>
        <v>30470</v>
      </c>
      <c r="J83" s="6">
        <f t="shared" si="12"/>
        <v>609536</v>
      </c>
    </row>
    <row r="84" spans="1:10" x14ac:dyDescent="0.2">
      <c r="A84" s="3" t="s">
        <v>87</v>
      </c>
      <c r="B84" s="4"/>
      <c r="C84" s="4"/>
      <c r="D84" s="4"/>
      <c r="E84" s="4"/>
      <c r="F84" s="4"/>
      <c r="G84" s="4"/>
      <c r="H84" s="4"/>
      <c r="I84" s="4"/>
      <c r="J84" s="5">
        <f t="shared" si="12"/>
        <v>0</v>
      </c>
    </row>
    <row r="85" spans="1:10" x14ac:dyDescent="0.2">
      <c r="A85" s="3" t="s">
        <v>88</v>
      </c>
      <c r="B85" s="5">
        <f>700</f>
        <v>700</v>
      </c>
      <c r="C85" s="4"/>
      <c r="D85" s="4"/>
      <c r="E85" s="4"/>
      <c r="F85" s="4"/>
      <c r="G85" s="4"/>
      <c r="H85" s="4"/>
      <c r="I85" s="4"/>
      <c r="J85" s="5">
        <f t="shared" si="12"/>
        <v>700</v>
      </c>
    </row>
    <row r="86" spans="1:10" x14ac:dyDescent="0.2">
      <c r="A86" s="3" t="s">
        <v>89</v>
      </c>
      <c r="B86" s="5">
        <f>320</f>
        <v>320</v>
      </c>
      <c r="C86" s="4"/>
      <c r="D86" s="5">
        <f>2200</f>
        <v>2200</v>
      </c>
      <c r="E86" s="4"/>
      <c r="F86" s="5">
        <f>2500</f>
        <v>2500</v>
      </c>
      <c r="G86" s="4"/>
      <c r="H86" s="5">
        <f>350</f>
        <v>350</v>
      </c>
      <c r="I86" s="5">
        <f>650</f>
        <v>650</v>
      </c>
      <c r="J86" s="5">
        <f t="shared" si="12"/>
        <v>6020</v>
      </c>
    </row>
    <row r="87" spans="1:10" x14ac:dyDescent="0.2">
      <c r="A87" s="3" t="s">
        <v>90</v>
      </c>
      <c r="B87" s="6">
        <f t="shared" ref="B87:I87" si="19">((B84)+(B85))+(B86)</f>
        <v>1020</v>
      </c>
      <c r="C87" s="6">
        <f t="shared" si="19"/>
        <v>0</v>
      </c>
      <c r="D87" s="6">
        <f t="shared" si="19"/>
        <v>2200</v>
      </c>
      <c r="E87" s="6">
        <f t="shared" si="19"/>
        <v>0</v>
      </c>
      <c r="F87" s="6">
        <f t="shared" si="19"/>
        <v>2500</v>
      </c>
      <c r="G87" s="6">
        <f t="shared" si="19"/>
        <v>0</v>
      </c>
      <c r="H87" s="6">
        <f t="shared" si="19"/>
        <v>350</v>
      </c>
      <c r="I87" s="6">
        <f t="shared" si="19"/>
        <v>650</v>
      </c>
      <c r="J87" s="6">
        <f t="shared" si="12"/>
        <v>6720</v>
      </c>
    </row>
    <row r="88" spans="1:10" x14ac:dyDescent="0.2">
      <c r="A88" s="3" t="s">
        <v>91</v>
      </c>
      <c r="B88" s="4"/>
      <c r="C88" s="4"/>
      <c r="D88" s="4"/>
      <c r="E88" s="4"/>
      <c r="F88" s="4"/>
      <c r="G88" s="4"/>
      <c r="H88" s="4"/>
      <c r="I88" s="4"/>
      <c r="J88" s="5">
        <f t="shared" si="12"/>
        <v>0</v>
      </c>
    </row>
    <row r="89" spans="1:10" x14ac:dyDescent="0.2">
      <c r="A89" s="3" t="s">
        <v>92</v>
      </c>
      <c r="B89" s="4"/>
      <c r="C89" s="4"/>
      <c r="D89" s="4"/>
      <c r="E89" s="4"/>
      <c r="F89" s="4"/>
      <c r="G89" s="4"/>
      <c r="H89" s="5">
        <f>6100</f>
        <v>6100</v>
      </c>
      <c r="I89" s="5">
        <f>500</f>
        <v>500</v>
      </c>
      <c r="J89" s="5">
        <f t="shared" ref="J89:J105" si="20">(((((((B89)+(C89))+(D89))+(E89))+(F89))+(G89))+(H89))+(I89)</f>
        <v>6600</v>
      </c>
    </row>
    <row r="90" spans="1:10" x14ac:dyDescent="0.2">
      <c r="A90" s="3" t="s">
        <v>93</v>
      </c>
      <c r="B90" s="4"/>
      <c r="C90" s="5">
        <f>30000</f>
        <v>30000</v>
      </c>
      <c r="D90" s="5">
        <f>30000</f>
        <v>30000</v>
      </c>
      <c r="E90" s="4"/>
      <c r="F90" s="5">
        <f>48825</f>
        <v>48825</v>
      </c>
      <c r="G90" s="5">
        <f>6550</f>
        <v>6550</v>
      </c>
      <c r="H90" s="4"/>
      <c r="I90" s="4"/>
      <c r="J90" s="5">
        <f t="shared" si="20"/>
        <v>115375</v>
      </c>
    </row>
    <row r="91" spans="1:10" x14ac:dyDescent="0.2">
      <c r="A91" s="3" t="s">
        <v>94</v>
      </c>
      <c r="B91" s="5">
        <f>14710</f>
        <v>14710</v>
      </c>
      <c r="C91" s="5">
        <f>17881</f>
        <v>17881</v>
      </c>
      <c r="D91" s="5">
        <f>13280</f>
        <v>13280</v>
      </c>
      <c r="E91" s="5">
        <f>19790</f>
        <v>19790</v>
      </c>
      <c r="F91" s="5">
        <f>16030</f>
        <v>16030</v>
      </c>
      <c r="G91" s="5">
        <f>21922</f>
        <v>21922</v>
      </c>
      <c r="H91" s="5">
        <f>18107</f>
        <v>18107</v>
      </c>
      <c r="I91" s="5">
        <f>12380</f>
        <v>12380</v>
      </c>
      <c r="J91" s="5">
        <f t="shared" si="20"/>
        <v>134100</v>
      </c>
    </row>
    <row r="92" spans="1:10" x14ac:dyDescent="0.2">
      <c r="A92" s="3" t="s">
        <v>95</v>
      </c>
      <c r="B92" s="6">
        <f t="shared" ref="B92:I92" si="21">(((B88)+(B89))+(B90))+(B91)</f>
        <v>14710</v>
      </c>
      <c r="C92" s="6">
        <f t="shared" si="21"/>
        <v>47881</v>
      </c>
      <c r="D92" s="6">
        <f t="shared" si="21"/>
        <v>43280</v>
      </c>
      <c r="E92" s="6">
        <f t="shared" si="21"/>
        <v>19790</v>
      </c>
      <c r="F92" s="6">
        <f t="shared" si="21"/>
        <v>64855</v>
      </c>
      <c r="G92" s="6">
        <f t="shared" si="21"/>
        <v>28472</v>
      </c>
      <c r="H92" s="6">
        <f t="shared" si="21"/>
        <v>24207</v>
      </c>
      <c r="I92" s="6">
        <f t="shared" si="21"/>
        <v>12880</v>
      </c>
      <c r="J92" s="6">
        <f t="shared" si="20"/>
        <v>256075</v>
      </c>
    </row>
    <row r="93" spans="1:10" x14ac:dyDescent="0.2">
      <c r="A93" s="3" t="s">
        <v>96</v>
      </c>
      <c r="B93" s="4"/>
      <c r="C93" s="4"/>
      <c r="D93" s="4"/>
      <c r="E93" s="4"/>
      <c r="F93" s="4"/>
      <c r="G93" s="4"/>
      <c r="H93" s="4"/>
      <c r="I93" s="4"/>
      <c r="J93" s="5">
        <f t="shared" si="20"/>
        <v>0</v>
      </c>
    </row>
    <row r="94" spans="1:10" x14ac:dyDescent="0.2">
      <c r="A94" s="3" t="s">
        <v>97</v>
      </c>
      <c r="B94" s="5">
        <f t="shared" ref="B94:H94" si="22">85000</f>
        <v>85000</v>
      </c>
      <c r="C94" s="5">
        <f t="shared" si="22"/>
        <v>85000</v>
      </c>
      <c r="D94" s="5">
        <f t="shared" si="22"/>
        <v>85000</v>
      </c>
      <c r="E94" s="5">
        <f t="shared" si="22"/>
        <v>85000</v>
      </c>
      <c r="F94" s="5">
        <f t="shared" si="22"/>
        <v>85000</v>
      </c>
      <c r="G94" s="5">
        <f t="shared" si="22"/>
        <v>85000</v>
      </c>
      <c r="H94" s="5">
        <f t="shared" si="22"/>
        <v>85000</v>
      </c>
      <c r="I94" s="5">
        <f>130000</f>
        <v>130000</v>
      </c>
      <c r="J94" s="5">
        <f t="shared" si="20"/>
        <v>725000</v>
      </c>
    </row>
    <row r="95" spans="1:10" x14ac:dyDescent="0.2">
      <c r="A95" s="3" t="s">
        <v>98</v>
      </c>
      <c r="B95" s="5">
        <f>50000</f>
        <v>50000</v>
      </c>
      <c r="C95" s="5">
        <f>86083</f>
        <v>86083</v>
      </c>
      <c r="D95" s="5">
        <f>22492</f>
        <v>22492</v>
      </c>
      <c r="E95" s="5">
        <f>84028</f>
        <v>84028</v>
      </c>
      <c r="F95" s="5">
        <f>65325</f>
        <v>65325</v>
      </c>
      <c r="G95" s="5">
        <f>256228</f>
        <v>256228</v>
      </c>
      <c r="H95" s="5">
        <f>186283</f>
        <v>186283</v>
      </c>
      <c r="I95" s="5">
        <f>38465</f>
        <v>38465</v>
      </c>
      <c r="J95" s="5">
        <f t="shared" si="20"/>
        <v>788904</v>
      </c>
    </row>
    <row r="96" spans="1:10" x14ac:dyDescent="0.2">
      <c r="A96" s="3" t="s">
        <v>99</v>
      </c>
      <c r="B96" s="4"/>
      <c r="C96" s="5">
        <f>2524</f>
        <v>2524</v>
      </c>
      <c r="D96" s="4"/>
      <c r="E96" s="4"/>
      <c r="F96" s="5">
        <f>8625</f>
        <v>8625</v>
      </c>
      <c r="G96" s="4"/>
      <c r="H96" s="4"/>
      <c r="I96" s="4"/>
      <c r="J96" s="5">
        <f t="shared" si="20"/>
        <v>11149</v>
      </c>
    </row>
    <row r="97" spans="1:10" x14ac:dyDescent="0.2">
      <c r="A97" s="3" t="s">
        <v>100</v>
      </c>
      <c r="B97" s="6">
        <f t="shared" ref="B97:I97" si="23">(((B93)+(B94))+(B95))+(B96)</f>
        <v>135000</v>
      </c>
      <c r="C97" s="6">
        <f t="shared" si="23"/>
        <v>173607</v>
      </c>
      <c r="D97" s="6">
        <f t="shared" si="23"/>
        <v>107492</v>
      </c>
      <c r="E97" s="6">
        <f t="shared" si="23"/>
        <v>169028</v>
      </c>
      <c r="F97" s="6">
        <f t="shared" si="23"/>
        <v>158950</v>
      </c>
      <c r="G97" s="6">
        <f t="shared" si="23"/>
        <v>341228</v>
      </c>
      <c r="H97" s="6">
        <f t="shared" si="23"/>
        <v>271283</v>
      </c>
      <c r="I97" s="6">
        <f t="shared" si="23"/>
        <v>168465</v>
      </c>
      <c r="J97" s="6">
        <f t="shared" si="20"/>
        <v>1525053</v>
      </c>
    </row>
    <row r="98" spans="1:10" x14ac:dyDescent="0.2">
      <c r="A98" s="3" t="s">
        <v>101</v>
      </c>
      <c r="B98" s="4"/>
      <c r="C98" s="4"/>
      <c r="D98" s="4"/>
      <c r="E98" s="4"/>
      <c r="F98" s="4"/>
      <c r="G98" s="4"/>
      <c r="H98" s="4"/>
      <c r="I98" s="4"/>
      <c r="J98" s="5">
        <f t="shared" si="20"/>
        <v>0</v>
      </c>
    </row>
    <row r="99" spans="1:10" x14ac:dyDescent="0.2">
      <c r="A99" s="3" t="s">
        <v>102</v>
      </c>
      <c r="B99" s="4"/>
      <c r="C99" s="4"/>
      <c r="D99" s="4"/>
      <c r="E99" s="5">
        <f>2101</f>
        <v>2101</v>
      </c>
      <c r="F99" s="4"/>
      <c r="G99" s="4"/>
      <c r="H99" s="4"/>
      <c r="I99" s="4"/>
      <c r="J99" s="5">
        <f t="shared" si="20"/>
        <v>2101</v>
      </c>
    </row>
    <row r="100" spans="1:10" x14ac:dyDescent="0.2">
      <c r="A100" s="3" t="s">
        <v>103</v>
      </c>
      <c r="B100" s="5">
        <f>24300</f>
        <v>24300</v>
      </c>
      <c r="C100" s="5">
        <f>18900</f>
        <v>18900</v>
      </c>
      <c r="D100" s="4"/>
      <c r="E100" s="4"/>
      <c r="F100" s="4"/>
      <c r="G100" s="4"/>
      <c r="H100" s="4"/>
      <c r="I100" s="5">
        <f>133534</f>
        <v>133534</v>
      </c>
      <c r="J100" s="5">
        <f t="shared" si="20"/>
        <v>176734</v>
      </c>
    </row>
    <row r="101" spans="1:10" x14ac:dyDescent="0.2">
      <c r="A101" s="3" t="s">
        <v>104</v>
      </c>
      <c r="B101" s="6">
        <f t="shared" ref="B101:I101" si="24">((B98)+(B99))+(B100)</f>
        <v>24300</v>
      </c>
      <c r="C101" s="6">
        <f t="shared" si="24"/>
        <v>18900</v>
      </c>
      <c r="D101" s="6">
        <f t="shared" si="24"/>
        <v>0</v>
      </c>
      <c r="E101" s="6">
        <f t="shared" si="24"/>
        <v>2101</v>
      </c>
      <c r="F101" s="6">
        <f t="shared" si="24"/>
        <v>0</v>
      </c>
      <c r="G101" s="6">
        <f t="shared" si="24"/>
        <v>0</v>
      </c>
      <c r="H101" s="6">
        <f t="shared" si="24"/>
        <v>0</v>
      </c>
      <c r="I101" s="6">
        <f t="shared" si="24"/>
        <v>133534</v>
      </c>
      <c r="J101" s="6">
        <f t="shared" si="20"/>
        <v>178835</v>
      </c>
    </row>
    <row r="102" spans="1:10" x14ac:dyDescent="0.2">
      <c r="A102" s="3" t="s">
        <v>105</v>
      </c>
      <c r="B102" s="5">
        <f>122467</f>
        <v>122467</v>
      </c>
      <c r="C102" s="5">
        <f>134317</f>
        <v>134317</v>
      </c>
      <c r="D102" s="5">
        <f>132800</f>
        <v>132800</v>
      </c>
      <c r="E102" s="5">
        <f>154925</f>
        <v>154925</v>
      </c>
      <c r="F102" s="5">
        <f>130757</f>
        <v>130757</v>
      </c>
      <c r="G102" s="5">
        <f>122120</f>
        <v>122120</v>
      </c>
      <c r="H102" s="5">
        <f>134121</f>
        <v>134121</v>
      </c>
      <c r="I102" s="5">
        <f>133284</f>
        <v>133284</v>
      </c>
      <c r="J102" s="5">
        <f t="shared" si="20"/>
        <v>1064791</v>
      </c>
    </row>
    <row r="103" spans="1:10" x14ac:dyDescent="0.2">
      <c r="A103" s="3" t="s">
        <v>106</v>
      </c>
      <c r="B103" s="5">
        <f>12000</f>
        <v>12000</v>
      </c>
      <c r="C103" s="4"/>
      <c r="D103" s="4"/>
      <c r="E103" s="5">
        <f>18500</f>
        <v>18500</v>
      </c>
      <c r="F103" s="4"/>
      <c r="G103" s="4"/>
      <c r="H103" s="4"/>
      <c r="I103" s="4"/>
      <c r="J103" s="5">
        <f t="shared" si="20"/>
        <v>30500</v>
      </c>
    </row>
    <row r="104" spans="1:10" x14ac:dyDescent="0.2">
      <c r="A104" s="3" t="s">
        <v>107</v>
      </c>
      <c r="B104" s="5">
        <f>200</f>
        <v>200</v>
      </c>
      <c r="C104" s="5">
        <f>3000</f>
        <v>3000</v>
      </c>
      <c r="D104" s="5">
        <f>1000</f>
        <v>1000</v>
      </c>
      <c r="E104" s="5">
        <f>346</f>
        <v>346</v>
      </c>
      <c r="F104" s="5">
        <f>514</f>
        <v>514</v>
      </c>
      <c r="G104" s="4"/>
      <c r="H104" s="4"/>
      <c r="I104" s="4"/>
      <c r="J104" s="5">
        <f t="shared" si="20"/>
        <v>5060</v>
      </c>
    </row>
    <row r="105" spans="1:10" x14ac:dyDescent="0.2">
      <c r="A105" s="3" t="s">
        <v>108</v>
      </c>
      <c r="B105" s="6">
        <f t="shared" ref="B105:I105" si="25">(((((((((((B64)+(B67))+(B72))+(B77))+(B83))+(B87))+(B92))+(B97))+(B101))+(B102))+(B103))+(B104)</f>
        <v>1047740</v>
      </c>
      <c r="C105" s="6">
        <f t="shared" si="25"/>
        <v>1206182</v>
      </c>
      <c r="D105" s="6">
        <f t="shared" si="25"/>
        <v>1078404</v>
      </c>
      <c r="E105" s="6">
        <f t="shared" si="25"/>
        <v>1219696</v>
      </c>
      <c r="F105" s="6">
        <f t="shared" si="25"/>
        <v>1261829</v>
      </c>
      <c r="G105" s="6">
        <f t="shared" si="25"/>
        <v>1261229</v>
      </c>
      <c r="H105" s="6">
        <f t="shared" si="25"/>
        <v>1229065</v>
      </c>
      <c r="I105" s="6">
        <f t="shared" si="25"/>
        <v>1189882</v>
      </c>
      <c r="J105" s="6">
        <f t="shared" si="20"/>
        <v>9494027</v>
      </c>
    </row>
    <row r="106" spans="1:10" x14ac:dyDescent="0.2">
      <c r="A106" s="3" t="s">
        <v>109</v>
      </c>
      <c r="B106" s="4"/>
      <c r="C106" s="4"/>
      <c r="D106" s="4"/>
      <c r="E106" s="4"/>
      <c r="F106" s="4"/>
      <c r="G106" s="4"/>
      <c r="H106" s="4"/>
      <c r="I106" s="4"/>
      <c r="J106" s="4"/>
    </row>
    <row r="107" spans="1:10" x14ac:dyDescent="0.2">
      <c r="A107" s="3" t="s">
        <v>110</v>
      </c>
      <c r="B107" s="4"/>
      <c r="C107" s="5">
        <f>3500</f>
        <v>3500</v>
      </c>
      <c r="D107" s="4"/>
      <c r="E107" s="4"/>
      <c r="F107" s="4"/>
      <c r="G107" s="4"/>
      <c r="H107" s="4"/>
      <c r="I107" s="4"/>
      <c r="J107" s="5">
        <f>(((((((B107)+(C107))+(D107))+(E107))+(F107))+(G107))+(H107))+(I107)</f>
        <v>3500</v>
      </c>
    </row>
    <row r="108" spans="1:10" x14ac:dyDescent="0.2">
      <c r="A108" s="3" t="s">
        <v>111</v>
      </c>
      <c r="B108" s="5">
        <f>111937.49</f>
        <v>111937.49</v>
      </c>
      <c r="C108" s="5">
        <f>119082.96</f>
        <v>119082.96</v>
      </c>
      <c r="D108" s="5">
        <f>104418.08</f>
        <v>104418.08</v>
      </c>
      <c r="E108" s="5">
        <f>139645.96</f>
        <v>139645.96</v>
      </c>
      <c r="F108" s="5">
        <f>146334</f>
        <v>146334</v>
      </c>
      <c r="G108" s="5">
        <f>171068.29</f>
        <v>171068.29</v>
      </c>
      <c r="H108" s="5">
        <f>221990.84</f>
        <v>221990.84</v>
      </c>
      <c r="I108" s="5">
        <f>171802.61</f>
        <v>171802.61</v>
      </c>
      <c r="J108" s="5">
        <f>(((((((B108)+(C108))+(D108))+(E108))+(F108))+(G108))+(H108))+(I108)</f>
        <v>1186280.23</v>
      </c>
    </row>
    <row r="109" spans="1:10" x14ac:dyDescent="0.2">
      <c r="A109" s="3" t="s">
        <v>112</v>
      </c>
      <c r="B109" s="6">
        <f t="shared" ref="B109:I109" si="26">(B107)+(B108)</f>
        <v>111937.49</v>
      </c>
      <c r="C109" s="6">
        <f t="shared" si="26"/>
        <v>122582.96</v>
      </c>
      <c r="D109" s="6">
        <f t="shared" si="26"/>
        <v>104418.08</v>
      </c>
      <c r="E109" s="6">
        <f t="shared" si="26"/>
        <v>139645.96</v>
      </c>
      <c r="F109" s="6">
        <f t="shared" si="26"/>
        <v>146334</v>
      </c>
      <c r="G109" s="6">
        <f t="shared" si="26"/>
        <v>171068.29</v>
      </c>
      <c r="H109" s="6">
        <f t="shared" si="26"/>
        <v>221990.84</v>
      </c>
      <c r="I109" s="6">
        <f t="shared" si="26"/>
        <v>171802.61</v>
      </c>
      <c r="J109" s="6">
        <f>(((((((B109)+(C109))+(D109))+(E109))+(F109))+(G109))+(H109))+(I109)</f>
        <v>1189780.23</v>
      </c>
    </row>
    <row r="110" spans="1:10" x14ac:dyDescent="0.2">
      <c r="A110" s="3" t="s">
        <v>113</v>
      </c>
      <c r="B110" s="7">
        <f t="shared" ref="B110:I110" si="27">((((B15)+(B55))-(B50))-(B105))-(B109)</f>
        <v>-396499.50999999954</v>
      </c>
      <c r="C110" s="7">
        <f t="shared" si="27"/>
        <v>-715686.83999999892</v>
      </c>
      <c r="D110" s="7">
        <f t="shared" si="27"/>
        <v>-680700.10999999929</v>
      </c>
      <c r="E110" s="7">
        <f t="shared" si="27"/>
        <v>987588.35000000056</v>
      </c>
      <c r="F110" s="7">
        <f t="shared" si="27"/>
        <v>544414.6799999997</v>
      </c>
      <c r="G110" s="7">
        <f t="shared" si="27"/>
        <v>2625997.580000001</v>
      </c>
      <c r="H110" s="7">
        <f t="shared" si="27"/>
        <v>645661.39000000048</v>
      </c>
      <c r="I110" s="7">
        <f t="shared" si="27"/>
        <v>65798.839999999269</v>
      </c>
      <c r="J110" s="7">
        <f>(((((((B110)+(C110))+(D110))+(E110))+(F110))+(G110))+(H110))+(I110)</f>
        <v>3076574.3800000036</v>
      </c>
    </row>
    <row r="111" spans="1:10" x14ac:dyDescent="0.2">
      <c r="A111" s="3"/>
      <c r="B111" s="4"/>
      <c r="C111" s="4"/>
      <c r="D111" s="4"/>
      <c r="E111" s="4"/>
      <c r="F111" s="4"/>
      <c r="G111" s="4"/>
      <c r="H111" s="4"/>
      <c r="I111" s="4"/>
      <c r="J111" s="4"/>
    </row>
    <row r="114" spans="1:10" x14ac:dyDescent="0.2">
      <c r="A114" s="8" t="s">
        <v>114</v>
      </c>
      <c r="B114" s="9"/>
      <c r="C114" s="9"/>
      <c r="D114" s="9"/>
      <c r="E114" s="9"/>
      <c r="F114" s="9"/>
      <c r="G114" s="9"/>
      <c r="H114" s="9"/>
      <c r="I114" s="9"/>
      <c r="J114" s="9"/>
    </row>
  </sheetData>
  <mergeCells count="4">
    <mergeCell ref="A114:J114"/>
    <mergeCell ref="A1:J1"/>
    <mergeCell ref="A2:J2"/>
    <mergeCell ref="A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 by 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Khan, Adnan</cp:lastModifiedBy>
  <dcterms:created xsi:type="dcterms:W3CDTF">2024-03-15T21:38:52Z</dcterms:created>
  <dcterms:modified xsi:type="dcterms:W3CDTF">2024-03-15T21:42:32Z</dcterms:modified>
</cp:coreProperties>
</file>