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a8285afd6524a/Documents/GitHub/Os-Ir-Analysis/"/>
    </mc:Choice>
  </mc:AlternateContent>
  <xr:revisionPtr revIDLastSave="224" documentId="8_{744B5A07-6C60-493B-BFF7-906CD33F56A0}" xr6:coauthVersionLast="47" xr6:coauthVersionMax="47" xr10:uidLastSave="{B6B882C7-A9BB-451A-88EF-84DDFA019744}"/>
  <bookViews>
    <workbookView xWindow="26100" yWindow="10890" windowWidth="22275" windowHeight="18315" tabRatio="794" xr2:uid="{81035187-6465-1745-8A26-C08CEE6A9890}"/>
  </bookViews>
  <sheets>
    <sheet name="Uncertainty Budget" sheetId="14" r:id="rId1"/>
    <sheet name="Nuclear Radius Table (3)" sheetId="10" r:id="rId2"/>
    <sheet name="Steve Mg-like" sheetId="1" r:id="rId3"/>
    <sheet name="Nuclear Radius Table" sheetId="2" r:id="rId4"/>
    <sheet name="Nuclear Radius Table (2)" sheetId="7" r:id="rId5"/>
    <sheet name="Exp Results (Adam Calibration)" sheetId="5" r:id="rId6"/>
    <sheet name="Na-like Os" sheetId="3" r:id="rId7"/>
    <sheet name="Na-like Ir" sheetId="4" r:id="rId8"/>
    <sheet name="Comparison (no Sam)" sheetId="9" r:id="rId9"/>
    <sheet name="Sheet1" sheetId="6" r:id="rId10"/>
    <sheet name="GRASP Mg-like Ir" sheetId="15" r:id="rId11"/>
    <sheet name="GRASP Mg-like Os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4" l="1"/>
  <c r="AG6" i="14"/>
  <c r="R12" i="2"/>
  <c r="CU9" i="14"/>
  <c r="CU13" i="14"/>
  <c r="CU42" i="14"/>
  <c r="CL55" i="14"/>
  <c r="CL56" i="14"/>
  <c r="CL57" i="14"/>
  <c r="CL58" i="14"/>
  <c r="CL59" i="14"/>
  <c r="CL60" i="14"/>
  <c r="CL61" i="14"/>
  <c r="CL54" i="14"/>
  <c r="CN13" i="14"/>
  <c r="AD14" i="14"/>
  <c r="BR14" i="14"/>
  <c r="BO14" i="14"/>
  <c r="CI13" i="14"/>
  <c r="CJ13" i="14"/>
  <c r="CH13" i="14"/>
  <c r="CK23" i="14" s="1"/>
  <c r="CR46" i="14"/>
  <c r="CP46" i="14"/>
  <c r="CE46" i="14"/>
  <c r="CC46" i="14"/>
  <c r="CK61" i="14"/>
  <c r="CD61" i="14"/>
  <c r="CE61" i="14" s="1"/>
  <c r="CK60" i="14"/>
  <c r="CD60" i="14"/>
  <c r="CE60" i="14" s="1"/>
  <c r="CD59" i="14"/>
  <c r="CE59" i="14" s="1"/>
  <c r="CE58" i="14"/>
  <c r="CD58" i="14"/>
  <c r="CD57" i="14"/>
  <c r="CE57" i="14" s="1"/>
  <c r="CG56" i="14"/>
  <c r="CH56" i="14" s="1"/>
  <c r="CD56" i="14"/>
  <c r="CE56" i="14" s="1"/>
  <c r="CK55" i="14"/>
  <c r="CE55" i="14"/>
  <c r="CD55" i="14"/>
  <c r="CK54" i="14"/>
  <c r="CE54" i="14"/>
  <c r="CD54" i="14"/>
  <c r="CD62" i="14" s="1"/>
  <c r="CP51" i="14"/>
  <c r="CQ51" i="14" s="1"/>
  <c r="CL49" i="14"/>
  <c r="CO38" i="14"/>
  <c r="CO37" i="14"/>
  <c r="C32" i="14"/>
  <c r="T52" i="14"/>
  <c r="BH13" i="14"/>
  <c r="CK28" i="14"/>
  <c r="CK27" i="14"/>
  <c r="AV13" i="14"/>
  <c r="AW13" i="14"/>
  <c r="AU13" i="14"/>
  <c r="AV12" i="14"/>
  <c r="AW12" i="14"/>
  <c r="AU12" i="14"/>
  <c r="AV15" i="14"/>
  <c r="CI15" i="14"/>
  <c r="CC13" i="14"/>
  <c r="BY5" i="14"/>
  <c r="BU6" i="14"/>
  <c r="BU15" i="14"/>
  <c r="BU14" i="14"/>
  <c r="BY14" i="14" s="1"/>
  <c r="BY15" i="14" s="1"/>
  <c r="BY6" i="14"/>
  <c r="BO9" i="14"/>
  <c r="BP9" i="14"/>
  <c r="BN9" i="14"/>
  <c r="BU3" i="14"/>
  <c r="BY3" i="14" s="1"/>
  <c r="BP4" i="14"/>
  <c r="BM21" i="14"/>
  <c r="BU5" i="14"/>
  <c r="BY13" i="14"/>
  <c r="BU13" i="14"/>
  <c r="AK14" i="14"/>
  <c r="AK13" i="14"/>
  <c r="AK5" i="14"/>
  <c r="AG5" i="14"/>
  <c r="BQ14" i="14"/>
  <c r="BP14" i="14"/>
  <c r="BN14" i="14"/>
  <c r="CD27" i="14"/>
  <c r="CD26" i="14"/>
  <c r="CD21" i="14"/>
  <c r="CP18" i="14"/>
  <c r="CP19" i="14" s="1"/>
  <c r="CK22" i="14"/>
  <c r="CK21" i="14"/>
  <c r="CD28" i="14"/>
  <c r="CD22" i="14"/>
  <c r="CO5" i="14"/>
  <c r="CO4" i="14"/>
  <c r="P24" i="14"/>
  <c r="I172" i="14"/>
  <c r="BR4" i="14"/>
  <c r="BV3" i="14" s="1"/>
  <c r="BZ3" i="14" s="1"/>
  <c r="E8" i="14"/>
  <c r="E9" i="14"/>
  <c r="X17" i="10"/>
  <c r="X16" i="10"/>
  <c r="X15" i="10"/>
  <c r="X14" i="10"/>
  <c r="X13" i="10"/>
  <c r="X12" i="10"/>
  <c r="W17" i="10"/>
  <c r="W16" i="10"/>
  <c r="W15" i="10"/>
  <c r="W14" i="10"/>
  <c r="W13" i="10"/>
  <c r="W12" i="10"/>
  <c r="Q40" i="14"/>
  <c r="L35" i="14"/>
  <c r="K35" i="14"/>
  <c r="L13" i="14"/>
  <c r="K13" i="14"/>
  <c r="J19" i="14"/>
  <c r="CE62" i="14" l="1"/>
  <c r="CP52" i="14"/>
  <c r="CP54" i="14" s="1"/>
  <c r="BV13" i="14"/>
  <c r="BZ13" i="14" s="1"/>
  <c r="BP18" i="14"/>
  <c r="CJ46" i="14" s="1"/>
  <c r="CK58" i="14" s="1"/>
  <c r="BQ18" i="14"/>
  <c r="CK46" i="14" s="1"/>
  <c r="BN18" i="14"/>
  <c r="CH46" i="14" s="1"/>
  <c r="BO18" i="14"/>
  <c r="CI46" i="14" s="1"/>
  <c r="CK57" i="14" s="1"/>
  <c r="BV5" i="14"/>
  <c r="CD23" i="14"/>
  <c r="CQ18" i="14"/>
  <c r="BZ14" i="14"/>
  <c r="BV14" i="14"/>
  <c r="BZ5" i="14"/>
  <c r="BZ6" i="14" s="1"/>
  <c r="J25" i="14"/>
  <c r="I25" i="14"/>
  <c r="J3" i="14"/>
  <c r="I3" i="14"/>
  <c r="W3" i="14"/>
  <c r="W2" i="14"/>
  <c r="W7" i="14"/>
  <c r="W6" i="14"/>
  <c r="BI52" i="14"/>
  <c r="BI53" i="14" s="1"/>
  <c r="BH39" i="14"/>
  <c r="BH38" i="14"/>
  <c r="AL32" i="14"/>
  <c r="AK32" i="14"/>
  <c r="AL31" i="14"/>
  <c r="AL30" i="14"/>
  <c r="AK31" i="14"/>
  <c r="AK30" i="14"/>
  <c r="BC18" i="14"/>
  <c r="BD18" i="14" s="1"/>
  <c r="BB5" i="14"/>
  <c r="BB4" i="14"/>
  <c r="AK3" i="14"/>
  <c r="AG13" i="14"/>
  <c r="AC14" i="14"/>
  <c r="AB14" i="14"/>
  <c r="AA14" i="14"/>
  <c r="Z14" i="14"/>
  <c r="Z4" i="14"/>
  <c r="AA4" i="14"/>
  <c r="I161" i="14"/>
  <c r="AB4" i="14" s="1"/>
  <c r="P34" i="14"/>
  <c r="AO90" i="14"/>
  <c r="AM90" i="14"/>
  <c r="AK92" i="14"/>
  <c r="AB90" i="14"/>
  <c r="Z90" i="14"/>
  <c r="D32" i="14"/>
  <c r="T53" i="14" s="1"/>
  <c r="P4" i="14"/>
  <c r="O95" i="14"/>
  <c r="O96" i="14" s="1"/>
  <c r="N82" i="14"/>
  <c r="N81" i="14"/>
  <c r="F128" i="14"/>
  <c r="D56" i="14"/>
  <c r="D89" i="14" s="1"/>
  <c r="E99" i="14" s="1"/>
  <c r="E40" i="14"/>
  <c r="AF33" i="14"/>
  <c r="AB56" i="14" s="1"/>
  <c r="AE66" i="14" s="1"/>
  <c r="AO56" i="14"/>
  <c r="AE72" i="14" s="1"/>
  <c r="AM56" i="14"/>
  <c r="AE71" i="14" s="1"/>
  <c r="J8" i="15"/>
  <c r="I8" i="15"/>
  <c r="I7" i="15"/>
  <c r="L12" i="16"/>
  <c r="K12" i="16"/>
  <c r="K11" i="16"/>
  <c r="C28" i="16"/>
  <c r="F24" i="16"/>
  <c r="G24" i="16" s="1"/>
  <c r="E24" i="16"/>
  <c r="G23" i="16"/>
  <c r="F23" i="16"/>
  <c r="E23" i="16"/>
  <c r="F22" i="16"/>
  <c r="G22" i="16" s="1"/>
  <c r="E22" i="16"/>
  <c r="F21" i="16"/>
  <c r="G21" i="16" s="1"/>
  <c r="E21" i="16"/>
  <c r="F20" i="16"/>
  <c r="G20" i="16" s="1"/>
  <c r="E20" i="16"/>
  <c r="F19" i="16"/>
  <c r="G19" i="16" s="1"/>
  <c r="E19" i="16"/>
  <c r="D19" i="16"/>
  <c r="E18" i="16"/>
  <c r="D18" i="16"/>
  <c r="F18" i="16" s="1"/>
  <c r="G18" i="16" s="1"/>
  <c r="E17" i="16"/>
  <c r="D17" i="16"/>
  <c r="F17" i="16" s="1"/>
  <c r="G17" i="16" s="1"/>
  <c r="F16" i="16"/>
  <c r="G16" i="16" s="1"/>
  <c r="E16" i="16"/>
  <c r="F15" i="16"/>
  <c r="G15" i="16" s="1"/>
  <c r="E15" i="16"/>
  <c r="C12" i="16"/>
  <c r="G11" i="16"/>
  <c r="F11" i="16"/>
  <c r="E11" i="16"/>
  <c r="F10" i="16"/>
  <c r="G10" i="16" s="1"/>
  <c r="E10" i="16"/>
  <c r="F9" i="16"/>
  <c r="G9" i="16" s="1"/>
  <c r="E9" i="16"/>
  <c r="F8" i="16"/>
  <c r="G8" i="16" s="1"/>
  <c r="E8" i="16"/>
  <c r="F7" i="16"/>
  <c r="G7" i="16" s="1"/>
  <c r="E7" i="16"/>
  <c r="F6" i="16"/>
  <c r="G6" i="16" s="1"/>
  <c r="E6" i="16"/>
  <c r="D6" i="16"/>
  <c r="E5" i="16"/>
  <c r="D5" i="16"/>
  <c r="F5" i="16" s="1"/>
  <c r="G5" i="16" s="1"/>
  <c r="E4" i="16"/>
  <c r="D4" i="16"/>
  <c r="F4" i="16" s="1"/>
  <c r="G4" i="16" s="1"/>
  <c r="F3" i="16"/>
  <c r="G3" i="16" s="1"/>
  <c r="E3" i="16"/>
  <c r="G2" i="16"/>
  <c r="F2" i="16"/>
  <c r="E2" i="16"/>
  <c r="C23" i="15"/>
  <c r="E17" i="15"/>
  <c r="D17" i="15"/>
  <c r="F17" i="15" s="1"/>
  <c r="G17" i="15" s="1"/>
  <c r="E16" i="15"/>
  <c r="D16" i="15"/>
  <c r="F16" i="15" s="1"/>
  <c r="G16" i="15" s="1"/>
  <c r="E15" i="15"/>
  <c r="D15" i="15"/>
  <c r="F15" i="15" s="1"/>
  <c r="G15" i="15" s="1"/>
  <c r="F13" i="15"/>
  <c r="G13" i="15" s="1"/>
  <c r="E13" i="15"/>
  <c r="D13" i="15"/>
  <c r="G12" i="15"/>
  <c r="F12" i="15"/>
  <c r="E12" i="15"/>
  <c r="D12" i="15"/>
  <c r="E11" i="15"/>
  <c r="D11" i="15"/>
  <c r="F11" i="15" s="1"/>
  <c r="G11" i="15" s="1"/>
  <c r="E8" i="15"/>
  <c r="D8" i="15"/>
  <c r="F8" i="15" s="1"/>
  <c r="G8" i="15" s="1"/>
  <c r="E7" i="15"/>
  <c r="D7" i="15"/>
  <c r="F7" i="15" s="1"/>
  <c r="G7" i="15" s="1"/>
  <c r="E6" i="15"/>
  <c r="D6" i="15"/>
  <c r="F6" i="15" s="1"/>
  <c r="G6" i="15" s="1"/>
  <c r="E4" i="15"/>
  <c r="D4" i="15"/>
  <c r="F4" i="15" s="1"/>
  <c r="G4" i="15" s="1"/>
  <c r="E3" i="15"/>
  <c r="D3" i="15"/>
  <c r="F3" i="15" s="1"/>
  <c r="G3" i="15" s="1"/>
  <c r="E2" i="15"/>
  <c r="D2" i="15"/>
  <c r="F2" i="15" s="1"/>
  <c r="G2" i="15" s="1"/>
  <c r="G9" i="15" s="1"/>
  <c r="BR18" i="14" l="1"/>
  <c r="CK56" i="14"/>
  <c r="CL46" i="14"/>
  <c r="BV6" i="14"/>
  <c r="BV15" i="14"/>
  <c r="CI48" i="14" s="1"/>
  <c r="BZ15" i="14"/>
  <c r="BJ52" i="14"/>
  <c r="AD4" i="14"/>
  <c r="AK26" i="14"/>
  <c r="AR12" i="14"/>
  <c r="BC19" i="14"/>
  <c r="Z18" i="14"/>
  <c r="AM89" i="14"/>
  <c r="AC105" i="14" s="1"/>
  <c r="AO89" i="14"/>
  <c r="AC106" i="14" s="1"/>
  <c r="AB89" i="14"/>
  <c r="AC99" i="14" s="1"/>
  <c r="P95" i="14"/>
  <c r="G12" i="16"/>
  <c r="G25" i="16"/>
  <c r="G18" i="15"/>
  <c r="CN56" i="14" l="1"/>
  <c r="AK27" i="14"/>
  <c r="BH8" i="14" s="1"/>
  <c r="BE12" i="14" s="1"/>
  <c r="BK46" i="14" s="1"/>
  <c r="AW63" i="14" s="1"/>
  <c r="AN34" i="14"/>
  <c r="Z9" i="14"/>
  <c r="AQ22" i="14"/>
  <c r="AX46" i="14"/>
  <c r="AW56" i="14" s="1"/>
  <c r="AC18" i="14"/>
  <c r="AL26" i="14"/>
  <c r="AL27" i="14" s="1"/>
  <c r="BH9" i="14" s="1"/>
  <c r="BE13" i="14" s="1"/>
  <c r="BK47" i="14" s="1"/>
  <c r="BD63" i="14" s="1"/>
  <c r="AK6" i="14"/>
  <c r="AH5" i="14"/>
  <c r="AH6" i="14" s="1"/>
  <c r="AH3" i="14"/>
  <c r="AL3" i="14" s="1"/>
  <c r="AL5" i="14" s="1"/>
  <c r="AA9" i="14"/>
  <c r="AD9" i="14" s="1"/>
  <c r="AH13" i="14"/>
  <c r="AA18" i="14"/>
  <c r="AB18" i="14"/>
  <c r="AB9" i="14"/>
  <c r="Z56" i="14"/>
  <c r="AF36" i="14"/>
  <c r="P26" i="14"/>
  <c r="P10" i="1"/>
  <c r="P9" i="1"/>
  <c r="D23" i="10"/>
  <c r="C59" i="1"/>
  <c r="C34" i="7"/>
  <c r="T49" i="7" s="1"/>
  <c r="S49" i="7"/>
  <c r="S42" i="7"/>
  <c r="I150" i="14"/>
  <c r="K25" i="14" s="1"/>
  <c r="M25" i="14" s="1"/>
  <c r="F31" i="14"/>
  <c r="C66" i="14"/>
  <c r="I140" i="14"/>
  <c r="D136" i="14"/>
  <c r="C136" i="14"/>
  <c r="C31" i="10"/>
  <c r="N49" i="14"/>
  <c r="N48" i="14"/>
  <c r="Q57" i="14" s="1"/>
  <c r="O62" i="14"/>
  <c r="O63" i="14" s="1"/>
  <c r="D57" i="14"/>
  <c r="AR13" i="14" s="1"/>
  <c r="B57" i="14"/>
  <c r="AP13" i="14" s="1"/>
  <c r="AV47" i="14" s="1"/>
  <c r="B56" i="14"/>
  <c r="AP12" i="14" s="1"/>
  <c r="I132" i="14"/>
  <c r="K3" i="14" s="1"/>
  <c r="U11" i="14"/>
  <c r="U10" i="14"/>
  <c r="AG14" i="14" s="1"/>
  <c r="T27" i="14"/>
  <c r="P5" i="14"/>
  <c r="T36" i="14"/>
  <c r="D43" i="14"/>
  <c r="J35" i="14"/>
  <c r="I35" i="14"/>
  <c r="I13" i="14"/>
  <c r="J13" i="14"/>
  <c r="CD25" i="14" l="1"/>
  <c r="CK25" i="14"/>
  <c r="AX28" i="14"/>
  <c r="BR9" i="14"/>
  <c r="AH14" i="14"/>
  <c r="M13" i="14"/>
  <c r="K19" i="14" s="1"/>
  <c r="AD18" i="14"/>
  <c r="AQ21" i="14"/>
  <c r="AV46" i="14"/>
  <c r="BD55" i="14"/>
  <c r="AX22" i="14"/>
  <c r="AX47" i="14"/>
  <c r="BD56" i="14" s="1"/>
  <c r="AK25" i="14"/>
  <c r="AL25" i="14"/>
  <c r="AL13" i="14"/>
  <c r="AG15" i="14"/>
  <c r="AX21" i="14"/>
  <c r="AL6" i="14"/>
  <c r="B90" i="14"/>
  <c r="E114" i="14" s="1"/>
  <c r="J65" i="14"/>
  <c r="J20" i="14"/>
  <c r="P35" i="14"/>
  <c r="C65" i="14"/>
  <c r="B89" i="14"/>
  <c r="E98" i="14" s="1"/>
  <c r="D90" i="14"/>
  <c r="E115" i="14" s="1"/>
  <c r="J66" i="14"/>
  <c r="Q90" i="14"/>
  <c r="E122" i="14" s="1"/>
  <c r="J72" i="14"/>
  <c r="Z89" i="14"/>
  <c r="AC98" i="14" s="1"/>
  <c r="AE65" i="14"/>
  <c r="AF37" i="14"/>
  <c r="AR53" i="14" s="1"/>
  <c r="O57" i="14"/>
  <c r="BC13" i="14" s="1"/>
  <c r="O56" i="14"/>
  <c r="BC12" i="14" s="1"/>
  <c r="W26" i="14"/>
  <c r="M35" i="14"/>
  <c r="M56" i="14"/>
  <c r="BA12" i="14" s="1"/>
  <c r="AQ26" i="14" s="1"/>
  <c r="I30" i="14"/>
  <c r="Q56" i="14"/>
  <c r="AQ28" i="14" s="1"/>
  <c r="M3" i="14"/>
  <c r="Q2" i="14" s="1"/>
  <c r="M57" i="14"/>
  <c r="BA13" i="14" s="1"/>
  <c r="AX26" i="14" s="1"/>
  <c r="P62" i="14"/>
  <c r="W25" i="14"/>
  <c r="E3" i="14"/>
  <c r="D18" i="14" s="1"/>
  <c r="E4" i="14"/>
  <c r="D19" i="14" s="1"/>
  <c r="E5" i="14"/>
  <c r="C20" i="14" s="1"/>
  <c r="E6" i="14"/>
  <c r="D21" i="14" s="1"/>
  <c r="E7" i="14"/>
  <c r="D22" i="14" s="1"/>
  <c r="E2" i="14"/>
  <c r="M70" i="10"/>
  <c r="F69" i="10"/>
  <c r="F70" i="10"/>
  <c r="D80" i="10"/>
  <c r="K69" i="10" s="1"/>
  <c r="F80" i="10"/>
  <c r="E80" i="10"/>
  <c r="K70" i="10" s="1"/>
  <c r="F81" i="10"/>
  <c r="E81" i="10"/>
  <c r="E82" i="10" s="1"/>
  <c r="D81" i="10"/>
  <c r="E43" i="14"/>
  <c r="G43" i="14"/>
  <c r="I43" i="14"/>
  <c r="K43" i="14"/>
  <c r="AH15" i="14" l="1"/>
  <c r="CK24" i="14"/>
  <c r="CL13" i="14"/>
  <c r="CD24" i="14"/>
  <c r="CD29" i="14" s="1"/>
  <c r="AK15" i="14"/>
  <c r="AR40" i="14"/>
  <c r="AR41" i="14" s="1"/>
  <c r="BN43" i="14" s="1"/>
  <c r="BG47" i="14" s="1"/>
  <c r="BD61" i="14" s="1"/>
  <c r="AQ40" i="14"/>
  <c r="AQ41" i="14" s="1"/>
  <c r="BN42" i="14" s="1"/>
  <c r="BG46" i="14" s="1"/>
  <c r="AW61" i="14" s="1"/>
  <c r="AX27" i="14"/>
  <c r="BI47" i="14"/>
  <c r="BD62" i="14" s="1"/>
  <c r="C43" i="14"/>
  <c r="AW55" i="14"/>
  <c r="AQ27" i="14"/>
  <c r="BI46" i="14"/>
  <c r="AW62" i="14" s="1"/>
  <c r="AL14" i="14"/>
  <c r="O90" i="14"/>
  <c r="E121" i="14" s="1"/>
  <c r="J71" i="14"/>
  <c r="C71" i="14"/>
  <c r="O89" i="14"/>
  <c r="E105" i="14" s="1"/>
  <c r="J70" i="14"/>
  <c r="M90" i="14"/>
  <c r="E120" i="14" s="1"/>
  <c r="C72" i="14"/>
  <c r="Q89" i="14"/>
  <c r="E106" i="14" s="1"/>
  <c r="T85" i="14"/>
  <c r="T86" i="14"/>
  <c r="J21" i="14"/>
  <c r="C70" i="14"/>
  <c r="M89" i="14"/>
  <c r="E104" i="14" s="1"/>
  <c r="AR86" i="14"/>
  <c r="P36" i="14"/>
  <c r="AK58" i="14"/>
  <c r="J39" i="14"/>
  <c r="Q34" i="14"/>
  <c r="Q35" i="14" s="1"/>
  <c r="K17" i="14"/>
  <c r="K20" i="14"/>
  <c r="I39" i="14"/>
  <c r="X25" i="14"/>
  <c r="K39" i="14"/>
  <c r="L39" i="14"/>
  <c r="J30" i="14"/>
  <c r="Q24" i="14"/>
  <c r="Q25" i="14" s="1"/>
  <c r="AF34" i="14" s="1"/>
  <c r="K30" i="14"/>
  <c r="J8" i="14"/>
  <c r="K8" i="14"/>
  <c r="I8" i="14"/>
  <c r="Q4" i="14"/>
  <c r="B17" i="14"/>
  <c r="U27" i="14"/>
  <c r="J17" i="14"/>
  <c r="I17" i="14"/>
  <c r="L17" i="14"/>
  <c r="D17" i="14"/>
  <c r="C17" i="14"/>
  <c r="B19" i="14"/>
  <c r="C19" i="14"/>
  <c r="C44" i="14"/>
  <c r="D20" i="14"/>
  <c r="B21" i="14"/>
  <c r="C21" i="14"/>
  <c r="B22" i="14"/>
  <c r="C18" i="14"/>
  <c r="C22" i="14"/>
  <c r="B20" i="14"/>
  <c r="B18" i="14"/>
  <c r="CN23" i="14" l="1"/>
  <c r="CL16" i="14"/>
  <c r="CG23" i="14"/>
  <c r="CP21" i="14"/>
  <c r="Q36" i="14"/>
  <c r="AF92" i="14" s="1"/>
  <c r="AL15" i="14"/>
  <c r="BB49" i="14" s="1"/>
  <c r="AQ39" i="14"/>
  <c r="AR39" i="14"/>
  <c r="H92" i="14"/>
  <c r="H90" i="14" s="1"/>
  <c r="AE70" i="14"/>
  <c r="AK91" i="14"/>
  <c r="AC104" i="14" s="1"/>
  <c r="Q5" i="14"/>
  <c r="H59" i="14" s="1"/>
  <c r="I56" i="14" s="1"/>
  <c r="C69" i="14" s="1"/>
  <c r="D30" i="14"/>
  <c r="C30" i="14"/>
  <c r="Q26" i="14"/>
  <c r="AF59" i="14" s="1"/>
  <c r="AE56" i="14" s="1"/>
  <c r="M39" i="14"/>
  <c r="Y25" i="14"/>
  <c r="M30" i="14"/>
  <c r="M17" i="14"/>
  <c r="G57" i="14"/>
  <c r="J67" i="14" s="1"/>
  <c r="M8" i="14"/>
  <c r="E20" i="14"/>
  <c r="E18" i="14"/>
  <c r="E17" i="14"/>
  <c r="E19" i="14"/>
  <c r="E22" i="14"/>
  <c r="E21" i="14"/>
  <c r="D101" i="10"/>
  <c r="E96" i="10"/>
  <c r="D96" i="10"/>
  <c r="D97" i="10" s="1"/>
  <c r="D19" i="10"/>
  <c r="B19" i="10"/>
  <c r="A19" i="10"/>
  <c r="K71" i="10"/>
  <c r="F79" i="10"/>
  <c r="I71" i="10" s="1"/>
  <c r="H44" i="14"/>
  <c r="H43" i="14"/>
  <c r="E88" i="10"/>
  <c r="I70" i="10" s="1"/>
  <c r="D88" i="10"/>
  <c r="I69" i="10" s="1"/>
  <c r="F71" i="10"/>
  <c r="H56" i="10"/>
  <c r="H55" i="10"/>
  <c r="H54" i="10"/>
  <c r="D54" i="10"/>
  <c r="B54" i="10"/>
  <c r="A54" i="10"/>
  <c r="H53" i="10"/>
  <c r="H52" i="10"/>
  <c r="H51" i="10"/>
  <c r="H50" i="10"/>
  <c r="H49" i="10"/>
  <c r="B49" i="10"/>
  <c r="A49" i="10"/>
  <c r="H48" i="10"/>
  <c r="H47" i="10"/>
  <c r="H46" i="10"/>
  <c r="H45" i="10"/>
  <c r="D43" i="10"/>
  <c r="C43" i="10"/>
  <c r="B43" i="10"/>
  <c r="A43" i="10"/>
  <c r="H42" i="10"/>
  <c r="H41" i="10"/>
  <c r="H38" i="10"/>
  <c r="H37" i="10"/>
  <c r="H36" i="10"/>
  <c r="P35" i="10"/>
  <c r="O35" i="10"/>
  <c r="H35" i="10"/>
  <c r="H34" i="10"/>
  <c r="N32" i="10"/>
  <c r="O31" i="10"/>
  <c r="H31" i="10"/>
  <c r="O30" i="10"/>
  <c r="H30" i="10"/>
  <c r="O29" i="10"/>
  <c r="H29" i="10"/>
  <c r="O28" i="10"/>
  <c r="H28" i="10"/>
  <c r="O27" i="10"/>
  <c r="H27" i="10"/>
  <c r="O26" i="10"/>
  <c r="H26" i="10"/>
  <c r="C26" i="10"/>
  <c r="O25" i="10"/>
  <c r="H25" i="10"/>
  <c r="O24" i="10"/>
  <c r="H24" i="10"/>
  <c r="O23" i="10"/>
  <c r="O32" i="10" s="1"/>
  <c r="P32" i="10" s="1"/>
  <c r="Q30" i="10" s="1"/>
  <c r="H23" i="10"/>
  <c r="C23" i="10"/>
  <c r="B23" i="10"/>
  <c r="A23" i="10"/>
  <c r="O22" i="10"/>
  <c r="H22" i="10"/>
  <c r="N20" i="10"/>
  <c r="O19" i="10"/>
  <c r="R18" i="10"/>
  <c r="Q18" i="10"/>
  <c r="O18" i="10"/>
  <c r="R17" i="10"/>
  <c r="O17" i="10"/>
  <c r="R16" i="10"/>
  <c r="Q16" i="10"/>
  <c r="O16" i="10"/>
  <c r="R15" i="10"/>
  <c r="O15" i="10"/>
  <c r="O14" i="10"/>
  <c r="Q13" i="10"/>
  <c r="O13" i="10"/>
  <c r="G10" i="10"/>
  <c r="A10" i="10"/>
  <c r="I8" i="10"/>
  <c r="C8" i="10"/>
  <c r="I3" i="10"/>
  <c r="I2" i="10"/>
  <c r="C47" i="10" s="1"/>
  <c r="CH23" i="14" l="1"/>
  <c r="H56" i="14"/>
  <c r="C68" i="14" s="1"/>
  <c r="BA46" i="14"/>
  <c r="BB47" i="14"/>
  <c r="BD58" i="14" s="1"/>
  <c r="BC46" i="14"/>
  <c r="AW59" i="14" s="1"/>
  <c r="BC47" i="14"/>
  <c r="BD59" i="14" s="1"/>
  <c r="BB46" i="14"/>
  <c r="AW58" i="14" s="1"/>
  <c r="BD47" i="14"/>
  <c r="BA47" i="14"/>
  <c r="BD46" i="14"/>
  <c r="C53" i="10"/>
  <c r="F43" i="14"/>
  <c r="O20" i="10"/>
  <c r="P19" i="10" s="1"/>
  <c r="R32" i="10" s="1"/>
  <c r="S30" i="10" s="1"/>
  <c r="S27" i="10" s="1"/>
  <c r="Q17" i="10"/>
  <c r="Q12" i="10"/>
  <c r="R12" i="10"/>
  <c r="C17" i="10"/>
  <c r="G93" i="10"/>
  <c r="H93" i="10" s="1"/>
  <c r="R13" i="10"/>
  <c r="Q14" i="10"/>
  <c r="C18" i="10"/>
  <c r="C19" i="10" s="1"/>
  <c r="R14" i="10"/>
  <c r="F44" i="14"/>
  <c r="O70" i="10"/>
  <c r="G94" i="10"/>
  <c r="Q15" i="10"/>
  <c r="AF89" i="14"/>
  <c r="AC101" i="14" s="1"/>
  <c r="J89" i="14"/>
  <c r="E103" i="14" s="1"/>
  <c r="H89" i="14"/>
  <c r="E101" i="14" s="1"/>
  <c r="AG90" i="14"/>
  <c r="AH89" i="14"/>
  <c r="AC103" i="14" s="1"/>
  <c r="AE90" i="14"/>
  <c r="I90" i="14"/>
  <c r="E118" i="14" s="1"/>
  <c r="AE89" i="14"/>
  <c r="I89" i="14"/>
  <c r="E102" i="14" s="1"/>
  <c r="G89" i="14"/>
  <c r="AF90" i="14"/>
  <c r="J90" i="14"/>
  <c r="E119" i="14" s="1"/>
  <c r="AG89" i="14"/>
  <c r="AC102" i="14" s="1"/>
  <c r="AH90" i="14"/>
  <c r="G90" i="14"/>
  <c r="E116" i="14" s="1"/>
  <c r="G56" i="14"/>
  <c r="C67" i="14" s="1"/>
  <c r="AX24" i="14"/>
  <c r="AX25" i="14"/>
  <c r="AQ24" i="14"/>
  <c r="AQ25" i="14"/>
  <c r="H57" i="14"/>
  <c r="J68" i="14" s="1"/>
  <c r="I57" i="14"/>
  <c r="J69" i="14" s="1"/>
  <c r="E117" i="14"/>
  <c r="AC100" i="14"/>
  <c r="AG56" i="14"/>
  <c r="AE69" i="14" s="1"/>
  <c r="AF56" i="14"/>
  <c r="AE68" i="14" s="1"/>
  <c r="AE67" i="14"/>
  <c r="R51" i="10"/>
  <c r="Q31" i="10"/>
  <c r="D8" i="10"/>
  <c r="C48" i="10"/>
  <c r="C49" i="10" s="1"/>
  <c r="J8" i="10"/>
  <c r="C52" i="10"/>
  <c r="D82" i="10" s="1"/>
  <c r="M69" i="10" s="1"/>
  <c r="D9" i="10"/>
  <c r="J9" i="10"/>
  <c r="BD60" i="14" l="1"/>
  <c r="AW60" i="14"/>
  <c r="BD57" i="14"/>
  <c r="BE47" i="14"/>
  <c r="AW57" i="14"/>
  <c r="BE46" i="14"/>
  <c r="R19" i="10"/>
  <c r="Q19" i="10"/>
  <c r="J43" i="14"/>
  <c r="O69" i="10"/>
  <c r="M71" i="10"/>
  <c r="O71" i="10" s="1"/>
  <c r="H94" i="10"/>
  <c r="H96" i="10" s="1"/>
  <c r="G96" i="10"/>
  <c r="G97" i="10" s="1"/>
  <c r="H97" i="10" s="1"/>
  <c r="E8" i="10"/>
  <c r="F82" i="10"/>
  <c r="AI90" i="14"/>
  <c r="AR90" i="14" s="1"/>
  <c r="E100" i="14"/>
  <c r="K89" i="14"/>
  <c r="K93" i="14" s="1"/>
  <c r="AI89" i="14"/>
  <c r="AR89" i="14" s="1"/>
  <c r="AD100" i="14" s="1"/>
  <c r="K90" i="14"/>
  <c r="T90" i="14" s="1"/>
  <c r="E123" i="14"/>
  <c r="F114" i="14" s="1"/>
  <c r="AY12" i="14"/>
  <c r="AQ23" i="14"/>
  <c r="AX23" i="14"/>
  <c r="AY13" i="14"/>
  <c r="J73" i="14"/>
  <c r="K69" i="14" s="1"/>
  <c r="K57" i="14"/>
  <c r="AC107" i="14"/>
  <c r="E107" i="14"/>
  <c r="T89" i="14"/>
  <c r="F100" i="14" s="1"/>
  <c r="K56" i="14"/>
  <c r="F67" i="14" s="1"/>
  <c r="AI56" i="14"/>
  <c r="AI60" i="14" s="1"/>
  <c r="AE73" i="14"/>
  <c r="AH67" i="14"/>
  <c r="C73" i="14"/>
  <c r="J44" i="14"/>
  <c r="L43" i="14"/>
  <c r="C54" i="10"/>
  <c r="Q49" i="10"/>
  <c r="S49" i="10" s="1"/>
  <c r="Q50" i="10"/>
  <c r="S54" i="10" s="1"/>
  <c r="K8" i="10"/>
  <c r="AW64" i="14" l="1"/>
  <c r="AX57" i="14" s="1"/>
  <c r="BD64" i="14"/>
  <c r="BE57" i="14" s="1"/>
  <c r="AX60" i="14"/>
  <c r="BE50" i="14"/>
  <c r="AZ57" i="14"/>
  <c r="BN46" i="14"/>
  <c r="BI55" i="14" s="1"/>
  <c r="BG57" i="14"/>
  <c r="BH57" i="14" s="1"/>
  <c r="BN47" i="14"/>
  <c r="BE60" i="14"/>
  <c r="H100" i="14"/>
  <c r="I100" i="14" s="1"/>
  <c r="T49" i="10"/>
  <c r="T46" i="10" s="1"/>
  <c r="T30" i="10"/>
  <c r="U30" i="10"/>
  <c r="U49" i="10"/>
  <c r="F117" i="14"/>
  <c r="AF100" i="14"/>
  <c r="AG100" i="14" s="1"/>
  <c r="AI93" i="14"/>
  <c r="H116" i="14"/>
  <c r="I116" i="14" s="1"/>
  <c r="F119" i="14"/>
  <c r="F121" i="14"/>
  <c r="F118" i="14"/>
  <c r="F120" i="14"/>
  <c r="F115" i="14"/>
  <c r="F116" i="14"/>
  <c r="F122" i="14"/>
  <c r="AX29" i="14"/>
  <c r="BA23" i="14"/>
  <c r="BH12" i="14"/>
  <c r="AT23" i="14"/>
  <c r="AY16" i="14"/>
  <c r="AR56" i="14"/>
  <c r="AF65" i="14" s="1"/>
  <c r="T56" i="14"/>
  <c r="D70" i="14" s="1"/>
  <c r="K60" i="14"/>
  <c r="AQ29" i="14"/>
  <c r="T57" i="14"/>
  <c r="M67" i="14"/>
  <c r="N67" i="14" s="1"/>
  <c r="K65" i="14"/>
  <c r="K72" i="14"/>
  <c r="K66" i="14"/>
  <c r="K70" i="14"/>
  <c r="K71" i="14"/>
  <c r="K67" i="14"/>
  <c r="K68" i="14"/>
  <c r="F105" i="14"/>
  <c r="F99" i="14"/>
  <c r="F106" i="14"/>
  <c r="F104" i="14"/>
  <c r="F98" i="14"/>
  <c r="O98" i="14"/>
  <c r="F103" i="14"/>
  <c r="F102" i="14"/>
  <c r="F101" i="14"/>
  <c r="AD98" i="14"/>
  <c r="AD99" i="14"/>
  <c r="AD106" i="14"/>
  <c r="AD104" i="14"/>
  <c r="AD105" i="14"/>
  <c r="AD102" i="14"/>
  <c r="AD101" i="14"/>
  <c r="AD103" i="14"/>
  <c r="L44" i="14"/>
  <c r="S35" i="10"/>
  <c r="S29" i="10"/>
  <c r="S26" i="10"/>
  <c r="S22" i="10"/>
  <c r="S31" i="10"/>
  <c r="S28" i="10"/>
  <c r="S25" i="10"/>
  <c r="S24" i="10"/>
  <c r="S23" i="10"/>
  <c r="T42" i="10"/>
  <c r="S41" i="10"/>
  <c r="S45" i="10"/>
  <c r="S43" i="10"/>
  <c r="T44" i="10"/>
  <c r="T51" i="10"/>
  <c r="S48" i="10"/>
  <c r="S44" i="10"/>
  <c r="T48" i="10"/>
  <c r="T43" i="10"/>
  <c r="T41" i="10"/>
  <c r="S42" i="10"/>
  <c r="T45" i="10"/>
  <c r="T50" i="10"/>
  <c r="T47" i="10"/>
  <c r="S50" i="10"/>
  <c r="T53" i="10" s="1"/>
  <c r="S47" i="10"/>
  <c r="S46" i="10"/>
  <c r="D30" i="9"/>
  <c r="C30" i="9"/>
  <c r="I29" i="9"/>
  <c r="B29" i="9"/>
  <c r="J28" i="9"/>
  <c r="B28" i="9"/>
  <c r="J27" i="9"/>
  <c r="D23" i="9"/>
  <c r="C23" i="9"/>
  <c r="H22" i="9"/>
  <c r="G22" i="9"/>
  <c r="B21" i="9"/>
  <c r="C20" i="9"/>
  <c r="B20" i="9"/>
  <c r="B17" i="9"/>
  <c r="I12" i="9"/>
  <c r="G11" i="9" s="1"/>
  <c r="H11" i="9" s="1"/>
  <c r="G12" i="9"/>
  <c r="H12" i="9" s="1"/>
  <c r="F12" i="9"/>
  <c r="F11" i="9"/>
  <c r="F10" i="9"/>
  <c r="F9" i="9"/>
  <c r="G9" i="9" s="1"/>
  <c r="H9" i="9" s="1"/>
  <c r="N8" i="9"/>
  <c r="N7" i="9"/>
  <c r="I7" i="9"/>
  <c r="G7" i="9" s="1"/>
  <c r="H7" i="9" s="1"/>
  <c r="L6" i="9"/>
  <c r="L5" i="9"/>
  <c r="N5" i="9" s="1"/>
  <c r="K5" i="9"/>
  <c r="L4" i="9"/>
  <c r="J4" i="9"/>
  <c r="L3" i="9"/>
  <c r="K3" i="9"/>
  <c r="N3" i="9" s="1"/>
  <c r="J3" i="9"/>
  <c r="L2" i="9"/>
  <c r="L10" i="9" s="1"/>
  <c r="K2" i="9"/>
  <c r="N2" i="9" s="1"/>
  <c r="J2" i="9"/>
  <c r="R26" i="2"/>
  <c r="Q25" i="2"/>
  <c r="U49" i="7"/>
  <c r="T50" i="7"/>
  <c r="T42" i="7"/>
  <c r="T43" i="7"/>
  <c r="T44" i="7"/>
  <c r="T45" i="7"/>
  <c r="T46" i="7"/>
  <c r="T47" i="7"/>
  <c r="T48" i="7"/>
  <c r="T41" i="7"/>
  <c r="S50" i="7"/>
  <c r="S43" i="7"/>
  <c r="S44" i="7"/>
  <c r="S45" i="7"/>
  <c r="S46" i="7"/>
  <c r="S47" i="7"/>
  <c r="S48" i="7"/>
  <c r="S41" i="7"/>
  <c r="R51" i="7"/>
  <c r="Q50" i="7"/>
  <c r="Q49" i="7"/>
  <c r="Q30" i="7"/>
  <c r="T30" i="7"/>
  <c r="C26" i="7"/>
  <c r="B34" i="7"/>
  <c r="C23" i="7"/>
  <c r="D23" i="7"/>
  <c r="B23" i="7"/>
  <c r="A23" i="7"/>
  <c r="C19" i="7"/>
  <c r="D19" i="7"/>
  <c r="B19" i="7"/>
  <c r="A19" i="7"/>
  <c r="K8" i="7"/>
  <c r="G10" i="7"/>
  <c r="J9" i="7"/>
  <c r="J8" i="7"/>
  <c r="I8" i="7"/>
  <c r="C8" i="7"/>
  <c r="H56" i="7"/>
  <c r="H55" i="7"/>
  <c r="H54" i="7"/>
  <c r="H53" i="7"/>
  <c r="H52" i="7"/>
  <c r="H51" i="7"/>
  <c r="H50" i="7"/>
  <c r="H49" i="7"/>
  <c r="H48" i="7"/>
  <c r="H47" i="7"/>
  <c r="H46" i="7"/>
  <c r="H45" i="7"/>
  <c r="H42" i="7"/>
  <c r="H41" i="7"/>
  <c r="H38" i="7"/>
  <c r="H37" i="7"/>
  <c r="H36" i="7"/>
  <c r="P35" i="7"/>
  <c r="O35" i="7"/>
  <c r="H35" i="7"/>
  <c r="H34" i="7"/>
  <c r="N32" i="7"/>
  <c r="O31" i="7"/>
  <c r="H31" i="7"/>
  <c r="O30" i="7"/>
  <c r="H30" i="7"/>
  <c r="O29" i="7"/>
  <c r="H29" i="7"/>
  <c r="O28" i="7"/>
  <c r="H28" i="7"/>
  <c r="O27" i="7"/>
  <c r="H27" i="7"/>
  <c r="O26" i="7"/>
  <c r="H26" i="7"/>
  <c r="O25" i="7"/>
  <c r="H25" i="7"/>
  <c r="O24" i="7"/>
  <c r="H24" i="7"/>
  <c r="O23" i="7"/>
  <c r="H23" i="7"/>
  <c r="O22" i="7"/>
  <c r="O32" i="7" s="1"/>
  <c r="P32" i="7" s="1"/>
  <c r="H22" i="7"/>
  <c r="N20" i="7"/>
  <c r="R18" i="7" s="1"/>
  <c r="O19" i="7"/>
  <c r="Q18" i="7"/>
  <c r="O18" i="7"/>
  <c r="O17" i="7"/>
  <c r="O16" i="7"/>
  <c r="R15" i="7"/>
  <c r="O15" i="7"/>
  <c r="R14" i="7"/>
  <c r="Q14" i="7"/>
  <c r="O14" i="7"/>
  <c r="O20" i="7" s="1"/>
  <c r="P19" i="7" s="1"/>
  <c r="R13" i="7"/>
  <c r="Q13" i="7"/>
  <c r="O13" i="7"/>
  <c r="I3" i="7"/>
  <c r="D9" i="7" s="1"/>
  <c r="A10" i="7"/>
  <c r="I2" i="7"/>
  <c r="K32" i="4"/>
  <c r="I29" i="6"/>
  <c r="J28" i="6"/>
  <c r="J27" i="6"/>
  <c r="P31" i="4"/>
  <c r="P30" i="4"/>
  <c r="S25" i="4"/>
  <c r="Q25" i="4"/>
  <c r="L9" i="1"/>
  <c r="P25" i="4"/>
  <c r="L25" i="4"/>
  <c r="Q6" i="4"/>
  <c r="O20" i="4"/>
  <c r="O19" i="4"/>
  <c r="N20" i="4"/>
  <c r="K21" i="4"/>
  <c r="L18" i="4"/>
  <c r="L17" i="4"/>
  <c r="L16" i="4"/>
  <c r="K18" i="4"/>
  <c r="K17" i="4"/>
  <c r="K16" i="4"/>
  <c r="C30" i="6"/>
  <c r="D30" i="6"/>
  <c r="D23" i="6"/>
  <c r="C23" i="6"/>
  <c r="H22" i="6"/>
  <c r="G22" i="6"/>
  <c r="B29" i="6"/>
  <c r="B28" i="6"/>
  <c r="B21" i="6"/>
  <c r="C20" i="6"/>
  <c r="B20" i="6"/>
  <c r="B17" i="6"/>
  <c r="P13" i="2"/>
  <c r="S16" i="2"/>
  <c r="S17" i="2"/>
  <c r="S18" i="2"/>
  <c r="S19" i="2"/>
  <c r="S20" i="2"/>
  <c r="S21" i="2"/>
  <c r="S22" i="2"/>
  <c r="S23" i="2"/>
  <c r="S37" i="3"/>
  <c r="U35" i="3"/>
  <c r="S33" i="3"/>
  <c r="V35" i="3" s="1"/>
  <c r="S25" i="3"/>
  <c r="V23" i="3"/>
  <c r="U23" i="3"/>
  <c r="S21" i="3"/>
  <c r="M37" i="3"/>
  <c r="O35" i="3"/>
  <c r="M33" i="3"/>
  <c r="P35" i="3" s="1"/>
  <c r="P23" i="3"/>
  <c r="O23" i="3"/>
  <c r="M25" i="3"/>
  <c r="M21" i="3"/>
  <c r="N10" i="6"/>
  <c r="N3" i="6"/>
  <c r="N4" i="6"/>
  <c r="N5" i="6"/>
  <c r="N6" i="6"/>
  <c r="N7" i="6"/>
  <c r="N8" i="6"/>
  <c r="N2" i="6"/>
  <c r="L10" i="6"/>
  <c r="L6" i="6"/>
  <c r="K6" i="6"/>
  <c r="H10" i="6"/>
  <c r="H11" i="6"/>
  <c r="H12" i="6"/>
  <c r="H9" i="6"/>
  <c r="L5" i="6"/>
  <c r="K5" i="6"/>
  <c r="K4" i="6"/>
  <c r="H5" i="6"/>
  <c r="H6" i="6"/>
  <c r="H7" i="6"/>
  <c r="H4" i="6"/>
  <c r="L4" i="6"/>
  <c r="J4" i="6"/>
  <c r="J3" i="6"/>
  <c r="K3" i="6"/>
  <c r="L3" i="6"/>
  <c r="L2" i="6"/>
  <c r="K2" i="6"/>
  <c r="J2" i="6"/>
  <c r="G5" i="6"/>
  <c r="G6" i="6"/>
  <c r="G7" i="6"/>
  <c r="G4" i="6"/>
  <c r="G10" i="6"/>
  <c r="G11" i="6"/>
  <c r="G12" i="6"/>
  <c r="G9" i="6"/>
  <c r="I12" i="6"/>
  <c r="I7" i="6"/>
  <c r="F12" i="6"/>
  <c r="F11" i="6"/>
  <c r="F10" i="6"/>
  <c r="F9" i="6"/>
  <c r="F42" i="3"/>
  <c r="P9" i="3"/>
  <c r="T6" i="4"/>
  <c r="R6" i="4"/>
  <c r="J5" i="4"/>
  <c r="J4" i="4"/>
  <c r="K9" i="3"/>
  <c r="I4" i="3"/>
  <c r="I3" i="3"/>
  <c r="S5" i="3"/>
  <c r="N9" i="1"/>
  <c r="Q5" i="3"/>
  <c r="P5" i="3"/>
  <c r="L55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39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40" i="1"/>
  <c r="K39" i="1"/>
  <c r="L33" i="1"/>
  <c r="K19" i="1"/>
  <c r="K20" i="1"/>
  <c r="L20" i="1" s="1"/>
  <c r="K21" i="1"/>
  <c r="K22" i="1"/>
  <c r="L22" i="1" s="1"/>
  <c r="K23" i="1"/>
  <c r="L23" i="1" s="1"/>
  <c r="K24" i="1"/>
  <c r="K25" i="1"/>
  <c r="K26" i="1"/>
  <c r="K27" i="1"/>
  <c r="L27" i="1" s="1"/>
  <c r="K28" i="1"/>
  <c r="L28" i="1" s="1"/>
  <c r="K29" i="1"/>
  <c r="L29" i="1" s="1"/>
  <c r="K30" i="1"/>
  <c r="K31" i="1"/>
  <c r="K18" i="1"/>
  <c r="L21" i="1"/>
  <c r="L18" i="1"/>
  <c r="L19" i="1"/>
  <c r="L24" i="1"/>
  <c r="L25" i="1"/>
  <c r="L26" i="1"/>
  <c r="L30" i="1"/>
  <c r="L31" i="1"/>
  <c r="L17" i="1"/>
  <c r="K17" i="1"/>
  <c r="L13" i="1"/>
  <c r="L12" i="1"/>
  <c r="K13" i="1"/>
  <c r="K12" i="1"/>
  <c r="J13" i="1"/>
  <c r="J12" i="1"/>
  <c r="T3" i="1"/>
  <c r="B43" i="4"/>
  <c r="C43" i="4" s="1"/>
  <c r="C41" i="4"/>
  <c r="C40" i="4"/>
  <c r="B38" i="4"/>
  <c r="C38" i="4" s="1"/>
  <c r="C36" i="4"/>
  <c r="C35" i="4"/>
  <c r="D36" i="4" s="1"/>
  <c r="F29" i="4"/>
  <c r="G29" i="4" s="1"/>
  <c r="E29" i="4"/>
  <c r="F28" i="4"/>
  <c r="G28" i="4" s="1"/>
  <c r="E28" i="4"/>
  <c r="F27" i="4"/>
  <c r="G27" i="4" s="1"/>
  <c r="E27" i="4"/>
  <c r="F26" i="4"/>
  <c r="G26" i="4" s="1"/>
  <c r="E26" i="4"/>
  <c r="F25" i="4"/>
  <c r="G25" i="4" s="1"/>
  <c r="E25" i="4"/>
  <c r="F24" i="4"/>
  <c r="G24" i="4" s="1"/>
  <c r="E24" i="4"/>
  <c r="F23" i="4"/>
  <c r="G23" i="4" s="1"/>
  <c r="E23" i="4"/>
  <c r="F22" i="4"/>
  <c r="G22" i="4" s="1"/>
  <c r="E22" i="4"/>
  <c r="G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F10" i="4"/>
  <c r="G10" i="4" s="1"/>
  <c r="E10" i="4"/>
  <c r="F9" i="4"/>
  <c r="G9" i="4" s="1"/>
  <c r="E9" i="4"/>
  <c r="F8" i="4"/>
  <c r="G8" i="4" s="1"/>
  <c r="E8" i="4"/>
  <c r="F7" i="4"/>
  <c r="G7" i="4" s="1"/>
  <c r="E7" i="4"/>
  <c r="F5" i="4"/>
  <c r="G5" i="4" s="1"/>
  <c r="E5" i="4"/>
  <c r="F4" i="4"/>
  <c r="G4" i="4" s="1"/>
  <c r="E4" i="4"/>
  <c r="F3" i="4"/>
  <c r="G3" i="4" s="1"/>
  <c r="E3" i="4"/>
  <c r="F2" i="4"/>
  <c r="G2" i="4" s="1"/>
  <c r="G11" i="4" s="1"/>
  <c r="E2" i="4"/>
  <c r="B51" i="3"/>
  <c r="C51" i="3" s="1"/>
  <c r="C49" i="3"/>
  <c r="C48" i="3"/>
  <c r="C47" i="3"/>
  <c r="C46" i="3"/>
  <c r="C45" i="3"/>
  <c r="B43" i="3"/>
  <c r="C43" i="3" s="1"/>
  <c r="C41" i="3"/>
  <c r="C40" i="3"/>
  <c r="C39" i="3"/>
  <c r="C38" i="3"/>
  <c r="C37" i="3"/>
  <c r="F31" i="3"/>
  <c r="G31" i="3" s="1"/>
  <c r="E31" i="3"/>
  <c r="G30" i="3"/>
  <c r="F30" i="3"/>
  <c r="E30" i="3"/>
  <c r="F29" i="3"/>
  <c r="G29" i="3" s="1"/>
  <c r="E29" i="3"/>
  <c r="F28" i="3"/>
  <c r="G28" i="3" s="1"/>
  <c r="G34" i="3" s="1"/>
  <c r="E28" i="3"/>
  <c r="G14" i="3"/>
  <c r="G13" i="3"/>
  <c r="G12" i="3"/>
  <c r="F12" i="3"/>
  <c r="F11" i="3"/>
  <c r="G11" i="3" s="1"/>
  <c r="G10" i="3"/>
  <c r="F10" i="3"/>
  <c r="F9" i="3"/>
  <c r="G9" i="3" s="1"/>
  <c r="G8" i="3"/>
  <c r="G7" i="3"/>
  <c r="G6" i="3"/>
  <c r="G5" i="3"/>
  <c r="G4" i="3"/>
  <c r="G3" i="3"/>
  <c r="G2" i="3"/>
  <c r="CN46" i="14" l="1"/>
  <c r="CK26" i="14"/>
  <c r="CK29" i="14" s="1"/>
  <c r="AR23" i="14"/>
  <c r="CE24" i="14"/>
  <c r="CE28" i="14"/>
  <c r="CE25" i="14"/>
  <c r="CE21" i="14"/>
  <c r="CE26" i="14"/>
  <c r="CE27" i="14"/>
  <c r="CE22" i="14"/>
  <c r="CE23" i="14"/>
  <c r="BA57" i="14"/>
  <c r="BE55" i="14"/>
  <c r="BE61" i="14"/>
  <c r="BE56" i="14"/>
  <c r="BE62" i="14"/>
  <c r="BE63" i="14"/>
  <c r="BE58" i="14"/>
  <c r="BE59" i="14"/>
  <c r="AX55" i="14"/>
  <c r="AX56" i="14"/>
  <c r="AX63" i="14"/>
  <c r="AX59" i="14"/>
  <c r="AX58" i="14"/>
  <c r="AX61" i="14"/>
  <c r="AX62" i="14"/>
  <c r="T27" i="10"/>
  <c r="T25" i="10"/>
  <c r="T26" i="10"/>
  <c r="F123" i="14"/>
  <c r="D69" i="14"/>
  <c r="D68" i="14"/>
  <c r="D65" i="14"/>
  <c r="D67" i="14"/>
  <c r="G67" i="14"/>
  <c r="D71" i="14"/>
  <c r="O65" i="14"/>
  <c r="D66" i="14"/>
  <c r="AF67" i="14"/>
  <c r="AF66" i="14"/>
  <c r="AF68" i="14"/>
  <c r="AF70" i="14"/>
  <c r="AF73" i="14"/>
  <c r="AI67" i="14"/>
  <c r="D72" i="14"/>
  <c r="AU23" i="14"/>
  <c r="AR22" i="14"/>
  <c r="BC21" i="14"/>
  <c r="AR21" i="14"/>
  <c r="AR27" i="14"/>
  <c r="AR26" i="14"/>
  <c r="AR28" i="14"/>
  <c r="AR25" i="14"/>
  <c r="AR24" i="14"/>
  <c r="AF72" i="14"/>
  <c r="AF69" i="14"/>
  <c r="AF71" i="14"/>
  <c r="BB23" i="14"/>
  <c r="AY28" i="14"/>
  <c r="AY22" i="14"/>
  <c r="AY21" i="14"/>
  <c r="AY26" i="14"/>
  <c r="AY27" i="14"/>
  <c r="AY25" i="14"/>
  <c r="AY24" i="14"/>
  <c r="AY23" i="14"/>
  <c r="K73" i="14"/>
  <c r="AD107" i="14"/>
  <c r="F107" i="14"/>
  <c r="T29" i="10"/>
  <c r="T23" i="10"/>
  <c r="T24" i="10"/>
  <c r="T28" i="10"/>
  <c r="T31" i="10"/>
  <c r="T34" i="10"/>
  <c r="T22" i="10"/>
  <c r="T32" i="10"/>
  <c r="G5" i="9"/>
  <c r="H5" i="9" s="1"/>
  <c r="G10" i="9"/>
  <c r="H10" i="9" s="1"/>
  <c r="K6" i="9" s="1"/>
  <c r="N6" i="9" s="1"/>
  <c r="G6" i="9"/>
  <c r="H6" i="9" s="1"/>
  <c r="G4" i="9"/>
  <c r="H4" i="9" s="1"/>
  <c r="K4" i="9" s="1"/>
  <c r="N4" i="9" s="1"/>
  <c r="N10" i="9" s="1"/>
  <c r="S54" i="7"/>
  <c r="T51" i="7"/>
  <c r="T53" i="7"/>
  <c r="R32" i="7"/>
  <c r="Q31" i="7"/>
  <c r="D8" i="7"/>
  <c r="E8" i="7" s="1"/>
  <c r="Q15" i="7"/>
  <c r="Q16" i="7"/>
  <c r="Q12" i="7"/>
  <c r="R16" i="7"/>
  <c r="R12" i="7"/>
  <c r="Q17" i="7"/>
  <c r="R17" i="7"/>
  <c r="L10" i="4"/>
  <c r="G30" i="4"/>
  <c r="G15" i="3"/>
  <c r="CK59" i="14" l="1"/>
  <c r="CK62" i="14" s="1"/>
  <c r="CO56" i="14" s="1"/>
  <c r="CU46" i="14"/>
  <c r="CO23" i="14"/>
  <c r="CL24" i="14"/>
  <c r="CL26" i="14"/>
  <c r="CL25" i="14"/>
  <c r="CL21" i="14"/>
  <c r="CL27" i="14"/>
  <c r="CL22" i="14"/>
  <c r="CL28" i="14"/>
  <c r="CL23" i="14"/>
  <c r="CE29" i="14"/>
  <c r="AX64" i="14"/>
  <c r="BE64" i="14"/>
  <c r="D73" i="14"/>
  <c r="AR29" i="14"/>
  <c r="AY29" i="14"/>
  <c r="S30" i="7"/>
  <c r="S35" i="7"/>
  <c r="S23" i="7"/>
  <c r="Q19" i="7"/>
  <c r="R19" i="7"/>
  <c r="U30" i="7" s="1"/>
  <c r="S26" i="7"/>
  <c r="S25" i="7"/>
  <c r="S28" i="7"/>
  <c r="S22" i="7"/>
  <c r="S29" i="7"/>
  <c r="H50" i="2"/>
  <c r="H49" i="2"/>
  <c r="H48" i="2"/>
  <c r="H47" i="2"/>
  <c r="H46" i="2"/>
  <c r="H45" i="2"/>
  <c r="H44" i="2"/>
  <c r="H43" i="2"/>
  <c r="H42" i="2"/>
  <c r="H41" i="2"/>
  <c r="H40" i="2"/>
  <c r="H39" i="2"/>
  <c r="H36" i="2"/>
  <c r="H35" i="2"/>
  <c r="H32" i="2"/>
  <c r="H31" i="2"/>
  <c r="H30" i="2"/>
  <c r="P29" i="2"/>
  <c r="O29" i="2"/>
  <c r="H29" i="2"/>
  <c r="H28" i="2"/>
  <c r="N26" i="2"/>
  <c r="O25" i="2"/>
  <c r="H25" i="2"/>
  <c r="O24" i="2"/>
  <c r="H24" i="2"/>
  <c r="O23" i="2"/>
  <c r="H23" i="2"/>
  <c r="A23" i="2"/>
  <c r="O22" i="2"/>
  <c r="H22" i="2"/>
  <c r="O21" i="2"/>
  <c r="H21" i="2"/>
  <c r="O20" i="2"/>
  <c r="H20" i="2"/>
  <c r="O19" i="2"/>
  <c r="H19" i="2"/>
  <c r="O18" i="2"/>
  <c r="O26" i="2" s="1"/>
  <c r="P26" i="2" s="1"/>
  <c r="H18" i="2"/>
  <c r="B18" i="2"/>
  <c r="A18" i="2"/>
  <c r="O17" i="2"/>
  <c r="H17" i="2"/>
  <c r="O16" i="2"/>
  <c r="H16" i="2"/>
  <c r="N14" i="2"/>
  <c r="R6" i="2" s="1"/>
  <c r="Q12" i="2"/>
  <c r="O13" i="2"/>
  <c r="O12" i="2"/>
  <c r="O11" i="2"/>
  <c r="O10" i="2"/>
  <c r="R8" i="2"/>
  <c r="Q8" i="2"/>
  <c r="O9" i="2"/>
  <c r="O8" i="2"/>
  <c r="D8" i="2"/>
  <c r="D9" i="2" s="1"/>
  <c r="O7" i="2"/>
  <c r="O14" i="2" s="1"/>
  <c r="D7" i="2"/>
  <c r="H4" i="2"/>
  <c r="D4" i="2" s="1"/>
  <c r="A4" i="2"/>
  <c r="H3" i="2"/>
  <c r="D2" i="2"/>
  <c r="CL62" i="14" l="1"/>
  <c r="CL29" i="14"/>
  <c r="T31" i="7"/>
  <c r="T22" i="7"/>
  <c r="S31" i="7"/>
  <c r="S24" i="7"/>
  <c r="S27" i="7"/>
  <c r="T34" i="7"/>
  <c r="T32" i="7"/>
  <c r="T24" i="7"/>
  <c r="T29" i="7"/>
  <c r="T26" i="7"/>
  <c r="T23" i="7"/>
  <c r="T27" i="7"/>
  <c r="T28" i="7"/>
  <c r="T25" i="7"/>
  <c r="Q24" i="2"/>
  <c r="S24" i="2" s="1"/>
  <c r="S29" i="2"/>
  <c r="R10" i="2"/>
  <c r="Q7" i="2"/>
  <c r="D5" i="2"/>
  <c r="E4" i="2" s="1"/>
  <c r="Q10" i="2"/>
  <c r="R7" i="2"/>
  <c r="R13" i="2" s="1"/>
  <c r="U24" i="2" s="1"/>
  <c r="Q11" i="2"/>
  <c r="R11" i="2"/>
  <c r="Q9" i="2"/>
  <c r="Q6" i="2"/>
  <c r="Q13" i="2" s="1"/>
  <c r="T24" i="2" s="1"/>
  <c r="R9" i="2"/>
  <c r="D26" i="2" l="1"/>
  <c r="T25" i="2"/>
  <c r="T16" i="2"/>
  <c r="T17" i="2"/>
  <c r="T18" i="2"/>
  <c r="T20" i="2"/>
  <c r="T19" i="2"/>
  <c r="T21" i="2"/>
  <c r="T22" i="2"/>
  <c r="T23" i="2"/>
  <c r="S25" i="2"/>
  <c r="T28" i="2" s="1"/>
  <c r="T26" i="2"/>
  <c r="K9" i="1" l="1"/>
  <c r="N3" i="1"/>
  <c r="K10" i="1"/>
  <c r="L10" i="1" s="1"/>
  <c r="N10" i="1" s="1"/>
  <c r="Q9" i="1" l="1"/>
  <c r="P13" i="1" s="1"/>
</calcChain>
</file>

<file path=xl/sharedStrings.xml><?xml version="1.0" encoding="utf-8"?>
<sst xmlns="http://schemas.openxmlformats.org/spreadsheetml/2006/main" count="1549" uniqueCount="307">
  <si>
    <t>3s^2 – (3s3p*)_1</t>
  </si>
  <si>
    <t>3s^2 – (3s3p)_1</t>
  </si>
  <si>
    <t>(3s3p*)_1 – (3p*3p)_2</t>
  </si>
  <si>
    <t>(3s3p*)_1 – (3s3d*)_2</t>
  </si>
  <si>
    <t xml:space="preserve">E(0)         </t>
  </si>
  <si>
    <t xml:space="preserve">E(1)         </t>
  </si>
  <si>
    <t xml:space="preserve">E(2,1-body)  </t>
  </si>
  <si>
    <t xml:space="preserve">E(2,2-body)  </t>
  </si>
  <si>
    <t xml:space="preserve">E(3,1-body)         </t>
  </si>
  <si>
    <t xml:space="preserve">SE(val)      </t>
  </si>
  <si>
    <t xml:space="preserve">Uehl(val)    </t>
  </si>
  <si>
    <t xml:space="preserve">WK(val)      </t>
  </si>
  <si>
    <t xml:space="preserve">QED(val-x)   </t>
  </si>
  <si>
    <t xml:space="preserve">QED(core)    </t>
  </si>
  <si>
    <t xml:space="preserve">QED(2-loop)  </t>
  </si>
  <si>
    <t xml:space="preserve">QED(2-body)  </t>
  </si>
  <si>
    <t>TOTAL</t>
  </si>
  <si>
    <t>Retardation (1-body)</t>
  </si>
  <si>
    <t>Retardation (2-body)</t>
  </si>
  <si>
    <t>Nuclear recoil</t>
  </si>
  <si>
    <t>E(0), E(1), …, E(3) : 0th to 3rd-order RMBPT</t>
  </si>
  <si>
    <t>Brief explanation:</t>
  </si>
  <si>
    <t>SE(val), Uehl(val), and WK(val): diagonal (1-body) valence QED terms (self-energy, Uehling, and Wichmann-Kroll)</t>
  </si>
  <si>
    <t xml:space="preserve"> Units: eV</t>
  </si>
  <si>
    <t>Transition energies in Mg-like Os and Ir</t>
  </si>
  <si>
    <t>QED(val-x) and QED(core): diagonal (1-body) valence-exchange and core-relaxation QED</t>
  </si>
  <si>
    <t>QED(2-loop): diagonal (1-body) two-loop QED corrections</t>
  </si>
  <si>
    <t>QED(2-body): 2-body QED terms specific to double-valence systems</t>
  </si>
  <si>
    <t>Z = 76 (Os)</t>
  </si>
  <si>
    <t>Z = 77 (Ir)</t>
  </si>
  <si>
    <t>Os</t>
  </si>
  <si>
    <t>SA</t>
  </si>
  <si>
    <t>Ir</t>
  </si>
  <si>
    <t>D1</t>
  </si>
  <si>
    <t>D2</t>
  </si>
  <si>
    <t>Angeli</t>
  </si>
  <si>
    <t>Steve</t>
  </si>
  <si>
    <t>dR</t>
  </si>
  <si>
    <t>dE = SdR</t>
  </si>
  <si>
    <t>cm-1</t>
  </si>
  <si>
    <t>cm-1 to eV</t>
  </si>
  <si>
    <t>eV</t>
  </si>
  <si>
    <t>New Energies</t>
  </si>
  <si>
    <t>h</t>
  </si>
  <si>
    <t>econv</t>
  </si>
  <si>
    <t>c</t>
  </si>
  <si>
    <t>JeV</t>
  </si>
  <si>
    <t>expshift</t>
  </si>
  <si>
    <t>A</t>
  </si>
  <si>
    <t>N</t>
  </si>
  <si>
    <r>
      <rPr>
        <sz val="11"/>
        <color theme="1"/>
        <rFont val="Calibri"/>
        <family val="2"/>
      </rPr>
      <t>δ</t>
    </r>
    <r>
      <rPr>
        <sz val="12"/>
        <color theme="1"/>
        <rFont val="Calibri"/>
        <family val="2"/>
        <scheme val="minor"/>
      </rPr>
      <t>&lt;r^2&gt; (fm^2)</t>
    </r>
  </si>
  <si>
    <r>
      <rPr>
        <sz val="11"/>
        <color theme="1"/>
        <rFont val="Calibri"/>
        <family val="2"/>
      </rPr>
      <t>Δ</t>
    </r>
    <r>
      <rPr>
        <sz val="12"/>
        <color theme="1"/>
        <rFont val="Calibri"/>
        <family val="2"/>
        <scheme val="minor"/>
      </rPr>
      <t xml:space="preserve"> δ&lt;r^2&gt; (fm^2) </t>
    </r>
  </si>
  <si>
    <t>R (fm)</t>
  </si>
  <si>
    <t>ΔR_tot (fm)</t>
  </si>
  <si>
    <t>Δ R_rel</t>
  </si>
  <si>
    <t>rel abundance (%)</t>
  </si>
  <si>
    <t>nm</t>
  </si>
  <si>
    <t xml:space="preserve">theoshift </t>
  </si>
  <si>
    <t>val</t>
  </si>
  <si>
    <t>err</t>
  </si>
  <si>
    <t>grasp</t>
  </si>
  <si>
    <t>fm</t>
  </si>
  <si>
    <t>grasp def</t>
  </si>
  <si>
    <t>rmbpt</t>
  </si>
  <si>
    <t>avg radii</t>
  </si>
  <si>
    <t>rel err prop</t>
  </si>
  <si>
    <t>tot err prop</t>
  </si>
  <si>
    <t xml:space="preserve">Ir </t>
  </si>
  <si>
    <t>theo- exp</t>
  </si>
  <si>
    <t>uncert</t>
  </si>
  <si>
    <t>Nom</t>
  </si>
  <si>
    <t>unc</t>
  </si>
  <si>
    <t>new avg Ir radius</t>
  </si>
  <si>
    <t>W</t>
  </si>
  <si>
    <t>Re</t>
  </si>
  <si>
    <t>Pt</t>
  </si>
  <si>
    <t xml:space="preserve">3s-3p1/2 </t>
  </si>
  <si>
    <t>Energy (in eV)</t>
  </si>
  <si>
    <t>Abundance</t>
  </si>
  <si>
    <t>Intensity over HF str</t>
  </si>
  <si>
    <t>Enegy (MHz)</t>
  </si>
  <si>
    <t>Relative intensity</t>
  </si>
  <si>
    <t>Os192</t>
  </si>
  <si>
    <t>Os190</t>
  </si>
  <si>
    <t>Os189</t>
  </si>
  <si>
    <t>Os188</t>
  </si>
  <si>
    <t>Os187</t>
  </si>
  <si>
    <t>Os186</t>
  </si>
  <si>
    <t>Os184</t>
  </si>
  <si>
    <t>Took average over intensity</t>
  </si>
  <si>
    <t xml:space="preserve">3s-3p3/2 </t>
  </si>
  <si>
    <t>D1 transition energy</t>
  </si>
  <si>
    <t>Area %</t>
  </si>
  <si>
    <t>Energy centroid (eV)</t>
  </si>
  <si>
    <t>λ (nm)</t>
  </si>
  <si>
    <t>Diff (nm)</t>
  </si>
  <si>
    <t>Avergared over intensity</t>
  </si>
  <si>
    <t>D2 transition energy</t>
  </si>
  <si>
    <t>Averaged over intensity</t>
  </si>
  <si>
    <t xml:space="preserve">SA (nuclear sensitivity coefficient) </t>
  </si>
  <si>
    <t xml:space="preserve">GRASP (cm-1/fm) </t>
  </si>
  <si>
    <t>RMBPT (cm-1/fm)</t>
  </si>
  <si>
    <t>No deformation</t>
  </si>
  <si>
    <t>deformation</t>
  </si>
  <si>
    <t>Hyperfine-relative intensity</t>
  </si>
  <si>
    <t>Ir193</t>
  </si>
  <si>
    <t>Ir191</t>
  </si>
  <si>
    <t>Took the average by inensity</t>
  </si>
  <si>
    <t>Took the average by intensity</t>
  </si>
  <si>
    <t>E difference measured</t>
  </si>
  <si>
    <t>x</t>
  </si>
  <si>
    <t>Na-like</t>
  </si>
  <si>
    <t>Mg-like</t>
  </si>
  <si>
    <t xml:space="preserve">unc </t>
  </si>
  <si>
    <t xml:space="preserve">Absolute Experimental Wavelengths </t>
  </si>
  <si>
    <t>Relative Difference</t>
  </si>
  <si>
    <t xml:space="preserve">Energy: </t>
  </si>
  <si>
    <t xml:space="preserve">Approx avg. Calibration unc </t>
  </si>
  <si>
    <t xml:space="preserve">Theoretical Results </t>
  </si>
  <si>
    <t xml:space="preserve">Na-like </t>
  </si>
  <si>
    <t>Dipti</t>
  </si>
  <si>
    <t>dE</t>
  </si>
  <si>
    <t>dE(0) = SdR</t>
  </si>
  <si>
    <t>Corrected unc.</t>
  </si>
  <si>
    <t>corrected unc</t>
  </si>
  <si>
    <t>Gillaspy:</t>
  </si>
  <si>
    <t>uncorrected</t>
  </si>
  <si>
    <t>corrected</t>
  </si>
  <si>
    <t>wavelength</t>
  </si>
  <si>
    <t>Nuc Rad</t>
  </si>
  <si>
    <t>new energy</t>
  </si>
  <si>
    <t>Energy</t>
  </si>
  <si>
    <t>New energy diff</t>
  </si>
  <si>
    <t>Absolute difference Na-like</t>
  </si>
  <si>
    <t>Absolute difference Mg-like</t>
  </si>
  <si>
    <t xml:space="preserve">Adams calibration </t>
  </si>
  <si>
    <t xml:space="preserve">Sams calibration </t>
  </si>
  <si>
    <t>sam</t>
  </si>
  <si>
    <t>adam</t>
  </si>
  <si>
    <t>john</t>
  </si>
  <si>
    <t>na</t>
  </si>
  <si>
    <t>mg</t>
  </si>
  <si>
    <t>sap</t>
  </si>
  <si>
    <t>sap new energy</t>
  </si>
  <si>
    <t>Os Na</t>
  </si>
  <si>
    <t>Person</t>
  </si>
  <si>
    <t>value</t>
  </si>
  <si>
    <t>Adam</t>
  </si>
  <si>
    <t>Sam</t>
  </si>
  <si>
    <t>Steve/John</t>
  </si>
  <si>
    <t>Sapirstein</t>
  </si>
  <si>
    <t>Ir Na</t>
  </si>
  <si>
    <t>Os Mg</t>
  </si>
  <si>
    <t>Ir Mg</t>
  </si>
  <si>
    <t>Number</t>
  </si>
  <si>
    <t>Theory:</t>
  </si>
  <si>
    <t>John/Steve</t>
  </si>
  <si>
    <t>Na-like exp</t>
  </si>
  <si>
    <t>eV diff</t>
  </si>
  <si>
    <t>Wavelength</t>
  </si>
  <si>
    <t>diff unc (W)</t>
  </si>
  <si>
    <t>Mg-like exp</t>
  </si>
  <si>
    <t>Theory Na</t>
  </si>
  <si>
    <t>Theory Mg</t>
  </si>
  <si>
    <t>nuc rad shift</t>
  </si>
  <si>
    <t>Na</t>
  </si>
  <si>
    <t>Mg</t>
  </si>
  <si>
    <t>S_A D1</t>
  </si>
  <si>
    <t>S_A D2</t>
  </si>
  <si>
    <t>na-like</t>
  </si>
  <si>
    <t>mg-like</t>
  </si>
  <si>
    <t>Dipti (GRASP)</t>
  </si>
  <si>
    <t>john/steve</t>
  </si>
  <si>
    <t>sapirstein</t>
  </si>
  <si>
    <t>dipti</t>
  </si>
  <si>
    <t>SB</t>
  </si>
  <si>
    <t>dRB</t>
  </si>
  <si>
    <t>d(EB-EA)</t>
  </si>
  <si>
    <t>dEm</t>
  </si>
  <si>
    <t>Em</t>
  </si>
  <si>
    <t>dRA</t>
  </si>
  <si>
    <t>deltaEA</t>
  </si>
  <si>
    <t>deltaEB</t>
  </si>
  <si>
    <t>Sap</t>
  </si>
  <si>
    <t>Experiment</t>
  </si>
  <si>
    <t>Author</t>
  </si>
  <si>
    <t>Steve Mg</t>
  </si>
  <si>
    <t>Na-like Os</t>
  </si>
  <si>
    <t>Na-like Ir</t>
  </si>
  <si>
    <t>Diff</t>
  </si>
  <si>
    <t>rel diff</t>
  </si>
  <si>
    <t>abs diff</t>
  </si>
  <si>
    <t>line</t>
  </si>
  <si>
    <t>cal</t>
  </si>
  <si>
    <t>stat</t>
  </si>
  <si>
    <t>sys</t>
  </si>
  <si>
    <t>total</t>
  </si>
  <si>
    <t>os na</t>
  </si>
  <si>
    <t>ir na</t>
  </si>
  <si>
    <t>os mg</t>
  </si>
  <si>
    <t>ir mg</t>
  </si>
  <si>
    <t>os na 2</t>
  </si>
  <si>
    <t>ir na 2</t>
  </si>
  <si>
    <t>all values are squared already</t>
  </si>
  <si>
    <t>Relative uncertainty contribution (%)</t>
  </si>
  <si>
    <t>sigma level</t>
  </si>
  <si>
    <t>os stat unc</t>
  </si>
  <si>
    <t>ir stat unc</t>
  </si>
  <si>
    <t>os cal unc</t>
  </si>
  <si>
    <t>ir cal unc</t>
  </si>
  <si>
    <t>Absolute Difference</t>
  </si>
  <si>
    <t>3a</t>
  </si>
  <si>
    <t>3b</t>
  </si>
  <si>
    <t>3c</t>
  </si>
  <si>
    <t>wave shift</t>
  </si>
  <si>
    <t>Mg-like Exp</t>
  </si>
  <si>
    <t>3sum</t>
  </si>
  <si>
    <t xml:space="preserve">sigma level = </t>
  </si>
  <si>
    <t>ddR_A</t>
  </si>
  <si>
    <t>dR_A</t>
  </si>
  <si>
    <t>Component</t>
  </si>
  <si>
    <t>Variance</t>
  </si>
  <si>
    <t>3 total</t>
  </si>
  <si>
    <t xml:space="preserve">total exp unc = </t>
  </si>
  <si>
    <t>Cont %</t>
  </si>
  <si>
    <t>Total</t>
  </si>
  <si>
    <t>eV unc</t>
  </si>
  <si>
    <t>shift</t>
  </si>
  <si>
    <t xml:space="preserve"> unc</t>
  </si>
  <si>
    <t>max</t>
  </si>
  <si>
    <t>nominal</t>
  </si>
  <si>
    <t>min</t>
  </si>
  <si>
    <t>os unc</t>
  </si>
  <si>
    <t>ir unc</t>
  </si>
  <si>
    <t>calib unc</t>
  </si>
  <si>
    <t>all 1 sigma</t>
  </si>
  <si>
    <t>3a (Os unc)</t>
  </si>
  <si>
    <t>3b (Ir unc)</t>
  </si>
  <si>
    <t>3 calib</t>
  </si>
  <si>
    <t xml:space="preserve">Experimental </t>
  </si>
  <si>
    <t>Ir HFS</t>
  </si>
  <si>
    <t>Os HFS</t>
  </si>
  <si>
    <t>Variance %</t>
  </si>
  <si>
    <t xml:space="preserve">Os HFS </t>
  </si>
  <si>
    <t>calibration unc</t>
  </si>
  <si>
    <t xml:space="preserve"> </t>
  </si>
  <si>
    <t>OLD</t>
  </si>
  <si>
    <t>NEW</t>
  </si>
  <si>
    <t>NEW BAD</t>
  </si>
  <si>
    <t xml:space="preserve">calib unc </t>
  </si>
  <si>
    <t>over-estimation</t>
  </si>
  <si>
    <t>wavelength (nm)</t>
  </si>
  <si>
    <t xml:space="preserve">unc (nm) </t>
  </si>
  <si>
    <t>energy (eV)</t>
  </si>
  <si>
    <t>unc (eV)</t>
  </si>
  <si>
    <t>E_Theo</t>
  </si>
  <si>
    <t xml:space="preserve">3s2-3s3p 3P1 </t>
  </si>
  <si>
    <t xml:space="preserve">3s2-3s3p 1P1  </t>
  </si>
  <si>
    <t xml:space="preserve">1st order </t>
  </si>
  <si>
    <t xml:space="preserve">gaussian fit </t>
  </si>
  <si>
    <t>Na-like Rel</t>
  </si>
  <si>
    <t>Na-like Abs</t>
  </si>
  <si>
    <t>os calib unc</t>
  </si>
  <si>
    <t>ir calib unc</t>
  </si>
  <si>
    <t>3c (Os unc cal)</t>
  </si>
  <si>
    <t>3d (Ir unc cal)</t>
  </si>
  <si>
    <t>Mg-like Abs</t>
  </si>
  <si>
    <t>E_A</t>
  </si>
  <si>
    <t>E_B</t>
  </si>
  <si>
    <t>3c (cal)</t>
  </si>
  <si>
    <t>2nd order</t>
  </si>
  <si>
    <t xml:space="preserve">2nd order </t>
  </si>
  <si>
    <t>adjusted*</t>
  </si>
  <si>
    <t>eV*</t>
  </si>
  <si>
    <t>cm-1*</t>
  </si>
  <si>
    <t>Relative</t>
  </si>
  <si>
    <t>Abs</t>
  </si>
  <si>
    <t>3c (os cal unc)</t>
  </si>
  <si>
    <t>3d (ir cal unc)</t>
  </si>
  <si>
    <t xml:space="preserve">  </t>
  </si>
  <si>
    <t>Na Rel</t>
  </si>
  <si>
    <t>Mg Rel</t>
  </si>
  <si>
    <t>Mg Abs</t>
  </si>
  <si>
    <t>Val</t>
  </si>
  <si>
    <t>GRASP</t>
  </si>
  <si>
    <t>RMBPT</t>
  </si>
  <si>
    <t>Na Abs</t>
  </si>
  <si>
    <t>-</t>
  </si>
  <si>
    <t>method</t>
  </si>
  <si>
    <t>y</t>
  </si>
  <si>
    <t>yerr</t>
  </si>
  <si>
    <t>label</t>
  </si>
  <si>
    <t>Na-like Relative / GRASP</t>
  </si>
  <si>
    <t>Na-like Absolute / GRASP</t>
  </si>
  <si>
    <t>Na-like Relative / RMBPT</t>
  </si>
  <si>
    <t>Na-like Absolute / RMBPT</t>
  </si>
  <si>
    <t>Mg-like Relative / RMBPT</t>
  </si>
  <si>
    <t>Mg-like Absolute / RMBPT</t>
  </si>
  <si>
    <t xml:space="preserve">Angeli </t>
  </si>
  <si>
    <t>os mg 2</t>
  </si>
  <si>
    <t>ir mg 2</t>
  </si>
  <si>
    <t xml:space="preserve">mg-like </t>
  </si>
  <si>
    <t xml:space="preserve">Mg-like </t>
  </si>
  <si>
    <t>Mg-like Rel</t>
  </si>
  <si>
    <t>Mg-like ABS</t>
  </si>
  <si>
    <t>3D</t>
  </si>
  <si>
    <t>measured 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</si>
</sst>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"/>
    <numFmt numFmtId="165" formatCode="0.000"/>
    <numFmt numFmtId="166" formatCode="\(0\)"/>
    <numFmt numFmtId="167" formatCode="0.0000000000"/>
    <numFmt numFmtId="168" formatCode="0.0000000"/>
    <numFmt numFmtId="169" formatCode="0.00000E+00"/>
    <numFmt numFmtId="170" formatCode="\(0.000000\)"/>
    <numFmt numFmtId="171" formatCode="0.00000"/>
    <numFmt numFmtId="172" formatCode="0.000000000"/>
    <numFmt numFmtId="173" formatCode="0.000000"/>
    <numFmt numFmtId="174" formatCode="0.000000E+00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2" fillId="0" borderId="0"/>
    <xf numFmtId="0" fontId="18" fillId="0" borderId="0"/>
    <xf numFmtId="0" fontId="14" fillId="0" borderId="0"/>
    <xf numFmtId="0" fontId="5" fillId="0" borderId="0"/>
  </cellStyleXfs>
  <cellXfs count="466">
    <xf numFmtId="0" fontId="0" fillId="0" borderId="0" xfId="0"/>
    <xf numFmtId="0" fontId="24" fillId="0" borderId="0" xfId="0" applyFont="1"/>
    <xf numFmtId="164" fontId="24" fillId="0" borderId="0" xfId="0" applyNumberFormat="1" applyFont="1"/>
    <xf numFmtId="165" fontId="0" fillId="0" borderId="0" xfId="0" applyNumberFormat="1"/>
    <xf numFmtId="164" fontId="0" fillId="0" borderId="0" xfId="0" applyNumberFormat="1"/>
    <xf numFmtId="0" fontId="25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24" fillId="0" borderId="0" xfId="0" applyFont="1" applyAlignment="1">
      <alignment horizontal="left"/>
    </xf>
    <xf numFmtId="165" fontId="24" fillId="0" borderId="0" xfId="0" applyNumberFormat="1" applyFont="1"/>
    <xf numFmtId="0" fontId="23" fillId="0" borderId="0" xfId="0" applyFont="1"/>
    <xf numFmtId="0" fontId="26" fillId="0" borderId="0" xfId="0" applyFont="1"/>
    <xf numFmtId="0" fontId="27" fillId="0" borderId="0" xfId="0" applyFont="1"/>
    <xf numFmtId="0" fontId="22" fillId="0" borderId="0" xfId="1" applyAlignment="1">
      <alignment horizontal="center" vertical="center"/>
    </xf>
    <xf numFmtId="0" fontId="30" fillId="0" borderId="0" xfId="1" applyFont="1" applyAlignment="1">
      <alignment vertical="center"/>
    </xf>
    <xf numFmtId="0" fontId="22" fillId="0" borderId="1" xfId="1" applyBorder="1" applyAlignment="1">
      <alignment horizontal="center" vertical="center"/>
    </xf>
    <xf numFmtId="165" fontId="22" fillId="0" borderId="0" xfId="1" applyNumberFormat="1" applyAlignment="1">
      <alignment horizontal="center" vertical="center"/>
    </xf>
    <xf numFmtId="11" fontId="22" fillId="0" borderId="0" xfId="1" applyNumberFormat="1" applyAlignment="1">
      <alignment horizontal="center" vertical="center"/>
    </xf>
    <xf numFmtId="164" fontId="22" fillId="0" borderId="0" xfId="1" applyNumberFormat="1" applyAlignment="1">
      <alignment horizontal="center" vertical="center"/>
    </xf>
    <xf numFmtId="0" fontId="22" fillId="0" borderId="0" xfId="1" applyAlignment="1">
      <alignment horizontal="center" vertical="center" textRotation="45"/>
    </xf>
    <xf numFmtId="0" fontId="22" fillId="3" borderId="0" xfId="1" applyFill="1" applyAlignment="1">
      <alignment horizontal="center" vertical="center"/>
    </xf>
    <xf numFmtId="0" fontId="22" fillId="0" borderId="0" xfId="1" quotePrefix="1" applyAlignment="1">
      <alignment horizontal="center" vertical="center"/>
    </xf>
    <xf numFmtId="167" fontId="22" fillId="0" borderId="0" xfId="1" applyNumberFormat="1" applyAlignment="1">
      <alignment horizontal="center" vertical="center"/>
    </xf>
    <xf numFmtId="0" fontId="22" fillId="4" borderId="0" xfId="1" applyFill="1" applyAlignment="1">
      <alignment horizontal="center" vertical="center"/>
    </xf>
    <xf numFmtId="0" fontId="22" fillId="0" borderId="0" xfId="1"/>
    <xf numFmtId="165" fontId="22" fillId="0" borderId="1" xfId="1" applyNumberFormat="1" applyBorder="1" applyAlignment="1">
      <alignment horizontal="center" vertical="center"/>
    </xf>
    <xf numFmtId="0" fontId="22" fillId="5" borderId="0" xfId="1" applyFill="1"/>
    <xf numFmtId="168" fontId="22" fillId="5" borderId="0" xfId="1" applyNumberFormat="1" applyFill="1"/>
    <xf numFmtId="168" fontId="22" fillId="0" borderId="0" xfId="1" applyNumberFormat="1"/>
    <xf numFmtId="169" fontId="22" fillId="0" borderId="0" xfId="1" applyNumberFormat="1"/>
    <xf numFmtId="2" fontId="22" fillId="0" borderId="0" xfId="1" applyNumberFormat="1"/>
    <xf numFmtId="164" fontId="22" fillId="0" borderId="0" xfId="1" applyNumberFormat="1"/>
    <xf numFmtId="165" fontId="22" fillId="0" borderId="0" xfId="1" applyNumberFormat="1"/>
    <xf numFmtId="0" fontId="29" fillId="0" borderId="0" xfId="1" applyFont="1"/>
    <xf numFmtId="168" fontId="22" fillId="6" borderId="0" xfId="1" applyNumberFormat="1" applyFill="1"/>
    <xf numFmtId="0" fontId="22" fillId="6" borderId="0" xfId="1" applyFill="1"/>
    <xf numFmtId="0" fontId="31" fillId="0" borderId="0" xfId="1" applyFont="1"/>
    <xf numFmtId="0" fontId="22" fillId="0" borderId="0" xfId="1" applyAlignment="1">
      <alignment horizontal="center"/>
    </xf>
    <xf numFmtId="0" fontId="22" fillId="4" borderId="0" xfId="1" applyFill="1"/>
    <xf numFmtId="0" fontId="22" fillId="7" borderId="0" xfId="1" applyFill="1"/>
    <xf numFmtId="168" fontId="22" fillId="7" borderId="0" xfId="1" applyNumberFormat="1" applyFill="1"/>
    <xf numFmtId="2" fontId="30" fillId="7" borderId="0" xfId="1" applyNumberFormat="1" applyFont="1" applyFill="1"/>
    <xf numFmtId="0" fontId="30" fillId="7" borderId="0" xfId="1" applyFont="1" applyFill="1"/>
    <xf numFmtId="0" fontId="22" fillId="8" borderId="0" xfId="1" applyFill="1"/>
    <xf numFmtId="168" fontId="22" fillId="0" borderId="0" xfId="1" applyNumberFormat="1" applyAlignment="1">
      <alignment horizontal="center"/>
    </xf>
    <xf numFmtId="168" fontId="22" fillId="4" borderId="0" xfId="1" applyNumberFormat="1" applyFill="1"/>
    <xf numFmtId="2" fontId="30" fillId="0" borderId="0" xfId="1" applyNumberFormat="1" applyFont="1"/>
    <xf numFmtId="2" fontId="28" fillId="0" borderId="0" xfId="1" applyNumberFormat="1" applyFont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2" borderId="10" xfId="0" applyFill="1" applyBorder="1"/>
    <xf numFmtId="166" fontId="0" fillId="0" borderId="0" xfId="0" applyNumberFormat="1"/>
    <xf numFmtId="170" fontId="0" fillId="0" borderId="0" xfId="0" applyNumberFormat="1"/>
    <xf numFmtId="0" fontId="0" fillId="5" borderId="0" xfId="0" applyFill="1"/>
    <xf numFmtId="164" fontId="21" fillId="0" borderId="0" xfId="1" applyNumberFormat="1" applyFont="1"/>
    <xf numFmtId="165" fontId="21" fillId="0" borderId="0" xfId="1" applyNumberFormat="1" applyFont="1"/>
    <xf numFmtId="0" fontId="21" fillId="0" borderId="0" xfId="1" applyFont="1"/>
    <xf numFmtId="0" fontId="21" fillId="9" borderId="0" xfId="1" applyFont="1" applyFill="1"/>
    <xf numFmtId="164" fontId="22" fillId="9" borderId="0" xfId="1" applyNumberFormat="1" applyFill="1"/>
    <xf numFmtId="0" fontId="22" fillId="9" borderId="11" xfId="1" applyFill="1" applyBorder="1"/>
    <xf numFmtId="168" fontId="22" fillId="9" borderId="12" xfId="1" applyNumberFormat="1" applyFill="1" applyBorder="1"/>
    <xf numFmtId="0" fontId="22" fillId="9" borderId="12" xfId="1" applyFill="1" applyBorder="1"/>
    <xf numFmtId="165" fontId="22" fillId="9" borderId="12" xfId="1" applyNumberFormat="1" applyFill="1" applyBorder="1"/>
    <xf numFmtId="169" fontId="22" fillId="9" borderId="12" xfId="1" applyNumberFormat="1" applyFill="1" applyBorder="1"/>
    <xf numFmtId="2" fontId="22" fillId="9" borderId="13" xfId="1" applyNumberFormat="1" applyFill="1" applyBorder="1"/>
    <xf numFmtId="0" fontId="22" fillId="9" borderId="14" xfId="1" applyFill="1" applyBorder="1"/>
    <xf numFmtId="168" fontId="22" fillId="9" borderId="0" xfId="1" applyNumberFormat="1" applyFill="1" applyBorder="1"/>
    <xf numFmtId="0" fontId="22" fillId="9" borderId="0" xfId="1" applyFill="1" applyBorder="1"/>
    <xf numFmtId="165" fontId="22" fillId="9" borderId="0" xfId="1" applyNumberFormat="1" applyFill="1" applyBorder="1"/>
    <xf numFmtId="169" fontId="22" fillId="9" borderId="0" xfId="1" applyNumberFormat="1" applyFill="1" applyBorder="1"/>
    <xf numFmtId="2" fontId="22" fillId="9" borderId="15" xfId="1" applyNumberFormat="1" applyFill="1" applyBorder="1"/>
    <xf numFmtId="0" fontId="22" fillId="9" borderId="16" xfId="1" applyFill="1" applyBorder="1"/>
    <xf numFmtId="168" fontId="22" fillId="9" borderId="1" xfId="1" applyNumberFormat="1" applyFill="1" applyBorder="1"/>
    <xf numFmtId="0" fontId="22" fillId="9" borderId="1" xfId="1" applyFill="1" applyBorder="1"/>
    <xf numFmtId="165" fontId="22" fillId="9" borderId="1" xfId="1" applyNumberFormat="1" applyFill="1" applyBorder="1"/>
    <xf numFmtId="169" fontId="22" fillId="9" borderId="1" xfId="1" applyNumberFormat="1" applyFill="1" applyBorder="1"/>
    <xf numFmtId="2" fontId="22" fillId="9" borderId="17" xfId="1" applyNumberFormat="1" applyFill="1" applyBorder="1"/>
    <xf numFmtId="0" fontId="22" fillId="10" borderId="0" xfId="1" applyFill="1"/>
    <xf numFmtId="168" fontId="22" fillId="10" borderId="0" xfId="1" applyNumberFormat="1" applyFill="1"/>
    <xf numFmtId="165" fontId="22" fillId="10" borderId="0" xfId="1" applyNumberFormat="1" applyFill="1"/>
    <xf numFmtId="169" fontId="22" fillId="10" borderId="0" xfId="1" applyNumberFormat="1" applyFill="1"/>
    <xf numFmtId="2" fontId="22" fillId="10" borderId="0" xfId="1" applyNumberFormat="1" applyFill="1"/>
    <xf numFmtId="0" fontId="29" fillId="10" borderId="0" xfId="1" applyFont="1" applyFill="1"/>
    <xf numFmtId="2" fontId="0" fillId="0" borderId="0" xfId="0" applyNumberFormat="1"/>
    <xf numFmtId="168" fontId="0" fillId="0" borderId="0" xfId="0" applyNumberFormat="1"/>
    <xf numFmtId="0" fontId="22" fillId="0" borderId="0" xfId="1" applyAlignment="1">
      <alignment horizontal="center" vertical="center" textRotation="45"/>
    </xf>
    <xf numFmtId="0" fontId="22" fillId="0" borderId="14" xfId="1" applyBorder="1"/>
    <xf numFmtId="0" fontId="22" fillId="0" borderId="0" xfId="1" applyBorder="1"/>
    <xf numFmtId="0" fontId="22" fillId="0" borderId="15" xfId="1" applyBorder="1"/>
    <xf numFmtId="0" fontId="22" fillId="0" borderId="16" xfId="1" applyBorder="1"/>
    <xf numFmtId="0" fontId="22" fillId="0" borderId="1" xfId="1" applyBorder="1"/>
    <xf numFmtId="0" fontId="22" fillId="0" borderId="17" xfId="1" applyBorder="1"/>
    <xf numFmtId="164" fontId="22" fillId="0" borderId="14" xfId="1" applyNumberFormat="1" applyBorder="1"/>
    <xf numFmtId="0" fontId="22" fillId="0" borderId="0" xfId="1" applyBorder="1" applyAlignment="1">
      <alignment horizontal="center" vertical="center"/>
    </xf>
    <xf numFmtId="0" fontId="22" fillId="0" borderId="0" xfId="1" applyBorder="1" applyAlignment="1">
      <alignment vertical="center"/>
    </xf>
    <xf numFmtId="0" fontId="0" fillId="0" borderId="0" xfId="0" applyAlignment="1"/>
    <xf numFmtId="0" fontId="20" fillId="0" borderId="0" xfId="1" applyFont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2" fillId="0" borderId="12" xfId="1" applyBorder="1" applyAlignment="1">
      <alignment horizontal="center" vertical="center"/>
    </xf>
    <xf numFmtId="0" fontId="22" fillId="0" borderId="13" xfId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0" xfId="1" applyFont="1" applyBorder="1" applyAlignment="1">
      <alignment vertical="center"/>
    </xf>
    <xf numFmtId="0" fontId="19" fillId="0" borderId="0" xfId="1" applyFont="1" applyBorder="1" applyAlignment="1">
      <alignment horizontal="center" vertical="center"/>
    </xf>
    <xf numFmtId="0" fontId="19" fillId="0" borderId="15" xfId="1" applyFont="1" applyBorder="1" applyAlignment="1">
      <alignment horizontal="center" vertical="center"/>
    </xf>
    <xf numFmtId="0" fontId="22" fillId="0" borderId="14" xfId="1" applyBorder="1" applyAlignment="1">
      <alignment horizontal="center" vertical="center"/>
    </xf>
    <xf numFmtId="0" fontId="22" fillId="0" borderId="15" xfId="1" applyBorder="1" applyAlignment="1">
      <alignment horizontal="center" vertical="center"/>
    </xf>
    <xf numFmtId="0" fontId="22" fillId="0" borderId="16" xfId="1" applyBorder="1" applyAlignment="1">
      <alignment horizontal="center" vertical="center"/>
    </xf>
    <xf numFmtId="0" fontId="22" fillId="0" borderId="17" xfId="1" applyBorder="1" applyAlignment="1">
      <alignment horizontal="center" vertical="center"/>
    </xf>
    <xf numFmtId="0" fontId="22" fillId="0" borderId="11" xfId="1" applyBorder="1" applyAlignment="1">
      <alignment horizontal="center" vertical="center"/>
    </xf>
    <xf numFmtId="0" fontId="22" fillId="11" borderId="0" xfId="1" applyFill="1" applyAlignment="1">
      <alignment horizontal="center" vertical="center"/>
    </xf>
    <xf numFmtId="0" fontId="19" fillId="8" borderId="0" xfId="1" applyFont="1" applyFill="1" applyAlignment="1">
      <alignment horizontal="center" vertical="center"/>
    </xf>
    <xf numFmtId="0" fontId="19" fillId="0" borderId="11" xfId="1" applyFont="1" applyBorder="1" applyAlignment="1">
      <alignment horizontal="center" vertical="center"/>
    </xf>
    <xf numFmtId="171" fontId="22" fillId="0" borderId="0" xfId="1" applyNumberFormat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1" fontId="0" fillId="0" borderId="0" xfId="0" applyNumberFormat="1"/>
    <xf numFmtId="0" fontId="0" fillId="0" borderId="0" xfId="0" applyBorder="1" applyAlignment="1">
      <alignment horizontal="center" vertical="center"/>
    </xf>
    <xf numFmtId="0" fontId="18" fillId="8" borderId="0" xfId="2" applyFill="1" applyAlignment="1">
      <alignment horizontal="center" vertical="center"/>
    </xf>
    <xf numFmtId="0" fontId="18" fillId="0" borderId="0" xfId="2" applyAlignment="1">
      <alignment horizontal="center" vertical="center"/>
    </xf>
    <xf numFmtId="0" fontId="18" fillId="0" borderId="11" xfId="2" applyBorder="1" applyAlignment="1">
      <alignment horizontal="center" vertical="center"/>
    </xf>
    <xf numFmtId="0" fontId="18" fillId="0" borderId="12" xfId="2" applyBorder="1" applyAlignment="1">
      <alignment horizontal="center" vertical="center"/>
    </xf>
    <xf numFmtId="0" fontId="18" fillId="0" borderId="13" xfId="2" applyBorder="1" applyAlignment="1">
      <alignment horizontal="center" vertical="center"/>
    </xf>
    <xf numFmtId="0" fontId="30" fillId="0" borderId="0" xfId="2" applyFont="1" applyAlignment="1">
      <alignment vertical="center"/>
    </xf>
    <xf numFmtId="0" fontId="18" fillId="0" borderId="16" xfId="2" applyBorder="1" applyAlignment="1">
      <alignment horizontal="center" vertical="center"/>
    </xf>
    <xf numFmtId="0" fontId="18" fillId="0" borderId="1" xfId="2" applyBorder="1" applyAlignment="1">
      <alignment horizontal="center" vertical="center"/>
    </xf>
    <xf numFmtId="0" fontId="18" fillId="0" borderId="17" xfId="2" applyBorder="1" applyAlignment="1">
      <alignment horizontal="center" vertical="center"/>
    </xf>
    <xf numFmtId="0" fontId="18" fillId="0" borderId="14" xfId="2" applyBorder="1" applyAlignment="1">
      <alignment horizontal="center" vertical="center"/>
    </xf>
    <xf numFmtId="0" fontId="18" fillId="0" borderId="0" xfId="2" applyAlignment="1">
      <alignment vertical="center"/>
    </xf>
    <xf numFmtId="0" fontId="18" fillId="0" borderId="15" xfId="2" applyBorder="1" applyAlignment="1">
      <alignment horizontal="center" vertical="center"/>
    </xf>
    <xf numFmtId="165" fontId="18" fillId="0" borderId="0" xfId="2" applyNumberFormat="1" applyAlignment="1">
      <alignment horizontal="center" vertical="center"/>
    </xf>
    <xf numFmtId="0" fontId="18" fillId="11" borderId="0" xfId="2" applyFill="1" applyAlignment="1">
      <alignment horizontal="center" vertical="center"/>
    </xf>
    <xf numFmtId="0" fontId="18" fillId="0" borderId="0" xfId="2" applyAlignment="1">
      <alignment horizontal="center" vertical="center"/>
    </xf>
    <xf numFmtId="164" fontId="18" fillId="0" borderId="0" xfId="2" applyNumberFormat="1" applyAlignment="1">
      <alignment horizontal="center" vertical="center"/>
    </xf>
    <xf numFmtId="0" fontId="18" fillId="3" borderId="0" xfId="2" applyFill="1" applyAlignment="1">
      <alignment horizontal="center" vertical="center"/>
    </xf>
    <xf numFmtId="0" fontId="18" fillId="0" borderId="0" xfId="2" applyAlignment="1">
      <alignment horizontal="center" vertical="center" textRotation="45"/>
    </xf>
    <xf numFmtId="164" fontId="18" fillId="12" borderId="0" xfId="2" applyNumberFormat="1" applyFill="1" applyAlignment="1">
      <alignment horizontal="center" vertical="center"/>
    </xf>
    <xf numFmtId="0" fontId="18" fillId="12" borderId="0" xfId="2" applyFill="1" applyAlignment="1">
      <alignment horizontal="center" vertical="center"/>
    </xf>
    <xf numFmtId="0" fontId="18" fillId="0" borderId="0" xfId="2" quotePrefix="1" applyAlignment="1">
      <alignment horizontal="center" vertical="center"/>
    </xf>
    <xf numFmtId="0" fontId="18" fillId="4" borderId="0" xfId="2" applyFill="1" applyAlignment="1">
      <alignment horizontal="center" vertical="center"/>
    </xf>
    <xf numFmtId="11" fontId="18" fillId="0" borderId="0" xfId="2" applyNumberFormat="1" applyAlignment="1">
      <alignment horizontal="center" vertical="center"/>
    </xf>
    <xf numFmtId="171" fontId="18" fillId="0" borderId="0" xfId="2" applyNumberFormat="1" applyAlignment="1">
      <alignment horizontal="center" vertical="center"/>
    </xf>
    <xf numFmtId="0" fontId="18" fillId="0" borderId="0" xfId="2"/>
    <xf numFmtId="165" fontId="18" fillId="0" borderId="1" xfId="2" applyNumberFormat="1" applyBorder="1" applyAlignment="1">
      <alignment horizontal="center" vertical="center"/>
    </xf>
    <xf numFmtId="0" fontId="18" fillId="9" borderId="0" xfId="2" applyFill="1" applyAlignment="1">
      <alignment horizontal="center" vertical="center"/>
    </xf>
    <xf numFmtId="172" fontId="18" fillId="0" borderId="0" xfId="2" applyNumberFormat="1" applyAlignment="1">
      <alignment horizontal="center" vertical="center"/>
    </xf>
    <xf numFmtId="0" fontId="18" fillId="0" borderId="0" xfId="2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8" fillId="13" borderId="0" xfId="2" applyFill="1" applyAlignment="1">
      <alignment horizontal="center" vertical="center"/>
    </xf>
    <xf numFmtId="0" fontId="18" fillId="0" borderId="0" xfId="2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8" fillId="0" borderId="0" xfId="2" applyAlignment="1">
      <alignment horizontal="center" vertical="center"/>
    </xf>
    <xf numFmtId="0" fontId="14" fillId="0" borderId="0" xfId="3"/>
    <xf numFmtId="11" fontId="14" fillId="6" borderId="0" xfId="3" applyNumberFormat="1" applyFill="1"/>
    <xf numFmtId="0" fontId="14" fillId="6" borderId="0" xfId="3" applyFill="1"/>
    <xf numFmtId="2" fontId="14" fillId="0" borderId="0" xfId="3" applyNumberFormat="1"/>
    <xf numFmtId="0" fontId="13" fillId="0" borderId="0" xfId="2" applyFont="1" applyAlignment="1">
      <alignment horizontal="center" vertical="center"/>
    </xf>
    <xf numFmtId="11" fontId="14" fillId="0" borderId="0" xfId="3" applyNumberFormat="1"/>
    <xf numFmtId="0" fontId="12" fillId="0" borderId="0" xfId="3" applyFont="1"/>
    <xf numFmtId="164" fontId="18" fillId="4" borderId="0" xfId="2" applyNumberFormat="1" applyFill="1" applyAlignment="1">
      <alignment horizontal="center" vertical="center"/>
    </xf>
    <xf numFmtId="0" fontId="22" fillId="0" borderId="0" xfId="1" applyAlignment="1">
      <alignment horizontal="center" vertical="center"/>
    </xf>
    <xf numFmtId="0" fontId="10" fillId="0" borderId="0" xfId="3" applyFont="1"/>
    <xf numFmtId="0" fontId="14" fillId="0" borderId="12" xfId="3" applyBorder="1"/>
    <xf numFmtId="0" fontId="14" fillId="0" borderId="13" xfId="3" applyBorder="1"/>
    <xf numFmtId="0" fontId="14" fillId="0" borderId="14" xfId="3" applyBorder="1"/>
    <xf numFmtId="0" fontId="12" fillId="0" borderId="0" xfId="3" applyFont="1" applyBorder="1"/>
    <xf numFmtId="0" fontId="14" fillId="0" borderId="15" xfId="3" applyBorder="1"/>
    <xf numFmtId="0" fontId="14" fillId="0" borderId="0" xfId="3" applyBorder="1"/>
    <xf numFmtId="11" fontId="14" fillId="0" borderId="0" xfId="3" applyNumberFormat="1" applyBorder="1"/>
    <xf numFmtId="0" fontId="14" fillId="0" borderId="16" xfId="3" applyBorder="1"/>
    <xf numFmtId="0" fontId="14" fillId="0" borderId="1" xfId="3" applyBorder="1"/>
    <xf numFmtId="0" fontId="14" fillId="0" borderId="17" xfId="3" applyBorder="1"/>
    <xf numFmtId="0" fontId="10" fillId="0" borderId="11" xfId="3" applyFont="1" applyBorder="1"/>
    <xf numFmtId="0" fontId="10" fillId="0" borderId="12" xfId="3" applyFont="1" applyBorder="1"/>
    <xf numFmtId="0" fontId="14" fillId="0" borderId="1" xfId="3" applyNumberFormat="1" applyBorder="1"/>
    <xf numFmtId="0" fontId="14" fillId="0" borderId="11" xfId="3" applyBorder="1"/>
    <xf numFmtId="0" fontId="14" fillId="0" borderId="0" xfId="3" applyFill="1"/>
    <xf numFmtId="0" fontId="14" fillId="0" borderId="0" xfId="3" applyFont="1" applyFill="1"/>
    <xf numFmtId="0" fontId="32" fillId="0" borderId="0" xfId="0" applyFont="1" applyFill="1" applyBorder="1" applyAlignment="1">
      <alignment horizontal="center" vertical="center" wrapText="1" readingOrder="1"/>
    </xf>
    <xf numFmtId="0" fontId="33" fillId="0" borderId="0" xfId="0" applyFont="1" applyFill="1" applyBorder="1" applyAlignment="1">
      <alignment horizontal="center" vertical="center" wrapText="1" readingOrder="1"/>
    </xf>
    <xf numFmtId="0" fontId="14" fillId="0" borderId="0" xfId="3" applyFill="1" applyBorder="1"/>
    <xf numFmtId="0" fontId="14" fillId="7" borderId="0" xfId="3" applyFill="1"/>
    <xf numFmtId="0" fontId="14" fillId="14" borderId="0" xfId="3" applyFill="1"/>
    <xf numFmtId="0" fontId="14" fillId="0" borderId="0" xfId="3" applyAlignment="1">
      <alignment horizontal="center" vertical="center"/>
    </xf>
    <xf numFmtId="0" fontId="14" fillId="0" borderId="0" xfId="3" applyAlignment="1">
      <alignment horizontal="center" vertical="center"/>
    </xf>
    <xf numFmtId="0" fontId="10" fillId="7" borderId="0" xfId="3" applyFont="1" applyFill="1"/>
    <xf numFmtId="0" fontId="10" fillId="14" borderId="0" xfId="3" applyFont="1" applyFill="1"/>
    <xf numFmtId="0" fontId="10" fillId="0" borderId="0" xfId="1" applyFont="1" applyAlignment="1">
      <alignment horizontal="center" vertical="center"/>
    </xf>
    <xf numFmtId="0" fontId="14" fillId="15" borderId="0" xfId="3" applyFill="1" applyAlignment="1">
      <alignment horizontal="center" vertical="center"/>
    </xf>
    <xf numFmtId="0" fontId="14" fillId="15" borderId="0" xfId="3" applyFill="1"/>
    <xf numFmtId="0" fontId="7" fillId="0" borderId="0" xfId="3" applyFont="1"/>
    <xf numFmtId="0" fontId="12" fillId="2" borderId="11" xfId="3" applyFont="1" applyFill="1" applyBorder="1"/>
    <xf numFmtId="0" fontId="12" fillId="2" borderId="12" xfId="3" applyFont="1" applyFill="1" applyBorder="1"/>
    <xf numFmtId="0" fontId="14" fillId="2" borderId="12" xfId="3" applyFill="1" applyBorder="1"/>
    <xf numFmtId="0" fontId="7" fillId="2" borderId="12" xfId="3" applyFont="1" applyFill="1" applyBorder="1"/>
    <xf numFmtId="0" fontId="14" fillId="2" borderId="13" xfId="3" applyFill="1" applyBorder="1"/>
    <xf numFmtId="0" fontId="14" fillId="2" borderId="14" xfId="3" applyFill="1" applyBorder="1"/>
    <xf numFmtId="0" fontId="12" fillId="2" borderId="0" xfId="3" applyFont="1" applyFill="1" applyBorder="1"/>
    <xf numFmtId="0" fontId="7" fillId="2" borderId="0" xfId="3" applyFont="1" applyFill="1" applyBorder="1"/>
    <xf numFmtId="0" fontId="14" fillId="2" borderId="15" xfId="3" applyFill="1" applyBorder="1"/>
    <xf numFmtId="0" fontId="14" fillId="2" borderId="0" xfId="3" applyFill="1" applyBorder="1"/>
    <xf numFmtId="11" fontId="14" fillId="2" borderId="0" xfId="3" applyNumberFormat="1" applyFill="1" applyBorder="1"/>
    <xf numFmtId="0" fontId="14" fillId="2" borderId="16" xfId="3" applyFill="1" applyBorder="1"/>
    <xf numFmtId="0" fontId="14" fillId="2" borderId="1" xfId="3" applyFill="1" applyBorder="1"/>
    <xf numFmtId="0" fontId="14" fillId="2" borderId="17" xfId="3" applyFill="1" applyBorder="1"/>
    <xf numFmtId="0" fontId="14" fillId="16" borderId="0" xfId="3" applyFill="1" applyBorder="1" applyAlignment="1"/>
    <xf numFmtId="0" fontId="14" fillId="16" borderId="12" xfId="3" applyFill="1" applyBorder="1"/>
    <xf numFmtId="0" fontId="14" fillId="16" borderId="13" xfId="3" applyFill="1" applyBorder="1"/>
    <xf numFmtId="0" fontId="14" fillId="16" borderId="15" xfId="3" applyFill="1" applyBorder="1"/>
    <xf numFmtId="0" fontId="14" fillId="16" borderId="1" xfId="3" applyFill="1" applyBorder="1"/>
    <xf numFmtId="0" fontId="14" fillId="16" borderId="17" xfId="3" applyFill="1" applyBorder="1"/>
    <xf numFmtId="0" fontId="14" fillId="16" borderId="10" xfId="3" applyFill="1" applyBorder="1"/>
    <xf numFmtId="0" fontId="14" fillId="16" borderId="10" xfId="3" applyFill="1" applyBorder="1" applyAlignment="1">
      <alignment horizontal="center" vertical="center"/>
    </xf>
    <xf numFmtId="11" fontId="14" fillId="16" borderId="10" xfId="3" applyNumberFormat="1" applyFill="1" applyBorder="1" applyAlignment="1">
      <alignment horizontal="center" vertical="center"/>
    </xf>
    <xf numFmtId="2" fontId="14" fillId="16" borderId="10" xfId="3" applyNumberFormat="1" applyFill="1" applyBorder="1" applyAlignment="1">
      <alignment horizontal="center" vertical="center"/>
    </xf>
    <xf numFmtId="0" fontId="7" fillId="16" borderId="10" xfId="3" applyFont="1" applyFill="1" applyBorder="1" applyAlignment="1">
      <alignment horizontal="center" vertical="center"/>
    </xf>
    <xf numFmtId="0" fontId="10" fillId="16" borderId="10" xfId="3" applyFont="1" applyFill="1" applyBorder="1" applyAlignment="1">
      <alignment horizontal="center" vertical="center"/>
    </xf>
    <xf numFmtId="2" fontId="14" fillId="16" borderId="10" xfId="3" applyNumberFormat="1" applyFill="1" applyBorder="1" applyAlignment="1">
      <alignment horizontal="center" vertical="center"/>
    </xf>
    <xf numFmtId="0" fontId="10" fillId="16" borderId="10" xfId="3" quotePrefix="1" applyFont="1" applyFill="1" applyBorder="1" applyAlignment="1">
      <alignment horizontal="center"/>
    </xf>
    <xf numFmtId="11" fontId="10" fillId="16" borderId="10" xfId="3" applyNumberFormat="1" applyFont="1" applyFill="1" applyBorder="1" applyAlignment="1">
      <alignment horizontal="center"/>
    </xf>
    <xf numFmtId="2" fontId="14" fillId="16" borderId="10" xfId="3" applyNumberFormat="1" applyFill="1" applyBorder="1"/>
    <xf numFmtId="0" fontId="14" fillId="16" borderId="19" xfId="3" applyFill="1" applyBorder="1"/>
    <xf numFmtId="2" fontId="14" fillId="16" borderId="19" xfId="3" applyNumberFormat="1" applyFill="1" applyBorder="1" applyAlignment="1">
      <alignment horizontal="center" vertical="center"/>
    </xf>
    <xf numFmtId="0" fontId="10" fillId="16" borderId="20" xfId="3" applyFont="1" applyFill="1" applyBorder="1" applyAlignment="1">
      <alignment horizontal="center" vertical="center"/>
    </xf>
    <xf numFmtId="0" fontId="14" fillId="16" borderId="14" xfId="3" applyFill="1" applyBorder="1" applyAlignment="1"/>
    <xf numFmtId="0" fontId="14" fillId="16" borderId="14" xfId="3" applyFill="1" applyBorder="1"/>
    <xf numFmtId="0" fontId="14" fillId="16" borderId="16" xfId="3" applyFill="1" applyBorder="1"/>
    <xf numFmtId="0" fontId="6" fillId="16" borderId="0" xfId="3" applyFont="1" applyFill="1" applyBorder="1"/>
    <xf numFmtId="0" fontId="6" fillId="16" borderId="10" xfId="3" applyFont="1" applyFill="1" applyBorder="1" applyAlignment="1">
      <alignment horizontal="center" vertical="center"/>
    </xf>
    <xf numFmtId="0" fontId="10" fillId="16" borderId="21" xfId="3" applyFont="1" applyFill="1" applyBorder="1"/>
    <xf numFmtId="0" fontId="14" fillId="16" borderId="22" xfId="3" applyFill="1" applyBorder="1"/>
    <xf numFmtId="0" fontId="6" fillId="0" borderId="0" xfId="3" applyFont="1"/>
    <xf numFmtId="0" fontId="6" fillId="16" borderId="19" xfId="3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0" fillId="16" borderId="10" xfId="3" applyFont="1" applyFill="1" applyBorder="1" applyAlignment="1">
      <alignment horizontal="center" vertical="center"/>
    </xf>
    <xf numFmtId="0" fontId="14" fillId="16" borderId="10" xfId="3" applyFill="1" applyBorder="1" applyAlignment="1">
      <alignment horizontal="center" vertical="center"/>
    </xf>
    <xf numFmtId="2" fontId="14" fillId="16" borderId="10" xfId="3" applyNumberFormat="1" applyFill="1" applyBorder="1" applyAlignment="1">
      <alignment horizontal="center" vertical="center"/>
    </xf>
    <xf numFmtId="0" fontId="14" fillId="2" borderId="0" xfId="3" applyFill="1" applyBorder="1" applyAlignment="1">
      <alignment horizontal="center"/>
    </xf>
    <xf numFmtId="0" fontId="14" fillId="2" borderId="15" xfId="3" applyFill="1" applyBorder="1" applyAlignment="1">
      <alignment horizontal="center"/>
    </xf>
    <xf numFmtId="0" fontId="14" fillId="16" borderId="20" xfId="3" applyFill="1" applyBorder="1" applyAlignment="1">
      <alignment horizontal="center" vertical="center"/>
    </xf>
    <xf numFmtId="0" fontId="14" fillId="16" borderId="16" xfId="3" applyFill="1" applyBorder="1" applyAlignment="1">
      <alignment horizontal="center" vertical="center"/>
    </xf>
    <xf numFmtId="0" fontId="5" fillId="0" borderId="0" xfId="3" applyFont="1" applyBorder="1"/>
    <xf numFmtId="0" fontId="5" fillId="0" borderId="0" xfId="3" applyFont="1"/>
    <xf numFmtId="0" fontId="5" fillId="0" borderId="12" xfId="3" applyFont="1" applyBorder="1"/>
    <xf numFmtId="0" fontId="14" fillId="7" borderId="0" xfId="3" applyFill="1" applyBorder="1"/>
    <xf numFmtId="0" fontId="9" fillId="7" borderId="0" xfId="3" applyFont="1" applyFill="1" applyBorder="1"/>
    <xf numFmtId="0" fontId="14" fillId="7" borderId="15" xfId="3" applyFill="1" applyBorder="1" applyAlignment="1">
      <alignment horizontal="center" vertical="center"/>
    </xf>
    <xf numFmtId="11" fontId="14" fillId="7" borderId="0" xfId="3" applyNumberFormat="1" applyFill="1" applyBorder="1" applyAlignment="1">
      <alignment horizontal="center" vertical="center"/>
    </xf>
    <xf numFmtId="0" fontId="9" fillId="7" borderId="15" xfId="1" applyFont="1" applyFill="1" applyBorder="1" applyAlignment="1">
      <alignment horizontal="center" vertical="center"/>
    </xf>
    <xf numFmtId="0" fontId="14" fillId="0" borderId="0" xfId="3" applyNumberFormat="1" applyBorder="1"/>
    <xf numFmtId="0" fontId="9" fillId="7" borderId="15" xfId="3" applyFont="1" applyFill="1" applyBorder="1" applyAlignment="1">
      <alignment horizontal="center" vertical="center"/>
    </xf>
    <xf numFmtId="0" fontId="14" fillId="0" borderId="15" xfId="3" applyBorder="1" applyAlignment="1">
      <alignment horizontal="center" vertical="center"/>
    </xf>
    <xf numFmtId="173" fontId="6" fillId="0" borderId="0" xfId="3" applyNumberFormat="1" applyFont="1" applyBorder="1"/>
    <xf numFmtId="11" fontId="14" fillId="4" borderId="0" xfId="3" applyNumberFormat="1" applyFill="1" applyBorder="1"/>
    <xf numFmtId="0" fontId="6" fillId="0" borderId="0" xfId="3" applyFont="1" applyBorder="1"/>
    <xf numFmtId="0" fontId="8" fillId="0" borderId="0" xfId="3" applyFont="1" applyBorder="1"/>
    <xf numFmtId="0" fontId="14" fillId="17" borderId="0" xfId="3" applyFill="1" applyBorder="1"/>
    <xf numFmtId="0" fontId="9" fillId="17" borderId="0" xfId="3" applyFont="1" applyFill="1" applyBorder="1"/>
    <xf numFmtId="0" fontId="14" fillId="17" borderId="15" xfId="3" applyFill="1" applyBorder="1" applyAlignment="1">
      <alignment horizontal="center" vertical="center"/>
    </xf>
    <xf numFmtId="173" fontId="14" fillId="17" borderId="0" xfId="3" applyNumberFormat="1" applyFill="1" applyBorder="1" applyAlignment="1">
      <alignment horizontal="center" vertical="center"/>
    </xf>
    <xf numFmtId="11" fontId="14" fillId="17" borderId="0" xfId="3" applyNumberFormat="1" applyFill="1" applyBorder="1" applyAlignment="1">
      <alignment horizontal="center" vertical="center"/>
    </xf>
    <xf numFmtId="11" fontId="22" fillId="17" borderId="0" xfId="1" applyNumberFormat="1" applyFill="1" applyBorder="1" applyAlignment="1">
      <alignment horizontal="center" vertical="center"/>
    </xf>
    <xf numFmtId="0" fontId="9" fillId="17" borderId="15" xfId="1" applyFont="1" applyFill="1" applyBorder="1" applyAlignment="1">
      <alignment horizontal="center" vertical="center"/>
    </xf>
    <xf numFmtId="0" fontId="9" fillId="17" borderId="15" xfId="3" applyFont="1" applyFill="1" applyBorder="1" applyAlignment="1">
      <alignment horizontal="center" vertical="center"/>
    </xf>
    <xf numFmtId="173" fontId="14" fillId="4" borderId="0" xfId="3" applyNumberFormat="1" applyFill="1" applyBorder="1"/>
    <xf numFmtId="0" fontId="6" fillId="0" borderId="1" xfId="3" applyFont="1" applyBorder="1"/>
    <xf numFmtId="0" fontId="14" fillId="12" borderId="0" xfId="3" applyFill="1"/>
    <xf numFmtId="164" fontId="22" fillId="4" borderId="0" xfId="1" applyNumberFormat="1" applyFill="1" applyAlignment="1">
      <alignment horizontal="center" vertical="center"/>
    </xf>
    <xf numFmtId="0" fontId="11" fillId="18" borderId="11" xfId="3" applyFont="1" applyFill="1" applyBorder="1"/>
    <xf numFmtId="0" fontId="11" fillId="18" borderId="12" xfId="3" applyFont="1" applyFill="1" applyBorder="1"/>
    <xf numFmtId="0" fontId="14" fillId="18" borderId="12" xfId="3" applyFill="1" applyBorder="1"/>
    <xf numFmtId="0" fontId="14" fillId="18" borderId="13" xfId="3" applyFill="1" applyBorder="1"/>
    <xf numFmtId="0" fontId="14" fillId="18" borderId="14" xfId="3" applyFill="1" applyBorder="1"/>
    <xf numFmtId="0" fontId="12" fillId="18" borderId="0" xfId="3" applyFont="1" applyFill="1" applyBorder="1"/>
    <xf numFmtId="0" fontId="5" fillId="18" borderId="0" xfId="3" applyFont="1" applyFill="1" applyBorder="1"/>
    <xf numFmtId="0" fontId="14" fillId="18" borderId="15" xfId="3" applyFill="1" applyBorder="1"/>
    <xf numFmtId="0" fontId="14" fillId="18" borderId="0" xfId="3" applyFill="1" applyBorder="1"/>
    <xf numFmtId="0" fontId="14" fillId="18" borderId="16" xfId="3" applyFill="1" applyBorder="1"/>
    <xf numFmtId="0" fontId="14" fillId="18" borderId="1" xfId="3" applyFill="1" applyBorder="1"/>
    <xf numFmtId="0" fontId="14" fillId="18" borderId="17" xfId="3" applyFill="1" applyBorder="1"/>
    <xf numFmtId="0" fontId="14" fillId="18" borderId="1" xfId="3" applyNumberFormat="1" applyFill="1" applyBorder="1"/>
    <xf numFmtId="2" fontId="5" fillId="0" borderId="0" xfId="3" applyNumberFormat="1" applyFont="1"/>
    <xf numFmtId="0" fontId="5" fillId="0" borderId="0" xfId="3" applyFont="1" applyFill="1"/>
    <xf numFmtId="0" fontId="5" fillId="0" borderId="11" xfId="3" applyFont="1" applyBorder="1"/>
    <xf numFmtId="0" fontId="14" fillId="11" borderId="0" xfId="3" applyFill="1"/>
    <xf numFmtId="0" fontId="5" fillId="5" borderId="0" xfId="4" applyFill="1"/>
    <xf numFmtId="168" fontId="5" fillId="5" borderId="0" xfId="4" applyNumberFormat="1" applyFill="1"/>
    <xf numFmtId="0" fontId="5" fillId="0" borderId="0" xfId="4"/>
    <xf numFmtId="0" fontId="5" fillId="8" borderId="0" xfId="4" applyFill="1"/>
    <xf numFmtId="173" fontId="5" fillId="0" borderId="0" xfId="4" applyNumberFormat="1"/>
    <xf numFmtId="165" fontId="5" fillId="0" borderId="0" xfId="4" applyNumberFormat="1"/>
    <xf numFmtId="169" fontId="5" fillId="0" borderId="0" xfId="4" applyNumberFormat="1"/>
    <xf numFmtId="2" fontId="5" fillId="0" borderId="0" xfId="4" applyNumberFormat="1"/>
    <xf numFmtId="168" fontId="5" fillId="0" borderId="0" xfId="4" applyNumberFormat="1"/>
    <xf numFmtId="0" fontId="5" fillId="4" borderId="0" xfId="4" applyFill="1"/>
    <xf numFmtId="174" fontId="5" fillId="0" borderId="0" xfId="4" applyNumberFormat="1"/>
    <xf numFmtId="0" fontId="5" fillId="7" borderId="0" xfId="4" applyFill="1"/>
    <xf numFmtId="0" fontId="31" fillId="0" borderId="0" xfId="4" applyFont="1"/>
    <xf numFmtId="168" fontId="5" fillId="7" borderId="0" xfId="4" applyNumberFormat="1" applyFill="1"/>
    <xf numFmtId="2" fontId="28" fillId="0" borderId="0" xfId="4" applyNumberFormat="1" applyFont="1"/>
    <xf numFmtId="0" fontId="5" fillId="13" borderId="0" xfId="4" applyFill="1"/>
    <xf numFmtId="164" fontId="5" fillId="0" borderId="0" xfId="4" applyNumberFormat="1"/>
    <xf numFmtId="0" fontId="29" fillId="0" borderId="0" xfId="4" applyFont="1"/>
    <xf numFmtId="168" fontId="5" fillId="6" borderId="0" xfId="4" applyNumberFormat="1" applyFill="1"/>
    <xf numFmtId="0" fontId="5" fillId="6" borderId="0" xfId="4" applyFill="1"/>
    <xf numFmtId="2" fontId="30" fillId="7" borderId="0" xfId="4" applyNumberFormat="1" applyFont="1" applyFill="1"/>
    <xf numFmtId="0" fontId="30" fillId="7" borderId="0" xfId="4" applyFont="1" applyFill="1"/>
    <xf numFmtId="11" fontId="5" fillId="16" borderId="10" xfId="3" applyNumberFormat="1" applyFont="1" applyFill="1" applyBorder="1" applyAlignment="1">
      <alignment horizontal="center" vertical="center"/>
    </xf>
    <xf numFmtId="11" fontId="14" fillId="16" borderId="10" xfId="3" applyNumberFormat="1" applyFill="1" applyBorder="1" applyAlignment="1">
      <alignment horizontal="center" vertical="center"/>
    </xf>
    <xf numFmtId="0" fontId="10" fillId="0" borderId="0" xfId="3" applyFont="1" applyFill="1"/>
    <xf numFmtId="0" fontId="5" fillId="16" borderId="21" xfId="3" applyFont="1" applyFill="1" applyBorder="1"/>
    <xf numFmtId="0" fontId="5" fillId="16" borderId="10" xfId="3" applyFont="1" applyFill="1" applyBorder="1" applyAlignment="1">
      <alignment horizontal="center" vertical="center"/>
    </xf>
    <xf numFmtId="0" fontId="5" fillId="16" borderId="10" xfId="3" applyFont="1" applyFill="1" applyBorder="1" applyAlignment="1">
      <alignment horizontal="center" vertical="center"/>
    </xf>
    <xf numFmtId="0" fontId="5" fillId="16" borderId="10" xfId="3" applyFont="1" applyFill="1" applyBorder="1"/>
    <xf numFmtId="0" fontId="10" fillId="2" borderId="0" xfId="3" applyFont="1" applyFill="1"/>
    <xf numFmtId="0" fontId="14" fillId="2" borderId="0" xfId="3" applyFill="1"/>
    <xf numFmtId="0" fontId="10" fillId="19" borderId="11" xfId="3" applyFont="1" applyFill="1" applyBorder="1"/>
    <xf numFmtId="0" fontId="10" fillId="19" borderId="12" xfId="3" applyFont="1" applyFill="1" applyBorder="1"/>
    <xf numFmtId="0" fontId="14" fillId="19" borderId="12" xfId="3" applyFill="1" applyBorder="1"/>
    <xf numFmtId="0" fontId="14" fillId="19" borderId="13" xfId="3" applyFill="1" applyBorder="1"/>
    <xf numFmtId="0" fontId="14" fillId="19" borderId="14" xfId="3" applyFill="1" applyBorder="1"/>
    <xf numFmtId="0" fontId="12" fillId="19" borderId="0" xfId="3" applyFont="1" applyFill="1" applyBorder="1"/>
    <xf numFmtId="0" fontId="14" fillId="19" borderId="15" xfId="3" applyFill="1" applyBorder="1"/>
    <xf numFmtId="11" fontId="14" fillId="19" borderId="0" xfId="3" applyNumberFormat="1" applyFill="1" applyBorder="1"/>
    <xf numFmtId="0" fontId="14" fillId="19" borderId="0" xfId="3" applyFill="1" applyBorder="1"/>
    <xf numFmtId="0" fontId="14" fillId="19" borderId="16" xfId="3" applyFill="1" applyBorder="1"/>
    <xf numFmtId="0" fontId="14" fillId="19" borderId="1" xfId="3" applyNumberFormat="1" applyFill="1" applyBorder="1"/>
    <xf numFmtId="0" fontId="14" fillId="19" borderId="17" xfId="3" applyFill="1" applyBorder="1"/>
    <xf numFmtId="0" fontId="5" fillId="19" borderId="0" xfId="3" applyFont="1" applyFill="1"/>
    <xf numFmtId="0" fontId="14" fillId="19" borderId="0" xfId="3" applyFill="1"/>
    <xf numFmtId="0" fontId="10" fillId="18" borderId="0" xfId="3" applyFont="1" applyFill="1"/>
    <xf numFmtId="0" fontId="14" fillId="18" borderId="0" xfId="3" applyFill="1"/>
    <xf numFmtId="0" fontId="5" fillId="18" borderId="0" xfId="3" applyFont="1" applyFill="1"/>
    <xf numFmtId="0" fontId="14" fillId="18" borderId="0" xfId="3" applyFont="1" applyFill="1"/>
    <xf numFmtId="0" fontId="34" fillId="18" borderId="0" xfId="0" applyFont="1" applyFill="1" applyBorder="1" applyAlignment="1">
      <alignment horizontal="center" vertical="center" readingOrder="1"/>
    </xf>
    <xf numFmtId="0" fontId="5" fillId="0" borderId="14" xfId="3" applyFont="1" applyBorder="1"/>
    <xf numFmtId="0" fontId="5" fillId="0" borderId="16" xfId="3" applyFont="1" applyBorder="1"/>
    <xf numFmtId="0" fontId="5" fillId="16" borderId="19" xfId="3" applyFont="1" applyFill="1" applyBorder="1"/>
    <xf numFmtId="0" fontId="4" fillId="0" borderId="0" xfId="3" applyFont="1"/>
    <xf numFmtId="0" fontId="4" fillId="0" borderId="12" xfId="3" applyFont="1" applyBorder="1"/>
    <xf numFmtId="165" fontId="14" fillId="2" borderId="1" xfId="3" applyNumberFormat="1" applyFill="1" applyBorder="1"/>
    <xf numFmtId="165" fontId="14" fillId="19" borderId="1" xfId="3" applyNumberFormat="1" applyFill="1" applyBorder="1"/>
    <xf numFmtId="0" fontId="4" fillId="2" borderId="0" xfId="3" applyFont="1" applyFill="1"/>
    <xf numFmtId="0" fontId="4" fillId="19" borderId="0" xfId="3" applyFont="1" applyFill="1"/>
    <xf numFmtId="2" fontId="4" fillId="0" borderId="0" xfId="3" applyNumberFormat="1" applyFont="1"/>
    <xf numFmtId="0" fontId="10" fillId="0" borderId="0" xfId="3" applyFont="1" applyBorder="1"/>
    <xf numFmtId="0" fontId="10" fillId="7" borderId="0" xfId="3" applyFont="1" applyFill="1" applyBorder="1"/>
    <xf numFmtId="0" fontId="10" fillId="0" borderId="15" xfId="3" applyFont="1" applyBorder="1"/>
    <xf numFmtId="0" fontId="10" fillId="14" borderId="0" xfId="3" applyFont="1" applyFill="1" applyBorder="1"/>
    <xf numFmtId="0" fontId="14" fillId="14" borderId="0" xfId="3" applyFill="1" applyBorder="1"/>
    <xf numFmtId="0" fontId="7" fillId="0" borderId="0" xfId="3" applyFont="1" applyBorder="1"/>
    <xf numFmtId="0" fontId="14" fillId="7" borderId="14" xfId="3" applyFill="1" applyBorder="1"/>
    <xf numFmtId="0" fontId="14" fillId="14" borderId="14" xfId="3" applyFill="1" applyBorder="1"/>
    <xf numFmtId="0" fontId="14" fillId="0" borderId="1" xfId="3" applyBorder="1" applyAlignment="1">
      <alignment horizontal="center" vertical="center"/>
    </xf>
    <xf numFmtId="0" fontId="4" fillId="0" borderId="14" xfId="3" applyFont="1" applyBorder="1"/>
    <xf numFmtId="0" fontId="4" fillId="0" borderId="0" xfId="3" applyFont="1" applyBorder="1"/>
    <xf numFmtId="2" fontId="4" fillId="16" borderId="19" xfId="3" applyNumberFormat="1" applyFont="1" applyFill="1" applyBorder="1" applyAlignment="1">
      <alignment horizontal="center" vertical="center"/>
    </xf>
    <xf numFmtId="0" fontId="4" fillId="16" borderId="10" xfId="3" applyFont="1" applyFill="1" applyBorder="1" applyAlignment="1">
      <alignment horizontal="center" vertical="center"/>
    </xf>
    <xf numFmtId="0" fontId="4" fillId="16" borderId="0" xfId="3" applyFont="1" applyFill="1"/>
    <xf numFmtId="0" fontId="14" fillId="16" borderId="0" xfId="3" applyFill="1"/>
    <xf numFmtId="0" fontId="5" fillId="16" borderId="10" xfId="3" applyFont="1" applyFill="1" applyBorder="1" applyAlignment="1">
      <alignment horizontal="center" vertical="center"/>
    </xf>
    <xf numFmtId="0" fontId="14" fillId="16" borderId="10" xfId="3" applyFill="1" applyBorder="1" applyAlignment="1">
      <alignment horizontal="center" vertical="center"/>
    </xf>
    <xf numFmtId="2" fontId="14" fillId="16" borderId="10" xfId="3" applyNumberFormat="1" applyFill="1" applyBorder="1" applyAlignment="1">
      <alignment horizontal="center" vertical="center"/>
    </xf>
    <xf numFmtId="11" fontId="14" fillId="16" borderId="10" xfId="3" applyNumberFormat="1" applyFill="1" applyBorder="1" applyAlignment="1">
      <alignment horizontal="center" vertical="center"/>
    </xf>
    <xf numFmtId="0" fontId="10" fillId="16" borderId="10" xfId="3" applyFont="1" applyFill="1" applyBorder="1" applyAlignment="1">
      <alignment horizontal="center" vertical="center"/>
    </xf>
    <xf numFmtId="0" fontId="14" fillId="2" borderId="0" xfId="3" applyFill="1" applyBorder="1" applyAlignment="1">
      <alignment horizontal="center"/>
    </xf>
    <xf numFmtId="0" fontId="14" fillId="2" borderId="15" xfId="3" applyFill="1" applyBorder="1" applyAlignment="1">
      <alignment horizontal="center"/>
    </xf>
    <xf numFmtId="0" fontId="22" fillId="0" borderId="0" xfId="1" applyAlignment="1">
      <alignment horizontal="center" vertical="center"/>
    </xf>
    <xf numFmtId="14" fontId="14" fillId="0" borderId="0" xfId="3" applyNumberFormat="1" applyBorder="1"/>
    <xf numFmtId="11" fontId="14" fillId="18" borderId="0" xfId="3" applyNumberFormat="1" applyFill="1" applyBorder="1"/>
    <xf numFmtId="0" fontId="3" fillId="0" borderId="0" xfId="2" applyFont="1" applyAlignment="1">
      <alignment horizontal="center" vertical="center"/>
    </xf>
    <xf numFmtId="0" fontId="3" fillId="0" borderId="0" xfId="2" quotePrefix="1" applyFont="1" applyAlignment="1">
      <alignment horizontal="center" vertical="center"/>
    </xf>
    <xf numFmtId="171" fontId="3" fillId="0" borderId="0" xfId="2" applyNumberFormat="1" applyFont="1" applyAlignment="1">
      <alignment horizontal="center" vertical="center"/>
    </xf>
    <xf numFmtId="0" fontId="2" fillId="0" borderId="0" xfId="3" applyFont="1"/>
    <xf numFmtId="0" fontId="2" fillId="0" borderId="12" xfId="3" applyFont="1" applyBorder="1"/>
    <xf numFmtId="0" fontId="14" fillId="20" borderId="0" xfId="3" applyFill="1"/>
    <xf numFmtId="11" fontId="14" fillId="20" borderId="0" xfId="3" applyNumberFormat="1" applyFill="1" applyBorder="1" applyAlignment="1">
      <alignment horizontal="center" vertical="center"/>
    </xf>
    <xf numFmtId="11" fontId="22" fillId="20" borderId="0" xfId="1" applyNumberFormat="1" applyFill="1" applyBorder="1" applyAlignment="1">
      <alignment horizontal="center" vertical="center"/>
    </xf>
    <xf numFmtId="0" fontId="2" fillId="0" borderId="14" xfId="3" applyFont="1" applyBorder="1"/>
    <xf numFmtId="165" fontId="14" fillId="19" borderId="17" xfId="3" applyNumberFormat="1" applyFill="1" applyBorder="1"/>
    <xf numFmtId="0" fontId="14" fillId="20" borderId="19" xfId="3" applyFill="1" applyBorder="1"/>
    <xf numFmtId="0" fontId="10" fillId="20" borderId="21" xfId="3" applyFont="1" applyFill="1" applyBorder="1"/>
    <xf numFmtId="0" fontId="14" fillId="20" borderId="22" xfId="3" applyFill="1" applyBorder="1"/>
    <xf numFmtId="0" fontId="14" fillId="20" borderId="12" xfId="3" applyFill="1" applyBorder="1"/>
    <xf numFmtId="0" fontId="14" fillId="20" borderId="13" xfId="3" applyFill="1" applyBorder="1"/>
    <xf numFmtId="0" fontId="14" fillId="20" borderId="20" xfId="3" applyFill="1" applyBorder="1" applyAlignment="1">
      <alignment horizontal="center" vertical="center"/>
    </xf>
    <xf numFmtId="0" fontId="14" fillId="20" borderId="16" xfId="3" applyFill="1" applyBorder="1" applyAlignment="1">
      <alignment horizontal="center" vertical="center"/>
    </xf>
    <xf numFmtId="0" fontId="14" fillId="20" borderId="14" xfId="3" applyFill="1" applyBorder="1" applyAlignment="1"/>
    <xf numFmtId="0" fontId="14" fillId="20" borderId="0" xfId="3" applyFill="1" applyBorder="1" applyAlignment="1"/>
    <xf numFmtId="0" fontId="14" fillId="20" borderId="15" xfId="3" applyFill="1" applyBorder="1"/>
    <xf numFmtId="0" fontId="10" fillId="20" borderId="10" xfId="3" applyFont="1" applyFill="1" applyBorder="1" applyAlignment="1">
      <alignment horizontal="center" vertical="center"/>
    </xf>
    <xf numFmtId="0" fontId="6" fillId="20" borderId="10" xfId="3" applyFont="1" applyFill="1" applyBorder="1" applyAlignment="1">
      <alignment horizontal="center" vertical="center"/>
    </xf>
    <xf numFmtId="0" fontId="6" fillId="20" borderId="19" xfId="3" applyFont="1" applyFill="1" applyBorder="1" applyAlignment="1">
      <alignment horizontal="center" vertical="center"/>
    </xf>
    <xf numFmtId="0" fontId="14" fillId="20" borderId="14" xfId="3" applyFill="1" applyBorder="1"/>
    <xf numFmtId="0" fontId="6" fillId="20" borderId="0" xfId="3" applyFont="1" applyFill="1" applyBorder="1"/>
    <xf numFmtId="0" fontId="14" fillId="20" borderId="10" xfId="3" applyFill="1" applyBorder="1" applyAlignment="1">
      <alignment horizontal="center" vertical="center"/>
    </xf>
    <xf numFmtId="11" fontId="14" fillId="20" borderId="10" xfId="3" applyNumberFormat="1" applyFill="1" applyBorder="1" applyAlignment="1">
      <alignment horizontal="center" vertical="center"/>
    </xf>
    <xf numFmtId="2" fontId="14" fillId="20" borderId="19" xfId="3" applyNumberFormat="1" applyFill="1" applyBorder="1" applyAlignment="1">
      <alignment horizontal="center" vertical="center"/>
    </xf>
    <xf numFmtId="0" fontId="14" fillId="20" borderId="16" xfId="3" applyFill="1" applyBorder="1"/>
    <xf numFmtId="0" fontId="14" fillId="20" borderId="1" xfId="3" applyFill="1" applyBorder="1"/>
    <xf numFmtId="0" fontId="14" fillId="20" borderId="17" xfId="3" applyFill="1" applyBorder="1"/>
    <xf numFmtId="0" fontId="10" fillId="20" borderId="20" xfId="3" applyFont="1" applyFill="1" applyBorder="1" applyAlignment="1">
      <alignment horizontal="center" vertical="center"/>
    </xf>
    <xf numFmtId="0" fontId="7" fillId="20" borderId="10" xfId="3" applyFont="1" applyFill="1" applyBorder="1" applyAlignment="1">
      <alignment horizontal="center" vertical="center"/>
    </xf>
    <xf numFmtId="2" fontId="14" fillId="20" borderId="10" xfId="3" applyNumberFormat="1" applyFill="1" applyBorder="1" applyAlignment="1">
      <alignment horizontal="center" vertical="center"/>
    </xf>
    <xf numFmtId="0" fontId="10" fillId="20" borderId="10" xfId="3" quotePrefix="1" applyFont="1" applyFill="1" applyBorder="1" applyAlignment="1">
      <alignment horizontal="center"/>
    </xf>
    <xf numFmtId="11" fontId="10" fillId="20" borderId="10" xfId="3" applyNumberFormat="1" applyFont="1" applyFill="1" applyBorder="1" applyAlignment="1">
      <alignment horizontal="center"/>
    </xf>
    <xf numFmtId="0" fontId="14" fillId="20" borderId="10" xfId="3" applyFill="1" applyBorder="1"/>
    <xf numFmtId="2" fontId="14" fillId="20" borderId="10" xfId="3" applyNumberFormat="1" applyFill="1" applyBorder="1"/>
    <xf numFmtId="0" fontId="2" fillId="0" borderId="0" xfId="3" applyFont="1" applyBorder="1"/>
    <xf numFmtId="0" fontId="1" fillId="0" borderId="0" xfId="3" applyFont="1"/>
    <xf numFmtId="0" fontId="14" fillId="16" borderId="19" xfId="3" applyFill="1" applyBorder="1" applyAlignment="1">
      <alignment horizontal="center" vertical="center"/>
    </xf>
    <xf numFmtId="0" fontId="14" fillId="16" borderId="21" xfId="3" applyFill="1" applyBorder="1" applyAlignment="1">
      <alignment horizontal="center" vertical="center"/>
    </xf>
    <xf numFmtId="0" fontId="14" fillId="16" borderId="22" xfId="3" applyFill="1" applyBorder="1" applyAlignment="1">
      <alignment horizontal="center" vertical="center"/>
    </xf>
    <xf numFmtId="0" fontId="5" fillId="16" borderId="10" xfId="3" applyFont="1" applyFill="1" applyBorder="1" applyAlignment="1">
      <alignment horizontal="center" vertical="center"/>
    </xf>
    <xf numFmtId="0" fontId="14" fillId="16" borderId="10" xfId="3" applyFill="1" applyBorder="1" applyAlignment="1">
      <alignment horizontal="center" vertical="center"/>
    </xf>
    <xf numFmtId="2" fontId="14" fillId="16" borderId="10" xfId="3" applyNumberFormat="1" applyFill="1" applyBorder="1" applyAlignment="1">
      <alignment horizontal="center" vertical="center"/>
    </xf>
    <xf numFmtId="0" fontId="14" fillId="16" borderId="20" xfId="3" applyFill="1" applyBorder="1" applyAlignment="1">
      <alignment horizontal="center" vertical="center"/>
    </xf>
    <xf numFmtId="0" fontId="14" fillId="16" borderId="16" xfId="3" applyFill="1" applyBorder="1" applyAlignment="1">
      <alignment horizontal="center" vertical="center"/>
    </xf>
    <xf numFmtId="0" fontId="14" fillId="0" borderId="0" xfId="3" applyBorder="1" applyAlignment="1">
      <alignment horizontal="center"/>
    </xf>
    <xf numFmtId="0" fontId="14" fillId="0" borderId="15" xfId="3" applyBorder="1" applyAlignment="1">
      <alignment horizontal="center"/>
    </xf>
    <xf numFmtId="0" fontId="10" fillId="16" borderId="10" xfId="3" applyFont="1" applyFill="1" applyBorder="1" applyAlignment="1">
      <alignment horizontal="center" vertical="center"/>
    </xf>
    <xf numFmtId="11" fontId="14" fillId="16" borderId="10" xfId="3" applyNumberFormat="1" applyFill="1" applyBorder="1" applyAlignment="1">
      <alignment horizontal="center" vertical="center"/>
    </xf>
    <xf numFmtId="0" fontId="14" fillId="19" borderId="0" xfId="3" applyFill="1" applyBorder="1" applyAlignment="1">
      <alignment horizontal="center"/>
    </xf>
    <xf numFmtId="0" fontId="14" fillId="19" borderId="15" xfId="3" applyFill="1" applyBorder="1" applyAlignment="1">
      <alignment horizontal="center"/>
    </xf>
    <xf numFmtId="0" fontId="14" fillId="0" borderId="0" xfId="3" applyAlignment="1">
      <alignment horizontal="center"/>
    </xf>
    <xf numFmtId="0" fontId="14" fillId="2" borderId="0" xfId="3" applyFill="1" applyBorder="1" applyAlignment="1">
      <alignment horizontal="center"/>
    </xf>
    <xf numFmtId="0" fontId="14" fillId="2" borderId="15" xfId="3" applyFill="1" applyBorder="1" applyAlignment="1">
      <alignment horizontal="center"/>
    </xf>
    <xf numFmtId="0" fontId="14" fillId="18" borderId="0" xfId="3" applyFill="1" applyBorder="1" applyAlignment="1">
      <alignment horizontal="center"/>
    </xf>
    <xf numFmtId="0" fontId="14" fillId="18" borderId="15" xfId="3" applyFill="1" applyBorder="1" applyAlignment="1">
      <alignment horizontal="center"/>
    </xf>
    <xf numFmtId="0" fontId="14" fillId="20" borderId="10" xfId="3" applyFill="1" applyBorder="1" applyAlignment="1">
      <alignment horizontal="center" vertical="center"/>
    </xf>
    <xf numFmtId="2" fontId="14" fillId="20" borderId="10" xfId="3" applyNumberFormat="1" applyFill="1" applyBorder="1" applyAlignment="1">
      <alignment horizontal="center" vertical="center"/>
    </xf>
    <xf numFmtId="0" fontId="18" fillId="0" borderId="0" xfId="2" applyAlignment="1">
      <alignment horizontal="center" vertical="center" textRotation="45"/>
    </xf>
    <xf numFmtId="0" fontId="18" fillId="0" borderId="0" xfId="2" applyAlignment="1">
      <alignment horizontal="center" vertical="center"/>
    </xf>
    <xf numFmtId="0" fontId="18" fillId="0" borderId="11" xfId="2" applyBorder="1" applyAlignment="1">
      <alignment horizontal="center" vertical="center"/>
    </xf>
    <xf numFmtId="0" fontId="18" fillId="0" borderId="12" xfId="2" applyBorder="1" applyAlignment="1">
      <alignment horizontal="center" vertical="center"/>
    </xf>
    <xf numFmtId="0" fontId="22" fillId="0" borderId="0" xfId="1" applyAlignment="1">
      <alignment horizontal="center" vertical="center" textRotation="45"/>
    </xf>
    <xf numFmtId="0" fontId="20" fillId="0" borderId="0" xfId="1" applyFont="1" applyBorder="1" applyAlignment="1">
      <alignment horizontal="center" vertical="center"/>
    </xf>
    <xf numFmtId="0" fontId="22" fillId="0" borderId="0" xfId="1" applyBorder="1" applyAlignment="1">
      <alignment horizontal="center" vertical="center"/>
    </xf>
    <xf numFmtId="0" fontId="19" fillId="0" borderId="11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22" fillId="0" borderId="12" xfId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2" fillId="0" borderId="0" xfId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11" xfId="1" applyFont="1" applyBorder="1" applyAlignment="1">
      <alignment horizontal="center"/>
    </xf>
    <xf numFmtId="0" fontId="22" fillId="0" borderId="12" xfId="1" applyBorder="1" applyAlignment="1">
      <alignment horizontal="center"/>
    </xf>
    <xf numFmtId="0" fontId="22" fillId="0" borderId="13" xfId="1" applyBorder="1" applyAlignment="1">
      <alignment horizontal="center"/>
    </xf>
    <xf numFmtId="0" fontId="20" fillId="0" borderId="1" xfId="1" applyFont="1" applyBorder="1" applyAlignment="1">
      <alignment horizontal="center"/>
    </xf>
    <xf numFmtId="0" fontId="22" fillId="0" borderId="1" xfId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Normal" xfId="0" builtinId="0"/>
    <cellStyle name="Normal 2" xfId="1" xr:uid="{2D1F2AB1-29DB-44CD-BDDD-17E1976209B3}"/>
    <cellStyle name="Normal 2 2" xfId="2" xr:uid="{213A1DDB-ECC6-48A1-81CC-9FCEE829732A}"/>
    <cellStyle name="Normal 3" xfId="3" xr:uid="{8531C9DD-CA98-4396-AA8A-5C02FC574C1B}"/>
    <cellStyle name="Normal 4" xfId="4" xr:uid="{745C778B-D10B-4E1A-8345-5EA4B87E1E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36717813277089E-2"/>
          <c:y val="5.577696253877356E-2"/>
          <c:w val="0.88893649870737368"/>
          <c:h val="0.763969219756621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'Nuclear Radius Table (3)'!$F$13</c:f>
              <c:strCache>
                <c:ptCount val="1"/>
                <c:pt idx="0">
                  <c:v>Os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(3)'!$L$13:$L$19</c:f>
                <c:numCache>
                  <c:formatCode>General</c:formatCode>
                  <c:ptCount val="7"/>
                  <c:pt idx="0">
                    <c:v>2.2000000000000001E-3</c:v>
                  </c:pt>
                  <c:pt idx="1">
                    <c:v>1.6999999999999999E-3</c:v>
                  </c:pt>
                  <c:pt idx="2">
                    <c:v>1.8E-3</c:v>
                  </c:pt>
                  <c:pt idx="3">
                    <c:v>1.1000000000000001E-3</c:v>
                  </c:pt>
                  <c:pt idx="4">
                    <c:v>1.1999999999999999E-3</c:v>
                  </c:pt>
                  <c:pt idx="5">
                    <c:v>1.2999999999999999E-3</c:v>
                  </c:pt>
                  <c:pt idx="6">
                    <c:v>1.5E-3</c:v>
                  </c:pt>
                </c:numCache>
                <c:extLst xmlns:c15="http://schemas.microsoft.com/office/drawing/2012/chart"/>
              </c:numRef>
            </c:plus>
            <c:minus>
              <c:numRef>
                <c:f>'Nuclear Radius Table (3)'!$L$13:$L$19</c:f>
                <c:numCache>
                  <c:formatCode>General</c:formatCode>
                  <c:ptCount val="7"/>
                  <c:pt idx="0">
                    <c:v>2.2000000000000001E-3</c:v>
                  </c:pt>
                  <c:pt idx="1">
                    <c:v>1.6999999999999999E-3</c:v>
                  </c:pt>
                  <c:pt idx="2">
                    <c:v>1.8E-3</c:v>
                  </c:pt>
                  <c:pt idx="3">
                    <c:v>1.1000000000000001E-3</c:v>
                  </c:pt>
                  <c:pt idx="4">
                    <c:v>1.1999999999999999E-3</c:v>
                  </c:pt>
                  <c:pt idx="5">
                    <c:v>1.2999999999999999E-3</c:v>
                  </c:pt>
                  <c:pt idx="6">
                    <c:v>1.5E-3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(3)'!$G$13:$G$19</c:f>
              <c:numCache>
                <c:formatCode>General</c:formatCode>
                <c:ptCount val="7"/>
                <c:pt idx="0">
                  <c:v>184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192</c:v>
                </c:pt>
              </c:numCache>
              <c:extLst xmlns:c15="http://schemas.microsoft.com/office/drawing/2012/chart"/>
            </c:numRef>
          </c:xVal>
          <c:yVal>
            <c:numRef>
              <c:f>'Nuclear Radius Table (3)'!$K$13:$K$19</c:f>
              <c:numCache>
                <c:formatCode>General</c:formatCode>
                <c:ptCount val="7"/>
                <c:pt idx="0">
                  <c:v>5.3822999999999999</c:v>
                </c:pt>
                <c:pt idx="1">
                  <c:v>5.3909000000000002</c:v>
                </c:pt>
                <c:pt idx="2">
                  <c:v>5.3933</c:v>
                </c:pt>
                <c:pt idx="3">
                  <c:v>5.3993000000000002</c:v>
                </c:pt>
                <c:pt idx="4">
                  <c:v>5.4016000000000002</c:v>
                </c:pt>
                <c:pt idx="5">
                  <c:v>5.4062000000000001</c:v>
                </c:pt>
                <c:pt idx="6">
                  <c:v>5.4126000000000003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776-4A78-A38F-E4A35F2E0DE0}"/>
            </c:ext>
          </c:extLst>
        </c:ser>
        <c:ser>
          <c:idx val="1"/>
          <c:order val="1"/>
          <c:tx>
            <c:strRef>
              <c:f>'Nuclear Radius Table (3)'!$F$22</c:f>
              <c:strCache>
                <c:ptCount val="1"/>
                <c:pt idx="0">
                  <c:v>Ir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(3)'!$L$22:$L$31</c:f>
                <c:numCache>
                  <c:formatCode>General</c:formatCode>
                  <c:ptCount val="10"/>
                  <c:pt idx="0">
                    <c:v>0.1061</c:v>
                  </c:pt>
                  <c:pt idx="1">
                    <c:v>0.1061</c:v>
                  </c:pt>
                  <c:pt idx="2">
                    <c:v>0.1061</c:v>
                  </c:pt>
                  <c:pt idx="3">
                    <c:v>0.1061</c:v>
                  </c:pt>
                  <c:pt idx="4">
                    <c:v>0.1061</c:v>
                  </c:pt>
                  <c:pt idx="5">
                    <c:v>0.1061</c:v>
                  </c:pt>
                  <c:pt idx="6">
                    <c:v>0.1061</c:v>
                  </c:pt>
                  <c:pt idx="7">
                    <c:v>0.1061</c:v>
                  </c:pt>
                  <c:pt idx="8">
                    <c:v>0.1061</c:v>
                  </c:pt>
                  <c:pt idx="9">
                    <c:v>0.1061</c:v>
                  </c:pt>
                </c:numCache>
              </c:numRef>
            </c:plus>
            <c:minus>
              <c:numRef>
                <c:f>'Nuclear Radius Table (3)'!$L$22:$L$31</c:f>
                <c:numCache>
                  <c:formatCode>General</c:formatCode>
                  <c:ptCount val="10"/>
                  <c:pt idx="0">
                    <c:v>0.1061</c:v>
                  </c:pt>
                  <c:pt idx="1">
                    <c:v>0.1061</c:v>
                  </c:pt>
                  <c:pt idx="2">
                    <c:v>0.1061</c:v>
                  </c:pt>
                  <c:pt idx="3">
                    <c:v>0.1061</c:v>
                  </c:pt>
                  <c:pt idx="4">
                    <c:v>0.1061</c:v>
                  </c:pt>
                  <c:pt idx="5">
                    <c:v>0.1061</c:v>
                  </c:pt>
                  <c:pt idx="6">
                    <c:v>0.1061</c:v>
                  </c:pt>
                  <c:pt idx="7">
                    <c:v>0.1061</c:v>
                  </c:pt>
                  <c:pt idx="8">
                    <c:v>0.1061</c:v>
                  </c:pt>
                  <c:pt idx="9">
                    <c:v>0.1061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(3)'!$G$22:$G$31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</c:numRef>
          </c:xVal>
          <c:yVal>
            <c:numRef>
              <c:f>'Nuclear Radius Table (3)'!$K$22:$K$31</c:f>
              <c:numCache>
                <c:formatCode>0.0000</c:formatCode>
                <c:ptCount val="10"/>
                <c:pt idx="0" formatCode="General">
                  <c:v>5.3704999999999998</c:v>
                </c:pt>
                <c:pt idx="1">
                  <c:v>5.3780000000000001</c:v>
                </c:pt>
                <c:pt idx="2" formatCode="General">
                  <c:v>5.3804999999999996</c:v>
                </c:pt>
                <c:pt idx="3" formatCode="General">
                  <c:v>5.3853999999999997</c:v>
                </c:pt>
                <c:pt idx="4">
                  <c:v>5.39</c:v>
                </c:pt>
                <c:pt idx="5" formatCode="General">
                  <c:v>5.3811999999999998</c:v>
                </c:pt>
                <c:pt idx="6" formatCode="General">
                  <c:v>5.3837999999999999</c:v>
                </c:pt>
                <c:pt idx="7" formatCode="General">
                  <c:v>5.3898000000000001</c:v>
                </c:pt>
                <c:pt idx="8" formatCode="General">
                  <c:v>5.3967999999999998</c:v>
                </c:pt>
                <c:pt idx="9" formatCode="General">
                  <c:v>5.4032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6-4A78-A38F-E4A35F2E0DE0}"/>
            </c:ext>
          </c:extLst>
        </c:ser>
        <c:ser>
          <c:idx val="5"/>
          <c:order val="5"/>
          <c:tx>
            <c:v>EBIT Na-like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(3)'!$T$22:$T$31</c:f>
                <c:numCache>
                  <c:formatCode>General</c:formatCode>
                  <c:ptCount val="10"/>
                  <c:pt idx="0">
                    <c:v>1.2492790997842319E-2</c:v>
                  </c:pt>
                  <c:pt idx="1">
                    <c:v>1.2472059689654558E-2</c:v>
                  </c:pt>
                  <c:pt idx="2">
                    <c:v>1.246089790281581E-2</c:v>
                  </c:pt>
                  <c:pt idx="3">
                    <c:v>1.2449705890906645E-2</c:v>
                  </c:pt>
                  <c:pt idx="4">
                    <c:v>1.244155378595428E-2</c:v>
                  </c:pt>
                  <c:pt idx="5">
                    <c:v>1.2459206608195116E-2</c:v>
                  </c:pt>
                  <c:pt idx="6">
                    <c:v>1.2455673994773025E-2</c:v>
                  </c:pt>
                  <c:pt idx="7">
                    <c:v>1.2438106580384876E-2</c:v>
                  </c:pt>
                  <c:pt idx="8">
                    <c:v>1.2420792389159864E-2</c:v>
                  </c:pt>
                  <c:pt idx="9">
                    <c:v>1.2406678756311436E-2</c:v>
                  </c:pt>
                </c:numCache>
              </c:numRef>
            </c:plus>
            <c:minus>
              <c:numRef>
                <c:f>'Nuclear Radius Table (3)'!$T$22:$T$31</c:f>
                <c:numCache>
                  <c:formatCode>General</c:formatCode>
                  <c:ptCount val="10"/>
                  <c:pt idx="0">
                    <c:v>1.2492790997842319E-2</c:v>
                  </c:pt>
                  <c:pt idx="1">
                    <c:v>1.2472059689654558E-2</c:v>
                  </c:pt>
                  <c:pt idx="2">
                    <c:v>1.246089790281581E-2</c:v>
                  </c:pt>
                  <c:pt idx="3">
                    <c:v>1.2449705890906645E-2</c:v>
                  </c:pt>
                  <c:pt idx="4">
                    <c:v>1.244155378595428E-2</c:v>
                  </c:pt>
                  <c:pt idx="5">
                    <c:v>1.2459206608195116E-2</c:v>
                  </c:pt>
                  <c:pt idx="6">
                    <c:v>1.2455673994773025E-2</c:v>
                  </c:pt>
                  <c:pt idx="7">
                    <c:v>1.2438106580384876E-2</c:v>
                  </c:pt>
                  <c:pt idx="8">
                    <c:v>1.2420792389159864E-2</c:v>
                  </c:pt>
                  <c:pt idx="9">
                    <c:v>1.2406678756311436E-2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xVal>
            <c:numRef>
              <c:f>'Nuclear Radius Table (3)'!$R$22:$R$31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</c:numRef>
          </c:xVal>
          <c:yVal>
            <c:numRef>
              <c:f>'Nuclear Radius Table (3)'!$S$22:$S$31</c:f>
              <c:numCache>
                <c:formatCode>General</c:formatCode>
                <c:ptCount val="10"/>
                <c:pt idx="0">
                  <c:v>5.418272203086234</c:v>
                </c:pt>
                <c:pt idx="1">
                  <c:v>5.425649607810751</c:v>
                </c:pt>
                <c:pt idx="2">
                  <c:v>5.4281372188566639</c:v>
                </c:pt>
                <c:pt idx="3">
                  <c:v>5.4330169948875504</c:v>
                </c:pt>
                <c:pt idx="4">
                  <c:v>5.4376165428188248</c:v>
                </c:pt>
                <c:pt idx="5">
                  <c:v>5.4288740698911919</c:v>
                </c:pt>
                <c:pt idx="6">
                  <c:v>5.4314522612959557</c:v>
                </c:pt>
                <c:pt idx="7">
                  <c:v>5.4373406796647341</c:v>
                </c:pt>
                <c:pt idx="8" formatCode="0.0000">
                  <c:v>5.4443249045898199</c:v>
                </c:pt>
                <c:pt idx="9">
                  <c:v>5.4506672680266357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776-4A78-A38F-E4A35F2E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99704"/>
        <c:axId val="55609937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'Nuclear Radius Table (3)'!$F$34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'Nuclear Radius Table (3)'!$L$34:$L$38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2.2000000000000001E-3</c:v>
                        </c:pt>
                        <c:pt idx="1">
                          <c:v>1.6999999999999999E-3</c:v>
                        </c:pt>
                        <c:pt idx="2">
                          <c:v>2E-3</c:v>
                        </c:pt>
                        <c:pt idx="3">
                          <c:v>2.3E-3</c:v>
                        </c:pt>
                        <c:pt idx="4">
                          <c:v>2.5999999999999999E-3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'Nuclear Radius Table (3)'!$L$34:$L$38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2.2000000000000001E-3</c:v>
                        </c:pt>
                        <c:pt idx="1">
                          <c:v>1.6999999999999999E-3</c:v>
                        </c:pt>
                        <c:pt idx="2">
                          <c:v>2E-3</c:v>
                        </c:pt>
                        <c:pt idx="3">
                          <c:v>2.3E-3</c:v>
                        </c:pt>
                        <c:pt idx="4">
                          <c:v>2.5999999999999999E-3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'Nuclear Radius Table (3)'!$G$34:$G$38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180</c:v>
                      </c:pt>
                      <c:pt idx="1">
                        <c:v>182</c:v>
                      </c:pt>
                      <c:pt idx="2">
                        <c:v>183</c:v>
                      </c:pt>
                      <c:pt idx="3">
                        <c:v>184</c:v>
                      </c:pt>
                      <c:pt idx="4">
                        <c:v>186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'Nuclear Radius Table (3)'!$K$34:$K$38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5.3491</c:v>
                      </c:pt>
                      <c:pt idx="1">
                        <c:v>5.3559000000000001</c:v>
                      </c:pt>
                      <c:pt idx="2">
                        <c:v>5.3611000000000004</c:v>
                      </c:pt>
                      <c:pt idx="3">
                        <c:v>5.3658000000000001</c:v>
                      </c:pt>
                      <c:pt idx="4">
                        <c:v>5.3742999999999999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776-4A78-A38F-E4A35F2E0DE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(3)'!$F$41</c15:sqref>
                        </c15:formulaRef>
                      </c:ext>
                    </c:extLst>
                    <c:strCache>
                      <c:ptCount val="1"/>
                      <c:pt idx="0">
                        <c:v>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(3)'!$L$41:$L$42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1.72E-2</c:v>
                        </c:pt>
                        <c:pt idx="1">
                          <c:v>1.7299999999999999E-2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(3)'!$L$41:$L$42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1.72E-2</c:v>
                        </c:pt>
                        <c:pt idx="1">
                          <c:v>1.7299999999999999E-2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(3)'!$G$41:$G$42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185</c:v>
                      </c:pt>
                      <c:pt idx="1">
                        <c:v>187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(3)'!$K$41:$K$42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5.3596000000000004</c:v>
                      </c:pt>
                      <c:pt idx="1">
                        <c:v>5.3697999999999997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76-4A78-A38F-E4A35F2E0DE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(3)'!$F$45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(3)'!$L$45:$L$56</c15:sqref>
                          </c15:formulaRef>
                        </c:ext>
                      </c:extLst>
                      <c:numCache>
                        <c:formatCode>General</c:formatCode>
                        <c:ptCount val="12"/>
                        <c:pt idx="0">
                          <c:v>3.5999999999999999E-3</c:v>
                        </c:pt>
                        <c:pt idx="1">
                          <c:v>3.5999999999999999E-3</c:v>
                        </c:pt>
                        <c:pt idx="2">
                          <c:v>2.8E-3</c:v>
                        </c:pt>
                        <c:pt idx="3">
                          <c:v>3.5999999999999999E-3</c:v>
                        </c:pt>
                        <c:pt idx="4">
                          <c:v>3.7000000000000002E-3</c:v>
                        </c:pt>
                        <c:pt idx="5">
                          <c:v>3.3999999999999998E-3</c:v>
                        </c:pt>
                        <c:pt idx="6">
                          <c:v>3.5000000000000001E-3</c:v>
                        </c:pt>
                        <c:pt idx="7">
                          <c:v>3.0000000000000001E-3</c:v>
                        </c:pt>
                        <c:pt idx="8">
                          <c:v>3.0999999999999999E-3</c:v>
                        </c:pt>
                        <c:pt idx="9">
                          <c:v>2.8E-3</c:v>
                        </c:pt>
                        <c:pt idx="10">
                          <c:v>2.7000000000000001E-3</c:v>
                        </c:pt>
                        <c:pt idx="11">
                          <c:v>2.5000000000000001E-3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(3)'!$L$45:$L$56</c15:sqref>
                          </c15:formulaRef>
                        </c:ext>
                      </c:extLst>
                      <c:numCache>
                        <c:formatCode>General</c:formatCode>
                        <c:ptCount val="12"/>
                        <c:pt idx="0">
                          <c:v>3.5999999999999999E-3</c:v>
                        </c:pt>
                        <c:pt idx="1">
                          <c:v>3.5999999999999999E-3</c:v>
                        </c:pt>
                        <c:pt idx="2">
                          <c:v>2.8E-3</c:v>
                        </c:pt>
                        <c:pt idx="3">
                          <c:v>3.5999999999999999E-3</c:v>
                        </c:pt>
                        <c:pt idx="4">
                          <c:v>3.7000000000000002E-3</c:v>
                        </c:pt>
                        <c:pt idx="5">
                          <c:v>3.3999999999999998E-3</c:v>
                        </c:pt>
                        <c:pt idx="6">
                          <c:v>3.5000000000000001E-3</c:v>
                        </c:pt>
                        <c:pt idx="7">
                          <c:v>3.0000000000000001E-3</c:v>
                        </c:pt>
                        <c:pt idx="8">
                          <c:v>3.0999999999999999E-3</c:v>
                        </c:pt>
                        <c:pt idx="9">
                          <c:v>2.8E-3</c:v>
                        </c:pt>
                        <c:pt idx="10">
                          <c:v>2.7000000000000001E-3</c:v>
                        </c:pt>
                        <c:pt idx="11">
                          <c:v>2.5000000000000001E-3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(3)'!$G$45:$G$56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183</c:v>
                      </c:pt>
                      <c:pt idx="1">
                        <c:v>184</c:v>
                      </c:pt>
                      <c:pt idx="2">
                        <c:v>185</c:v>
                      </c:pt>
                      <c:pt idx="3">
                        <c:v>186</c:v>
                      </c:pt>
                      <c:pt idx="4">
                        <c:v>187</c:v>
                      </c:pt>
                      <c:pt idx="5">
                        <c:v>188</c:v>
                      </c:pt>
                      <c:pt idx="6">
                        <c:v>189</c:v>
                      </c:pt>
                      <c:pt idx="7">
                        <c:v>190</c:v>
                      </c:pt>
                      <c:pt idx="8">
                        <c:v>191</c:v>
                      </c:pt>
                      <c:pt idx="9">
                        <c:v>192</c:v>
                      </c:pt>
                      <c:pt idx="10">
                        <c:v>193</c:v>
                      </c:pt>
                      <c:pt idx="11">
                        <c:v>194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(3)'!$K$45:$K$56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5.4038000000000004</c:v>
                      </c:pt>
                      <c:pt idx="1">
                        <c:v>5.4015000000000004</c:v>
                      </c:pt>
                      <c:pt idx="2">
                        <c:v>5.4147999999999996</c:v>
                      </c:pt>
                      <c:pt idx="3">
                        <c:v>5.4036999999999997</c:v>
                      </c:pt>
                      <c:pt idx="4">
                        <c:v>5.4062999999999999</c:v>
                      </c:pt>
                      <c:pt idx="5">
                        <c:v>5.4053000000000004</c:v>
                      </c:pt>
                      <c:pt idx="6" formatCode="0.0000">
                        <c:v>5.4059999999999997</c:v>
                      </c:pt>
                      <c:pt idx="7">
                        <c:v>5.4108000000000001</c:v>
                      </c:pt>
                      <c:pt idx="8">
                        <c:v>5.4101999999999997</c:v>
                      </c:pt>
                      <c:pt idx="9">
                        <c:v>5.4169</c:v>
                      </c:pt>
                      <c:pt idx="10">
                        <c:v>5.4191000000000003</c:v>
                      </c:pt>
                      <c:pt idx="11">
                        <c:v>5.4236000000000004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76-4A78-A38F-E4A35F2E0DE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EBIT Mg-like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(3)'!$T$41:$T$50</c15:sqref>
                          </c15:formulaRef>
                        </c:ext>
                      </c:extLst>
                      <c:numCache>
                        <c:formatCode>General</c:formatCode>
                        <c:ptCount val="10"/>
                        <c:pt idx="0">
                          <c:v>1.3803597251534825E-2</c:v>
                        </c:pt>
                        <c:pt idx="1">
                          <c:v>1.3781337245140515E-2</c:v>
                        </c:pt>
                        <c:pt idx="2">
                          <c:v>1.3770041324080905E-2</c:v>
                        </c:pt>
                        <c:pt idx="3">
                          <c:v>1.3757616700850708E-2</c:v>
                        </c:pt>
                        <c:pt idx="4">
                          <c:v>1.3748088692873296E-2</c:v>
                        </c:pt>
                        <c:pt idx="5">
                          <c:v>1.3768163752019513E-2</c:v>
                        </c:pt>
                        <c:pt idx="6">
                          <c:v>1.3763763315868014E-2</c:v>
                        </c:pt>
                        <c:pt idx="7">
                          <c:v>1.3745081758394985E-2</c:v>
                        </c:pt>
                        <c:pt idx="8">
                          <c:v>1.3726133815088049E-2</c:v>
                        </c:pt>
                        <c:pt idx="9">
                          <c:v>1.3710397591001476E-2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(3)'!$T$41:$T$50</c15:sqref>
                          </c15:formulaRef>
                        </c:ext>
                      </c:extLst>
                      <c:numCache>
                        <c:formatCode>General</c:formatCode>
                        <c:ptCount val="10"/>
                        <c:pt idx="0">
                          <c:v>1.3803597251534825E-2</c:v>
                        </c:pt>
                        <c:pt idx="1">
                          <c:v>1.3781337245140515E-2</c:v>
                        </c:pt>
                        <c:pt idx="2">
                          <c:v>1.3770041324080905E-2</c:v>
                        </c:pt>
                        <c:pt idx="3">
                          <c:v>1.3757616700850708E-2</c:v>
                        </c:pt>
                        <c:pt idx="4">
                          <c:v>1.3748088692873296E-2</c:v>
                        </c:pt>
                        <c:pt idx="5">
                          <c:v>1.3768163752019513E-2</c:v>
                        </c:pt>
                        <c:pt idx="6">
                          <c:v>1.3763763315868014E-2</c:v>
                        </c:pt>
                        <c:pt idx="7">
                          <c:v>1.3745081758394985E-2</c:v>
                        </c:pt>
                        <c:pt idx="8">
                          <c:v>1.3726133815088049E-2</c:v>
                        </c:pt>
                        <c:pt idx="9">
                          <c:v>1.3710397591001476E-2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(3)'!$R$41:$R$50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182</c:v>
                      </c:pt>
                      <c:pt idx="1">
                        <c:v>183</c:v>
                      </c:pt>
                      <c:pt idx="2">
                        <c:v>184</c:v>
                      </c:pt>
                      <c:pt idx="3">
                        <c:v>185</c:v>
                      </c:pt>
                      <c:pt idx="4">
                        <c:v>186</c:v>
                      </c:pt>
                      <c:pt idx="5">
                        <c:v>187</c:v>
                      </c:pt>
                      <c:pt idx="6">
                        <c:v>188</c:v>
                      </c:pt>
                      <c:pt idx="7">
                        <c:v>189</c:v>
                      </c:pt>
                      <c:pt idx="8">
                        <c:v>191</c:v>
                      </c:pt>
                      <c:pt idx="9">
                        <c:v>193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(3)'!$S$41:$S$50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5.4058159768716409</c:v>
                      </c:pt>
                      <c:pt idx="1">
                        <c:v>5.4132103576159585</c:v>
                      </c:pt>
                      <c:pt idx="2">
                        <c:v>5.4157036824221372</c:v>
                      </c:pt>
                      <c:pt idx="3">
                        <c:v>5.4205946514935697</c:v>
                      </c:pt>
                      <c:pt idx="4">
                        <c:v>5.4252047312337162</c:v>
                      </c:pt>
                      <c:pt idx="5">
                        <c:v>5.4164422249111732</c:v>
                      </c:pt>
                      <c:pt idx="6">
                        <c:v>5.4190263309750302</c:v>
                      </c:pt>
                      <c:pt idx="7">
                        <c:v>5.4249282369263367</c:v>
                      </c:pt>
                      <c:pt idx="8">
                        <c:v>5.4319284214540877</c:v>
                      </c:pt>
                      <c:pt idx="9">
                        <c:v>5.4382852422248593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76-4A78-A38F-E4A35F2E0DE0}"/>
                  </c:ext>
                </c:extLst>
              </c15:ser>
            </c15:filteredScatterSeries>
          </c:ext>
        </c:extLst>
      </c:scatterChart>
      <c:valAx>
        <c:axId val="55609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Isotope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9376"/>
        <c:crosses val="autoZero"/>
        <c:crossBetween val="midCat"/>
      </c:valAx>
      <c:valAx>
        <c:axId val="5560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NUclear Radius (fm)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70808456635219"/>
          <c:y val="0.56891738658478963"/>
          <c:w val="7.1514173688008789E-2"/>
          <c:h val="0.25403399305156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(no Sam)'!$E$34</c:f>
              <c:strCache>
                <c:ptCount val="1"/>
                <c:pt idx="0">
                  <c:v>Os 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'Comparison (no Sam)'!$F$36:$F$39</c:f>
                <c:numCache>
                  <c:formatCode>General</c:formatCode>
                  <c:ptCount val="4"/>
                  <c:pt idx="0">
                    <c:v>1.8015899320348899E-4</c:v>
                  </c:pt>
                  <c:pt idx="1">
                    <c:v>8.3169628318964604E-4</c:v>
                  </c:pt>
                  <c:pt idx="2">
                    <c:v>1.2999999999999999E-3</c:v>
                  </c:pt>
                  <c:pt idx="3">
                    <c:v>2.2386400000000001E-3</c:v>
                  </c:pt>
                </c:numCache>
              </c:numRef>
            </c:plus>
            <c:minus>
              <c:numRef>
                <c:f>'Comparison (no Sam)'!$F$36:$F$39</c:f>
                <c:numCache>
                  <c:formatCode>General</c:formatCode>
                  <c:ptCount val="4"/>
                  <c:pt idx="0">
                    <c:v>1.8015899320348899E-4</c:v>
                  </c:pt>
                  <c:pt idx="1">
                    <c:v>8.3169628318964604E-4</c:v>
                  </c:pt>
                  <c:pt idx="2">
                    <c:v>1.2999999999999999E-3</c:v>
                  </c:pt>
                  <c:pt idx="3">
                    <c:v>2.2386400000000001E-3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'Comparison (no Sam)'!$C$36:$C$40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'Comparison (no Sam)'!$E$36:$E$39</c:f>
              <c:numCache>
                <c:formatCode>General</c:formatCode>
                <c:ptCount val="4"/>
                <c:pt idx="0" formatCode="0.0000">
                  <c:v>7.4476000000000004</c:v>
                </c:pt>
                <c:pt idx="1">
                  <c:v>7.4462000000000002</c:v>
                </c:pt>
                <c:pt idx="2">
                  <c:v>7.4489999999999998</c:v>
                </c:pt>
                <c:pt idx="3">
                  <c:v>7.4506600000000001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6-44A7-9E8C-E8757C016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6128"/>
        <c:axId val="356406960"/>
      </c:scatterChart>
      <c:valAx>
        <c:axId val="3564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960"/>
        <c:crosses val="autoZero"/>
        <c:crossBetween val="midCat"/>
      </c:valAx>
      <c:valAx>
        <c:axId val="3564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 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(no Sam)'!$E$34</c:f>
              <c:strCache>
                <c:ptCount val="1"/>
                <c:pt idx="0">
                  <c:v>Os 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'Comparison (no Sam)'!$J$36:$J$39</c:f>
                <c:numCache>
                  <c:formatCode>General</c:formatCode>
                  <c:ptCount val="4"/>
                  <c:pt idx="0">
                    <c:v>1.6830166728921099E-4</c:v>
                  </c:pt>
                  <c:pt idx="1">
                    <c:v>2.46724871580652E-3</c:v>
                  </c:pt>
                  <c:pt idx="2">
                    <c:v>1.2999999999999999E-3</c:v>
                  </c:pt>
                  <c:pt idx="3">
                    <c:v>2.14707509416195E-3</c:v>
                  </c:pt>
                </c:numCache>
              </c:numRef>
            </c:plus>
            <c:minus>
              <c:numRef>
                <c:f>'Comparison (no Sam)'!$J$36:$J$39</c:f>
                <c:numCache>
                  <c:formatCode>General</c:formatCode>
                  <c:ptCount val="4"/>
                  <c:pt idx="0">
                    <c:v>1.6830166728921099E-4</c:v>
                  </c:pt>
                  <c:pt idx="1">
                    <c:v>2.46724871580652E-3</c:v>
                  </c:pt>
                  <c:pt idx="2">
                    <c:v>1.2999999999999999E-3</c:v>
                  </c:pt>
                  <c:pt idx="3">
                    <c:v>2.14707509416195E-3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'Comparison (no Sam)'!$C$36:$C$40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'Comparison (no Sam)'!$I$36:$I$39</c:f>
              <c:numCache>
                <c:formatCode>General</c:formatCode>
                <c:ptCount val="4"/>
                <c:pt idx="0" formatCode="0.0000">
                  <c:v>7.2941304892272498</c:v>
                </c:pt>
                <c:pt idx="1">
                  <c:v>7.2919999999999998</c:v>
                </c:pt>
                <c:pt idx="2">
                  <c:v>7.2948000000000004</c:v>
                </c:pt>
                <c:pt idx="3">
                  <c:v>7.2966199999999999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6-4047-B6DD-70BB99FD1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6128"/>
        <c:axId val="356406960"/>
      </c:scatterChart>
      <c:valAx>
        <c:axId val="3564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960"/>
        <c:crosses val="autoZero"/>
        <c:crossBetween val="midCat"/>
      </c:valAx>
      <c:valAx>
        <c:axId val="356406960"/>
        <c:scaling>
          <c:orientation val="minMax"/>
          <c:min val="7.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 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(no Sam)'!$E$34</c:f>
              <c:strCache>
                <c:ptCount val="1"/>
                <c:pt idx="0">
                  <c:v>Os 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'Comparison (no Sam)'!$F$45:$F$48</c:f>
                <c:numCache>
                  <c:formatCode>General</c:formatCode>
                  <c:ptCount val="4"/>
                  <c:pt idx="0">
                    <c:v>1.6830166728921099E-4</c:v>
                  </c:pt>
                  <c:pt idx="2">
                    <c:v>2E-3</c:v>
                  </c:pt>
                </c:numCache>
              </c:numRef>
            </c:plus>
            <c:minus>
              <c:numRef>
                <c:f>'Comparison (no Sam)'!$F$45:$F$48</c:f>
                <c:numCache>
                  <c:formatCode>General</c:formatCode>
                  <c:ptCount val="4"/>
                  <c:pt idx="0">
                    <c:v>1.6830166728921099E-4</c:v>
                  </c:pt>
                  <c:pt idx="2">
                    <c:v>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'Comparison (no Sam)'!$C$36:$C$40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'Comparison (no Sam)'!$E$45:$E$48</c:f>
              <c:numCache>
                <c:formatCode>General</c:formatCode>
                <c:ptCount val="4"/>
                <c:pt idx="0" formatCode="0.0000">
                  <c:v>7.6550562627676104</c:v>
                </c:pt>
                <c:pt idx="2">
                  <c:v>7.657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5-4008-9C8D-864A190F2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6128"/>
        <c:axId val="356406960"/>
      </c:scatterChart>
      <c:valAx>
        <c:axId val="3564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Author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960"/>
        <c:crosses val="autoZero"/>
        <c:crossBetween val="midCat"/>
      </c:valAx>
      <c:valAx>
        <c:axId val="356406960"/>
        <c:scaling>
          <c:orientation val="minMax"/>
          <c:max val="7.6614999999999993"/>
          <c:min val="7.6514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 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(no Sam)'!$E$34</c:f>
              <c:strCache>
                <c:ptCount val="1"/>
                <c:pt idx="0">
                  <c:v>Os 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'Comparison (no Sam)'!$J$45:$J$48</c:f>
                <c:numCache>
                  <c:formatCode>General</c:formatCode>
                  <c:ptCount val="4"/>
                  <c:pt idx="0">
                    <c:v>1.6813047593010501E-4</c:v>
                  </c:pt>
                  <c:pt idx="2">
                    <c:v>2E-3</c:v>
                  </c:pt>
                </c:numCache>
              </c:numRef>
            </c:plus>
            <c:minus>
              <c:numRef>
                <c:f>'Comparison (no Sam)'!$F$45:$F$48</c:f>
                <c:numCache>
                  <c:formatCode>General</c:formatCode>
                  <c:ptCount val="4"/>
                  <c:pt idx="0">
                    <c:v>1.6830166728921099E-4</c:v>
                  </c:pt>
                  <c:pt idx="2">
                    <c:v>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'Comparison (no Sam)'!$C$36:$C$40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'Comparison (no Sam)'!$I$45:$I$48</c:f>
              <c:numCache>
                <c:formatCode>General</c:formatCode>
                <c:ptCount val="4"/>
                <c:pt idx="0" formatCode="0.0000">
                  <c:v>7.4929520911420102</c:v>
                </c:pt>
                <c:pt idx="2">
                  <c:v>7.4945000000000004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5-4A70-A29E-EEDB6BE1C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6128"/>
        <c:axId val="356406960"/>
      </c:scatterChart>
      <c:valAx>
        <c:axId val="3564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Author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960"/>
        <c:crosses val="autoZero"/>
        <c:crossBetween val="midCat"/>
      </c:valAx>
      <c:valAx>
        <c:axId val="356406960"/>
        <c:scaling>
          <c:orientation val="minMax"/>
          <c:max val="7.4990000000000006"/>
          <c:min val="7.489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Os 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Sheet1!$F$36:$F$40</c:f>
                <c:numCache>
                  <c:formatCode>General</c:formatCode>
                  <c:ptCount val="5"/>
                  <c:pt idx="0">
                    <c:v>1.8015899320348899E-4</c:v>
                  </c:pt>
                  <c:pt idx="1">
                    <c:v>2.0000000000000001E-4</c:v>
                  </c:pt>
                  <c:pt idx="2">
                    <c:v>8.3169628318964604E-4</c:v>
                  </c:pt>
                  <c:pt idx="3">
                    <c:v>1.2999999999999999E-3</c:v>
                  </c:pt>
                  <c:pt idx="4">
                    <c:v>2.2386400000000001E-3</c:v>
                  </c:pt>
                </c:numCache>
              </c:numRef>
            </c:plus>
            <c:minus>
              <c:numRef>
                <c:f>Sheet1!$F$36:$F$40</c:f>
                <c:numCache>
                  <c:formatCode>General</c:formatCode>
                  <c:ptCount val="5"/>
                  <c:pt idx="0">
                    <c:v>1.8015899320348899E-4</c:v>
                  </c:pt>
                  <c:pt idx="1">
                    <c:v>2.0000000000000001E-4</c:v>
                  </c:pt>
                  <c:pt idx="2">
                    <c:v>8.3169628318964604E-4</c:v>
                  </c:pt>
                  <c:pt idx="3">
                    <c:v>1.2999999999999999E-3</c:v>
                  </c:pt>
                  <c:pt idx="4">
                    <c:v>2.2386400000000001E-3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Sheet1!$C$36:$C$40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Sheet1!$E$36:$E$40</c:f>
              <c:numCache>
                <c:formatCode>General</c:formatCode>
                <c:ptCount val="5"/>
                <c:pt idx="0" formatCode="0.0000">
                  <c:v>7.4476000000000004</c:v>
                </c:pt>
                <c:pt idx="1">
                  <c:v>7.4477000000000002</c:v>
                </c:pt>
                <c:pt idx="2">
                  <c:v>7.4462000000000002</c:v>
                </c:pt>
                <c:pt idx="3">
                  <c:v>7.4489999999999998</c:v>
                </c:pt>
                <c:pt idx="4">
                  <c:v>7.4506600000000001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0-44C2-9E67-E382D18C5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6128"/>
        <c:axId val="356406960"/>
      </c:scatterChart>
      <c:valAx>
        <c:axId val="3564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960"/>
        <c:crosses val="autoZero"/>
        <c:crossBetween val="midCat"/>
      </c:valAx>
      <c:valAx>
        <c:axId val="3564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 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Os 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Sheet1!$J$36:$J$40</c:f>
                <c:numCache>
                  <c:formatCode>General</c:formatCode>
                  <c:ptCount val="5"/>
                  <c:pt idx="0">
                    <c:v>1.6830166728921099E-4</c:v>
                  </c:pt>
                  <c:pt idx="1">
                    <c:v>2.0000000000000001E-4</c:v>
                  </c:pt>
                  <c:pt idx="2">
                    <c:v>2.46724871580652E-3</c:v>
                  </c:pt>
                  <c:pt idx="3">
                    <c:v>1.2999999999999999E-3</c:v>
                  </c:pt>
                  <c:pt idx="4">
                    <c:v>2.14707509416195E-3</c:v>
                  </c:pt>
                </c:numCache>
              </c:numRef>
            </c:plus>
            <c:minus>
              <c:numRef>
                <c:f>Sheet1!$J$36:$J$40</c:f>
                <c:numCache>
                  <c:formatCode>General</c:formatCode>
                  <c:ptCount val="5"/>
                  <c:pt idx="0">
                    <c:v>1.6830166728921099E-4</c:v>
                  </c:pt>
                  <c:pt idx="1">
                    <c:v>2.0000000000000001E-4</c:v>
                  </c:pt>
                  <c:pt idx="2">
                    <c:v>2.46724871580652E-3</c:v>
                  </c:pt>
                  <c:pt idx="3">
                    <c:v>1.2999999999999999E-3</c:v>
                  </c:pt>
                  <c:pt idx="4">
                    <c:v>2.14707509416195E-3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Sheet1!$C$36:$C$40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Sheet1!$I$36:$I$40</c:f>
              <c:numCache>
                <c:formatCode>General</c:formatCode>
                <c:ptCount val="5"/>
                <c:pt idx="0" formatCode="0.0000">
                  <c:v>7.2941304892272498</c:v>
                </c:pt>
                <c:pt idx="1">
                  <c:v>7.2946</c:v>
                </c:pt>
                <c:pt idx="2">
                  <c:v>7.2919999999999998</c:v>
                </c:pt>
                <c:pt idx="3">
                  <c:v>7.2948000000000004</c:v>
                </c:pt>
                <c:pt idx="4">
                  <c:v>7.2966199999999999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8-4972-AC5F-E91D37262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6128"/>
        <c:axId val="356406960"/>
      </c:scatterChart>
      <c:valAx>
        <c:axId val="3564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960"/>
        <c:crosses val="autoZero"/>
        <c:crossBetween val="midCat"/>
      </c:valAx>
      <c:valAx>
        <c:axId val="3564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 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Os 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Sheet1!$F$45:$F$49</c:f>
                <c:numCache>
                  <c:formatCode>General</c:formatCode>
                  <c:ptCount val="5"/>
                  <c:pt idx="0">
                    <c:v>1.6830166728921099E-4</c:v>
                  </c:pt>
                  <c:pt idx="1">
                    <c:v>2.0000000000000001E-4</c:v>
                  </c:pt>
                  <c:pt idx="3">
                    <c:v>2E-3</c:v>
                  </c:pt>
                </c:numCache>
              </c:numRef>
            </c:plus>
            <c:minus>
              <c:numRef>
                <c:f>Sheet1!$F$45:$F$49</c:f>
                <c:numCache>
                  <c:formatCode>General</c:formatCode>
                  <c:ptCount val="5"/>
                  <c:pt idx="0">
                    <c:v>1.6830166728921099E-4</c:v>
                  </c:pt>
                  <c:pt idx="1">
                    <c:v>2.0000000000000001E-4</c:v>
                  </c:pt>
                  <c:pt idx="3">
                    <c:v>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Sheet1!$C$36:$C$40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Sheet1!$E$45:$E$49</c:f>
              <c:numCache>
                <c:formatCode>General</c:formatCode>
                <c:ptCount val="5"/>
                <c:pt idx="0" formatCode="0.0000">
                  <c:v>7.6550562627676104</c:v>
                </c:pt>
                <c:pt idx="1">
                  <c:v>7.6553000000000004</c:v>
                </c:pt>
                <c:pt idx="3">
                  <c:v>7.657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7-411A-83D7-0E03AA06B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6128"/>
        <c:axId val="356406960"/>
      </c:scatterChart>
      <c:valAx>
        <c:axId val="3564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960"/>
        <c:crosses val="autoZero"/>
        <c:crossBetween val="midCat"/>
      </c:valAx>
      <c:valAx>
        <c:axId val="3564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 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Os 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Sheet1!$J$45:$J$49</c:f>
                <c:numCache>
                  <c:formatCode>General</c:formatCode>
                  <c:ptCount val="5"/>
                  <c:pt idx="0">
                    <c:v>1.6813047593010501E-4</c:v>
                  </c:pt>
                  <c:pt idx="1">
                    <c:v>2.0000000000000001E-4</c:v>
                  </c:pt>
                  <c:pt idx="3">
                    <c:v>2E-3</c:v>
                  </c:pt>
                </c:numCache>
              </c:numRef>
            </c:plus>
            <c:minus>
              <c:numRef>
                <c:f>Sheet1!$F$45:$F$49</c:f>
                <c:numCache>
                  <c:formatCode>General</c:formatCode>
                  <c:ptCount val="5"/>
                  <c:pt idx="0">
                    <c:v>1.6830166728921099E-4</c:v>
                  </c:pt>
                  <c:pt idx="1">
                    <c:v>2.0000000000000001E-4</c:v>
                  </c:pt>
                  <c:pt idx="3">
                    <c:v>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Sheet1!$C$36:$C$40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Sheet1!$I$45:$I$49</c:f>
              <c:numCache>
                <c:formatCode>General</c:formatCode>
                <c:ptCount val="5"/>
                <c:pt idx="0" formatCode="0.0000">
                  <c:v>7.4929520911420102</c:v>
                </c:pt>
                <c:pt idx="1">
                  <c:v>7.4931999999999999</c:v>
                </c:pt>
                <c:pt idx="3">
                  <c:v>7.4945000000000004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D-4CE4-A888-3B6DB5AF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6128"/>
        <c:axId val="356406960"/>
      </c:scatterChart>
      <c:valAx>
        <c:axId val="3564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960"/>
        <c:crosses val="autoZero"/>
        <c:crossBetween val="midCat"/>
      </c:valAx>
      <c:valAx>
        <c:axId val="3564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'Nuclear Radius Table (3)'!$R$58</c:f>
              <c:strCache>
                <c:ptCount val="1"/>
                <c:pt idx="0">
                  <c:v>Angeli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(3)'!$S$59:$S$68</c:f>
                <c:numCache>
                  <c:formatCode>General</c:formatCode>
                  <c:ptCount val="10"/>
                  <c:pt idx="0">
                    <c:v>0.1061</c:v>
                  </c:pt>
                  <c:pt idx="1">
                    <c:v>0.1061</c:v>
                  </c:pt>
                  <c:pt idx="2">
                    <c:v>0.1061</c:v>
                  </c:pt>
                  <c:pt idx="3">
                    <c:v>0.1061</c:v>
                  </c:pt>
                  <c:pt idx="4">
                    <c:v>0.1061</c:v>
                  </c:pt>
                  <c:pt idx="5">
                    <c:v>0.1061</c:v>
                  </c:pt>
                  <c:pt idx="6">
                    <c:v>0.1061</c:v>
                  </c:pt>
                  <c:pt idx="7">
                    <c:v>0.1061</c:v>
                  </c:pt>
                  <c:pt idx="8">
                    <c:v>0.1061</c:v>
                  </c:pt>
                  <c:pt idx="9">
                    <c:v>0.1061</c:v>
                  </c:pt>
                </c:numCache>
              </c:numRef>
            </c:plus>
            <c:minus>
              <c:numRef>
                <c:f>'Nuclear Radius Table (3)'!$S$59:$S$68</c:f>
                <c:numCache>
                  <c:formatCode>General</c:formatCode>
                  <c:ptCount val="10"/>
                  <c:pt idx="0">
                    <c:v>0.1061</c:v>
                  </c:pt>
                  <c:pt idx="1">
                    <c:v>0.1061</c:v>
                  </c:pt>
                  <c:pt idx="2">
                    <c:v>0.1061</c:v>
                  </c:pt>
                  <c:pt idx="3">
                    <c:v>0.1061</c:v>
                  </c:pt>
                  <c:pt idx="4">
                    <c:v>0.1061</c:v>
                  </c:pt>
                  <c:pt idx="5">
                    <c:v>0.1061</c:v>
                  </c:pt>
                  <c:pt idx="6">
                    <c:v>0.1061</c:v>
                  </c:pt>
                  <c:pt idx="7">
                    <c:v>0.1061</c:v>
                  </c:pt>
                  <c:pt idx="8">
                    <c:v>0.1061</c:v>
                  </c:pt>
                  <c:pt idx="9">
                    <c:v>0.1061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'Nuclear Radius Table (3)'!$Q$59:$Q$68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</c:numRef>
          </c:xVal>
          <c:yVal>
            <c:numRef>
              <c:f>'Nuclear Radius Table (3)'!$R$59:$R$68</c:f>
              <c:numCache>
                <c:formatCode>0.0000</c:formatCode>
                <c:ptCount val="10"/>
                <c:pt idx="0" formatCode="General">
                  <c:v>5.3704999999999998</c:v>
                </c:pt>
                <c:pt idx="1">
                  <c:v>5.3780000000000001</c:v>
                </c:pt>
                <c:pt idx="2" formatCode="General">
                  <c:v>5.3804999999999996</c:v>
                </c:pt>
                <c:pt idx="3" formatCode="General">
                  <c:v>5.3853999999999997</c:v>
                </c:pt>
                <c:pt idx="4">
                  <c:v>5.39</c:v>
                </c:pt>
                <c:pt idx="5" formatCode="General">
                  <c:v>5.3811999999999998</c:v>
                </c:pt>
                <c:pt idx="6" formatCode="General">
                  <c:v>5.3837999999999999</c:v>
                </c:pt>
                <c:pt idx="7" formatCode="General">
                  <c:v>5.3898000000000001</c:v>
                </c:pt>
                <c:pt idx="8" formatCode="General">
                  <c:v>5.3967999999999998</c:v>
                </c:pt>
                <c:pt idx="9" formatCode="General">
                  <c:v>5.4032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1-432C-8FB4-FA54E1A7B97B}"/>
            </c:ext>
          </c:extLst>
        </c:ser>
        <c:ser>
          <c:idx val="1"/>
          <c:order val="1"/>
          <c:tx>
            <c:strRef>
              <c:f>'Nuclear Radius Table (3)'!$T$58</c:f>
              <c:strCache>
                <c:ptCount val="1"/>
                <c:pt idx="0">
                  <c:v>Dipti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(3)'!$U$59:$U$68</c:f>
                <c:numCache>
                  <c:formatCode>General</c:formatCode>
                  <c:ptCount val="10"/>
                  <c:pt idx="0">
                    <c:v>2.0530054425932587E-2</c:v>
                  </c:pt>
                  <c:pt idx="1">
                    <c:v>2.049984480849799E-2</c:v>
                  </c:pt>
                  <c:pt idx="2">
                    <c:v>2.0487130483530194E-2</c:v>
                  </c:pt>
                  <c:pt idx="3">
                    <c:v>2.0468719842653672E-2</c:v>
                  </c:pt>
                  <c:pt idx="4">
                    <c:v>2.045284444302696E-2</c:v>
                  </c:pt>
                  <c:pt idx="5">
                    <c:v>2.0484348335250892E-2</c:v>
                  </c:pt>
                  <c:pt idx="6">
                    <c:v>2.0476069086708786E-2</c:v>
                  </c:pt>
                  <c:pt idx="7">
                    <c:v>2.0451400688840764E-2</c:v>
                  </c:pt>
                  <c:pt idx="8">
                    <c:v>2.042432460258924E-2</c:v>
                  </c:pt>
                  <c:pt idx="9">
                    <c:v>2.0400752874744771E-2</c:v>
                  </c:pt>
                </c:numCache>
              </c:numRef>
            </c:plus>
            <c:minus>
              <c:numRef>
                <c:f>'Nuclear Radius Table (3)'!$U$59:$U$68</c:f>
                <c:numCache>
                  <c:formatCode>General</c:formatCode>
                  <c:ptCount val="10"/>
                  <c:pt idx="0">
                    <c:v>2.0530054425932587E-2</c:v>
                  </c:pt>
                  <c:pt idx="1">
                    <c:v>2.049984480849799E-2</c:v>
                  </c:pt>
                  <c:pt idx="2">
                    <c:v>2.0487130483530194E-2</c:v>
                  </c:pt>
                  <c:pt idx="3">
                    <c:v>2.0468719842653672E-2</c:v>
                  </c:pt>
                  <c:pt idx="4">
                    <c:v>2.045284444302696E-2</c:v>
                  </c:pt>
                  <c:pt idx="5">
                    <c:v>2.0484348335250892E-2</c:v>
                  </c:pt>
                  <c:pt idx="6">
                    <c:v>2.0476069086708786E-2</c:v>
                  </c:pt>
                  <c:pt idx="7">
                    <c:v>2.0451400688840764E-2</c:v>
                  </c:pt>
                  <c:pt idx="8">
                    <c:v>2.042432460258924E-2</c:v>
                  </c:pt>
                  <c:pt idx="9">
                    <c:v>2.0400752874744771E-2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'Nuclear Radius Table (3)'!$Q$59:$Q$68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</c:numRef>
          </c:xVal>
          <c:yVal>
            <c:numRef>
              <c:f>'Nuclear Radius Table (3)'!$T$59:$T$68</c:f>
              <c:numCache>
                <c:formatCode>General</c:formatCode>
                <c:ptCount val="10"/>
                <c:pt idx="0">
                  <c:v>5.4168370764952263</c:v>
                </c:pt>
                <c:pt idx="1">
                  <c:v>5.4242164331167082</c:v>
                </c:pt>
                <c:pt idx="2">
                  <c:v>5.4267047011324792</c:v>
                </c:pt>
                <c:pt idx="3">
                  <c:v>5.4315857641478278</c:v>
                </c:pt>
                <c:pt idx="4">
                  <c:v>5.4361865230410693</c:v>
                </c:pt>
                <c:pt idx="5">
                  <c:v>5.4274417466513034</c:v>
                </c:pt>
                <c:pt idx="6">
                  <c:v>5.4300206181278305</c:v>
                </c:pt>
                <c:pt idx="7">
                  <c:v>5.4359105873159237</c:v>
                </c:pt>
                <c:pt idx="8">
                  <c:v>5.4428966473095324</c:v>
                </c:pt>
                <c:pt idx="9">
                  <c:v>5.4492406730932101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1-432C-8FB4-FA54E1A7B97B}"/>
            </c:ext>
          </c:extLst>
        </c:ser>
        <c:ser>
          <c:idx val="2"/>
          <c:order val="2"/>
          <c:tx>
            <c:strRef>
              <c:f>'Nuclear Radius Table (3)'!$V$58</c:f>
              <c:strCache>
                <c:ptCount val="1"/>
                <c:pt idx="0">
                  <c:v>Steve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(3)'!$W$59:$W$68</c:f>
                <c:numCache>
                  <c:formatCode>General</c:formatCode>
                  <c:ptCount val="10"/>
                  <c:pt idx="0">
                    <c:v>7.1090204501300085E-3</c:v>
                  </c:pt>
                  <c:pt idx="1">
                    <c:v>7.092729419791723E-3</c:v>
                  </c:pt>
                  <c:pt idx="2">
                    <c:v>7.0798646343295099E-3</c:v>
                  </c:pt>
                  <c:pt idx="3">
                    <c:v>7.0734891956740365E-3</c:v>
                  </c:pt>
                  <c:pt idx="4">
                    <c:v>7.0716872150839924E-3</c:v>
                  </c:pt>
                  <c:pt idx="5">
                    <c:v>7.0789011992255305E-3</c:v>
                  </c:pt>
                  <c:pt idx="6">
                    <c:v>7.0797338692464582E-3</c:v>
                  </c:pt>
                  <c:pt idx="7">
                    <c:v>7.0648504807739997E-3</c:v>
                  </c:pt>
                  <c:pt idx="8">
                    <c:v>7.0533665741062644E-3</c:v>
                  </c:pt>
                  <c:pt idx="9">
                    <c:v>7.0457368590908292E-3</c:v>
                  </c:pt>
                </c:numCache>
              </c:numRef>
            </c:plus>
            <c:minus>
              <c:numRef>
                <c:f>'Nuclear Radius Table (3)'!$W$59:$W$68</c:f>
                <c:numCache>
                  <c:formatCode>General</c:formatCode>
                  <c:ptCount val="10"/>
                  <c:pt idx="0">
                    <c:v>7.1090204501300085E-3</c:v>
                  </c:pt>
                  <c:pt idx="1">
                    <c:v>7.092729419791723E-3</c:v>
                  </c:pt>
                  <c:pt idx="2">
                    <c:v>7.0798646343295099E-3</c:v>
                  </c:pt>
                  <c:pt idx="3">
                    <c:v>7.0734891956740365E-3</c:v>
                  </c:pt>
                  <c:pt idx="4">
                    <c:v>7.0716872150839924E-3</c:v>
                  </c:pt>
                  <c:pt idx="5">
                    <c:v>7.0789011992255305E-3</c:v>
                  </c:pt>
                  <c:pt idx="6">
                    <c:v>7.0797338692464582E-3</c:v>
                  </c:pt>
                  <c:pt idx="7">
                    <c:v>7.0648504807739997E-3</c:v>
                  </c:pt>
                  <c:pt idx="8">
                    <c:v>7.0533665741062644E-3</c:v>
                  </c:pt>
                  <c:pt idx="9">
                    <c:v>7.0457368590908292E-3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xVal>
            <c:numRef>
              <c:f>'Nuclear Radius Table (3)'!$Q$59:$Q$68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</c:numRef>
          </c:xVal>
          <c:yVal>
            <c:numRef>
              <c:f>'Nuclear Radius Table (3)'!$V$59:$V$68</c:f>
              <c:numCache>
                <c:formatCode>General</c:formatCode>
                <c:ptCount val="10"/>
                <c:pt idx="0">
                  <c:v>5.4112158157648285</c:v>
                </c:pt>
                <c:pt idx="1">
                  <c:v>5.4186028277392158</c:v>
                </c:pt>
                <c:pt idx="2">
                  <c:v>5.4210936723859904</c:v>
                </c:pt>
                <c:pt idx="3">
                  <c:v>5.4259797829316891</c:v>
                </c:pt>
                <c:pt idx="4">
                  <c:v>5.4305852911802628</c:v>
                </c:pt>
                <c:pt idx="5">
                  <c:v>5.4218314806699244</c:v>
                </c:pt>
                <c:pt idx="6">
                  <c:v>5.4244130193766971</c:v>
                </c:pt>
                <c:pt idx="7">
                  <c:v>5.4303090708341291</c:v>
                </c:pt>
                <c:pt idx="8">
                  <c:v>5.4373023278813015</c:v>
                </c:pt>
                <c:pt idx="9">
                  <c:v>5.4436528732812697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E1-432C-8FB4-FA54E1A7B97B}"/>
            </c:ext>
          </c:extLst>
        </c:ser>
        <c:ser>
          <c:idx val="4"/>
          <c:order val="4"/>
          <c:tx>
            <c:strRef>
              <c:f>'Nuclear Radius Table (3)'!$Z$58</c:f>
              <c:strCache>
                <c:ptCount val="1"/>
                <c:pt idx="0">
                  <c:v>Steve Mg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'Nuclear Radius Table (3)'!$Q$59:$Q$68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  <c:extLst xmlns:c15="http://schemas.microsoft.com/office/drawing/2012/chart"/>
            </c:numRef>
          </c:xVal>
          <c:yVal>
            <c:numRef>
              <c:f>'Nuclear Radius Table (3)'!$Z$59:$Z$68</c:f>
              <c:numCache>
                <c:formatCode>General</c:formatCode>
                <c:ptCount val="10"/>
                <c:pt idx="0">
                  <c:v>5.3905685237029974</c:v>
                </c:pt>
                <c:pt idx="1">
                  <c:v>5.397983791077694</c:v>
                </c:pt>
                <c:pt idx="2">
                  <c:v>5.4004841457722579</c:v>
                </c:pt>
                <c:pt idx="3">
                  <c:v>5.4053888859856798</c:v>
                </c:pt>
                <c:pt idx="4">
                  <c:v>5.4100119231603836</c:v>
                </c:pt>
                <c:pt idx="5">
                  <c:v>5.4012247693220017</c:v>
                </c:pt>
                <c:pt idx="6">
                  <c:v>5.4038161523813439</c:v>
                </c:pt>
                <c:pt idx="7">
                  <c:v>5.4097346523408625</c:v>
                </c:pt>
                <c:pt idx="8">
                  <c:v>5.4167544718897416</c:v>
                </c:pt>
                <c:pt idx="9">
                  <c:v>5.4231290791145215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0BE1-432C-8FB4-FA54E1A7B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33919"/>
        <c:axId val="587632671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'Nuclear Radius Table (3)'!$X$58</c15:sqref>
                        </c15:formulaRef>
                      </c:ext>
                    </c:extLst>
                    <c:strCache>
                      <c:ptCount val="1"/>
                      <c:pt idx="0">
                        <c:v>Sap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'Nuclear Radius Table (3)'!$Y$59:$Y$68</c15:sqref>
                          </c15:formulaRef>
                        </c:ext>
                      </c:extLst>
                      <c:numCache>
                        <c:formatCode>General</c:formatCode>
                        <c:ptCount val="10"/>
                        <c:pt idx="0">
                          <c:v>0.10974526440197807</c:v>
                        </c:pt>
                        <c:pt idx="1">
                          <c:v>0.10959438989669339</c:v>
                        </c:pt>
                        <c:pt idx="2">
                          <c:v>0.10954312973545335</c:v>
                        </c:pt>
                        <c:pt idx="3">
                          <c:v>0.10944393854275787</c:v>
                        </c:pt>
                        <c:pt idx="4">
                          <c:v>0.10935088135570922</c:v>
                        </c:pt>
                        <c:pt idx="5">
                          <c:v>0.10952814019657256</c:v>
                        </c:pt>
                        <c:pt idx="6">
                          <c:v>0.10947599836866127</c:v>
                        </c:pt>
                        <c:pt idx="7">
                          <c:v>0.109356006707387</c:v>
                        </c:pt>
                        <c:pt idx="8">
                          <c:v>0.10921442412405769</c:v>
                        </c:pt>
                        <c:pt idx="9">
                          <c:v>0.10908635149535743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'Nuclear Radius Table (3)'!$Y$59:$Y$68</c15:sqref>
                          </c15:formulaRef>
                        </c:ext>
                      </c:extLst>
                      <c:numCache>
                        <c:formatCode>General</c:formatCode>
                        <c:ptCount val="10"/>
                        <c:pt idx="0">
                          <c:v>0.10974526440197807</c:v>
                        </c:pt>
                        <c:pt idx="1">
                          <c:v>0.10959438989669339</c:v>
                        </c:pt>
                        <c:pt idx="2">
                          <c:v>0.10954312973545335</c:v>
                        </c:pt>
                        <c:pt idx="3">
                          <c:v>0.10944393854275787</c:v>
                        </c:pt>
                        <c:pt idx="4">
                          <c:v>0.10935088135570922</c:v>
                        </c:pt>
                        <c:pt idx="5">
                          <c:v>0.10952814019657256</c:v>
                        </c:pt>
                        <c:pt idx="6">
                          <c:v>0.10947599836866127</c:v>
                        </c:pt>
                        <c:pt idx="7">
                          <c:v>0.109356006707387</c:v>
                        </c:pt>
                        <c:pt idx="8">
                          <c:v>0.10921442412405769</c:v>
                        </c:pt>
                        <c:pt idx="9">
                          <c:v>0.10908635149535743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'Nuclear Radius Table (3)'!$Q$59:$Q$68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182</c:v>
                      </c:pt>
                      <c:pt idx="1">
                        <c:v>183</c:v>
                      </c:pt>
                      <c:pt idx="2">
                        <c:v>184</c:v>
                      </c:pt>
                      <c:pt idx="3">
                        <c:v>185</c:v>
                      </c:pt>
                      <c:pt idx="4">
                        <c:v>186</c:v>
                      </c:pt>
                      <c:pt idx="5">
                        <c:v>187</c:v>
                      </c:pt>
                      <c:pt idx="6">
                        <c:v>188</c:v>
                      </c:pt>
                      <c:pt idx="7">
                        <c:v>189</c:v>
                      </c:pt>
                      <c:pt idx="8">
                        <c:v>191</c:v>
                      </c:pt>
                      <c:pt idx="9">
                        <c:v>193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'Nuclear Radius Table (3)'!$X$59:$X$68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5.3961919860634699</c:v>
                      </c:pt>
                      <c:pt idx="1">
                        <c:v>5.4035995364623028</c:v>
                      </c:pt>
                      <c:pt idx="2">
                        <c:v>5.4060972938392089</c:v>
                      </c:pt>
                      <c:pt idx="3">
                        <c:v>5.4109969460770921</c:v>
                      </c:pt>
                      <c:pt idx="4">
                        <c:v>5.4156151959362493</c:v>
                      </c:pt>
                      <c:pt idx="5">
                        <c:v>5.4068371485051792</c:v>
                      </c:pt>
                      <c:pt idx="6">
                        <c:v>5.4094258429574218</c:v>
                      </c:pt>
                      <c:pt idx="7">
                        <c:v>5.4153382120099955</c:v>
                      </c:pt>
                      <c:pt idx="8">
                        <c:v>5.4223507771496688</c:v>
                      </c:pt>
                      <c:pt idx="9">
                        <c:v>5.4287188129848483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BE1-432C-8FB4-FA54E1A7B97B}"/>
                  </c:ext>
                </c:extLst>
              </c15:ser>
            </c15:filteredScatterSeries>
          </c:ext>
        </c:extLst>
      </c:scatterChart>
      <c:valAx>
        <c:axId val="58763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Isotope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32671"/>
        <c:crosses val="autoZero"/>
        <c:crossBetween val="midCat"/>
      </c:valAx>
      <c:valAx>
        <c:axId val="5876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Nuclear Radius (fm)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3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Ir-191 Nuclear Radius Projection</a:t>
            </a:r>
            <a:r>
              <a:rPr lang="en-US" baseline="0"/>
              <a:t> over various theories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'Nuclear Radius Table (3)'!$Y$12</c:f>
              <c:strCache>
                <c:ptCount val="1"/>
                <c:pt idx="0">
                  <c:v>Na-like Relative / 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(3)'!$X$12</c:f>
                <c:numCache>
                  <c:formatCode>General</c:formatCode>
                  <c:ptCount val="1"/>
                  <c:pt idx="0">
                    <c:v>1.2154928692574892E-2</c:v>
                  </c:pt>
                </c:numCache>
              </c:numRef>
            </c:plus>
            <c:minus>
              <c:numRef>
                <c:f>'Nuclear Radius Table (3)'!$X$12</c:f>
                <c:numCache>
                  <c:formatCode>General</c:formatCode>
                  <c:ptCount val="1"/>
                  <c:pt idx="0">
                    <c:v>1.2154928692574892E-2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(3)'!$V$12</c:f>
              <c:numCache>
                <c:formatCode>General</c:formatCode>
                <c:ptCount val="1"/>
                <c:pt idx="0">
                  <c:v>101</c:v>
                </c:pt>
              </c:numCache>
            </c:numRef>
          </c:xVal>
          <c:yVal>
            <c:numRef>
              <c:f>'Nuclear Radius Table (3)'!$W$12</c:f>
              <c:numCache>
                <c:formatCode>General</c:formatCode>
                <c:ptCount val="1"/>
                <c:pt idx="0">
                  <c:v>5.4349697193730604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4E-49D3-964B-1D3B6D06722C}"/>
            </c:ext>
          </c:extLst>
        </c:ser>
        <c:ser>
          <c:idx val="1"/>
          <c:order val="1"/>
          <c:tx>
            <c:strRef>
              <c:f>'Nuclear Radius Table (3)'!$Y$13</c:f>
              <c:strCache>
                <c:ptCount val="1"/>
                <c:pt idx="0">
                  <c:v>Na-like Absolute / 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(3)'!$X$13</c:f>
                <c:numCache>
                  <c:formatCode>General</c:formatCode>
                  <c:ptCount val="1"/>
                  <c:pt idx="0">
                    <c:v>1.1965962485056471E-2</c:v>
                  </c:pt>
                </c:numCache>
              </c:numRef>
            </c:plus>
            <c:minus>
              <c:numRef>
                <c:f>'Nuclear Radius Table (3)'!$X$13</c:f>
                <c:numCache>
                  <c:formatCode>General</c:formatCode>
                  <c:ptCount val="1"/>
                  <c:pt idx="0">
                    <c:v>1.1965962485056471E-2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(3)'!$V$13</c:f>
              <c:numCache>
                <c:formatCode>General</c:formatCode>
                <c:ptCount val="1"/>
                <c:pt idx="0">
                  <c:v>102</c:v>
                </c:pt>
              </c:numCache>
            </c:numRef>
          </c:xVal>
          <c:yVal>
            <c:numRef>
              <c:f>'Nuclear Radius Table (3)'!$W$13</c:f>
              <c:numCache>
                <c:formatCode>General</c:formatCode>
                <c:ptCount val="1"/>
                <c:pt idx="0">
                  <c:v>5.432545086125109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4E-49D3-964B-1D3B6D06722C}"/>
            </c:ext>
          </c:extLst>
        </c:ser>
        <c:ser>
          <c:idx val="2"/>
          <c:order val="2"/>
          <c:tx>
            <c:strRef>
              <c:f>'Nuclear Radius Table (3)'!$Y$14</c:f>
              <c:strCache>
                <c:ptCount val="1"/>
                <c:pt idx="0">
                  <c:v>Na-like Relative / RMBPT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(3)'!$X$14</c:f>
                <c:numCache>
                  <c:formatCode>General</c:formatCode>
                  <c:ptCount val="1"/>
                  <c:pt idx="0">
                    <c:v>1.2608427494142692E-2</c:v>
                  </c:pt>
                </c:numCache>
              </c:numRef>
            </c:plus>
            <c:minus>
              <c:numRef>
                <c:f>'Nuclear Radius Table (3)'!$X$14</c:f>
                <c:numCache>
                  <c:formatCode>General</c:formatCode>
                  <c:ptCount val="1"/>
                  <c:pt idx="0">
                    <c:v>1.2608427494142692E-2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(3)'!$V$14</c:f>
              <c:numCache>
                <c:formatCode>General</c:formatCode>
                <c:ptCount val="1"/>
                <c:pt idx="0">
                  <c:v>103</c:v>
                </c:pt>
              </c:numCache>
            </c:numRef>
          </c:xVal>
          <c:yVal>
            <c:numRef>
              <c:f>'Nuclear Radius Table (3)'!$W$14</c:f>
              <c:numCache>
                <c:formatCode>General</c:formatCode>
                <c:ptCount val="1"/>
                <c:pt idx="0">
                  <c:v>5.4468227637363356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E4E-49D3-964B-1D3B6D06722C}"/>
            </c:ext>
          </c:extLst>
        </c:ser>
        <c:ser>
          <c:idx val="3"/>
          <c:order val="3"/>
          <c:tx>
            <c:strRef>
              <c:f>'Nuclear Radius Table (3)'!$Y$15</c:f>
              <c:strCache>
                <c:ptCount val="1"/>
                <c:pt idx="0">
                  <c:v>Na-like Absolute / RMBPT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(3)'!$X$15</c:f>
                <c:numCache>
                  <c:formatCode>General</c:formatCode>
                  <c:ptCount val="1"/>
                  <c:pt idx="0">
                    <c:v>1.2420792389159864E-2</c:v>
                  </c:pt>
                </c:numCache>
              </c:numRef>
            </c:plus>
            <c:minus>
              <c:numRef>
                <c:f>'Nuclear Radius Table (3)'!$X$15</c:f>
                <c:numCache>
                  <c:formatCode>General</c:formatCode>
                  <c:ptCount val="1"/>
                  <c:pt idx="0">
                    <c:v>1.2420792389159864E-2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(3)'!$V$15</c:f>
              <c:numCache>
                <c:formatCode>General</c:formatCode>
                <c:ptCount val="1"/>
                <c:pt idx="0">
                  <c:v>104</c:v>
                </c:pt>
              </c:numCache>
            </c:numRef>
          </c:xVal>
          <c:yVal>
            <c:numRef>
              <c:f>'Nuclear Radius Table (3)'!$W$15</c:f>
              <c:numCache>
                <c:formatCode>General</c:formatCode>
                <c:ptCount val="1"/>
                <c:pt idx="0">
                  <c:v>5.4443249045898199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E4E-49D3-964B-1D3B6D06722C}"/>
            </c:ext>
          </c:extLst>
        </c:ser>
        <c:ser>
          <c:idx val="4"/>
          <c:order val="4"/>
          <c:tx>
            <c:strRef>
              <c:f>'Nuclear Radius Table (3)'!$Y$16</c:f>
              <c:strCache>
                <c:ptCount val="1"/>
                <c:pt idx="0">
                  <c:v>Mg-like Relative / RMBPT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(3)'!$X$16</c:f>
                <c:numCache>
                  <c:formatCode>General</c:formatCode>
                  <c:ptCount val="1"/>
                  <c:pt idx="0">
                    <c:v>1.0704433004872622E-2</c:v>
                  </c:pt>
                </c:numCache>
              </c:numRef>
            </c:plus>
            <c:minus>
              <c:numRef>
                <c:f>'Nuclear Radius Table (3)'!$X$16</c:f>
                <c:numCache>
                  <c:formatCode>General</c:formatCode>
                  <c:ptCount val="1"/>
                  <c:pt idx="0">
                    <c:v>1.0704433004872622E-2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(3)'!$V$16</c:f>
              <c:numCache>
                <c:formatCode>General</c:formatCode>
                <c:ptCount val="1"/>
                <c:pt idx="0">
                  <c:v>105</c:v>
                </c:pt>
              </c:numCache>
            </c:numRef>
          </c:xVal>
          <c:yVal>
            <c:numRef>
              <c:f>'Nuclear Radius Table (3)'!$W$16</c:f>
              <c:numCache>
                <c:formatCode>General</c:formatCode>
                <c:ptCount val="1"/>
                <c:pt idx="0">
                  <c:v>5.4335321701308237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4E-49D3-964B-1D3B6D06722C}"/>
            </c:ext>
          </c:extLst>
        </c:ser>
        <c:ser>
          <c:idx val="5"/>
          <c:order val="5"/>
          <c:tx>
            <c:strRef>
              <c:f>'Nuclear Radius Table (3)'!$Y$17</c:f>
              <c:strCache>
                <c:ptCount val="1"/>
                <c:pt idx="0">
                  <c:v>Mg-like Absolute / RMBPT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(3)'!$X$17</c:f>
                <c:numCache>
                  <c:formatCode>General</c:formatCode>
                  <c:ptCount val="1"/>
                  <c:pt idx="0">
                    <c:v>1.3726133815088049E-2</c:v>
                  </c:pt>
                </c:numCache>
              </c:numRef>
            </c:plus>
            <c:minus>
              <c:numRef>
                <c:f>'Nuclear Radius Table (3)'!$X$17</c:f>
                <c:numCache>
                  <c:formatCode>General</c:formatCode>
                  <c:ptCount val="1"/>
                  <c:pt idx="0">
                    <c:v>1.3726133815088049E-2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(3)'!$V$17</c:f>
              <c:numCache>
                <c:formatCode>General</c:formatCode>
                <c:ptCount val="1"/>
                <c:pt idx="0">
                  <c:v>106</c:v>
                </c:pt>
              </c:numCache>
            </c:numRef>
          </c:xVal>
          <c:yVal>
            <c:numRef>
              <c:f>'Nuclear Radius Table (3)'!$W$17</c:f>
              <c:numCache>
                <c:formatCode>General</c:formatCode>
                <c:ptCount val="1"/>
                <c:pt idx="0">
                  <c:v>5.4319284214540877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E4E-49D3-964B-1D3B6D06722C}"/>
            </c:ext>
          </c:extLst>
        </c:ser>
        <c:ser>
          <c:idx val="6"/>
          <c:order val="6"/>
          <c:tx>
            <c:strRef>
              <c:f>'Nuclear Radius Table (3)'!$Y$18</c:f>
              <c:strCache>
                <c:ptCount val="1"/>
                <c:pt idx="0">
                  <c:v>Angeli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(3)'!$X$18</c:f>
                <c:numCache>
                  <c:formatCode>General</c:formatCode>
                  <c:ptCount val="1"/>
                  <c:pt idx="0">
                    <c:v>0.1061</c:v>
                  </c:pt>
                </c:numCache>
              </c:numRef>
            </c:plus>
            <c:minus>
              <c:numRef>
                <c:f>'Nuclear Radius Table (3)'!$X$18</c:f>
                <c:numCache>
                  <c:formatCode>General</c:formatCode>
                  <c:ptCount val="1"/>
                  <c:pt idx="0">
                    <c:v>0.1061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(3)'!$V$18</c:f>
              <c:numCache>
                <c:formatCode>General</c:formatCode>
                <c:ptCount val="1"/>
                <c:pt idx="0">
                  <c:v>103.5</c:v>
                </c:pt>
              </c:numCache>
            </c:numRef>
          </c:xVal>
          <c:yVal>
            <c:numRef>
              <c:f>'Nuclear Radius Table (3)'!$W$18</c:f>
              <c:numCache>
                <c:formatCode>General</c:formatCode>
                <c:ptCount val="1"/>
                <c:pt idx="0">
                  <c:v>5.3967999999999998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E4E-49D3-964B-1D3B6D067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51551"/>
        <c:axId val="1747151967"/>
      </c:scatterChart>
      <c:valAx>
        <c:axId val="174715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51967"/>
        <c:crosses val="autoZero"/>
        <c:crossBetween val="midCat"/>
      </c:valAx>
      <c:valAx>
        <c:axId val="17471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Nuclear Radius (fm)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5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36717813277089E-2"/>
          <c:y val="5.577696253877356E-2"/>
          <c:w val="0.88893649870737368"/>
          <c:h val="0.763969219756621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'Nuclear Radius Table'!$F$7</c:f>
              <c:strCache>
                <c:ptCount val="1"/>
                <c:pt idx="0">
                  <c:v>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Table'!$L$7:$L$13</c:f>
                <c:numCache>
                  <c:formatCode>General</c:formatCode>
                  <c:ptCount val="7"/>
                  <c:pt idx="0">
                    <c:v>2.2000000000000001E-3</c:v>
                  </c:pt>
                  <c:pt idx="1">
                    <c:v>1.6999999999999999E-3</c:v>
                  </c:pt>
                  <c:pt idx="2">
                    <c:v>1.8E-3</c:v>
                  </c:pt>
                  <c:pt idx="3">
                    <c:v>1.1000000000000001E-3</c:v>
                  </c:pt>
                  <c:pt idx="4">
                    <c:v>1.1999999999999999E-3</c:v>
                  </c:pt>
                  <c:pt idx="5">
                    <c:v>1.2999999999999999E-3</c:v>
                  </c:pt>
                  <c:pt idx="6">
                    <c:v>1.5E-3</c:v>
                  </c:pt>
                </c:numCache>
              </c:numRef>
            </c:plus>
            <c:minus>
              <c:numRef>
                <c:f>'Nuclear Radius Table'!$L$7:$L$13</c:f>
                <c:numCache>
                  <c:formatCode>General</c:formatCode>
                  <c:ptCount val="7"/>
                  <c:pt idx="0">
                    <c:v>2.2000000000000001E-3</c:v>
                  </c:pt>
                  <c:pt idx="1">
                    <c:v>1.6999999999999999E-3</c:v>
                  </c:pt>
                  <c:pt idx="2">
                    <c:v>1.8E-3</c:v>
                  </c:pt>
                  <c:pt idx="3">
                    <c:v>1.1000000000000001E-3</c:v>
                  </c:pt>
                  <c:pt idx="4">
                    <c:v>1.1999999999999999E-3</c:v>
                  </c:pt>
                  <c:pt idx="5">
                    <c:v>1.2999999999999999E-3</c:v>
                  </c:pt>
                  <c:pt idx="6">
                    <c:v>1.5E-3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Table'!$G$7:$G$13</c:f>
              <c:numCache>
                <c:formatCode>General</c:formatCode>
                <c:ptCount val="7"/>
                <c:pt idx="0">
                  <c:v>184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192</c:v>
                </c:pt>
              </c:numCache>
            </c:numRef>
          </c:xVal>
          <c:yVal>
            <c:numRef>
              <c:f>'Nuclear Radius Table'!$K$7:$K$13</c:f>
              <c:numCache>
                <c:formatCode>General</c:formatCode>
                <c:ptCount val="7"/>
                <c:pt idx="0">
                  <c:v>5.3822999999999999</c:v>
                </c:pt>
                <c:pt idx="1">
                  <c:v>5.3909000000000002</c:v>
                </c:pt>
                <c:pt idx="2">
                  <c:v>5.3933</c:v>
                </c:pt>
                <c:pt idx="3">
                  <c:v>5.3993000000000002</c:v>
                </c:pt>
                <c:pt idx="4">
                  <c:v>5.4016000000000002</c:v>
                </c:pt>
                <c:pt idx="5">
                  <c:v>5.4062000000000001</c:v>
                </c:pt>
                <c:pt idx="6">
                  <c:v>5.4126000000000003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F-4434-8F99-66C2AA2997B9}"/>
            </c:ext>
          </c:extLst>
        </c:ser>
        <c:ser>
          <c:idx val="1"/>
          <c:order val="1"/>
          <c:tx>
            <c:strRef>
              <c:f>'Nuclear Radius Table'!$F$16</c:f>
              <c:strCache>
                <c:ptCount val="1"/>
                <c:pt idx="0">
                  <c:v>Ir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Table'!$L$16:$L$25</c:f>
                <c:numCache>
                  <c:formatCode>General</c:formatCode>
                  <c:ptCount val="10"/>
                  <c:pt idx="0">
                    <c:v>0.1061</c:v>
                  </c:pt>
                  <c:pt idx="1">
                    <c:v>0.1061</c:v>
                  </c:pt>
                  <c:pt idx="2">
                    <c:v>0.1061</c:v>
                  </c:pt>
                  <c:pt idx="3">
                    <c:v>0.1061</c:v>
                  </c:pt>
                  <c:pt idx="4">
                    <c:v>0.1061</c:v>
                  </c:pt>
                  <c:pt idx="5">
                    <c:v>0.1061</c:v>
                  </c:pt>
                  <c:pt idx="6">
                    <c:v>0.1061</c:v>
                  </c:pt>
                  <c:pt idx="7">
                    <c:v>0.1061</c:v>
                  </c:pt>
                  <c:pt idx="8">
                    <c:v>0.1061</c:v>
                  </c:pt>
                  <c:pt idx="9">
                    <c:v>0.1061</c:v>
                  </c:pt>
                </c:numCache>
              </c:numRef>
            </c:plus>
            <c:minus>
              <c:numRef>
                <c:f>'Nuclear Radius Table'!$L$16:$L$25</c:f>
                <c:numCache>
                  <c:formatCode>General</c:formatCode>
                  <c:ptCount val="10"/>
                  <c:pt idx="0">
                    <c:v>0.1061</c:v>
                  </c:pt>
                  <c:pt idx="1">
                    <c:v>0.1061</c:v>
                  </c:pt>
                  <c:pt idx="2">
                    <c:v>0.1061</c:v>
                  </c:pt>
                  <c:pt idx="3">
                    <c:v>0.1061</c:v>
                  </c:pt>
                  <c:pt idx="4">
                    <c:v>0.1061</c:v>
                  </c:pt>
                  <c:pt idx="5">
                    <c:v>0.1061</c:v>
                  </c:pt>
                  <c:pt idx="6">
                    <c:v>0.1061</c:v>
                  </c:pt>
                  <c:pt idx="7">
                    <c:v>0.1061</c:v>
                  </c:pt>
                  <c:pt idx="8">
                    <c:v>0.1061</c:v>
                  </c:pt>
                  <c:pt idx="9">
                    <c:v>0.1061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Table'!$G$16:$G$25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</c:numRef>
          </c:xVal>
          <c:yVal>
            <c:numRef>
              <c:f>'Nuclear Radius Table'!$K$16:$K$25</c:f>
              <c:numCache>
                <c:formatCode>0.0000</c:formatCode>
                <c:ptCount val="10"/>
                <c:pt idx="0" formatCode="General">
                  <c:v>5.3704999999999998</c:v>
                </c:pt>
                <c:pt idx="1">
                  <c:v>5.3780000000000001</c:v>
                </c:pt>
                <c:pt idx="2" formatCode="General">
                  <c:v>5.3804999999999996</c:v>
                </c:pt>
                <c:pt idx="3" formatCode="General">
                  <c:v>5.3853999999999997</c:v>
                </c:pt>
                <c:pt idx="4">
                  <c:v>5.39</c:v>
                </c:pt>
                <c:pt idx="5" formatCode="General">
                  <c:v>5.3811999999999998</c:v>
                </c:pt>
                <c:pt idx="6" formatCode="General">
                  <c:v>5.3837999999999999</c:v>
                </c:pt>
                <c:pt idx="7" formatCode="General">
                  <c:v>5.3898000000000001</c:v>
                </c:pt>
                <c:pt idx="8" formatCode="General">
                  <c:v>5.3967999999999998</c:v>
                </c:pt>
                <c:pt idx="9" formatCode="General">
                  <c:v>5.4032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F-4434-8F99-66C2AA2997B9}"/>
            </c:ext>
          </c:extLst>
        </c:ser>
        <c:ser>
          <c:idx val="5"/>
          <c:order val="5"/>
          <c:tx>
            <c:v>EBIT Jan 2020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Table'!$T$16:$T$25</c:f>
                <c:numCache>
                  <c:formatCode>General</c:formatCode>
                  <c:ptCount val="10"/>
                  <c:pt idx="0">
                    <c:v>8.9932656067755728E-3</c:v>
                  </c:pt>
                  <c:pt idx="1">
                    <c:v>8.9758239715193103E-3</c:v>
                  </c:pt>
                  <c:pt idx="2">
                    <c:v>8.9641342599596375E-3</c:v>
                  </c:pt>
                  <c:pt idx="3">
                    <c:v>8.9560779162656048E-3</c:v>
                  </c:pt>
                  <c:pt idx="4">
                    <c:v>8.9518059668202907E-3</c:v>
                  </c:pt>
                  <c:pt idx="5">
                    <c:v>8.9629168148217513E-3</c:v>
                  </c:pt>
                  <c:pt idx="6">
                    <c:v>8.9619719139318373E-3</c:v>
                  </c:pt>
                  <c:pt idx="7">
                    <c:v>8.9465876728701318E-3</c:v>
                  </c:pt>
                  <c:pt idx="8">
                    <c:v>8.9332141706834726E-3</c:v>
                  </c:pt>
                  <c:pt idx="9">
                    <c:v>8.9232849032988039E-3</c:v>
                  </c:pt>
                </c:numCache>
                <c:extLst xmlns:c15="http://schemas.microsoft.com/office/drawing/2012/chart"/>
              </c:numRef>
            </c:plus>
            <c:minus>
              <c:numRef>
                <c:f>'Nuclear Radius Table'!$T$16:$T$25</c:f>
                <c:numCache>
                  <c:formatCode>General</c:formatCode>
                  <c:ptCount val="10"/>
                  <c:pt idx="0">
                    <c:v>8.9932656067755728E-3</c:v>
                  </c:pt>
                  <c:pt idx="1">
                    <c:v>8.9758239715193103E-3</c:v>
                  </c:pt>
                  <c:pt idx="2">
                    <c:v>8.9641342599596375E-3</c:v>
                  </c:pt>
                  <c:pt idx="3">
                    <c:v>8.9560779162656048E-3</c:v>
                  </c:pt>
                  <c:pt idx="4">
                    <c:v>8.9518059668202907E-3</c:v>
                  </c:pt>
                  <c:pt idx="5">
                    <c:v>8.9629168148217513E-3</c:v>
                  </c:pt>
                  <c:pt idx="6">
                    <c:v>8.9619719139318373E-3</c:v>
                  </c:pt>
                  <c:pt idx="7">
                    <c:v>8.9465876728701318E-3</c:v>
                  </c:pt>
                  <c:pt idx="8">
                    <c:v>8.9332141706834726E-3</c:v>
                  </c:pt>
                  <c:pt idx="9">
                    <c:v>8.9232849032988039E-3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xVal>
            <c:numRef>
              <c:f>'Nuclear Radius Table'!$R$16:$R$25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  <c:extLst xmlns:c15="http://schemas.microsoft.com/office/drawing/2012/chart"/>
            </c:numRef>
          </c:xVal>
          <c:yVal>
            <c:numRef>
              <c:f>'Nuclear Radius Table'!$S$16:$S$25</c:f>
              <c:numCache>
                <c:formatCode>General</c:formatCode>
                <c:ptCount val="10"/>
                <c:pt idx="0">
                  <c:v>5.4165747240307764</c:v>
                </c:pt>
                <c:pt idx="1">
                  <c:v>5.42395443758602</c:v>
                </c:pt>
                <c:pt idx="2">
                  <c:v>5.4264428257385227</c:v>
                </c:pt>
                <c:pt idx="3">
                  <c:v>5.4313241240980155</c:v>
                </c:pt>
                <c:pt idx="4">
                  <c:v>5.4359251044333821</c:v>
                </c:pt>
                <c:pt idx="5">
                  <c:v>5.4271799068216895</c:v>
                </c:pt>
                <c:pt idx="6">
                  <c:v>5.4297589026594064</c:v>
                </c:pt>
                <c:pt idx="7">
                  <c:v>5.4356491554375621</c:v>
                </c:pt>
                <c:pt idx="8">
                  <c:v>5.4426355510000004</c:v>
                </c:pt>
                <c:pt idx="9">
                  <c:v>5.4489798807675074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98F-4434-8F99-66C2AA299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99704"/>
        <c:axId val="55609937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'Nuclear Radius Table'!$F$28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'Nuclear Radius Table'!$L$28:$L$32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2.2000000000000001E-3</c:v>
                        </c:pt>
                        <c:pt idx="1">
                          <c:v>1.6999999999999999E-3</c:v>
                        </c:pt>
                        <c:pt idx="2">
                          <c:v>2E-3</c:v>
                        </c:pt>
                        <c:pt idx="3">
                          <c:v>2.3E-3</c:v>
                        </c:pt>
                        <c:pt idx="4">
                          <c:v>2.5999999999999999E-3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'Nuclear Radius Table'!$L$28:$L$32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2.2000000000000001E-3</c:v>
                        </c:pt>
                        <c:pt idx="1">
                          <c:v>1.6999999999999999E-3</c:v>
                        </c:pt>
                        <c:pt idx="2">
                          <c:v>2E-3</c:v>
                        </c:pt>
                        <c:pt idx="3">
                          <c:v>2.3E-3</c:v>
                        </c:pt>
                        <c:pt idx="4">
                          <c:v>2.5999999999999999E-3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'Nuclear Radius Table'!$G$28:$G$32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180</c:v>
                      </c:pt>
                      <c:pt idx="1">
                        <c:v>182</c:v>
                      </c:pt>
                      <c:pt idx="2">
                        <c:v>183</c:v>
                      </c:pt>
                      <c:pt idx="3">
                        <c:v>184</c:v>
                      </c:pt>
                      <c:pt idx="4">
                        <c:v>186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'Nuclear Radius Table'!$K$28:$K$32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5.3491</c:v>
                      </c:pt>
                      <c:pt idx="1">
                        <c:v>5.3559000000000001</c:v>
                      </c:pt>
                      <c:pt idx="2">
                        <c:v>5.3611000000000004</c:v>
                      </c:pt>
                      <c:pt idx="3">
                        <c:v>5.3658000000000001</c:v>
                      </c:pt>
                      <c:pt idx="4">
                        <c:v>5.3742999999999999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98F-4434-8F99-66C2AA2997B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Table'!$F$35</c15:sqref>
                        </c15:formulaRef>
                      </c:ext>
                    </c:extLst>
                    <c:strCache>
                      <c:ptCount val="1"/>
                      <c:pt idx="0">
                        <c:v>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Table'!$L$35:$L$36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1.72E-2</c:v>
                        </c:pt>
                        <c:pt idx="1">
                          <c:v>1.7299999999999999E-2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Table'!$L$35:$L$36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1.72E-2</c:v>
                        </c:pt>
                        <c:pt idx="1">
                          <c:v>1.7299999999999999E-2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Table'!$G$35:$G$36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185</c:v>
                      </c:pt>
                      <c:pt idx="1">
                        <c:v>187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Table'!$K$35:$K$36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5.3596000000000004</c:v>
                      </c:pt>
                      <c:pt idx="1">
                        <c:v>5.3697999999999997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98F-4434-8F99-66C2AA2997B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Table'!$F$39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Table'!$L$39:$L$50</c15:sqref>
                          </c15:formulaRef>
                        </c:ext>
                      </c:extLst>
                      <c:numCache>
                        <c:formatCode>General</c:formatCode>
                        <c:ptCount val="12"/>
                        <c:pt idx="0">
                          <c:v>3.5999999999999999E-3</c:v>
                        </c:pt>
                        <c:pt idx="1">
                          <c:v>3.5999999999999999E-3</c:v>
                        </c:pt>
                        <c:pt idx="2">
                          <c:v>2.8E-3</c:v>
                        </c:pt>
                        <c:pt idx="3">
                          <c:v>3.5999999999999999E-3</c:v>
                        </c:pt>
                        <c:pt idx="4">
                          <c:v>3.7000000000000002E-3</c:v>
                        </c:pt>
                        <c:pt idx="5">
                          <c:v>3.3999999999999998E-3</c:v>
                        </c:pt>
                        <c:pt idx="6">
                          <c:v>3.5000000000000001E-3</c:v>
                        </c:pt>
                        <c:pt idx="7">
                          <c:v>3.0000000000000001E-3</c:v>
                        </c:pt>
                        <c:pt idx="8">
                          <c:v>3.0999999999999999E-3</c:v>
                        </c:pt>
                        <c:pt idx="9">
                          <c:v>2.8E-3</c:v>
                        </c:pt>
                        <c:pt idx="10">
                          <c:v>2.7000000000000001E-3</c:v>
                        </c:pt>
                        <c:pt idx="11">
                          <c:v>2.5000000000000001E-3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Table'!$L$39:$L$50</c15:sqref>
                          </c15:formulaRef>
                        </c:ext>
                      </c:extLst>
                      <c:numCache>
                        <c:formatCode>General</c:formatCode>
                        <c:ptCount val="12"/>
                        <c:pt idx="0">
                          <c:v>3.5999999999999999E-3</c:v>
                        </c:pt>
                        <c:pt idx="1">
                          <c:v>3.5999999999999999E-3</c:v>
                        </c:pt>
                        <c:pt idx="2">
                          <c:v>2.8E-3</c:v>
                        </c:pt>
                        <c:pt idx="3">
                          <c:v>3.5999999999999999E-3</c:v>
                        </c:pt>
                        <c:pt idx="4">
                          <c:v>3.7000000000000002E-3</c:v>
                        </c:pt>
                        <c:pt idx="5">
                          <c:v>3.3999999999999998E-3</c:v>
                        </c:pt>
                        <c:pt idx="6">
                          <c:v>3.5000000000000001E-3</c:v>
                        </c:pt>
                        <c:pt idx="7">
                          <c:v>3.0000000000000001E-3</c:v>
                        </c:pt>
                        <c:pt idx="8">
                          <c:v>3.0999999999999999E-3</c:v>
                        </c:pt>
                        <c:pt idx="9">
                          <c:v>2.8E-3</c:v>
                        </c:pt>
                        <c:pt idx="10">
                          <c:v>2.7000000000000001E-3</c:v>
                        </c:pt>
                        <c:pt idx="11">
                          <c:v>2.5000000000000001E-3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Table'!$G$39:$G$50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183</c:v>
                      </c:pt>
                      <c:pt idx="1">
                        <c:v>184</c:v>
                      </c:pt>
                      <c:pt idx="2">
                        <c:v>185</c:v>
                      </c:pt>
                      <c:pt idx="3">
                        <c:v>186</c:v>
                      </c:pt>
                      <c:pt idx="4">
                        <c:v>187</c:v>
                      </c:pt>
                      <c:pt idx="5">
                        <c:v>188</c:v>
                      </c:pt>
                      <c:pt idx="6">
                        <c:v>189</c:v>
                      </c:pt>
                      <c:pt idx="7">
                        <c:v>190</c:v>
                      </c:pt>
                      <c:pt idx="8">
                        <c:v>191</c:v>
                      </c:pt>
                      <c:pt idx="9">
                        <c:v>192</c:v>
                      </c:pt>
                      <c:pt idx="10">
                        <c:v>193</c:v>
                      </c:pt>
                      <c:pt idx="11">
                        <c:v>194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Table'!$K$39:$K$50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5.4038000000000004</c:v>
                      </c:pt>
                      <c:pt idx="1">
                        <c:v>5.4015000000000004</c:v>
                      </c:pt>
                      <c:pt idx="2">
                        <c:v>5.4147999999999996</c:v>
                      </c:pt>
                      <c:pt idx="3">
                        <c:v>5.4036999999999997</c:v>
                      </c:pt>
                      <c:pt idx="4">
                        <c:v>5.4062999999999999</c:v>
                      </c:pt>
                      <c:pt idx="5">
                        <c:v>5.4053000000000004</c:v>
                      </c:pt>
                      <c:pt idx="6" formatCode="0.0000">
                        <c:v>5.4059999999999997</c:v>
                      </c:pt>
                      <c:pt idx="7">
                        <c:v>5.4108000000000001</c:v>
                      </c:pt>
                      <c:pt idx="8">
                        <c:v>5.4101999999999997</c:v>
                      </c:pt>
                      <c:pt idx="9">
                        <c:v>5.4169</c:v>
                      </c:pt>
                      <c:pt idx="10">
                        <c:v>5.4191000000000003</c:v>
                      </c:pt>
                      <c:pt idx="11">
                        <c:v>5.4236000000000004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98F-4434-8F99-66C2AA2997B9}"/>
                  </c:ext>
                </c:extLst>
              </c15:ser>
            </c15:filteredScatterSeries>
          </c:ext>
        </c:extLst>
      </c:scatterChart>
      <c:valAx>
        <c:axId val="55609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Isotope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9376"/>
        <c:crosses val="autoZero"/>
        <c:crossBetween val="midCat"/>
      </c:valAx>
      <c:valAx>
        <c:axId val="5560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NUclear Radius (fm)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70808456635219"/>
          <c:y val="0.56891738658478963"/>
          <c:w val="9.6779094920827188E-2"/>
          <c:h val="0.22240679000345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36717813277089E-2"/>
          <c:y val="5.577696253877356E-2"/>
          <c:w val="0.88893649870737368"/>
          <c:h val="0.763969219756621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'Nuclear Radius Table (2)'!$F$13</c:f>
              <c:strCache>
                <c:ptCount val="1"/>
                <c:pt idx="0">
                  <c:v>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(2)'!$L$13:$L$19</c:f>
                <c:numCache>
                  <c:formatCode>General</c:formatCode>
                  <c:ptCount val="7"/>
                  <c:pt idx="0">
                    <c:v>2.2000000000000001E-3</c:v>
                  </c:pt>
                  <c:pt idx="1">
                    <c:v>1.6999999999999999E-3</c:v>
                  </c:pt>
                  <c:pt idx="2">
                    <c:v>1.8E-3</c:v>
                  </c:pt>
                  <c:pt idx="3">
                    <c:v>1.1000000000000001E-3</c:v>
                  </c:pt>
                  <c:pt idx="4">
                    <c:v>1.1999999999999999E-3</c:v>
                  </c:pt>
                  <c:pt idx="5">
                    <c:v>1.2999999999999999E-3</c:v>
                  </c:pt>
                  <c:pt idx="6">
                    <c:v>1.5E-3</c:v>
                  </c:pt>
                </c:numCache>
              </c:numRef>
            </c:plus>
            <c:minus>
              <c:numRef>
                <c:f>'Nuclear Radius Table (2)'!$L$13:$L$19</c:f>
                <c:numCache>
                  <c:formatCode>General</c:formatCode>
                  <c:ptCount val="7"/>
                  <c:pt idx="0">
                    <c:v>2.2000000000000001E-3</c:v>
                  </c:pt>
                  <c:pt idx="1">
                    <c:v>1.6999999999999999E-3</c:v>
                  </c:pt>
                  <c:pt idx="2">
                    <c:v>1.8E-3</c:v>
                  </c:pt>
                  <c:pt idx="3">
                    <c:v>1.1000000000000001E-3</c:v>
                  </c:pt>
                  <c:pt idx="4">
                    <c:v>1.1999999999999999E-3</c:v>
                  </c:pt>
                  <c:pt idx="5">
                    <c:v>1.2999999999999999E-3</c:v>
                  </c:pt>
                  <c:pt idx="6">
                    <c:v>1.5E-3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(2)'!$G$13:$G$19</c:f>
              <c:numCache>
                <c:formatCode>General</c:formatCode>
                <c:ptCount val="7"/>
                <c:pt idx="0">
                  <c:v>184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192</c:v>
                </c:pt>
              </c:numCache>
            </c:numRef>
          </c:xVal>
          <c:yVal>
            <c:numRef>
              <c:f>'Nuclear Radius Table (2)'!$K$13:$K$19</c:f>
              <c:numCache>
                <c:formatCode>General</c:formatCode>
                <c:ptCount val="7"/>
                <c:pt idx="0">
                  <c:v>5.3822999999999999</c:v>
                </c:pt>
                <c:pt idx="1">
                  <c:v>5.3909000000000002</c:v>
                </c:pt>
                <c:pt idx="2">
                  <c:v>5.3933</c:v>
                </c:pt>
                <c:pt idx="3">
                  <c:v>5.3993000000000002</c:v>
                </c:pt>
                <c:pt idx="4">
                  <c:v>5.4016000000000002</c:v>
                </c:pt>
                <c:pt idx="5">
                  <c:v>5.4062000000000001</c:v>
                </c:pt>
                <c:pt idx="6">
                  <c:v>5.4126000000000003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0-498C-A8CC-AC73F07FDBC9}"/>
            </c:ext>
          </c:extLst>
        </c:ser>
        <c:ser>
          <c:idx val="1"/>
          <c:order val="1"/>
          <c:tx>
            <c:strRef>
              <c:f>'Nuclear Radius Table (2)'!$F$22</c:f>
              <c:strCache>
                <c:ptCount val="1"/>
                <c:pt idx="0">
                  <c:v>Ir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(2)'!$L$22:$L$31</c:f>
                <c:numCache>
                  <c:formatCode>General</c:formatCode>
                  <c:ptCount val="10"/>
                  <c:pt idx="0">
                    <c:v>0.1061</c:v>
                  </c:pt>
                  <c:pt idx="1">
                    <c:v>0.1061</c:v>
                  </c:pt>
                  <c:pt idx="2">
                    <c:v>0.1061</c:v>
                  </c:pt>
                  <c:pt idx="3">
                    <c:v>0.1061</c:v>
                  </c:pt>
                  <c:pt idx="4">
                    <c:v>0.1061</c:v>
                  </c:pt>
                  <c:pt idx="5">
                    <c:v>0.1061</c:v>
                  </c:pt>
                  <c:pt idx="6">
                    <c:v>0.1061</c:v>
                  </c:pt>
                  <c:pt idx="7">
                    <c:v>0.1061</c:v>
                  </c:pt>
                  <c:pt idx="8">
                    <c:v>0.1061</c:v>
                  </c:pt>
                  <c:pt idx="9">
                    <c:v>0.1061</c:v>
                  </c:pt>
                </c:numCache>
              </c:numRef>
            </c:plus>
            <c:minus>
              <c:numRef>
                <c:f>'Nuclear Radius Table (2)'!$L$22:$L$31</c:f>
                <c:numCache>
                  <c:formatCode>General</c:formatCode>
                  <c:ptCount val="10"/>
                  <c:pt idx="0">
                    <c:v>0.1061</c:v>
                  </c:pt>
                  <c:pt idx="1">
                    <c:v>0.1061</c:v>
                  </c:pt>
                  <c:pt idx="2">
                    <c:v>0.1061</c:v>
                  </c:pt>
                  <c:pt idx="3">
                    <c:v>0.1061</c:v>
                  </c:pt>
                  <c:pt idx="4">
                    <c:v>0.1061</c:v>
                  </c:pt>
                  <c:pt idx="5">
                    <c:v>0.1061</c:v>
                  </c:pt>
                  <c:pt idx="6">
                    <c:v>0.1061</c:v>
                  </c:pt>
                  <c:pt idx="7">
                    <c:v>0.1061</c:v>
                  </c:pt>
                  <c:pt idx="8">
                    <c:v>0.1061</c:v>
                  </c:pt>
                  <c:pt idx="9">
                    <c:v>0.1061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(2)'!$G$22:$G$31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</c:numRef>
          </c:xVal>
          <c:yVal>
            <c:numRef>
              <c:f>'Nuclear Radius Table (2)'!$K$22:$K$31</c:f>
              <c:numCache>
                <c:formatCode>0.0000</c:formatCode>
                <c:ptCount val="10"/>
                <c:pt idx="0" formatCode="General">
                  <c:v>5.3704999999999998</c:v>
                </c:pt>
                <c:pt idx="1">
                  <c:v>5.3780000000000001</c:v>
                </c:pt>
                <c:pt idx="2" formatCode="General">
                  <c:v>5.3804999999999996</c:v>
                </c:pt>
                <c:pt idx="3" formatCode="General">
                  <c:v>5.3853999999999997</c:v>
                </c:pt>
                <c:pt idx="4">
                  <c:v>5.39</c:v>
                </c:pt>
                <c:pt idx="5" formatCode="General">
                  <c:v>5.3811999999999998</c:v>
                </c:pt>
                <c:pt idx="6" formatCode="General">
                  <c:v>5.3837999999999999</c:v>
                </c:pt>
                <c:pt idx="7" formatCode="General">
                  <c:v>5.3898000000000001</c:v>
                </c:pt>
                <c:pt idx="8" formatCode="General">
                  <c:v>5.3967999999999998</c:v>
                </c:pt>
                <c:pt idx="9" formatCode="General">
                  <c:v>5.4032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D0-498C-A8CC-AC73F07FDBC9}"/>
            </c:ext>
          </c:extLst>
        </c:ser>
        <c:ser>
          <c:idx val="5"/>
          <c:order val="5"/>
          <c:tx>
            <c:v>EBIT Na-like 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(2)'!$G$61:$G$70</c:f>
                <c:numCache>
                  <c:formatCode>General</c:formatCode>
                  <c:ptCount val="10"/>
                  <c:pt idx="0">
                    <c:v>5.0620647862469293E-3</c:v>
                  </c:pt>
                  <c:pt idx="1">
                    <c:v>5.0459058115237942E-3</c:v>
                  </c:pt>
                  <c:pt idx="2">
                    <c:v>5.0300900493071626E-3</c:v>
                  </c:pt>
                  <c:pt idx="3">
                    <c:v>5.0255644453763258E-3</c:v>
                  </c:pt>
                  <c:pt idx="4">
                    <c:v>5.0272062876426772E-3</c:v>
                  </c:pt>
                  <c:pt idx="5">
                    <c:v>5.0294061557741099E-3</c:v>
                  </c:pt>
                  <c:pt idx="6">
                    <c:v>5.0329215324109635E-3</c:v>
                  </c:pt>
                  <c:pt idx="7">
                    <c:v>5.0173425557853302E-3</c:v>
                  </c:pt>
                  <c:pt idx="8">
                    <c:v>5.0075218489987645E-3</c:v>
                  </c:pt>
                  <c:pt idx="9">
                    <c:v>5.0025277749277831E-3</c:v>
                  </c:pt>
                </c:numCache>
              </c:numRef>
            </c:plus>
            <c:minus>
              <c:numRef>
                <c:f>'Nuclear Radius Table (2)'!$G$61:$G$70</c:f>
                <c:numCache>
                  <c:formatCode>General</c:formatCode>
                  <c:ptCount val="10"/>
                  <c:pt idx="0">
                    <c:v>5.0620647862469293E-3</c:v>
                  </c:pt>
                  <c:pt idx="1">
                    <c:v>5.0459058115237942E-3</c:v>
                  </c:pt>
                  <c:pt idx="2">
                    <c:v>5.0300900493071626E-3</c:v>
                  </c:pt>
                  <c:pt idx="3">
                    <c:v>5.0255644453763258E-3</c:v>
                  </c:pt>
                  <c:pt idx="4">
                    <c:v>5.0272062876426772E-3</c:v>
                  </c:pt>
                  <c:pt idx="5">
                    <c:v>5.0294061557741099E-3</c:v>
                  </c:pt>
                  <c:pt idx="6">
                    <c:v>5.0329215324109635E-3</c:v>
                  </c:pt>
                  <c:pt idx="7">
                    <c:v>5.0173425557853302E-3</c:v>
                  </c:pt>
                  <c:pt idx="8">
                    <c:v>5.0075218489987645E-3</c:v>
                  </c:pt>
                  <c:pt idx="9">
                    <c:v>5.0025277749277831E-3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xVal>
            <c:numRef>
              <c:f>'Nuclear Radius Table (2)'!$R$22:$R$31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</c:numRef>
          </c:xVal>
          <c:yVal>
            <c:numRef>
              <c:f>'Nuclear Radius Table (2)'!$S$22:$S$31</c:f>
              <c:numCache>
                <c:formatCode>General</c:formatCode>
                <c:ptCount val="10"/>
                <c:pt idx="0">
                  <c:v>5.4166997769727159</c:v>
                </c:pt>
                <c:pt idx="1">
                  <c:v>5.4240793203875874</c:v>
                </c:pt>
                <c:pt idx="2">
                  <c:v>5.4265676512742633</c:v>
                </c:pt>
                <c:pt idx="3">
                  <c:v>5.4314488374517778</c:v>
                </c:pt>
                <c:pt idx="4">
                  <c:v>5.4360497122318767</c:v>
                </c:pt>
                <c:pt idx="5">
                  <c:v>5.427304715404901</c:v>
                </c:pt>
                <c:pt idx="6">
                  <c:v>5.4298836519631131</c:v>
                </c:pt>
                <c:pt idx="7">
                  <c:v>5.4357737695618153</c:v>
                </c:pt>
                <c:pt idx="8">
                  <c:v>5.4427600051679912</c:v>
                </c:pt>
                <c:pt idx="9">
                  <c:v>5.4491041900349337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D0-498C-A8CC-AC73F07FDBC9}"/>
            </c:ext>
          </c:extLst>
        </c:ser>
        <c:ser>
          <c:idx val="7"/>
          <c:order val="7"/>
          <c:tx>
            <c:v>EBIT Jan 2020 NEW V2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(2)'!$M$62:$M$71</c:f>
                <c:numCache>
                  <c:formatCode>General</c:formatCode>
                  <c:ptCount val="10"/>
                  <c:pt idx="0">
                    <c:v>8.8231685502992516E-3</c:v>
                  </c:pt>
                  <c:pt idx="1">
                    <c:v>8.8058587275287124E-3</c:v>
                  </c:pt>
                  <c:pt idx="2">
                    <c:v>8.7941011878553462E-3</c:v>
                  </c:pt>
                  <c:pt idx="3">
                    <c:v>8.7861980212332429E-3</c:v>
                  </c:pt>
                  <c:pt idx="4">
                    <c:v>8.7821339898988254E-3</c:v>
                  </c:pt>
                  <c:pt idx="5">
                    <c:v>8.7929068903381345E-3</c:v>
                  </c:pt>
                  <c:pt idx="6">
                    <c:v>8.7921067942793585E-3</c:v>
                  </c:pt>
                  <c:pt idx="7">
                    <c:v>8.7767976573287654E-3</c:v>
                  </c:pt>
                  <c:pt idx="8">
                    <c:v>8.7636061516652413E-3</c:v>
                  </c:pt>
                  <c:pt idx="9">
                    <c:v>8.753883936053232E-3</c:v>
                  </c:pt>
                </c:numCache>
              </c:numRef>
            </c:plus>
            <c:minus>
              <c:numRef>
                <c:f>'Nuclear Radius Table (2)'!$M$62:$M$71</c:f>
                <c:numCache>
                  <c:formatCode>General</c:formatCode>
                  <c:ptCount val="10"/>
                  <c:pt idx="0">
                    <c:v>8.8231685502992516E-3</c:v>
                  </c:pt>
                  <c:pt idx="1">
                    <c:v>8.8058587275287124E-3</c:v>
                  </c:pt>
                  <c:pt idx="2">
                    <c:v>8.7941011878553462E-3</c:v>
                  </c:pt>
                  <c:pt idx="3">
                    <c:v>8.7861980212332429E-3</c:v>
                  </c:pt>
                  <c:pt idx="4">
                    <c:v>8.7821339898988254E-3</c:v>
                  </c:pt>
                  <c:pt idx="5">
                    <c:v>8.7929068903381345E-3</c:v>
                  </c:pt>
                  <c:pt idx="6">
                    <c:v>8.7921067942793585E-3</c:v>
                  </c:pt>
                  <c:pt idx="7">
                    <c:v>8.7767976573287654E-3</c:v>
                  </c:pt>
                  <c:pt idx="8">
                    <c:v>8.7636061516652413E-3</c:v>
                  </c:pt>
                  <c:pt idx="9">
                    <c:v>8.753883936053232E-3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(2)'!$K$62:$K$71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</c:numRef>
          </c:xVal>
          <c:yVal>
            <c:numRef>
              <c:f>'Nuclear Radius Table (2)'!$L$62:$L$71</c:f>
              <c:numCache>
                <c:formatCode>General</c:formatCode>
                <c:ptCount val="10"/>
                <c:pt idx="0">
                  <c:v>5.4166997769727159</c:v>
                </c:pt>
                <c:pt idx="1">
                  <c:v>5.4240793203875874</c:v>
                </c:pt>
                <c:pt idx="2">
                  <c:v>5.4265676512742633</c:v>
                </c:pt>
                <c:pt idx="3">
                  <c:v>5.4314488374517778</c:v>
                </c:pt>
                <c:pt idx="4">
                  <c:v>5.4360497122318767</c:v>
                </c:pt>
                <c:pt idx="5">
                  <c:v>5.427304715404901</c:v>
                </c:pt>
                <c:pt idx="6">
                  <c:v>5.4298836519631131</c:v>
                </c:pt>
                <c:pt idx="7">
                  <c:v>5.4357737695618153</c:v>
                </c:pt>
                <c:pt idx="8">
                  <c:v>5.4427600051679912</c:v>
                </c:pt>
                <c:pt idx="9">
                  <c:v>5.4491041900349337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5-4008-BBB7-ECD73EDA2DFE}"/>
            </c:ext>
          </c:extLst>
        </c:ser>
        <c:ser>
          <c:idx val="8"/>
          <c:order val="8"/>
          <c:tx>
            <c:v>EBIT JAN 2020 NEW V1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(2)'!$M$80:$M$89</c:f>
                <c:numCache>
                  <c:formatCode>General</c:formatCode>
                  <c:ptCount val="10"/>
                  <c:pt idx="0">
                    <c:v>5.0611793629159477E-2</c:v>
                  </c:pt>
                  <c:pt idx="1">
                    <c:v>5.054201081908985E-2</c:v>
                  </c:pt>
                  <c:pt idx="2">
                    <c:v>5.0517490571392841E-2</c:v>
                  </c:pt>
                  <c:pt idx="3">
                    <c:v>5.047209103177102E-2</c:v>
                  </c:pt>
                  <c:pt idx="4">
                    <c:v>5.0429960447651238E-2</c:v>
                  </c:pt>
                  <c:pt idx="5">
                    <c:v>5.0510629959685471E-2</c:v>
                  </c:pt>
                  <c:pt idx="6">
                    <c:v>5.0487227637042893E-2</c:v>
                  </c:pt>
                  <c:pt idx="7">
                    <c:v>5.0431513871748615E-2</c:v>
                  </c:pt>
                  <c:pt idx="8">
                    <c:v>5.0366445713839171E-2</c:v>
                  </c:pt>
                  <c:pt idx="9">
                    <c:v>5.0307889656176261E-2</c:v>
                  </c:pt>
                </c:numCache>
              </c:numRef>
            </c:plus>
            <c:minus>
              <c:numRef>
                <c:f>'Nuclear Radius Table (2)'!$M$80:$M$89</c:f>
                <c:numCache>
                  <c:formatCode>General</c:formatCode>
                  <c:ptCount val="10"/>
                  <c:pt idx="0">
                    <c:v>5.0611793629159477E-2</c:v>
                  </c:pt>
                  <c:pt idx="1">
                    <c:v>5.054201081908985E-2</c:v>
                  </c:pt>
                  <c:pt idx="2">
                    <c:v>5.0517490571392841E-2</c:v>
                  </c:pt>
                  <c:pt idx="3">
                    <c:v>5.047209103177102E-2</c:v>
                  </c:pt>
                  <c:pt idx="4">
                    <c:v>5.0429960447651238E-2</c:v>
                  </c:pt>
                  <c:pt idx="5">
                    <c:v>5.0510629959685471E-2</c:v>
                  </c:pt>
                  <c:pt idx="6">
                    <c:v>5.0487227637042893E-2</c:v>
                  </c:pt>
                  <c:pt idx="7">
                    <c:v>5.0431513871748615E-2</c:v>
                  </c:pt>
                  <c:pt idx="8">
                    <c:v>5.0366445713839171E-2</c:v>
                  </c:pt>
                  <c:pt idx="9">
                    <c:v>5.0307889656176261E-2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(2)'!$K$80:$K$89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</c:numRef>
          </c:xVal>
          <c:yVal>
            <c:numRef>
              <c:f>'Nuclear Radius Table (2)'!$L$80:$L$89</c:f>
              <c:numCache>
                <c:formatCode>General</c:formatCode>
                <c:ptCount val="10"/>
                <c:pt idx="0">
                  <c:v>5.4166997769727159</c:v>
                </c:pt>
                <c:pt idx="1">
                  <c:v>5.4240793203875874</c:v>
                </c:pt>
                <c:pt idx="2">
                  <c:v>5.4265676512742633</c:v>
                </c:pt>
                <c:pt idx="3">
                  <c:v>5.4314488374517778</c:v>
                </c:pt>
                <c:pt idx="4">
                  <c:v>5.4360497122318767</c:v>
                </c:pt>
                <c:pt idx="5">
                  <c:v>5.427304715404901</c:v>
                </c:pt>
                <c:pt idx="6">
                  <c:v>5.4298836519631131</c:v>
                </c:pt>
                <c:pt idx="7">
                  <c:v>5.4357737695618153</c:v>
                </c:pt>
                <c:pt idx="8">
                  <c:v>5.4427600051679912</c:v>
                </c:pt>
                <c:pt idx="9">
                  <c:v>5.4491041900349337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35-4008-BBB7-ECD73EDA2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99704"/>
        <c:axId val="55609937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'Nuclear Radius Table (2)'!$F$34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'Nuclear Radius Table (2)'!$L$34:$L$38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2.2000000000000001E-3</c:v>
                        </c:pt>
                        <c:pt idx="1">
                          <c:v>1.6999999999999999E-3</c:v>
                        </c:pt>
                        <c:pt idx="2">
                          <c:v>2E-3</c:v>
                        </c:pt>
                        <c:pt idx="3">
                          <c:v>2.3E-3</c:v>
                        </c:pt>
                        <c:pt idx="4">
                          <c:v>2.5999999999999999E-3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'Nuclear Radius Table (2)'!$L$34:$L$38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2.2000000000000001E-3</c:v>
                        </c:pt>
                        <c:pt idx="1">
                          <c:v>1.6999999999999999E-3</c:v>
                        </c:pt>
                        <c:pt idx="2">
                          <c:v>2E-3</c:v>
                        </c:pt>
                        <c:pt idx="3">
                          <c:v>2.3E-3</c:v>
                        </c:pt>
                        <c:pt idx="4">
                          <c:v>2.5999999999999999E-3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'Nuclear Radius Table (2)'!$G$34:$G$38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180</c:v>
                      </c:pt>
                      <c:pt idx="1">
                        <c:v>182</c:v>
                      </c:pt>
                      <c:pt idx="2">
                        <c:v>183</c:v>
                      </c:pt>
                      <c:pt idx="3">
                        <c:v>184</c:v>
                      </c:pt>
                      <c:pt idx="4">
                        <c:v>186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'Nuclear Radius Table (2)'!$K$34:$K$38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5.3491</c:v>
                      </c:pt>
                      <c:pt idx="1">
                        <c:v>5.3559000000000001</c:v>
                      </c:pt>
                      <c:pt idx="2">
                        <c:v>5.3611000000000004</c:v>
                      </c:pt>
                      <c:pt idx="3">
                        <c:v>5.3658000000000001</c:v>
                      </c:pt>
                      <c:pt idx="4">
                        <c:v>5.3742999999999999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1D0-498C-A8CC-AC73F07FDBC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(2)'!$F$41</c15:sqref>
                        </c15:formulaRef>
                      </c:ext>
                    </c:extLst>
                    <c:strCache>
                      <c:ptCount val="1"/>
                      <c:pt idx="0">
                        <c:v>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(2)'!$L$41:$L$42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1.72E-2</c:v>
                        </c:pt>
                        <c:pt idx="1">
                          <c:v>1.7299999999999999E-2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(2)'!$L$41:$L$42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1.72E-2</c:v>
                        </c:pt>
                        <c:pt idx="1">
                          <c:v>1.7299999999999999E-2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(2)'!$G$41:$G$42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185</c:v>
                      </c:pt>
                      <c:pt idx="1">
                        <c:v>187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(2)'!$K$41:$K$42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5.3596000000000004</c:v>
                      </c:pt>
                      <c:pt idx="1">
                        <c:v>5.3697999999999997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D0-498C-A8CC-AC73F07FDBC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(2)'!$F$45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(2)'!$L$45:$L$56</c15:sqref>
                          </c15:formulaRef>
                        </c:ext>
                      </c:extLst>
                      <c:numCache>
                        <c:formatCode>General</c:formatCode>
                        <c:ptCount val="12"/>
                        <c:pt idx="0">
                          <c:v>3.5999999999999999E-3</c:v>
                        </c:pt>
                        <c:pt idx="1">
                          <c:v>3.5999999999999999E-3</c:v>
                        </c:pt>
                        <c:pt idx="2">
                          <c:v>2.8E-3</c:v>
                        </c:pt>
                        <c:pt idx="3">
                          <c:v>3.5999999999999999E-3</c:v>
                        </c:pt>
                        <c:pt idx="4">
                          <c:v>3.7000000000000002E-3</c:v>
                        </c:pt>
                        <c:pt idx="5">
                          <c:v>3.3999999999999998E-3</c:v>
                        </c:pt>
                        <c:pt idx="6">
                          <c:v>3.5000000000000001E-3</c:v>
                        </c:pt>
                        <c:pt idx="7">
                          <c:v>3.0000000000000001E-3</c:v>
                        </c:pt>
                        <c:pt idx="8">
                          <c:v>3.0999999999999999E-3</c:v>
                        </c:pt>
                        <c:pt idx="9">
                          <c:v>2.8E-3</c:v>
                        </c:pt>
                        <c:pt idx="10">
                          <c:v>2.7000000000000001E-3</c:v>
                        </c:pt>
                        <c:pt idx="11">
                          <c:v>2.5000000000000001E-3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(2)'!$L$45:$L$56</c15:sqref>
                          </c15:formulaRef>
                        </c:ext>
                      </c:extLst>
                      <c:numCache>
                        <c:formatCode>General</c:formatCode>
                        <c:ptCount val="12"/>
                        <c:pt idx="0">
                          <c:v>3.5999999999999999E-3</c:v>
                        </c:pt>
                        <c:pt idx="1">
                          <c:v>3.5999999999999999E-3</c:v>
                        </c:pt>
                        <c:pt idx="2">
                          <c:v>2.8E-3</c:v>
                        </c:pt>
                        <c:pt idx="3">
                          <c:v>3.5999999999999999E-3</c:v>
                        </c:pt>
                        <c:pt idx="4">
                          <c:v>3.7000000000000002E-3</c:v>
                        </c:pt>
                        <c:pt idx="5">
                          <c:v>3.3999999999999998E-3</c:v>
                        </c:pt>
                        <c:pt idx="6">
                          <c:v>3.5000000000000001E-3</c:v>
                        </c:pt>
                        <c:pt idx="7">
                          <c:v>3.0000000000000001E-3</c:v>
                        </c:pt>
                        <c:pt idx="8">
                          <c:v>3.0999999999999999E-3</c:v>
                        </c:pt>
                        <c:pt idx="9">
                          <c:v>2.8E-3</c:v>
                        </c:pt>
                        <c:pt idx="10">
                          <c:v>2.7000000000000001E-3</c:v>
                        </c:pt>
                        <c:pt idx="11">
                          <c:v>2.5000000000000001E-3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(2)'!$G$45:$G$56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183</c:v>
                      </c:pt>
                      <c:pt idx="1">
                        <c:v>184</c:v>
                      </c:pt>
                      <c:pt idx="2">
                        <c:v>185</c:v>
                      </c:pt>
                      <c:pt idx="3">
                        <c:v>186</c:v>
                      </c:pt>
                      <c:pt idx="4">
                        <c:v>187</c:v>
                      </c:pt>
                      <c:pt idx="5">
                        <c:v>188</c:v>
                      </c:pt>
                      <c:pt idx="6">
                        <c:v>189</c:v>
                      </c:pt>
                      <c:pt idx="7">
                        <c:v>190</c:v>
                      </c:pt>
                      <c:pt idx="8">
                        <c:v>191</c:v>
                      </c:pt>
                      <c:pt idx="9">
                        <c:v>192</c:v>
                      </c:pt>
                      <c:pt idx="10">
                        <c:v>193</c:v>
                      </c:pt>
                      <c:pt idx="11">
                        <c:v>194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(2)'!$K$45:$K$56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5.4038000000000004</c:v>
                      </c:pt>
                      <c:pt idx="1">
                        <c:v>5.4015000000000004</c:v>
                      </c:pt>
                      <c:pt idx="2">
                        <c:v>5.4147999999999996</c:v>
                      </c:pt>
                      <c:pt idx="3">
                        <c:v>5.4036999999999997</c:v>
                      </c:pt>
                      <c:pt idx="4">
                        <c:v>5.4062999999999999</c:v>
                      </c:pt>
                      <c:pt idx="5">
                        <c:v>5.4053000000000004</c:v>
                      </c:pt>
                      <c:pt idx="6" formatCode="0.0000">
                        <c:v>5.4059999999999997</c:v>
                      </c:pt>
                      <c:pt idx="7">
                        <c:v>5.4108000000000001</c:v>
                      </c:pt>
                      <c:pt idx="8">
                        <c:v>5.4101999999999997</c:v>
                      </c:pt>
                      <c:pt idx="9">
                        <c:v>5.4169</c:v>
                      </c:pt>
                      <c:pt idx="10">
                        <c:v>5.4191000000000003</c:v>
                      </c:pt>
                      <c:pt idx="11">
                        <c:v>5.4236000000000004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D0-498C-A8CC-AC73F07FDBC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EBIT Mg-like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(2)'!$T$41:$T$50</c15:sqref>
                          </c15:formulaRef>
                        </c:ext>
                      </c:extLst>
                      <c:numCache>
                        <c:formatCode>General</c:formatCode>
                        <c:ptCount val="10"/>
                        <c:pt idx="0">
                          <c:v>8.261550233889324E-3</c:v>
                        </c:pt>
                        <c:pt idx="1">
                          <c:v>8.2444795478826514E-3</c:v>
                        </c:pt>
                        <c:pt idx="2">
                          <c:v>8.2323367375598169E-3</c:v>
                        </c:pt>
                        <c:pt idx="3">
                          <c:v>8.2248668822175255E-3</c:v>
                        </c:pt>
                        <c:pt idx="4">
                          <c:v>8.2214755791569574E-3</c:v>
                        </c:pt>
                        <c:pt idx="5">
                          <c:v>8.2312079079484499E-3</c:v>
                        </c:pt>
                        <c:pt idx="6">
                          <c:v>8.2309019505799556E-3</c:v>
                        </c:pt>
                        <c:pt idx="7">
                          <c:v>8.2156605906843743E-3</c:v>
                        </c:pt>
                        <c:pt idx="8">
                          <c:v>8.2029363931576792E-3</c:v>
                        </c:pt>
                        <c:pt idx="9">
                          <c:v>8.1938129922516662E-3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(2)'!$T$41:$T$50</c15:sqref>
                          </c15:formulaRef>
                        </c:ext>
                      </c:extLst>
                      <c:numCache>
                        <c:formatCode>General</c:formatCode>
                        <c:ptCount val="10"/>
                        <c:pt idx="0">
                          <c:v>8.261550233889324E-3</c:v>
                        </c:pt>
                        <c:pt idx="1">
                          <c:v>8.2444795478826514E-3</c:v>
                        </c:pt>
                        <c:pt idx="2">
                          <c:v>8.2323367375598169E-3</c:v>
                        </c:pt>
                        <c:pt idx="3">
                          <c:v>8.2248668822175255E-3</c:v>
                        </c:pt>
                        <c:pt idx="4">
                          <c:v>8.2214755791569574E-3</c:v>
                        </c:pt>
                        <c:pt idx="5">
                          <c:v>8.2312079079484499E-3</c:v>
                        </c:pt>
                        <c:pt idx="6">
                          <c:v>8.2309019505799556E-3</c:v>
                        </c:pt>
                        <c:pt idx="7">
                          <c:v>8.2156605906843743E-3</c:v>
                        </c:pt>
                        <c:pt idx="8">
                          <c:v>8.2029363931576792E-3</c:v>
                        </c:pt>
                        <c:pt idx="9">
                          <c:v>8.1938129922516662E-3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(2)'!$R$41:$R$50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182</c:v>
                      </c:pt>
                      <c:pt idx="1">
                        <c:v>183</c:v>
                      </c:pt>
                      <c:pt idx="2">
                        <c:v>184</c:v>
                      </c:pt>
                      <c:pt idx="3">
                        <c:v>185</c:v>
                      </c:pt>
                      <c:pt idx="4">
                        <c:v>186</c:v>
                      </c:pt>
                      <c:pt idx="5">
                        <c:v>187</c:v>
                      </c:pt>
                      <c:pt idx="6">
                        <c:v>188</c:v>
                      </c:pt>
                      <c:pt idx="7">
                        <c:v>189</c:v>
                      </c:pt>
                      <c:pt idx="8">
                        <c:v>191</c:v>
                      </c:pt>
                      <c:pt idx="9">
                        <c:v>193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(2)'!$S$41:$S$50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5.3905685237029974</c:v>
                      </c:pt>
                      <c:pt idx="1">
                        <c:v>5.397983791077694</c:v>
                      </c:pt>
                      <c:pt idx="2">
                        <c:v>5.4004841457722579</c:v>
                      </c:pt>
                      <c:pt idx="3">
                        <c:v>5.4053888859856798</c:v>
                      </c:pt>
                      <c:pt idx="4">
                        <c:v>5.4100119231603836</c:v>
                      </c:pt>
                      <c:pt idx="5">
                        <c:v>5.4012247693220017</c:v>
                      </c:pt>
                      <c:pt idx="6">
                        <c:v>5.4038161523813439</c:v>
                      </c:pt>
                      <c:pt idx="7">
                        <c:v>5.4097346523408625</c:v>
                      </c:pt>
                      <c:pt idx="8" formatCode="0.0000">
                        <c:v>5.4167544718897416</c:v>
                      </c:pt>
                      <c:pt idx="9">
                        <c:v>5.4231290791145215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D0-498C-A8CC-AC73F07FDBC9}"/>
                  </c:ext>
                </c:extLst>
              </c15:ser>
            </c15:filteredScatterSeries>
          </c:ext>
        </c:extLst>
      </c:scatterChart>
      <c:valAx>
        <c:axId val="55609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Isotope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9376"/>
        <c:crosses val="autoZero"/>
        <c:crossBetween val="midCat"/>
      </c:valAx>
      <c:valAx>
        <c:axId val="5560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NUclear Radius (fm)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70808456635219"/>
          <c:y val="0.56891738658478963"/>
          <c:w val="0.11672729612826417"/>
          <c:h val="0.181452852179688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Na-like 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95001487626944E-2"/>
          <c:y val="7.2766439909297057E-2"/>
          <c:w val="0.92285594760548928"/>
          <c:h val="0.86329190993982896"/>
        </c:manualLayout>
      </c:layout>
      <c:scatterChart>
        <c:scatterStyle val="lineMarker"/>
        <c:varyColors val="0"/>
        <c:ser>
          <c:idx val="0"/>
          <c:order val="0"/>
          <c:tx>
            <c:v>Na-like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Results (Adam Calibration)'!$D$11:$D$12</c:f>
                <c:numCache>
                  <c:formatCode>General</c:formatCode>
                  <c:ptCount val="2"/>
                  <c:pt idx="0">
                    <c:v>1.8015899320348899E-4</c:v>
                  </c:pt>
                  <c:pt idx="1">
                    <c:v>1.6830166728921099E-4</c:v>
                  </c:pt>
                </c:numCache>
              </c:numRef>
            </c:plus>
            <c:minus>
              <c:numRef>
                <c:f>'Exp Results (Adam Calibration)'!$D$11:$D$12</c:f>
                <c:numCache>
                  <c:formatCode>General</c:formatCode>
                  <c:ptCount val="2"/>
                  <c:pt idx="0">
                    <c:v>1.8015899320348899E-4</c:v>
                  </c:pt>
                  <c:pt idx="1">
                    <c:v>1.6830166728921099E-4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Results (Adam Calibration)'!$A$11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'Exp Results (Adam Calibration)'!$C$11</c:f>
              <c:numCache>
                <c:formatCode>0.0000</c:formatCode>
                <c:ptCount val="1"/>
                <c:pt idx="0">
                  <c:v>7.4476000000000004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AA-4A30-8118-91720A90D7F7}"/>
            </c:ext>
          </c:extLst>
        </c:ser>
        <c:ser>
          <c:idx val="1"/>
          <c:order val="1"/>
          <c:tx>
            <c:v>Theory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Results (Adam Calibration)'!$D$28</c:f>
                <c:numCache>
                  <c:formatCode>General</c:formatCode>
                  <c:ptCount val="1"/>
                  <c:pt idx="0">
                    <c:v>8.3169628318964604E-4</c:v>
                  </c:pt>
                </c:numCache>
              </c:numRef>
            </c:plus>
            <c:minus>
              <c:numRef>
                <c:f>'Exp Results (Adam Calibration)'!$D$28</c:f>
                <c:numCache>
                  <c:formatCode>General</c:formatCode>
                  <c:ptCount val="1"/>
                  <c:pt idx="0">
                    <c:v>8.3169628318964604E-4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Results (Adam Calibration)'!$A$28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'Exp Results (Adam Calibration)'!$C$28</c:f>
              <c:numCache>
                <c:formatCode>General</c:formatCode>
                <c:ptCount val="1"/>
                <c:pt idx="0">
                  <c:v>7.4462000000000002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AA-4A30-8118-91720A90D7F7}"/>
            </c:ext>
          </c:extLst>
        </c:ser>
        <c:ser>
          <c:idx val="2"/>
          <c:order val="2"/>
          <c:tx>
            <c:v>steve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'Exp Results (Adam Calibration)'!$C$38</c:f>
                <c:numCache>
                  <c:formatCode>General</c:formatCode>
                  <c:ptCount val="1"/>
                  <c:pt idx="0">
                    <c:v>1.2999999999999999E-3</c:v>
                  </c:pt>
                </c:numCache>
              </c:numRef>
            </c:plus>
            <c:minus>
              <c:numRef>
                <c:f>'Exp Results (Adam Calibration)'!$C$38</c:f>
                <c:numCache>
                  <c:formatCode>General</c:formatCode>
                  <c:ptCount val="1"/>
                  <c:pt idx="0">
                    <c:v>1.2999999999999999E-3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Results (Adam Calibration)'!$D$38</c:f>
              <c:numCache>
                <c:formatCode>General</c:formatCode>
                <c:ptCount val="1"/>
                <c:pt idx="0">
                  <c:v>1.5</c:v>
                </c:pt>
              </c:numCache>
            </c:numRef>
          </c:xVal>
          <c:yVal>
            <c:numRef>
              <c:f>'Exp Results (Adam Calibration)'!$B$38</c:f>
              <c:numCache>
                <c:formatCode>General</c:formatCode>
                <c:ptCount val="1"/>
                <c:pt idx="0">
                  <c:v>7.4484000000000004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AA-4A30-8118-91720A90D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30639"/>
        <c:axId val="486340207"/>
      </c:scatterChart>
      <c:valAx>
        <c:axId val="48633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40207"/>
        <c:crosses val="autoZero"/>
        <c:crossBetween val="midCat"/>
      </c:valAx>
      <c:valAx>
        <c:axId val="4863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3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Na-like</a:t>
            </a:r>
            <a:r>
              <a:rPr lang="en-US" baseline="0"/>
              <a:t> Ir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Results (Adam Calibration)'!$D$12</c:f>
                <c:numCache>
                  <c:formatCode>General</c:formatCode>
                  <c:ptCount val="1"/>
                  <c:pt idx="0">
                    <c:v>1.6830166728921099E-4</c:v>
                  </c:pt>
                </c:numCache>
              </c:numRef>
            </c:plus>
            <c:minus>
              <c:numRef>
                <c:f>'Exp Results (Adam Calibration)'!$D$12</c:f>
                <c:numCache>
                  <c:formatCode>General</c:formatCode>
                  <c:ptCount val="1"/>
                  <c:pt idx="0">
                    <c:v>1.6830166728921099E-4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Results (Adam Calibration)'!$A$12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'Exp Results (Adam Calibration)'!$C$12</c:f>
              <c:numCache>
                <c:formatCode>0.0000</c:formatCode>
                <c:ptCount val="1"/>
                <c:pt idx="0">
                  <c:v>7.2941304892272498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1-4725-92B5-B7DE511C6F8D}"/>
            </c:ext>
          </c:extLst>
        </c:ser>
        <c:ser>
          <c:idx val="1"/>
          <c:order val="1"/>
          <c:tx>
            <c:v>Dipti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Results (Adam Calibration)'!$A$29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'Exp Results (Adam Calibration)'!$C$29</c:f>
              <c:numCache>
                <c:formatCode>General</c:formatCode>
                <c:ptCount val="1"/>
                <c:pt idx="0">
                  <c:v>7.2919999999999998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A1-4725-92B5-B7DE511C6F8D}"/>
            </c:ext>
          </c:extLst>
        </c:ser>
        <c:ser>
          <c:idx val="2"/>
          <c:order val="2"/>
          <c:tx>
            <c:v>Steve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Results (Adam Calibration)'!$C$39</c:f>
                <c:numCache>
                  <c:formatCode>General</c:formatCode>
                  <c:ptCount val="1"/>
                  <c:pt idx="0">
                    <c:v>1.2999999999999999E-3</c:v>
                  </c:pt>
                </c:numCache>
              </c:numRef>
            </c:plus>
            <c:minus>
              <c:numRef>
                <c:f>'Exp Results (Adam Calibration)'!$C$39</c:f>
                <c:numCache>
                  <c:formatCode>General</c:formatCode>
                  <c:ptCount val="1"/>
                  <c:pt idx="0">
                    <c:v>1.2999999999999999E-3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Results (Adam Calibration)'!$D$39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'Exp Results (Adam Calibration)'!$B$39</c:f>
              <c:numCache>
                <c:formatCode>General</c:formatCode>
                <c:ptCount val="1"/>
                <c:pt idx="0">
                  <c:v>7.2948000000000004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A1-4725-92B5-B7DE511C6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82815"/>
        <c:axId val="627072415"/>
      </c:scatterChart>
      <c:valAx>
        <c:axId val="62708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72415"/>
        <c:crosses val="autoZero"/>
        <c:crossBetween val="midCat"/>
      </c:valAx>
      <c:valAx>
        <c:axId val="62707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82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Mg-like Os</a:t>
            </a:r>
          </a:p>
        </c:rich>
      </c:tx>
      <c:layout>
        <c:manualLayout>
          <c:xMode val="edge"/>
          <c:yMode val="edge"/>
          <c:x val="0.44543198372392806"/>
          <c:y val="1.5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Results (Adam Calibration)'!$G$11</c:f>
                <c:numCache>
                  <c:formatCode>General</c:formatCode>
                  <c:ptCount val="1"/>
                  <c:pt idx="0">
                    <c:v>1.6830166728921099E-4</c:v>
                  </c:pt>
                </c:numCache>
              </c:numRef>
            </c:plus>
            <c:minus>
              <c:numRef>
                <c:f>'Exp Results (Adam Calibration)'!$G$12</c:f>
                <c:numCache>
                  <c:formatCode>General</c:formatCode>
                  <c:ptCount val="1"/>
                  <c:pt idx="0">
                    <c:v>1.6813047593010501E-4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Results (Adam Calibration)'!$A$11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'Exp Results (Adam Calibration)'!$F$11</c:f>
              <c:numCache>
                <c:formatCode>0.0000</c:formatCode>
                <c:ptCount val="1"/>
                <c:pt idx="0">
                  <c:v>7.6550562627676104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A-48A4-99D6-BEACB361CC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'Exp Results (Adam Calibration)'!$G$28</c:f>
                <c:numCache>
                  <c:formatCode>General</c:formatCode>
                  <c:ptCount val="1"/>
                  <c:pt idx="0">
                    <c:v>1.9859999999999999E-3</c:v>
                  </c:pt>
                </c:numCache>
              </c:numRef>
            </c:plus>
            <c:minus>
              <c:numRef>
                <c:f>'Exp Results (Adam Calibration)'!$G$28</c:f>
                <c:numCache>
                  <c:formatCode>General</c:formatCode>
                  <c:ptCount val="1"/>
                  <c:pt idx="0">
                    <c:v>1.9859999999999999E-3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Results (Adam Calibration)'!$A$28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'Exp Results (Adam Calibration)'!$F$28</c:f>
              <c:numCache>
                <c:formatCode>General</c:formatCode>
                <c:ptCount val="1"/>
                <c:pt idx="0">
                  <c:v>7.657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AA-48A4-99D6-BEACB361C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56703"/>
        <c:axId val="106560863"/>
      </c:scatterChart>
      <c:valAx>
        <c:axId val="10655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0863"/>
        <c:crosses val="autoZero"/>
        <c:crossBetween val="midCat"/>
      </c:valAx>
      <c:valAx>
        <c:axId val="1065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Mg-like</a:t>
            </a:r>
            <a:r>
              <a:rPr lang="en-US" baseline="0"/>
              <a:t> Ir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'Exp Results (Adam Calibration)'!$G$12</c:f>
                <c:numCache>
                  <c:formatCode>General</c:formatCode>
                  <c:ptCount val="1"/>
                  <c:pt idx="0">
                    <c:v>1.6813047593010501E-4</c:v>
                  </c:pt>
                </c:numCache>
              </c:numRef>
            </c:plus>
            <c:minus>
              <c:numRef>
                <c:f>'Exp Results (Adam Calibration)'!$G$12</c:f>
                <c:numCache>
                  <c:formatCode>General</c:formatCode>
                  <c:ptCount val="1"/>
                  <c:pt idx="0">
                    <c:v>1.6813047593010501E-4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Results (Adam Calibration)'!$A$12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'Exp Results (Adam Calibration)'!$F$12</c:f>
              <c:numCache>
                <c:formatCode>0.0000</c:formatCode>
                <c:ptCount val="1"/>
                <c:pt idx="0">
                  <c:v>7.4929520911420102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5-4B6E-A220-1EA05E79F55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'Exp Results (Adam Calibration)'!$G$29</c:f>
                <c:numCache>
                  <c:formatCode>General</c:formatCode>
                  <c:ptCount val="1"/>
                  <c:pt idx="0">
                    <c:v>2.8993273722758652E-3</c:v>
                  </c:pt>
                </c:numCache>
              </c:numRef>
            </c:plus>
            <c:minus>
              <c:numRef>
                <c:f>'Exp Results (Adam Calibration)'!$G$29</c:f>
                <c:numCache>
                  <c:formatCode>General</c:formatCode>
                  <c:ptCount val="1"/>
                  <c:pt idx="0">
                    <c:v>2.8993273722758652E-3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Results (Adam Calibration)'!$A$29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'Exp Results (Adam Calibration)'!$F$29</c:f>
              <c:numCache>
                <c:formatCode>General</c:formatCode>
                <c:ptCount val="1"/>
                <c:pt idx="0">
                  <c:v>7.4944800000000003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5-4B6E-A220-1EA05E79F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174063"/>
        <c:axId val="627071583"/>
      </c:scatterChart>
      <c:valAx>
        <c:axId val="39917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71583"/>
        <c:crosses val="autoZero"/>
        <c:crossBetween val="midCat"/>
      </c:valAx>
      <c:valAx>
        <c:axId val="6270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266699</xdr:colOff>
      <xdr:row>44</xdr:row>
      <xdr:rowOff>187722</xdr:rowOff>
    </xdr:from>
    <xdr:ext cx="7418803" cy="1364638"/>
    <xdr:pic>
      <xdr:nvPicPr>
        <xdr:cNvPr id="3" name="Picture 2">
          <a:extLst>
            <a:ext uri="{FF2B5EF4-FFF2-40B4-BE49-F238E27FC236}">
              <a16:creationId xmlns:a16="http://schemas.microsoft.com/office/drawing/2014/main" id="{41AC542F-D4CE-48D6-9C55-57ED631EB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8769747"/>
          <a:ext cx="7418803" cy="1364638"/>
        </a:xfrm>
        <a:prstGeom prst="rect">
          <a:avLst/>
        </a:prstGeom>
      </xdr:spPr>
    </xdr:pic>
    <xdr:clientData/>
  </xdr:oneCellAnchor>
  <xdr:oneCellAnchor>
    <xdr:from>
      <xdr:col>4</xdr:col>
      <xdr:colOff>190500</xdr:colOff>
      <xdr:row>47</xdr:row>
      <xdr:rowOff>47625</xdr:rowOff>
    </xdr:from>
    <xdr:ext cx="275653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C267F25-7E9C-490A-84DE-9E368BCDBCAE}"/>
            </a:ext>
          </a:extLst>
        </xdr:cNvPr>
        <xdr:cNvSpPr txBox="1"/>
      </xdr:nvSpPr>
      <xdr:spPr>
        <a:xfrm>
          <a:off x="3400425" y="920115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6</xdr:col>
      <xdr:colOff>361950</xdr:colOff>
      <xdr:row>47</xdr:row>
      <xdr:rowOff>114300</xdr:rowOff>
    </xdr:from>
    <xdr:ext cx="631391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6269897-5FC6-4DAF-BC6C-369B291B536F}"/>
            </a:ext>
          </a:extLst>
        </xdr:cNvPr>
        <xdr:cNvSpPr txBox="1"/>
      </xdr:nvSpPr>
      <xdr:spPr>
        <a:xfrm>
          <a:off x="5353050" y="9267825"/>
          <a:ext cx="6313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2, 5, 6</a:t>
          </a:r>
        </a:p>
      </xdr:txBody>
    </xdr:sp>
    <xdr:clientData/>
  </xdr:oneCellAnchor>
  <xdr:oneCellAnchor>
    <xdr:from>
      <xdr:col>8</xdr:col>
      <xdr:colOff>200025</xdr:colOff>
      <xdr:row>47</xdr:row>
      <xdr:rowOff>85725</xdr:rowOff>
    </xdr:from>
    <xdr:ext cx="275653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D34F754-5BAB-4F01-BA9A-9D06352CE273}"/>
            </a:ext>
          </a:extLst>
        </xdr:cNvPr>
        <xdr:cNvSpPr txBox="1"/>
      </xdr:nvSpPr>
      <xdr:spPr>
        <a:xfrm>
          <a:off x="6981825" y="923925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9</xdr:col>
      <xdr:colOff>885825</xdr:colOff>
      <xdr:row>47</xdr:row>
      <xdr:rowOff>114300</xdr:rowOff>
    </xdr:from>
    <xdr:ext cx="275653" cy="31149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66C1AD9-2E8A-489C-B0A1-C2E0B98DA115}"/>
            </a:ext>
          </a:extLst>
        </xdr:cNvPr>
        <xdr:cNvSpPr txBox="1"/>
      </xdr:nvSpPr>
      <xdr:spPr>
        <a:xfrm>
          <a:off x="8467725" y="926782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4</a:t>
          </a:r>
        </a:p>
      </xdr:txBody>
    </xdr:sp>
    <xdr:clientData/>
  </xdr:oneCellAnchor>
  <xdr:oneCellAnchor>
    <xdr:from>
      <xdr:col>25</xdr:col>
      <xdr:colOff>219074</xdr:colOff>
      <xdr:row>44</xdr:row>
      <xdr:rowOff>111522</xdr:rowOff>
    </xdr:from>
    <xdr:ext cx="7418803" cy="1364638"/>
    <xdr:pic>
      <xdr:nvPicPr>
        <xdr:cNvPr id="8" name="Picture 7">
          <a:extLst>
            <a:ext uri="{FF2B5EF4-FFF2-40B4-BE49-F238E27FC236}">
              <a16:creationId xmlns:a16="http://schemas.microsoft.com/office/drawing/2014/main" id="{F43C5E64-1FBD-4248-A36E-AE331AD51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4" y="8693547"/>
          <a:ext cx="7418803" cy="1364638"/>
        </a:xfrm>
        <a:prstGeom prst="rect">
          <a:avLst/>
        </a:prstGeom>
      </xdr:spPr>
    </xdr:pic>
    <xdr:clientData/>
  </xdr:oneCellAnchor>
  <xdr:oneCellAnchor>
    <xdr:from>
      <xdr:col>26</xdr:col>
      <xdr:colOff>647700</xdr:colOff>
      <xdr:row>47</xdr:row>
      <xdr:rowOff>66675</xdr:rowOff>
    </xdr:from>
    <xdr:ext cx="275653" cy="31149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DA777D0-B5D8-4AC7-8034-99789E912264}"/>
            </a:ext>
          </a:extLst>
        </xdr:cNvPr>
        <xdr:cNvSpPr txBox="1"/>
      </xdr:nvSpPr>
      <xdr:spPr>
        <a:xfrm>
          <a:off x="2133600" y="922020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29</xdr:col>
      <xdr:colOff>504825</xdr:colOff>
      <xdr:row>47</xdr:row>
      <xdr:rowOff>66675</xdr:rowOff>
    </xdr:from>
    <xdr:ext cx="275653" cy="31149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5065C76-3E1B-4DE7-8B82-6EBE638A6784}"/>
            </a:ext>
          </a:extLst>
        </xdr:cNvPr>
        <xdr:cNvSpPr txBox="1"/>
      </xdr:nvSpPr>
      <xdr:spPr>
        <a:xfrm>
          <a:off x="4533900" y="922020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2</a:t>
          </a:r>
        </a:p>
      </xdr:txBody>
    </xdr:sp>
    <xdr:clientData/>
  </xdr:oneCellAnchor>
  <xdr:oneCellAnchor>
    <xdr:from>
      <xdr:col>32</xdr:col>
      <xdr:colOff>104775</xdr:colOff>
      <xdr:row>47</xdr:row>
      <xdr:rowOff>47625</xdr:rowOff>
    </xdr:from>
    <xdr:ext cx="275653" cy="31149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B75668-1883-45B2-B82A-7B0144AAC022}"/>
            </a:ext>
          </a:extLst>
        </xdr:cNvPr>
        <xdr:cNvSpPr txBox="1"/>
      </xdr:nvSpPr>
      <xdr:spPr>
        <a:xfrm>
          <a:off x="6886575" y="920115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34</xdr:col>
      <xdr:colOff>133350</xdr:colOff>
      <xdr:row>47</xdr:row>
      <xdr:rowOff>19050</xdr:rowOff>
    </xdr:from>
    <xdr:ext cx="275653" cy="31149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1C1A2FD-E2ED-481F-BE7C-A1944CAE8371}"/>
            </a:ext>
          </a:extLst>
        </xdr:cNvPr>
        <xdr:cNvSpPr txBox="1"/>
      </xdr:nvSpPr>
      <xdr:spPr>
        <a:xfrm>
          <a:off x="9105900" y="917257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4</a:t>
          </a:r>
        </a:p>
      </xdr:txBody>
    </xdr:sp>
    <xdr:clientData/>
  </xdr:oneCellAnchor>
  <xdr:oneCellAnchor>
    <xdr:from>
      <xdr:col>2</xdr:col>
      <xdr:colOff>295274</xdr:colOff>
      <xdr:row>78</xdr:row>
      <xdr:rowOff>6747</xdr:rowOff>
    </xdr:from>
    <xdr:ext cx="7418803" cy="1364638"/>
    <xdr:pic>
      <xdr:nvPicPr>
        <xdr:cNvPr id="17" name="Picture 16">
          <a:extLst>
            <a:ext uri="{FF2B5EF4-FFF2-40B4-BE49-F238E27FC236}">
              <a16:creationId xmlns:a16="http://schemas.microsoft.com/office/drawing/2014/main" id="{E3E9B250-7B45-44C0-A772-75364571B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174" y="8779272"/>
          <a:ext cx="7418803" cy="1364638"/>
        </a:xfrm>
        <a:prstGeom prst="rect">
          <a:avLst/>
        </a:prstGeom>
      </xdr:spPr>
    </xdr:pic>
    <xdr:clientData/>
  </xdr:oneCellAnchor>
  <xdr:oneCellAnchor>
    <xdr:from>
      <xdr:col>4</xdr:col>
      <xdr:colOff>190500</xdr:colOff>
      <xdr:row>80</xdr:row>
      <xdr:rowOff>47625</xdr:rowOff>
    </xdr:from>
    <xdr:ext cx="275653" cy="31149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2C7F62A-0C2E-4F3C-8995-2609E310AB48}"/>
            </a:ext>
          </a:extLst>
        </xdr:cNvPr>
        <xdr:cNvSpPr txBox="1"/>
      </xdr:nvSpPr>
      <xdr:spPr>
        <a:xfrm>
          <a:off x="3400425" y="920115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6</xdr:col>
      <xdr:colOff>361950</xdr:colOff>
      <xdr:row>80</xdr:row>
      <xdr:rowOff>114300</xdr:rowOff>
    </xdr:from>
    <xdr:ext cx="631391" cy="311496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A0FEAF2-E03C-48FE-8446-CFF0CC33D984}"/>
            </a:ext>
          </a:extLst>
        </xdr:cNvPr>
        <xdr:cNvSpPr txBox="1"/>
      </xdr:nvSpPr>
      <xdr:spPr>
        <a:xfrm>
          <a:off x="5353050" y="9267825"/>
          <a:ext cx="6313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2, 5, 6</a:t>
          </a:r>
        </a:p>
      </xdr:txBody>
    </xdr:sp>
    <xdr:clientData/>
  </xdr:oneCellAnchor>
  <xdr:oneCellAnchor>
    <xdr:from>
      <xdr:col>8</xdr:col>
      <xdr:colOff>200025</xdr:colOff>
      <xdr:row>80</xdr:row>
      <xdr:rowOff>85725</xdr:rowOff>
    </xdr:from>
    <xdr:ext cx="275653" cy="31149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FAF2907-78FA-4767-8B42-F404E8A112B2}"/>
            </a:ext>
          </a:extLst>
        </xdr:cNvPr>
        <xdr:cNvSpPr txBox="1"/>
      </xdr:nvSpPr>
      <xdr:spPr>
        <a:xfrm>
          <a:off x="6981825" y="923925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9</xdr:col>
      <xdr:colOff>885825</xdr:colOff>
      <xdr:row>80</xdr:row>
      <xdr:rowOff>114300</xdr:rowOff>
    </xdr:from>
    <xdr:ext cx="275653" cy="31149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BD7F661-E27E-423B-A6B4-D2C4EC78ED35}"/>
            </a:ext>
          </a:extLst>
        </xdr:cNvPr>
        <xdr:cNvSpPr txBox="1"/>
      </xdr:nvSpPr>
      <xdr:spPr>
        <a:xfrm>
          <a:off x="8467725" y="926782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4</a:t>
          </a:r>
        </a:p>
      </xdr:txBody>
    </xdr:sp>
    <xdr:clientData/>
  </xdr:oneCellAnchor>
  <xdr:oneCellAnchor>
    <xdr:from>
      <xdr:col>25</xdr:col>
      <xdr:colOff>733424</xdr:colOff>
      <xdr:row>78</xdr:row>
      <xdr:rowOff>16272</xdr:rowOff>
    </xdr:from>
    <xdr:ext cx="7418803" cy="1364638"/>
    <xdr:pic>
      <xdr:nvPicPr>
        <xdr:cNvPr id="22" name="Picture 21">
          <a:extLst>
            <a:ext uri="{FF2B5EF4-FFF2-40B4-BE49-F238E27FC236}">
              <a16:creationId xmlns:a16="http://schemas.microsoft.com/office/drawing/2014/main" id="{8918F30E-EA8B-4238-B3A8-101D8A4DE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45474" y="15084822"/>
          <a:ext cx="7418803" cy="1364638"/>
        </a:xfrm>
        <a:prstGeom prst="rect">
          <a:avLst/>
        </a:prstGeom>
      </xdr:spPr>
    </xdr:pic>
    <xdr:clientData/>
  </xdr:oneCellAnchor>
  <xdr:oneCellAnchor>
    <xdr:from>
      <xdr:col>28</xdr:col>
      <xdr:colOff>190500</xdr:colOff>
      <xdr:row>80</xdr:row>
      <xdr:rowOff>47625</xdr:rowOff>
    </xdr:from>
    <xdr:ext cx="275653" cy="31149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0C0BC15-E37E-4278-AADA-2880B4EFF588}"/>
            </a:ext>
          </a:extLst>
        </xdr:cNvPr>
        <xdr:cNvSpPr txBox="1"/>
      </xdr:nvSpPr>
      <xdr:spPr>
        <a:xfrm>
          <a:off x="3400425" y="1549717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30</xdr:col>
      <xdr:colOff>361950</xdr:colOff>
      <xdr:row>80</xdr:row>
      <xdr:rowOff>114300</xdr:rowOff>
    </xdr:from>
    <xdr:ext cx="631391" cy="31149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B20AD70-1F16-40F8-8C28-0044D3060F91}"/>
            </a:ext>
          </a:extLst>
        </xdr:cNvPr>
        <xdr:cNvSpPr txBox="1"/>
      </xdr:nvSpPr>
      <xdr:spPr>
        <a:xfrm>
          <a:off x="5353050" y="15563850"/>
          <a:ext cx="6313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2, 5, 6</a:t>
          </a:r>
        </a:p>
      </xdr:txBody>
    </xdr:sp>
    <xdr:clientData/>
  </xdr:oneCellAnchor>
  <xdr:oneCellAnchor>
    <xdr:from>
      <xdr:col>32</xdr:col>
      <xdr:colOff>200025</xdr:colOff>
      <xdr:row>80</xdr:row>
      <xdr:rowOff>85725</xdr:rowOff>
    </xdr:from>
    <xdr:ext cx="275653" cy="311496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79BB10D-1B25-45B0-8093-F1DD0D5BA972}"/>
            </a:ext>
          </a:extLst>
        </xdr:cNvPr>
        <xdr:cNvSpPr txBox="1"/>
      </xdr:nvSpPr>
      <xdr:spPr>
        <a:xfrm>
          <a:off x="6981825" y="1553527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33</xdr:col>
      <xdr:colOff>885825</xdr:colOff>
      <xdr:row>80</xdr:row>
      <xdr:rowOff>114300</xdr:rowOff>
    </xdr:from>
    <xdr:ext cx="275653" cy="311496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BB1C0E8-C626-4BA1-BDEC-9746E920ED22}"/>
            </a:ext>
          </a:extLst>
        </xdr:cNvPr>
        <xdr:cNvSpPr txBox="1"/>
      </xdr:nvSpPr>
      <xdr:spPr>
        <a:xfrm>
          <a:off x="8467725" y="1556385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4</a:t>
          </a:r>
        </a:p>
      </xdr:txBody>
    </xdr:sp>
    <xdr:clientData/>
  </xdr:oneCellAnchor>
  <xdr:oneCellAnchor>
    <xdr:from>
      <xdr:col>42</xdr:col>
      <xdr:colOff>295274</xdr:colOff>
      <xdr:row>1</xdr:row>
      <xdr:rowOff>6747</xdr:rowOff>
    </xdr:from>
    <xdr:ext cx="7418803" cy="1364638"/>
    <xdr:pic>
      <xdr:nvPicPr>
        <xdr:cNvPr id="32" name="Picture 31">
          <a:extLst>
            <a:ext uri="{FF2B5EF4-FFF2-40B4-BE49-F238E27FC236}">
              <a16:creationId xmlns:a16="http://schemas.microsoft.com/office/drawing/2014/main" id="{D606872C-F7E0-4C7F-A4D2-738DB035C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174" y="8779272"/>
          <a:ext cx="7418803" cy="1364638"/>
        </a:xfrm>
        <a:prstGeom prst="rect">
          <a:avLst/>
        </a:prstGeom>
      </xdr:spPr>
    </xdr:pic>
    <xdr:clientData/>
  </xdr:oneCellAnchor>
  <xdr:oneCellAnchor>
    <xdr:from>
      <xdr:col>44</xdr:col>
      <xdr:colOff>190500</xdr:colOff>
      <xdr:row>3</xdr:row>
      <xdr:rowOff>47625</xdr:rowOff>
    </xdr:from>
    <xdr:ext cx="275653" cy="311496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5D0026E-9776-42A2-81E5-E3E62D2E46DD}"/>
            </a:ext>
          </a:extLst>
        </xdr:cNvPr>
        <xdr:cNvSpPr txBox="1"/>
      </xdr:nvSpPr>
      <xdr:spPr>
        <a:xfrm>
          <a:off x="3400425" y="920115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47</xdr:col>
      <xdr:colOff>104775</xdr:colOff>
      <xdr:row>3</xdr:row>
      <xdr:rowOff>95250</xdr:rowOff>
    </xdr:from>
    <xdr:ext cx="631391" cy="31149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7F2A3B0-0371-4F2E-B069-061BED679801}"/>
            </a:ext>
          </a:extLst>
        </xdr:cNvPr>
        <xdr:cNvSpPr txBox="1"/>
      </xdr:nvSpPr>
      <xdr:spPr>
        <a:xfrm>
          <a:off x="37271325" y="666750"/>
          <a:ext cx="6313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2, 5, 6</a:t>
          </a:r>
        </a:p>
      </xdr:txBody>
    </xdr:sp>
    <xdr:clientData/>
  </xdr:oneCellAnchor>
  <xdr:oneCellAnchor>
    <xdr:from>
      <xdr:col>49</xdr:col>
      <xdr:colOff>561975</xdr:colOff>
      <xdr:row>3</xdr:row>
      <xdr:rowOff>57150</xdr:rowOff>
    </xdr:from>
    <xdr:ext cx="275653" cy="311496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C440985-2E31-4469-B787-116E34652D4D}"/>
            </a:ext>
          </a:extLst>
        </xdr:cNvPr>
        <xdr:cNvSpPr txBox="1"/>
      </xdr:nvSpPr>
      <xdr:spPr>
        <a:xfrm>
          <a:off x="39100125" y="62865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52</xdr:col>
      <xdr:colOff>0</xdr:colOff>
      <xdr:row>3</xdr:row>
      <xdr:rowOff>85725</xdr:rowOff>
    </xdr:from>
    <xdr:ext cx="275653" cy="311496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DCDD1B0-D1A2-474B-B2DE-74B1EC20807E}"/>
            </a:ext>
          </a:extLst>
        </xdr:cNvPr>
        <xdr:cNvSpPr txBox="1"/>
      </xdr:nvSpPr>
      <xdr:spPr>
        <a:xfrm>
          <a:off x="40595550" y="65722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4</a:t>
          </a:r>
        </a:p>
      </xdr:txBody>
    </xdr:sp>
    <xdr:clientData/>
  </xdr:oneCellAnchor>
  <xdr:oneCellAnchor>
    <xdr:from>
      <xdr:col>49</xdr:col>
      <xdr:colOff>85724</xdr:colOff>
      <xdr:row>35</xdr:row>
      <xdr:rowOff>73422</xdr:rowOff>
    </xdr:from>
    <xdr:ext cx="7418803" cy="1364638"/>
    <xdr:pic>
      <xdr:nvPicPr>
        <xdr:cNvPr id="37" name="Picture 36">
          <a:extLst>
            <a:ext uri="{FF2B5EF4-FFF2-40B4-BE49-F238E27FC236}">
              <a16:creationId xmlns:a16="http://schemas.microsoft.com/office/drawing/2014/main" id="{E957CB37-46C0-4487-B0CC-EEDF153F0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66774" y="6940947"/>
          <a:ext cx="7418803" cy="1364638"/>
        </a:xfrm>
        <a:prstGeom prst="rect">
          <a:avLst/>
        </a:prstGeom>
      </xdr:spPr>
    </xdr:pic>
    <xdr:clientData/>
  </xdr:oneCellAnchor>
  <xdr:oneCellAnchor>
    <xdr:from>
      <xdr:col>50</xdr:col>
      <xdr:colOff>190500</xdr:colOff>
      <xdr:row>37</xdr:row>
      <xdr:rowOff>47625</xdr:rowOff>
    </xdr:from>
    <xdr:ext cx="275653" cy="311496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0DA2A81-5693-4F28-AEBD-E6AA804526F9}"/>
            </a:ext>
          </a:extLst>
        </xdr:cNvPr>
        <xdr:cNvSpPr txBox="1"/>
      </xdr:nvSpPr>
      <xdr:spPr>
        <a:xfrm>
          <a:off x="35299650" y="61912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53</xdr:col>
      <xdr:colOff>104775</xdr:colOff>
      <xdr:row>37</xdr:row>
      <xdr:rowOff>95250</xdr:rowOff>
    </xdr:from>
    <xdr:ext cx="631391" cy="31149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15CB991-BFE8-4E44-AE43-E302E03C1961}"/>
            </a:ext>
          </a:extLst>
        </xdr:cNvPr>
        <xdr:cNvSpPr txBox="1"/>
      </xdr:nvSpPr>
      <xdr:spPr>
        <a:xfrm>
          <a:off x="37385625" y="666750"/>
          <a:ext cx="6313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2, 5, 6</a:t>
          </a:r>
        </a:p>
      </xdr:txBody>
    </xdr:sp>
    <xdr:clientData/>
  </xdr:oneCellAnchor>
  <xdr:oneCellAnchor>
    <xdr:from>
      <xdr:col>55</xdr:col>
      <xdr:colOff>561975</xdr:colOff>
      <xdr:row>37</xdr:row>
      <xdr:rowOff>57150</xdr:rowOff>
    </xdr:from>
    <xdr:ext cx="275653" cy="311496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B9A91F6-B013-498C-A92E-6C62E1C61AF4}"/>
            </a:ext>
          </a:extLst>
        </xdr:cNvPr>
        <xdr:cNvSpPr txBox="1"/>
      </xdr:nvSpPr>
      <xdr:spPr>
        <a:xfrm>
          <a:off x="39214425" y="62865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58</xdr:col>
      <xdr:colOff>0</xdr:colOff>
      <xdr:row>37</xdr:row>
      <xdr:rowOff>85725</xdr:rowOff>
    </xdr:from>
    <xdr:ext cx="275653" cy="311496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83BDB9A0-D985-4AF3-A65C-7986EEF98BFD}"/>
            </a:ext>
          </a:extLst>
        </xdr:cNvPr>
        <xdr:cNvSpPr txBox="1"/>
      </xdr:nvSpPr>
      <xdr:spPr>
        <a:xfrm>
          <a:off x="40709850" y="65722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4</a:t>
          </a:r>
        </a:p>
      </xdr:txBody>
    </xdr:sp>
    <xdr:clientData/>
  </xdr:oneCellAnchor>
  <xdr:oneCellAnchor>
    <xdr:from>
      <xdr:col>81</xdr:col>
      <xdr:colOff>200024</xdr:colOff>
      <xdr:row>0</xdr:row>
      <xdr:rowOff>149622</xdr:rowOff>
    </xdr:from>
    <xdr:ext cx="7418803" cy="1364638"/>
    <xdr:pic>
      <xdr:nvPicPr>
        <xdr:cNvPr id="42" name="Picture 41">
          <a:extLst>
            <a:ext uri="{FF2B5EF4-FFF2-40B4-BE49-F238E27FC236}">
              <a16:creationId xmlns:a16="http://schemas.microsoft.com/office/drawing/2014/main" id="{517A8FEF-67E6-47B3-B9AF-68318C4F8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69674" y="149622"/>
          <a:ext cx="7418803" cy="1364638"/>
        </a:xfrm>
        <a:prstGeom prst="rect">
          <a:avLst/>
        </a:prstGeom>
      </xdr:spPr>
    </xdr:pic>
    <xdr:clientData/>
  </xdr:oneCellAnchor>
  <xdr:oneCellAnchor>
    <xdr:from>
      <xdr:col>83</xdr:col>
      <xdr:colOff>190500</xdr:colOff>
      <xdr:row>3</xdr:row>
      <xdr:rowOff>47625</xdr:rowOff>
    </xdr:from>
    <xdr:ext cx="275653" cy="311496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EED07B88-C6EA-4AAD-9C8F-3E6F88524795}"/>
            </a:ext>
          </a:extLst>
        </xdr:cNvPr>
        <xdr:cNvSpPr txBox="1"/>
      </xdr:nvSpPr>
      <xdr:spPr>
        <a:xfrm>
          <a:off x="35299650" y="61912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86</xdr:col>
      <xdr:colOff>104775</xdr:colOff>
      <xdr:row>3</xdr:row>
      <xdr:rowOff>95250</xdr:rowOff>
    </xdr:from>
    <xdr:ext cx="631391" cy="311496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97F4242-00C4-4F2B-974D-9CE03C4250C7}"/>
            </a:ext>
          </a:extLst>
        </xdr:cNvPr>
        <xdr:cNvSpPr txBox="1"/>
      </xdr:nvSpPr>
      <xdr:spPr>
        <a:xfrm>
          <a:off x="37385625" y="666750"/>
          <a:ext cx="6313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2, 5, 6</a:t>
          </a:r>
        </a:p>
      </xdr:txBody>
    </xdr:sp>
    <xdr:clientData/>
  </xdr:oneCellAnchor>
  <xdr:oneCellAnchor>
    <xdr:from>
      <xdr:col>88</xdr:col>
      <xdr:colOff>561975</xdr:colOff>
      <xdr:row>3</xdr:row>
      <xdr:rowOff>57150</xdr:rowOff>
    </xdr:from>
    <xdr:ext cx="275653" cy="311496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47A93A8E-1423-49A6-8656-7C3F8A4887CF}"/>
            </a:ext>
          </a:extLst>
        </xdr:cNvPr>
        <xdr:cNvSpPr txBox="1"/>
      </xdr:nvSpPr>
      <xdr:spPr>
        <a:xfrm>
          <a:off x="39443025" y="62865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91</xdr:col>
      <xdr:colOff>0</xdr:colOff>
      <xdr:row>3</xdr:row>
      <xdr:rowOff>85725</xdr:rowOff>
    </xdr:from>
    <xdr:ext cx="275653" cy="311496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35CB67E-8C98-49B4-BBC4-53343FE774B6}"/>
            </a:ext>
          </a:extLst>
        </xdr:cNvPr>
        <xdr:cNvSpPr txBox="1"/>
      </xdr:nvSpPr>
      <xdr:spPr>
        <a:xfrm>
          <a:off x="41052750" y="65722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4</a:t>
          </a:r>
        </a:p>
      </xdr:txBody>
    </xdr:sp>
    <xdr:clientData/>
  </xdr:oneCellAnchor>
  <xdr:oneCellAnchor>
    <xdr:from>
      <xdr:col>81</xdr:col>
      <xdr:colOff>200024</xdr:colOff>
      <xdr:row>33</xdr:row>
      <xdr:rowOff>149622</xdr:rowOff>
    </xdr:from>
    <xdr:ext cx="7418803" cy="1364638"/>
    <xdr:pic>
      <xdr:nvPicPr>
        <xdr:cNvPr id="47" name="Picture 46">
          <a:extLst>
            <a:ext uri="{FF2B5EF4-FFF2-40B4-BE49-F238E27FC236}">
              <a16:creationId xmlns:a16="http://schemas.microsoft.com/office/drawing/2014/main" id="{CC112025-D175-4AFD-B244-92E200F8B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83974" y="149622"/>
          <a:ext cx="7418803" cy="1364638"/>
        </a:xfrm>
        <a:prstGeom prst="rect">
          <a:avLst/>
        </a:prstGeom>
      </xdr:spPr>
    </xdr:pic>
    <xdr:clientData/>
  </xdr:oneCellAnchor>
  <xdr:oneCellAnchor>
    <xdr:from>
      <xdr:col>83</xdr:col>
      <xdr:colOff>190500</xdr:colOff>
      <xdr:row>36</xdr:row>
      <xdr:rowOff>47625</xdr:rowOff>
    </xdr:from>
    <xdr:ext cx="275653" cy="311496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E9D425DB-E621-4138-B572-17CEFB99F832}"/>
            </a:ext>
          </a:extLst>
        </xdr:cNvPr>
        <xdr:cNvSpPr txBox="1"/>
      </xdr:nvSpPr>
      <xdr:spPr>
        <a:xfrm>
          <a:off x="63646050" y="61912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86</xdr:col>
      <xdr:colOff>104775</xdr:colOff>
      <xdr:row>36</xdr:row>
      <xdr:rowOff>95250</xdr:rowOff>
    </xdr:from>
    <xdr:ext cx="631391" cy="311496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FE20D162-C007-4B26-8FF7-F71F0EC3893D}"/>
            </a:ext>
          </a:extLst>
        </xdr:cNvPr>
        <xdr:cNvSpPr txBox="1"/>
      </xdr:nvSpPr>
      <xdr:spPr>
        <a:xfrm>
          <a:off x="65732025" y="666750"/>
          <a:ext cx="6313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2, 5, 6</a:t>
          </a:r>
        </a:p>
      </xdr:txBody>
    </xdr:sp>
    <xdr:clientData/>
  </xdr:oneCellAnchor>
  <xdr:oneCellAnchor>
    <xdr:from>
      <xdr:col>88</xdr:col>
      <xdr:colOff>561975</xdr:colOff>
      <xdr:row>36</xdr:row>
      <xdr:rowOff>57150</xdr:rowOff>
    </xdr:from>
    <xdr:ext cx="275653" cy="311496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3D72C685-870F-49AA-926C-9E2824456CD6}"/>
            </a:ext>
          </a:extLst>
        </xdr:cNvPr>
        <xdr:cNvSpPr txBox="1"/>
      </xdr:nvSpPr>
      <xdr:spPr>
        <a:xfrm>
          <a:off x="67560825" y="62865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91</xdr:col>
      <xdr:colOff>0</xdr:colOff>
      <xdr:row>36</xdr:row>
      <xdr:rowOff>85725</xdr:rowOff>
    </xdr:from>
    <xdr:ext cx="275653" cy="311496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A08E70C2-2CDE-4B8C-B241-8651B023E9D5}"/>
            </a:ext>
          </a:extLst>
        </xdr:cNvPr>
        <xdr:cNvSpPr txBox="1"/>
      </xdr:nvSpPr>
      <xdr:spPr>
        <a:xfrm>
          <a:off x="69056250" y="65722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4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277263</xdr:colOff>
      <xdr:row>19</xdr:row>
      <xdr:rowOff>54428</xdr:rowOff>
    </xdr:from>
    <xdr:to>
      <xdr:col>18</xdr:col>
      <xdr:colOff>150238</xdr:colOff>
      <xdr:row>50</xdr:row>
      <xdr:rowOff>3602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13194-49F5-4F98-96F8-B84EC2CB6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1409700</xdr:colOff>
      <xdr:row>57</xdr:row>
      <xdr:rowOff>47625</xdr:rowOff>
    </xdr:from>
    <xdr:ext cx="9371428" cy="1723810"/>
    <xdr:pic>
      <xdr:nvPicPr>
        <xdr:cNvPr id="3" name="Picture 2">
          <a:extLst>
            <a:ext uri="{FF2B5EF4-FFF2-40B4-BE49-F238E27FC236}">
              <a16:creationId xmlns:a16="http://schemas.microsoft.com/office/drawing/2014/main" id="{E7436C0F-137E-451F-BFDE-EE0038E5A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1029950"/>
          <a:ext cx="9371428" cy="1723810"/>
        </a:xfrm>
        <a:prstGeom prst="rect">
          <a:avLst/>
        </a:prstGeom>
      </xdr:spPr>
    </xdr:pic>
    <xdr:clientData/>
  </xdr:oneCellAnchor>
  <xdr:twoCellAnchor>
    <xdr:from>
      <xdr:col>5</xdr:col>
      <xdr:colOff>109459</xdr:colOff>
      <xdr:row>57</xdr:row>
      <xdr:rowOff>53627</xdr:rowOff>
    </xdr:from>
    <xdr:to>
      <xdr:col>16</xdr:col>
      <xdr:colOff>578304</xdr:colOff>
      <xdr:row>84</xdr:row>
      <xdr:rowOff>153600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9331A8-A631-4012-A9C2-CFC0871FD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448234</xdr:colOff>
      <xdr:row>8</xdr:row>
      <xdr:rowOff>186016</xdr:rowOff>
    </xdr:from>
    <xdr:to>
      <xdr:col>19</xdr:col>
      <xdr:colOff>291353</xdr:colOff>
      <xdr:row>48</xdr:row>
      <xdr:rowOff>22411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EBC582-7D25-45FE-BF8B-F677AB732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371476</xdr:colOff>
      <xdr:row>31</xdr:row>
      <xdr:rowOff>9525</xdr:rowOff>
    </xdr:from>
    <xdr:to>
      <xdr:col>14</xdr:col>
      <xdr:colOff>523876</xdr:colOff>
      <xdr:row>61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7DFC4-2921-4151-A8E8-089A45DBF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43</xdr:row>
      <xdr:rowOff>47625</xdr:rowOff>
    </xdr:from>
    <xdr:to>
      <xdr:col>15</xdr:col>
      <xdr:colOff>447675</xdr:colOff>
      <xdr:row>73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68834-5711-4F51-B285-A33790B3D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100011</xdr:colOff>
      <xdr:row>1</xdr:row>
      <xdr:rowOff>180975</xdr:rowOff>
    </xdr:from>
    <xdr:to>
      <xdr:col>20</xdr:col>
      <xdr:colOff>504824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FE6EA-F600-472B-BCA9-308BE3AB3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31</xdr:row>
      <xdr:rowOff>85724</xdr:rowOff>
    </xdr:from>
    <xdr:to>
      <xdr:col>21</xdr:col>
      <xdr:colOff>209550</xdr:colOff>
      <xdr:row>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EE5E9-9332-43DD-B6DD-9FC6CA699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323849</xdr:colOff>
      <xdr:row>61</xdr:row>
      <xdr:rowOff>133350</xdr:rowOff>
    </xdr:from>
    <xdr:to>
      <xdr:col>16</xdr:col>
      <xdr:colOff>114299</xdr:colOff>
      <xdr:row>86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38941F-2616-42D2-B11E-09F7E0A55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390524</xdr:colOff>
      <xdr:row>86</xdr:row>
      <xdr:rowOff>114299</xdr:rowOff>
    </xdr:from>
    <xdr:to>
      <xdr:col>16</xdr:col>
      <xdr:colOff>409574</xdr:colOff>
      <xdr:row>105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0E25DD-D31F-49EF-82DE-48B88F2B7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842961</xdr:colOff>
      <xdr:row>22</xdr:row>
      <xdr:rowOff>152399</xdr:rowOff>
    </xdr:from>
    <xdr:to>
      <xdr:col>22</xdr:col>
      <xdr:colOff>514349</xdr:colOff>
      <xdr:row>45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A9210-A412-41B4-8A6C-2C5AF6709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48</xdr:row>
      <xdr:rowOff>114300</xdr:rowOff>
    </xdr:from>
    <xdr:to>
      <xdr:col>22</xdr:col>
      <xdr:colOff>14288</xdr:colOff>
      <xdr:row>71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8D81B-F44B-4745-A012-1C6AC9DE5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55</xdr:row>
      <xdr:rowOff>47625</xdr:rowOff>
    </xdr:from>
    <xdr:to>
      <xdr:col>10</xdr:col>
      <xdr:colOff>42863</xdr:colOff>
      <xdr:row>78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AAE6D3-373A-48A4-AB4F-3DE244968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523875</xdr:colOff>
      <xdr:row>80</xdr:row>
      <xdr:rowOff>76200</xdr:rowOff>
    </xdr:from>
    <xdr:to>
      <xdr:col>10</xdr:col>
      <xdr:colOff>404813</xdr:colOff>
      <xdr:row>103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925230-1797-49C6-AAD2-7204DFFAD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842961</xdr:colOff>
      <xdr:row>22</xdr:row>
      <xdr:rowOff>152399</xdr:rowOff>
    </xdr:from>
    <xdr:to>
      <xdr:col>22</xdr:col>
      <xdr:colOff>514349</xdr:colOff>
      <xdr:row>45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974C4-C7BD-47C5-BAE3-58749426B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48</xdr:row>
      <xdr:rowOff>114300</xdr:rowOff>
    </xdr:from>
    <xdr:to>
      <xdr:col>22</xdr:col>
      <xdr:colOff>14288</xdr:colOff>
      <xdr:row>71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4F965-22A7-4D21-97E3-948BD037F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55</xdr:row>
      <xdr:rowOff>47625</xdr:rowOff>
    </xdr:from>
    <xdr:to>
      <xdr:col>10</xdr:col>
      <xdr:colOff>80963</xdr:colOff>
      <xdr:row>78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C2131F-37AF-4EF9-B393-51E55C855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523875</xdr:colOff>
      <xdr:row>80</xdr:row>
      <xdr:rowOff>76200</xdr:rowOff>
    </xdr:from>
    <xdr:to>
      <xdr:col>10</xdr:col>
      <xdr:colOff>404813</xdr:colOff>
      <xdr:row>103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F2C412-7FD0-4FCA-B598-DC1C01D3A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B635-A780-42F1-BE2E-3544AC1BDB20}">
  <dimension ref="A1:CV173"/>
  <sheetViews>
    <sheetView tabSelected="1" zoomScaleNormal="100" workbookViewId="0">
      <selection activeCell="F14" sqref="F14"/>
    </sheetView>
  </sheetViews>
  <sheetFormatPr defaultRowHeight="15" x14ac:dyDescent="0.25"/>
  <cols>
    <col min="1" max="1" width="9" style="162"/>
    <col min="2" max="2" width="10.5" style="162" bestFit="1" customWidth="1"/>
    <col min="3" max="3" width="12.125" style="162" customWidth="1"/>
    <col min="4" max="4" width="10.5" style="162" bestFit="1" customWidth="1"/>
    <col min="5" max="5" width="10.75" style="162" bestFit="1" customWidth="1"/>
    <col min="6" max="6" width="12.625" style="162" bestFit="1" customWidth="1"/>
    <col min="7" max="7" width="10.5" style="162" bestFit="1" customWidth="1"/>
    <col min="8" max="8" width="13" style="162" bestFit="1" customWidth="1"/>
    <col min="9" max="9" width="10.5" style="162" bestFit="1" customWidth="1"/>
    <col min="10" max="10" width="18.25" style="162" bestFit="1" customWidth="1"/>
    <col min="11" max="13" width="10.5" style="162" bestFit="1" customWidth="1"/>
    <col min="14" max="14" width="9" style="162"/>
    <col min="15" max="15" width="13" style="162" bestFit="1" customWidth="1"/>
    <col min="16" max="16" width="9" style="162"/>
    <col min="17" max="17" width="13" style="162" bestFit="1" customWidth="1"/>
    <col min="18" max="25" width="9" style="162"/>
    <col min="26" max="26" width="12" style="162" bestFit="1" customWidth="1"/>
    <col min="27" max="28" width="12.875" style="162" bestFit="1" customWidth="1"/>
    <col min="29" max="29" width="9.25" style="162" bestFit="1" customWidth="1"/>
    <col min="30" max="30" width="9" style="162"/>
    <col min="31" max="33" width="10.5" style="162" bestFit="1" customWidth="1"/>
    <col min="34" max="34" width="9" style="162"/>
    <col min="35" max="35" width="10.5" style="162" bestFit="1" customWidth="1"/>
    <col min="36" max="36" width="9" style="162"/>
    <col min="37" max="37" width="10.5" style="162" bestFit="1" customWidth="1"/>
    <col min="38" max="38" width="9" style="162"/>
    <col min="39" max="39" width="10.5" style="162" bestFit="1" customWidth="1"/>
    <col min="40" max="40" width="9" style="162"/>
    <col min="41" max="42" width="10.5" style="162" bestFit="1" customWidth="1"/>
    <col min="43" max="43" width="9" style="162"/>
    <col min="44" max="44" width="10.5" style="162" bestFit="1" customWidth="1"/>
    <col min="45" max="46" width="9" style="162"/>
    <col min="47" max="50" width="10.5" style="162" bestFit="1" customWidth="1"/>
    <col min="51" max="52" width="9" style="162"/>
    <col min="53" max="59" width="10.5" style="162" bestFit="1" customWidth="1"/>
    <col min="60" max="60" width="9" style="162"/>
    <col min="61" max="61" width="10.5" style="162" bestFit="1" customWidth="1"/>
    <col min="62" max="62" width="9" style="162"/>
    <col min="63" max="63" width="10.5" style="162" bestFit="1" customWidth="1"/>
    <col min="64" max="80" width="9" style="162"/>
    <col min="81" max="81" width="10.5" style="162" bestFit="1" customWidth="1"/>
    <col min="82" max="82" width="9" style="162"/>
    <col min="83" max="83" width="10.5" style="162" bestFit="1" customWidth="1"/>
    <col min="84" max="85" width="9" style="162"/>
    <col min="86" max="86" width="10.5" style="162" bestFit="1" customWidth="1"/>
    <col min="87" max="91" width="9" style="162"/>
    <col min="92" max="92" width="10.5" style="162" bestFit="1" customWidth="1"/>
    <col min="93" max="93" width="9" style="162"/>
    <col min="94" max="94" width="10.5" style="162" bestFit="1" customWidth="1"/>
    <col min="95" max="95" width="9" style="162"/>
    <col min="96" max="96" width="10.5" style="162" bestFit="1" customWidth="1"/>
    <col min="97" max="98" width="9" style="162"/>
    <col min="99" max="99" width="10.5" style="162" bestFit="1" customWidth="1"/>
    <col min="100" max="16384" width="9" style="162"/>
  </cols>
  <sheetData>
    <row r="1" spans="1:100" x14ac:dyDescent="0.25">
      <c r="A1" s="162" t="s">
        <v>192</v>
      </c>
      <c r="B1" s="162" t="s">
        <v>193</v>
      </c>
      <c r="C1" s="162" t="s">
        <v>194</v>
      </c>
      <c r="D1" s="162" t="s">
        <v>195</v>
      </c>
      <c r="E1" s="162" t="s">
        <v>196</v>
      </c>
      <c r="F1" s="419" t="s">
        <v>306</v>
      </c>
      <c r="G1" s="168"/>
      <c r="H1" s="201" t="s">
        <v>111</v>
      </c>
      <c r="I1" s="202" t="s">
        <v>115</v>
      </c>
      <c r="J1" s="203"/>
      <c r="K1" s="204" t="s">
        <v>235</v>
      </c>
      <c r="L1" s="203"/>
      <c r="M1" s="205"/>
      <c r="Y1" s="348" t="s">
        <v>271</v>
      </c>
      <c r="AF1" s="348" t="s">
        <v>271</v>
      </c>
      <c r="AO1" s="185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3"/>
      <c r="BL1" s="383" t="s">
        <v>302</v>
      </c>
      <c r="BM1" s="348" t="s">
        <v>271</v>
      </c>
      <c r="BT1" s="348" t="s">
        <v>271</v>
      </c>
      <c r="CB1" s="185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3"/>
    </row>
    <row r="2" spans="1:100" x14ac:dyDescent="0.25">
      <c r="A2" s="162" t="s">
        <v>197</v>
      </c>
      <c r="B2" s="163">
        <v>1.7348167696596201E-8</v>
      </c>
      <c r="C2" s="163">
        <v>1.3761546834783299E-8</v>
      </c>
      <c r="D2" s="163">
        <v>0</v>
      </c>
      <c r="E2" s="167">
        <f>SQRT(B2+C2)+SQRT(D2)</f>
        <v>1.7637946176179216E-4</v>
      </c>
      <c r="F2" s="162">
        <v>7.4479292782400002</v>
      </c>
      <c r="G2" s="162">
        <v>7.4479292782400002</v>
      </c>
      <c r="H2" s="206"/>
      <c r="I2" s="207" t="s">
        <v>206</v>
      </c>
      <c r="J2" s="207" t="s">
        <v>207</v>
      </c>
      <c r="K2" s="208" t="s">
        <v>234</v>
      </c>
      <c r="L2" s="208"/>
      <c r="M2" s="209"/>
      <c r="O2" s="324" t="s">
        <v>214</v>
      </c>
      <c r="P2" s="325">
        <v>0.153553187325735</v>
      </c>
      <c r="Q2" s="325">
        <f>M3</f>
        <v>3.1855060641263963E-4</v>
      </c>
      <c r="T2" s="162">
        <v>9.4738500315059796E-11</v>
      </c>
      <c r="W2" s="162">
        <f>O9*2</f>
        <v>14.898</v>
      </c>
      <c r="Y2" s="201" t="s">
        <v>111</v>
      </c>
      <c r="Z2" s="202" t="s">
        <v>115</v>
      </c>
      <c r="AA2" s="203"/>
      <c r="AB2" s="204" t="s">
        <v>235</v>
      </c>
      <c r="AC2" s="203"/>
      <c r="AD2" s="205"/>
      <c r="AJ2" s="348" t="s">
        <v>272</v>
      </c>
      <c r="AO2" s="345" t="s">
        <v>260</v>
      </c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6"/>
      <c r="BM2" s="383" t="s">
        <v>302</v>
      </c>
      <c r="BN2" s="202" t="s">
        <v>115</v>
      </c>
      <c r="BO2" s="203"/>
      <c r="BP2" s="204" t="s">
        <v>235</v>
      </c>
      <c r="BQ2" s="203"/>
      <c r="BR2" s="205"/>
      <c r="BX2" s="348" t="s">
        <v>272</v>
      </c>
      <c r="CB2" s="388" t="s">
        <v>303</v>
      </c>
      <c r="CC2" s="177"/>
      <c r="CD2" s="177"/>
      <c r="CE2" s="177"/>
      <c r="CF2" s="177"/>
      <c r="CG2" s="177"/>
      <c r="CH2" s="177"/>
      <c r="CI2" s="177"/>
      <c r="CJ2" s="177"/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7"/>
      <c r="CV2" s="176"/>
    </row>
    <row r="3" spans="1:100" x14ac:dyDescent="0.25">
      <c r="A3" s="162" t="s">
        <v>198</v>
      </c>
      <c r="B3" s="163">
        <v>1.7673128389011902E-8</v>
      </c>
      <c r="C3" s="163">
        <v>1.0777520211754499E-8</v>
      </c>
      <c r="D3" s="163">
        <v>0</v>
      </c>
      <c r="E3" s="167">
        <f t="shared" ref="E3:E9" si="0">SQRT(B3+C3)+SQRT(D3)</f>
        <v>1.6867320060035145E-4</v>
      </c>
      <c r="F3" s="162">
        <v>7.2943865687782097</v>
      </c>
      <c r="G3" s="162">
        <v>7.2943865687782097</v>
      </c>
      <c r="H3" s="206"/>
      <c r="I3" s="210">
        <f>K128</f>
        <v>1.25681287715354E-4</v>
      </c>
      <c r="J3" s="210">
        <f>L128</f>
        <v>1.71921711401886E-4</v>
      </c>
      <c r="K3" s="211">
        <f>I132</f>
        <v>2.3690003780649227E-4</v>
      </c>
      <c r="L3" s="211"/>
      <c r="M3" s="209">
        <f>SQRT(SUMSQ(I3:K3))</f>
        <v>3.1855060641263963E-4</v>
      </c>
      <c r="N3" s="168" t="s">
        <v>56</v>
      </c>
      <c r="O3" s="325"/>
      <c r="P3" s="325"/>
      <c r="Q3" s="325"/>
      <c r="T3" s="162">
        <v>8.5678571428571404E-11</v>
      </c>
      <c r="W3" s="162">
        <f>O10*2</f>
        <v>14.589600000000001</v>
      </c>
      <c r="Y3" s="206"/>
      <c r="Z3" s="207" t="s">
        <v>206</v>
      </c>
      <c r="AA3" s="207" t="s">
        <v>207</v>
      </c>
      <c r="AB3" s="208" t="s">
        <v>234</v>
      </c>
      <c r="AC3" s="208"/>
      <c r="AD3" s="209"/>
      <c r="AF3" s="324" t="s">
        <v>214</v>
      </c>
      <c r="AG3" s="325">
        <v>0.15364078760388999</v>
      </c>
      <c r="AH3" s="325">
        <f>AD4</f>
        <v>5.7210481738520188E-4</v>
      </c>
      <c r="AI3" s="252" t="s">
        <v>56</v>
      </c>
      <c r="AJ3" s="324" t="s">
        <v>214</v>
      </c>
      <c r="AK3" s="325">
        <f>AG3</f>
        <v>0.15364078760388999</v>
      </c>
      <c r="AL3" s="325">
        <f>AH3</f>
        <v>5.7210481738520188E-4</v>
      </c>
      <c r="AM3" s="252" t="s">
        <v>56</v>
      </c>
      <c r="AO3" s="174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7"/>
      <c r="BC3" s="177"/>
      <c r="BD3" s="177"/>
      <c r="BE3" s="177"/>
      <c r="BF3" s="177"/>
      <c r="BG3" s="177"/>
      <c r="BH3" s="177"/>
      <c r="BI3" s="176"/>
      <c r="BM3" s="206"/>
      <c r="BN3" s="207" t="s">
        <v>206</v>
      </c>
      <c r="BO3" s="207" t="s">
        <v>207</v>
      </c>
      <c r="BP3" s="208" t="s">
        <v>234</v>
      </c>
      <c r="BQ3" s="208"/>
      <c r="BR3" s="209"/>
      <c r="BT3" s="324" t="s">
        <v>214</v>
      </c>
      <c r="BU3" s="325">
        <f>7.65710704970657-7.49513154864886</f>
        <v>0.16197550105770997</v>
      </c>
      <c r="BV3" s="325">
        <f>BR4</f>
        <v>9.5952062391978102E-4</v>
      </c>
      <c r="BW3" s="252" t="s">
        <v>56</v>
      </c>
      <c r="BX3" s="324" t="s">
        <v>214</v>
      </c>
      <c r="BY3" s="325">
        <f>BU3</f>
        <v>0.16197550105770997</v>
      </c>
      <c r="BZ3" s="325">
        <f>BV3</f>
        <v>9.5952062391978102E-4</v>
      </c>
      <c r="CA3" s="252" t="s">
        <v>56</v>
      </c>
      <c r="CB3" s="174"/>
      <c r="CC3" s="177"/>
      <c r="CD3" s="177"/>
      <c r="CE3" s="177"/>
      <c r="CF3" s="177"/>
      <c r="CG3" s="177"/>
      <c r="CH3" s="177"/>
      <c r="CI3" s="177"/>
      <c r="CJ3" s="177"/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6"/>
    </row>
    <row r="4" spans="1:100" x14ac:dyDescent="0.25">
      <c r="A4" s="162" t="s">
        <v>199</v>
      </c>
      <c r="B4" s="163">
        <v>1.7045209441493598E-8</v>
      </c>
      <c r="C4" s="163">
        <v>5.5632446623345096E-9</v>
      </c>
      <c r="D4" s="163">
        <v>0</v>
      </c>
      <c r="E4" s="167">
        <f t="shared" si="0"/>
        <v>1.5036107908573983E-4</v>
      </c>
      <c r="F4" s="162">
        <v>7.6552852889297096</v>
      </c>
      <c r="H4" s="206"/>
      <c r="I4" s="210"/>
      <c r="J4" s="210"/>
      <c r="K4" s="210"/>
      <c r="L4" s="210"/>
      <c r="M4" s="209"/>
      <c r="O4" s="324" t="s">
        <v>41</v>
      </c>
      <c r="P4" s="325">
        <f>C31</f>
        <v>3.5078534225260598</v>
      </c>
      <c r="Q4" s="325">
        <f>P4*(M3/P2)</f>
        <v>7.277145166527276E-3</v>
      </c>
      <c r="T4" s="162">
        <v>9.7540008650519001E-11</v>
      </c>
      <c r="Y4" s="206"/>
      <c r="Z4" s="211">
        <f>K157</f>
        <v>2.40369800368761E-4</v>
      </c>
      <c r="AA4" s="211">
        <f>L157</f>
        <v>3.2013881839401302E-4</v>
      </c>
      <c r="AB4" s="211">
        <f>I161</f>
        <v>4.0870211414099911E-4</v>
      </c>
      <c r="AC4" s="211"/>
      <c r="AD4" s="209">
        <f>SQRT(SUMSQ(Z4:AB4))</f>
        <v>5.7210481738520188E-4</v>
      </c>
      <c r="AF4" s="325"/>
      <c r="AG4" s="325"/>
      <c r="AH4" s="325"/>
      <c r="AI4" s="252" t="s">
        <v>41</v>
      </c>
      <c r="AJ4" s="325"/>
      <c r="AK4" s="325"/>
      <c r="AL4" s="325"/>
      <c r="AO4" s="174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264" t="s">
        <v>243</v>
      </c>
      <c r="BB4" s="177">
        <f>35*10^(-3)</f>
        <v>3.5000000000000003E-2</v>
      </c>
      <c r="BC4" s="264" t="s">
        <v>41</v>
      </c>
      <c r="BD4" s="177"/>
      <c r="BE4" s="177"/>
      <c r="BF4" s="177"/>
      <c r="BG4" s="177"/>
      <c r="BH4" s="177"/>
      <c r="BI4" s="176"/>
      <c r="BM4" s="206"/>
      <c r="BN4" s="211">
        <v>1.72425965086284E-4</v>
      </c>
      <c r="BO4" s="211">
        <v>7.5631421646825902E-4</v>
      </c>
      <c r="BP4" s="211">
        <f>I172</f>
        <v>5.6474588998900455E-4</v>
      </c>
      <c r="BQ4" s="211"/>
      <c r="BR4" s="209">
        <f>SQRT(SUMSQ(BN4:BP4))</f>
        <v>9.5952062391978102E-4</v>
      </c>
      <c r="BT4" s="325"/>
      <c r="BU4" s="325"/>
      <c r="BV4" s="325"/>
      <c r="BW4" s="252" t="s">
        <v>41</v>
      </c>
      <c r="BX4" s="325"/>
      <c r="BY4" s="325"/>
      <c r="BZ4" s="325"/>
      <c r="CB4" s="174"/>
      <c r="CC4" s="177"/>
      <c r="CD4" s="177"/>
      <c r="CE4" s="177"/>
      <c r="CF4" s="177"/>
      <c r="CG4" s="177"/>
      <c r="CH4" s="177"/>
      <c r="CI4" s="177"/>
      <c r="CJ4" s="177"/>
      <c r="CK4" s="177"/>
      <c r="CL4" s="177"/>
      <c r="CM4" s="177"/>
      <c r="CN4" s="264" t="s">
        <v>243</v>
      </c>
      <c r="CO4" s="177">
        <f>35*10^(-3)</f>
        <v>3.5000000000000003E-2</v>
      </c>
      <c r="CP4" s="264" t="s">
        <v>41</v>
      </c>
      <c r="CQ4" s="177"/>
      <c r="CR4" s="177"/>
      <c r="CS4" s="177"/>
      <c r="CT4" s="177"/>
      <c r="CU4" s="177"/>
      <c r="CV4" s="176"/>
    </row>
    <row r="5" spans="1:100" x14ac:dyDescent="0.25">
      <c r="A5" s="162" t="s">
        <v>200</v>
      </c>
      <c r="B5" s="163">
        <v>1.7255612791490599E-8</v>
      </c>
      <c r="C5" s="163">
        <v>9.5475709424536596E-9</v>
      </c>
      <c r="D5" s="163">
        <v>0</v>
      </c>
      <c r="E5" s="167">
        <f t="shared" si="0"/>
        <v>1.6371677902385039E-4</v>
      </c>
      <c r="F5" s="162">
        <v>7.4934984186231697</v>
      </c>
      <c r="H5" s="206"/>
      <c r="I5" s="210"/>
      <c r="J5" s="210"/>
      <c r="K5" s="210"/>
      <c r="L5" s="210"/>
      <c r="M5" s="209"/>
      <c r="O5" s="324" t="s">
        <v>39</v>
      </c>
      <c r="P5" s="325">
        <f>P4*C34</f>
        <v>28292.745903939762</v>
      </c>
      <c r="Q5" s="325">
        <f>P5*(Q4/P4)</f>
        <v>58.694134076552928</v>
      </c>
      <c r="T5" s="162">
        <v>8.5678571428571404E-11</v>
      </c>
      <c r="Y5" s="206"/>
      <c r="Z5" s="210"/>
      <c r="AA5" s="210"/>
      <c r="AB5" s="210"/>
      <c r="AC5" s="210"/>
      <c r="AD5" s="209"/>
      <c r="AF5" s="324" t="s">
        <v>41</v>
      </c>
      <c r="AG5" s="325">
        <f>(U10*U9/(7.29478611873751*10^(-9)))*U11 - (U9*U10/(7.4484269063414*10^(-9)))*U11</f>
        <v>3.5058694513383273</v>
      </c>
      <c r="AH5" s="325">
        <f>AG5*(AD4/AG3)</f>
        <v>1.3054637596660493E-2</v>
      </c>
      <c r="AI5" s="252" t="s">
        <v>39</v>
      </c>
      <c r="AJ5" s="352" t="s">
        <v>273</v>
      </c>
      <c r="AK5" s="325">
        <f>AG5</f>
        <v>3.5058694513383273</v>
      </c>
      <c r="AL5" s="325">
        <f>AK5*AL3/AK3</f>
        <v>1.3054637596660493E-2</v>
      </c>
      <c r="AM5" s="252" t="s">
        <v>41</v>
      </c>
      <c r="AO5" s="174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264" t="s">
        <v>240</v>
      </c>
      <c r="BB5" s="177">
        <f>9*10^(-3)</f>
        <v>9.0000000000000011E-3</v>
      </c>
      <c r="BC5" s="264" t="s">
        <v>41</v>
      </c>
      <c r="BD5" s="177"/>
      <c r="BE5" s="177"/>
      <c r="BF5" s="177"/>
      <c r="BG5" s="177"/>
      <c r="BH5" s="177"/>
      <c r="BI5" s="176"/>
      <c r="BM5" s="206"/>
      <c r="BN5" s="210"/>
      <c r="BO5" s="210"/>
      <c r="BP5" s="210"/>
      <c r="BQ5" s="210"/>
      <c r="BR5" s="209"/>
      <c r="BT5" s="324" t="s">
        <v>41</v>
      </c>
      <c r="BU5" s="325">
        <f>(U10*U9/(7.49513154864886*10^(-9)))*U11 - (U9*U10/(7.65710704970657*10^(-9)))*U11</f>
        <v>3.4992235802642995</v>
      </c>
      <c r="BV5" s="325">
        <f>BU5*(BR4/BU3)</f>
        <v>2.0728919935699072E-2</v>
      </c>
      <c r="BW5" s="252" t="s">
        <v>39</v>
      </c>
      <c r="BX5" s="352" t="s">
        <v>273</v>
      </c>
      <c r="BY5" s="325">
        <f>BU5</f>
        <v>3.4992235802642995</v>
      </c>
      <c r="BZ5" s="325">
        <f>BY5*BZ3/BY3</f>
        <v>2.0728919935699076E-2</v>
      </c>
      <c r="CA5" s="252" t="s">
        <v>41</v>
      </c>
      <c r="CB5" s="174"/>
      <c r="CC5" s="177"/>
      <c r="CD5" s="177"/>
      <c r="CE5" s="177"/>
      <c r="CF5" s="177"/>
      <c r="CG5" s="177"/>
      <c r="CH5" s="177"/>
      <c r="CI5" s="177"/>
      <c r="CJ5" s="177"/>
      <c r="CK5" s="177"/>
      <c r="CL5" s="177"/>
      <c r="CM5" s="177"/>
      <c r="CN5" s="264" t="s">
        <v>240</v>
      </c>
      <c r="CO5" s="177">
        <f>9*10^(-3)</f>
        <v>9.0000000000000011E-3</v>
      </c>
      <c r="CP5" s="264" t="s">
        <v>41</v>
      </c>
      <c r="CQ5" s="177"/>
      <c r="CR5" s="177"/>
      <c r="CS5" s="177"/>
      <c r="CT5" s="177"/>
      <c r="CU5" s="177"/>
      <c r="CV5" s="176"/>
    </row>
    <row r="6" spans="1:100" x14ac:dyDescent="0.25">
      <c r="A6" s="162" t="s">
        <v>201</v>
      </c>
      <c r="B6" s="163">
        <v>3.3510082477730897E-8</v>
      </c>
      <c r="C6" s="163">
        <v>6.0371889220621595E-7</v>
      </c>
      <c r="D6" s="163">
        <v>0</v>
      </c>
      <c r="E6" s="167">
        <f t="shared" si="0"/>
        <v>7.9826623045444367E-4</v>
      </c>
      <c r="F6" s="162">
        <v>7.4485449635772101</v>
      </c>
      <c r="H6" s="206"/>
      <c r="I6" s="435" t="s">
        <v>204</v>
      </c>
      <c r="J6" s="435"/>
      <c r="K6" s="435"/>
      <c r="L6" s="435"/>
      <c r="M6" s="436"/>
      <c r="T6" s="162">
        <v>1.06745562130177E-10</v>
      </c>
      <c r="W6" s="162">
        <f>O20*2</f>
        <v>14.8924</v>
      </c>
      <c r="Y6" s="206"/>
      <c r="Z6" s="210"/>
      <c r="AA6" s="210"/>
      <c r="AB6" s="210"/>
      <c r="AC6" s="210"/>
      <c r="AD6" s="209"/>
      <c r="AF6" s="324" t="s">
        <v>39</v>
      </c>
      <c r="AG6" s="325">
        <f>AG5*U12</f>
        <v>28276.744097155362</v>
      </c>
      <c r="AH6" s="325">
        <f>AG6*(AH5/AG5)</f>
        <v>105.29275311747729</v>
      </c>
      <c r="AJ6" s="352" t="s">
        <v>274</v>
      </c>
      <c r="AK6" s="325">
        <f>AK5*U12</f>
        <v>28276.744097155362</v>
      </c>
      <c r="AL6" s="325">
        <f>AK6*(AL5/AK5)</f>
        <v>105.29275311747729</v>
      </c>
      <c r="AM6" s="252" t="s">
        <v>39</v>
      </c>
      <c r="AO6" s="174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251" t="s">
        <v>111</v>
      </c>
      <c r="BI6" s="176"/>
      <c r="BM6" s="206"/>
      <c r="BN6" s="210"/>
      <c r="BO6" s="210"/>
      <c r="BP6" s="210"/>
      <c r="BQ6" s="210"/>
      <c r="BR6" s="209"/>
      <c r="BT6" s="324" t="s">
        <v>39</v>
      </c>
      <c r="BU6" s="325">
        <f>BU5*AK29</f>
        <v>28223.141532008154</v>
      </c>
      <c r="BV6" s="325">
        <f>BU6*(BV5/BU5)</f>
        <v>167.1900145079361</v>
      </c>
      <c r="BX6" s="352" t="s">
        <v>274</v>
      </c>
      <c r="BY6" s="325">
        <f>BY5*AK29</f>
        <v>28223.141532008154</v>
      </c>
      <c r="BZ6" s="325">
        <f>BY6*(BZ5/BY5)</f>
        <v>167.19001450793613</v>
      </c>
      <c r="CA6" s="252" t="s">
        <v>39</v>
      </c>
      <c r="CB6" s="174"/>
      <c r="CC6" s="177"/>
      <c r="CD6" s="177"/>
      <c r="CE6" s="177"/>
      <c r="CF6" s="177"/>
      <c r="CG6" s="177"/>
      <c r="CH6" s="177"/>
      <c r="CI6" s="177"/>
      <c r="CJ6" s="177"/>
      <c r="CK6" s="177"/>
      <c r="CL6" s="177"/>
      <c r="CM6" s="177"/>
      <c r="CN6" s="177"/>
      <c r="CO6" s="177"/>
      <c r="CP6" s="177"/>
      <c r="CQ6" s="177"/>
      <c r="CR6" s="177"/>
      <c r="CS6" s="177"/>
      <c r="CT6" s="177"/>
      <c r="CU6" s="418" t="s">
        <v>302</v>
      </c>
      <c r="CV6" s="176"/>
    </row>
    <row r="7" spans="1:100" x14ac:dyDescent="0.25">
      <c r="A7" s="162" t="s">
        <v>202</v>
      </c>
      <c r="B7" s="163">
        <v>3.2044017196368602E-8</v>
      </c>
      <c r="C7" s="163">
        <v>5.1665126985217803E-8</v>
      </c>
      <c r="D7" s="163">
        <v>0</v>
      </c>
      <c r="E7" s="167">
        <f t="shared" si="0"/>
        <v>2.8932532585583727E-4</v>
      </c>
      <c r="F7" s="162">
        <v>7.2950568327519196</v>
      </c>
      <c r="H7" s="206"/>
      <c r="I7" s="207" t="s">
        <v>206</v>
      </c>
      <c r="J7" s="207" t="s">
        <v>207</v>
      </c>
      <c r="K7" s="208" t="s">
        <v>234</v>
      </c>
      <c r="L7" s="207"/>
      <c r="M7" s="209"/>
      <c r="T7" s="162">
        <v>9.5727107180020796E-11</v>
      </c>
      <c r="W7" s="162">
        <f>O21*2</f>
        <v>14.584</v>
      </c>
      <c r="Y7" s="206"/>
      <c r="Z7" s="247" t="s">
        <v>204</v>
      </c>
      <c r="AA7" s="247"/>
      <c r="AB7" s="247"/>
      <c r="AC7" s="247"/>
      <c r="AD7" s="248"/>
      <c r="AO7" s="174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77"/>
      <c r="BH7" s="355" t="s">
        <v>219</v>
      </c>
      <c r="BI7" s="176"/>
      <c r="BM7" s="206"/>
      <c r="BN7" s="375" t="s">
        <v>204</v>
      </c>
      <c r="BO7" s="375"/>
      <c r="BP7" s="375"/>
      <c r="BQ7" s="375"/>
      <c r="BR7" s="376"/>
      <c r="CB7" s="174"/>
      <c r="CC7" s="177"/>
      <c r="CD7" s="177"/>
      <c r="CE7" s="177"/>
      <c r="CF7" s="177"/>
      <c r="CG7" s="177"/>
      <c r="CH7" s="177"/>
      <c r="CI7" s="177"/>
      <c r="CJ7" s="177"/>
      <c r="CK7" s="177"/>
      <c r="CL7" s="177"/>
      <c r="CM7" s="177"/>
      <c r="CN7" s="177"/>
      <c r="CO7" s="177"/>
      <c r="CP7" s="177"/>
      <c r="CQ7" s="177"/>
      <c r="CR7" s="177"/>
      <c r="CS7" s="177"/>
      <c r="CT7" s="177"/>
      <c r="CU7" s="355" t="s">
        <v>219</v>
      </c>
      <c r="CV7" s="176"/>
    </row>
    <row r="8" spans="1:100" x14ac:dyDescent="0.25">
      <c r="A8" s="383" t="s">
        <v>299</v>
      </c>
      <c r="B8" s="167">
        <v>3.57723785704385E-8</v>
      </c>
      <c r="C8" s="167">
        <v>5.5380933160490198E-8</v>
      </c>
      <c r="D8" s="163">
        <v>0</v>
      </c>
      <c r="E8" s="167">
        <f>SQRT(B8+C8)+SQRT(D8)</f>
        <v>3.0191606736132594E-4</v>
      </c>
      <c r="F8" s="162">
        <v>7.6565256435406104</v>
      </c>
      <c r="H8" s="212"/>
      <c r="I8" s="213">
        <f>100*(I3^2 / $M$3^2)</f>
        <v>15.566263266212024</v>
      </c>
      <c r="J8" s="213">
        <f t="shared" ref="J8:K8" si="1">100*(J3^2 / $M$3^2)</f>
        <v>29.127591759787546</v>
      </c>
      <c r="K8" s="213">
        <f t="shared" si="1"/>
        <v>55.306144974000425</v>
      </c>
      <c r="L8" s="213"/>
      <c r="M8" s="214">
        <f>SUM(I8:L8)</f>
        <v>100</v>
      </c>
      <c r="O8" s="185" t="s">
        <v>172</v>
      </c>
      <c r="P8" s="172"/>
      <c r="Q8" s="172"/>
      <c r="R8" s="173"/>
      <c r="Y8" s="206"/>
      <c r="Z8" s="207" t="s">
        <v>206</v>
      </c>
      <c r="AA8" s="207" t="s">
        <v>207</v>
      </c>
      <c r="AB8" s="208" t="s">
        <v>234</v>
      </c>
      <c r="AC8" s="207"/>
      <c r="AD8" s="209"/>
      <c r="AO8" s="174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356" t="s">
        <v>120</v>
      </c>
      <c r="BH8" s="254">
        <f>AK27</f>
        <v>3.3041589684125135E-2</v>
      </c>
      <c r="BI8" s="357" t="s">
        <v>61</v>
      </c>
      <c r="BM8" s="206"/>
      <c r="BN8" s="207" t="s">
        <v>206</v>
      </c>
      <c r="BO8" s="207" t="s">
        <v>207</v>
      </c>
      <c r="BP8" s="208" t="s">
        <v>234</v>
      </c>
      <c r="BQ8" s="207"/>
      <c r="BR8" s="209"/>
      <c r="CB8" s="174"/>
      <c r="CC8" s="177"/>
      <c r="CD8" s="177"/>
      <c r="CE8" s="177"/>
      <c r="CF8" s="177"/>
      <c r="CG8" s="177"/>
      <c r="CH8" s="177"/>
      <c r="CI8" s="177"/>
      <c r="CJ8" s="177"/>
      <c r="CK8" s="177"/>
      <c r="CL8" s="177"/>
      <c r="CM8" s="177"/>
      <c r="CN8" s="177"/>
      <c r="CO8" s="177"/>
      <c r="CP8" s="177"/>
      <c r="CQ8" s="177"/>
      <c r="CR8" s="177"/>
      <c r="CS8" s="177"/>
      <c r="CT8" s="356"/>
      <c r="CU8" s="254"/>
      <c r="CV8" s="357"/>
    </row>
    <row r="9" spans="1:100" x14ac:dyDescent="0.25">
      <c r="A9" s="383" t="s">
        <v>300</v>
      </c>
      <c r="B9" s="167">
        <v>3.3821383256336901E-8</v>
      </c>
      <c r="C9" s="167">
        <v>2.1216326490265299E-7</v>
      </c>
      <c r="D9" s="163">
        <v>0</v>
      </c>
      <c r="E9" s="167">
        <f t="shared" si="0"/>
        <v>4.9596839431458723E-4</v>
      </c>
      <c r="F9" s="162">
        <v>7.4646116366453503</v>
      </c>
      <c r="O9" s="174">
        <v>7.4489999999999998</v>
      </c>
      <c r="P9" s="177">
        <v>1.2999999999999999E-3</v>
      </c>
      <c r="Q9" s="177">
        <v>166.44</v>
      </c>
      <c r="R9" s="176">
        <v>0.03</v>
      </c>
      <c r="T9" s="170" t="s">
        <v>45</v>
      </c>
      <c r="U9" s="13">
        <v>299792458</v>
      </c>
      <c r="V9" s="170"/>
      <c r="Y9" s="212"/>
      <c r="Z9" s="350">
        <f>100*(Z4^2 / $AD$4^2)</f>
        <v>17.652596572312344</v>
      </c>
      <c r="AA9" s="350">
        <f t="shared" ref="AA9:AB9" si="2">100*(AA4^2 / $AD$4^2)</f>
        <v>31.313056804470197</v>
      </c>
      <c r="AB9" s="350">
        <f t="shared" si="2"/>
        <v>51.034346623217445</v>
      </c>
      <c r="AC9" s="213"/>
      <c r="AD9" s="214">
        <f>SUM(Z9:AC9)</f>
        <v>99.999999999999986</v>
      </c>
      <c r="AO9" s="174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358" t="s">
        <v>36</v>
      </c>
      <c r="BH9" s="359">
        <f>AL27</f>
        <v>3.0612560054988022E-2</v>
      </c>
      <c r="BI9" s="357" t="s">
        <v>61</v>
      </c>
      <c r="BM9" s="212"/>
      <c r="BN9" s="350">
        <f>100*(BN4^2 / $BR$4^2)</f>
        <v>3.2292130815251308</v>
      </c>
      <c r="BO9" s="350">
        <f t="shared" ref="BO9:BP9" si="3">100*(BO4^2 / $BR$4^2)</f>
        <v>62.129219822697934</v>
      </c>
      <c r="BP9" s="350">
        <f t="shared" si="3"/>
        <v>34.641567095776935</v>
      </c>
      <c r="BQ9" s="213"/>
      <c r="BR9" s="214">
        <f>SUM(BN9:BQ9)</f>
        <v>100</v>
      </c>
      <c r="CB9" s="174"/>
      <c r="CC9" s="177"/>
      <c r="CD9" s="177"/>
      <c r="CE9" s="177"/>
      <c r="CF9" s="177"/>
      <c r="CG9" s="177"/>
      <c r="CH9" s="177"/>
      <c r="CI9" s="177"/>
      <c r="CJ9" s="177"/>
      <c r="CK9" s="177"/>
      <c r="CL9" s="177"/>
      <c r="CM9" s="177"/>
      <c r="CN9" s="177"/>
      <c r="CO9" s="177"/>
      <c r="CP9" s="177"/>
      <c r="CQ9" s="177"/>
      <c r="CR9" s="177"/>
      <c r="CS9" s="177"/>
      <c r="CT9" s="358" t="s">
        <v>36</v>
      </c>
      <c r="CU9" s="359">
        <f>(1/AF30)*AK29*(AF35-AF36)</f>
        <v>3.5884711011831313E-2</v>
      </c>
      <c r="CV9" s="357" t="s">
        <v>61</v>
      </c>
    </row>
    <row r="10" spans="1:100" x14ac:dyDescent="0.25">
      <c r="O10" s="174">
        <v>7.2948000000000004</v>
      </c>
      <c r="P10" s="177">
        <v>1.2999999999999999E-3</v>
      </c>
      <c r="Q10" s="177">
        <v>169.96</v>
      </c>
      <c r="R10" s="176">
        <v>0.03</v>
      </c>
      <c r="T10" s="170" t="s">
        <v>43</v>
      </c>
      <c r="U10" s="13">
        <f>6.62607015*(10)^(-34)</f>
        <v>6.6260701500000015E-34</v>
      </c>
      <c r="V10" s="170"/>
      <c r="W10" s="170"/>
      <c r="X10" s="170"/>
      <c r="AO10" s="174"/>
      <c r="AP10" s="177"/>
      <c r="AQ10" s="177"/>
      <c r="AR10" s="177"/>
      <c r="AS10" s="177"/>
      <c r="AT10" s="177"/>
      <c r="AU10" s="177" t="s">
        <v>206</v>
      </c>
      <c r="AV10" s="177" t="s">
        <v>207</v>
      </c>
      <c r="AW10" s="360" t="s">
        <v>234</v>
      </c>
      <c r="AX10" s="177"/>
      <c r="AY10" s="177"/>
      <c r="AZ10" s="177"/>
      <c r="BA10" s="177"/>
      <c r="BB10" s="177"/>
      <c r="BC10" s="264" t="s">
        <v>240</v>
      </c>
      <c r="BD10" s="177"/>
      <c r="BE10" s="264" t="s">
        <v>241</v>
      </c>
      <c r="BF10" s="177"/>
      <c r="BG10" s="177"/>
      <c r="BH10" s="177"/>
      <c r="BI10" s="176"/>
      <c r="BL10" s="377"/>
      <c r="CB10" s="174"/>
      <c r="CC10" s="177"/>
      <c r="CD10" s="177"/>
      <c r="CE10" s="177"/>
      <c r="CF10" s="177"/>
      <c r="CG10" s="177"/>
      <c r="CH10" s="177" t="s">
        <v>206</v>
      </c>
      <c r="CI10" s="177" t="s">
        <v>207</v>
      </c>
      <c r="CJ10" s="360" t="s">
        <v>234</v>
      </c>
      <c r="CK10" s="177"/>
      <c r="CL10" s="177"/>
      <c r="CM10" s="177"/>
      <c r="CN10" s="177"/>
      <c r="CO10" s="177"/>
      <c r="CP10" s="264" t="s">
        <v>240</v>
      </c>
      <c r="CQ10" s="177"/>
      <c r="CR10" s="264" t="s">
        <v>241</v>
      </c>
      <c r="CS10" s="177"/>
      <c r="CT10" s="177"/>
      <c r="CU10" s="177"/>
      <c r="CV10" s="176"/>
    </row>
    <row r="11" spans="1:100" x14ac:dyDescent="0.25">
      <c r="H11" s="326" t="s">
        <v>119</v>
      </c>
      <c r="I11" s="327" t="s">
        <v>210</v>
      </c>
      <c r="J11" s="328"/>
      <c r="K11" s="328"/>
      <c r="L11" s="328"/>
      <c r="M11" s="329"/>
      <c r="O11" s="174">
        <v>0.15419999999999945</v>
      </c>
      <c r="P11" s="177">
        <v>1.8384776310850235E-3</v>
      </c>
      <c r="Q11" s="177">
        <v>3.5200000000000102</v>
      </c>
      <c r="R11" s="176">
        <v>4.2426406871192854E-2</v>
      </c>
      <c r="T11" s="170" t="s">
        <v>46</v>
      </c>
      <c r="U11" s="13">
        <f>1/(1.602176634*10^(-19))</f>
        <v>6.2415090744607621E+18</v>
      </c>
      <c r="V11" s="170"/>
      <c r="W11" s="170"/>
      <c r="X11" s="170"/>
      <c r="Y11" s="348" t="s">
        <v>271</v>
      </c>
      <c r="AO11" s="345" t="s">
        <v>111</v>
      </c>
      <c r="AP11" s="177">
        <v>1</v>
      </c>
      <c r="AQ11" s="177"/>
      <c r="AR11" s="177">
        <v>2</v>
      </c>
      <c r="AS11" s="177"/>
      <c r="AT11" s="177"/>
      <c r="AU11" s="355" t="s">
        <v>211</v>
      </c>
      <c r="AV11" s="355" t="s">
        <v>212</v>
      </c>
      <c r="AW11" s="355" t="s">
        <v>213</v>
      </c>
      <c r="AX11" s="355"/>
      <c r="AY11" s="355" t="s">
        <v>216</v>
      </c>
      <c r="AZ11" s="177"/>
      <c r="BA11" s="177">
        <v>4</v>
      </c>
      <c r="BB11" s="177"/>
      <c r="BC11" s="177">
        <v>5</v>
      </c>
      <c r="BD11" s="177"/>
      <c r="BE11" s="177">
        <v>6</v>
      </c>
      <c r="BF11" s="177"/>
      <c r="BG11" s="177"/>
      <c r="BH11" s="355" t="s">
        <v>218</v>
      </c>
      <c r="BI11" s="176"/>
      <c r="BL11" s="377"/>
      <c r="BM11" s="348" t="s">
        <v>271</v>
      </c>
      <c r="CB11" s="345" t="s">
        <v>111</v>
      </c>
      <c r="CC11" s="177">
        <v>1</v>
      </c>
      <c r="CD11" s="177"/>
      <c r="CE11" s="177">
        <v>2</v>
      </c>
      <c r="CF11" s="177"/>
      <c r="CG11" s="177"/>
      <c r="CH11" s="355" t="s">
        <v>211</v>
      </c>
      <c r="CI11" s="355" t="s">
        <v>212</v>
      </c>
      <c r="CJ11" s="355" t="s">
        <v>213</v>
      </c>
      <c r="CK11" s="355"/>
      <c r="CL11" s="355" t="s">
        <v>216</v>
      </c>
      <c r="CM11" s="177"/>
      <c r="CN11" s="177">
        <v>4</v>
      </c>
      <c r="CO11" s="177"/>
      <c r="CP11" s="177">
        <v>5</v>
      </c>
      <c r="CQ11" s="177"/>
      <c r="CR11" s="177">
        <v>6</v>
      </c>
      <c r="CS11" s="177"/>
      <c r="CT11" s="177"/>
      <c r="CU11" s="355" t="s">
        <v>218</v>
      </c>
      <c r="CV11" s="176"/>
    </row>
    <row r="12" spans="1:100" x14ac:dyDescent="0.25">
      <c r="H12" s="330"/>
      <c r="I12" s="331" t="s">
        <v>206</v>
      </c>
      <c r="J12" s="331" t="s">
        <v>207</v>
      </c>
      <c r="K12" s="331" t="s">
        <v>208</v>
      </c>
      <c r="L12" s="331" t="s">
        <v>209</v>
      </c>
      <c r="M12" s="332"/>
      <c r="O12" s="174"/>
      <c r="P12" s="177"/>
      <c r="Q12" s="177"/>
      <c r="R12" s="176"/>
      <c r="T12" s="197" t="s">
        <v>44</v>
      </c>
      <c r="U12" s="13">
        <v>8065.5439370000004</v>
      </c>
      <c r="Y12" s="326" t="s">
        <v>119</v>
      </c>
      <c r="Z12" s="327" t="s">
        <v>210</v>
      </c>
      <c r="AA12" s="328"/>
      <c r="AB12" s="328"/>
      <c r="AC12" s="328"/>
      <c r="AD12" s="329"/>
      <c r="AJ12" s="348" t="s">
        <v>272</v>
      </c>
      <c r="AO12" s="361" t="s">
        <v>120</v>
      </c>
      <c r="AP12" s="177">
        <f>B56</f>
        <v>1.8477626186997812E-6</v>
      </c>
      <c r="AQ12" s="177"/>
      <c r="AR12" s="177">
        <f>D56</f>
        <v>4.6749452154857566E-6</v>
      </c>
      <c r="AS12" s="177"/>
      <c r="AT12" s="177"/>
      <c r="AU12" s="177">
        <f>($C$41*$AV$15*Z9/(100*$C$26))^2</f>
        <v>2.5235429860606035E-5</v>
      </c>
      <c r="AV12" s="177">
        <f t="shared" ref="AV12:AW12" si="4">($C$41*$AV$15*AA9/(100*$C$26))^2</f>
        <v>7.9404377692942542E-5</v>
      </c>
      <c r="AW12" s="177">
        <f t="shared" si="4"/>
        <v>2.1092042258109487E-4</v>
      </c>
      <c r="AX12" s="177"/>
      <c r="AY12" s="177">
        <f>SUM(AU12:AW12)</f>
        <v>3.1556023013464343E-4</v>
      </c>
      <c r="AZ12" s="177"/>
      <c r="BA12" s="177">
        <f>M56</f>
        <v>2.061633208868604E-6</v>
      </c>
      <c r="BB12" s="177"/>
      <c r="BC12" s="177">
        <f>O56</f>
        <v>4.7721625923813015E-8</v>
      </c>
      <c r="BD12" s="177"/>
      <c r="BE12" s="177">
        <f>($C$41*0.05*BH8)^2</f>
        <v>2.7293666221352114E-6</v>
      </c>
      <c r="BF12" s="177"/>
      <c r="BG12" s="177"/>
      <c r="BH12" s="254">
        <f>SQRT(SUM(AP12,AR12,AY12,BA12, BC12, BE12))</f>
        <v>1.8080975068445745E-2</v>
      </c>
      <c r="BI12" s="357" t="s">
        <v>61</v>
      </c>
      <c r="BM12" s="383" t="s">
        <v>302</v>
      </c>
      <c r="BN12" s="327" t="s">
        <v>210</v>
      </c>
      <c r="BO12" s="328"/>
      <c r="BP12" s="328"/>
      <c r="BQ12" s="328"/>
      <c r="BR12" s="329"/>
      <c r="BX12" s="348" t="s">
        <v>272</v>
      </c>
      <c r="CB12" s="361"/>
      <c r="CC12" s="177"/>
      <c r="CD12" s="177"/>
      <c r="CE12" s="177"/>
      <c r="CF12" s="177"/>
      <c r="CG12" s="177"/>
      <c r="CH12" s="177"/>
      <c r="CI12" s="177"/>
      <c r="CJ12" s="177"/>
      <c r="CK12" s="177"/>
      <c r="CL12" s="177"/>
      <c r="CM12" s="177"/>
      <c r="CN12" s="177"/>
      <c r="CO12" s="177"/>
      <c r="CP12" s="177"/>
      <c r="CQ12" s="177"/>
      <c r="CR12" s="177"/>
      <c r="CS12" s="177"/>
      <c r="CT12" s="177"/>
      <c r="CU12" s="254"/>
      <c r="CV12" s="357"/>
    </row>
    <row r="13" spans="1:100" x14ac:dyDescent="0.25">
      <c r="C13" s="164" t="s">
        <v>203</v>
      </c>
      <c r="H13" s="330"/>
      <c r="I13" s="333">
        <f>C2</f>
        <v>1.3761546834783299E-8</v>
      </c>
      <c r="J13" s="333">
        <f>C3</f>
        <v>1.0777520211754499E-8</v>
      </c>
      <c r="K13" s="333">
        <f>B2</f>
        <v>1.7348167696596201E-8</v>
      </c>
      <c r="L13" s="333">
        <f>B3</f>
        <v>1.7673128389011902E-8</v>
      </c>
      <c r="M13" s="332">
        <f>SQRT(SUM(I13:L13))</f>
        <v>2.4404991934468223E-4</v>
      </c>
      <c r="N13" s="383" t="s">
        <v>56</v>
      </c>
      <c r="O13" s="174"/>
      <c r="P13" s="177"/>
      <c r="Q13" s="177"/>
      <c r="R13" s="176"/>
      <c r="X13" s="162">
        <v>7.4485449635772101</v>
      </c>
      <c r="Y13" s="330"/>
      <c r="Z13" s="331" t="s">
        <v>206</v>
      </c>
      <c r="AA13" s="331" t="s">
        <v>207</v>
      </c>
      <c r="AB13" s="331" t="s">
        <v>208</v>
      </c>
      <c r="AC13" s="331" t="s">
        <v>209</v>
      </c>
      <c r="AD13" s="332"/>
      <c r="AF13" s="338" t="s">
        <v>214</v>
      </c>
      <c r="AG13" s="339">
        <f>X13-X14</f>
        <v>0.15348813082529045</v>
      </c>
      <c r="AH13" s="339">
        <f>AD14</f>
        <v>8.4908074931983545E-4</v>
      </c>
      <c r="AI13" s="252" t="s">
        <v>56</v>
      </c>
      <c r="AJ13" s="338" t="s">
        <v>214</v>
      </c>
      <c r="AK13" s="339">
        <f>AG13</f>
        <v>0.15348813082529045</v>
      </c>
      <c r="AL13" s="339">
        <f>AH13</f>
        <v>8.4908074931983545E-4</v>
      </c>
      <c r="AM13" s="252" t="s">
        <v>56</v>
      </c>
      <c r="AO13" s="362" t="s">
        <v>36</v>
      </c>
      <c r="AP13" s="177">
        <f>B57</f>
        <v>1.8337218951470735E-6</v>
      </c>
      <c r="AQ13" s="177"/>
      <c r="AR13" s="177">
        <f>D57</f>
        <v>2.5972659879577762E-6</v>
      </c>
      <c r="AS13" s="177"/>
      <c r="AT13" s="177"/>
      <c r="AU13" s="177">
        <f>($C$41*$AV$15*Z9/(100*$D$26))^2</f>
        <v>2.4924593417250753E-5</v>
      </c>
      <c r="AV13" s="177">
        <f t="shared" ref="AV13:AW13" si="5">($C$41*$AV$15*AA9/(100*$D$26))^2</f>
        <v>7.8426317303828934E-5</v>
      </c>
      <c r="AW13" s="177">
        <f t="shared" si="5"/>
        <v>2.0832241833277227E-4</v>
      </c>
      <c r="AX13" s="177"/>
      <c r="AY13" s="177">
        <f>SUM(AU13:AW13)</f>
        <v>3.1167332905385198E-4</v>
      </c>
      <c r="AZ13" s="177"/>
      <c r="BA13" s="177">
        <f>M57</f>
        <v>2.061633208868604E-6</v>
      </c>
      <c r="BB13" s="177"/>
      <c r="BC13" s="177">
        <f>O57</f>
        <v>4.7133816619385621E-8</v>
      </c>
      <c r="BD13" s="177"/>
      <c r="BE13" s="177">
        <f>($C$41*0.05*BH9)^2</f>
        <v>2.3428220828006211E-6</v>
      </c>
      <c r="BF13" s="177"/>
      <c r="BG13" s="177"/>
      <c r="BH13" s="359">
        <f>SQRT(SUM(AP13,AR13,AY13,BA13, BC13, BE13))</f>
        <v>1.790407512398352E-2</v>
      </c>
      <c r="BI13" s="357" t="s">
        <v>61</v>
      </c>
      <c r="BL13" s="162">
        <v>7.6565256435406104</v>
      </c>
      <c r="BM13" s="330"/>
      <c r="BN13" s="331" t="s">
        <v>206</v>
      </c>
      <c r="BO13" s="331" t="s">
        <v>207</v>
      </c>
      <c r="BP13" s="331" t="s">
        <v>208</v>
      </c>
      <c r="BQ13" s="331" t="s">
        <v>209</v>
      </c>
      <c r="BR13" s="332"/>
      <c r="BT13" s="338" t="s">
        <v>214</v>
      </c>
      <c r="BU13" s="339">
        <f>BL13-BL14</f>
        <v>0.19191400689526006</v>
      </c>
      <c r="BV13" s="339">
        <f>BR14</f>
        <v>5.8063582380862323E-4</v>
      </c>
      <c r="BW13" s="252" t="s">
        <v>56</v>
      </c>
      <c r="BX13" s="338" t="s">
        <v>214</v>
      </c>
      <c r="BY13" s="339">
        <f>BU13</f>
        <v>0.19191400689526006</v>
      </c>
      <c r="BZ13" s="339">
        <f>BV13</f>
        <v>5.8063582380862323E-4</v>
      </c>
      <c r="CA13" s="252" t="s">
        <v>56</v>
      </c>
      <c r="CB13" s="362" t="s">
        <v>36</v>
      </c>
      <c r="CC13" s="177">
        <f>Z89</f>
        <v>1.8565903761869982E-6</v>
      </c>
      <c r="CD13" s="177"/>
      <c r="CE13" s="162">
        <v>1.9007450401658769E-5</v>
      </c>
      <c r="CH13" s="177">
        <f>($C$41*$CI$15*BN9/(100*$AF$30))^2</f>
        <v>2.1291714253476108E-6</v>
      </c>
      <c r="CI13" s="177">
        <f t="shared" ref="CI13:CJ13" si="6">($C$41*$CI$15*BO9/(100*$AF$30))^2</f>
        <v>7.8815025957188162E-4</v>
      </c>
      <c r="CJ13" s="177">
        <f t="shared" si="6"/>
        <v>2.4502606363879884E-4</v>
      </c>
      <c r="CK13" s="177"/>
      <c r="CL13" s="177">
        <f>SUM(CH13:CJ13)</f>
        <v>1.0353054946360281E-3</v>
      </c>
      <c r="CM13" s="177"/>
      <c r="CN13" s="177">
        <f>AK58</f>
        <v>3.2192812110066174E-6</v>
      </c>
      <c r="CO13" s="177"/>
      <c r="CP13" s="162">
        <v>7.6305111168978189E-8</v>
      </c>
      <c r="CR13" s="162">
        <v>6.7757861718102759E-7</v>
      </c>
      <c r="CS13" s="177"/>
      <c r="CT13" s="177"/>
      <c r="CU13" s="359">
        <f>SQRT(SUM(CC13,CE13,CL13,CN13, CP13, CR13))</f>
        <v>3.2559832621701708E-2</v>
      </c>
      <c r="CV13" s="357" t="s">
        <v>61</v>
      </c>
    </row>
    <row r="14" spans="1:100" x14ac:dyDescent="0.25">
      <c r="H14" s="330"/>
      <c r="I14" s="334"/>
      <c r="J14" s="334"/>
      <c r="K14" s="334"/>
      <c r="L14" s="334"/>
      <c r="M14" s="332"/>
      <c r="O14" s="174" t="s">
        <v>173</v>
      </c>
      <c r="P14" s="177"/>
      <c r="Q14" s="177"/>
      <c r="R14" s="176"/>
      <c r="X14" s="162">
        <v>7.2950568327519196</v>
      </c>
      <c r="Y14" s="330"/>
      <c r="Z14" s="333">
        <f>C6</f>
        <v>6.0371889220621595E-7</v>
      </c>
      <c r="AA14" s="333">
        <f>C7</f>
        <v>5.1665126985217803E-8</v>
      </c>
      <c r="AB14" s="333">
        <f>B6</f>
        <v>3.3510082477730897E-8</v>
      </c>
      <c r="AC14" s="333">
        <f>B7</f>
        <v>3.2044017196368602E-8</v>
      </c>
      <c r="AD14" s="332">
        <f>SQRT(SUM(Z14:AC14))</f>
        <v>8.4908074931983545E-4</v>
      </c>
      <c r="AF14" s="338" t="s">
        <v>41</v>
      </c>
      <c r="AG14" s="339">
        <f>(U10*U9/(X14*10^(-9)))*U11 - (U9*U10/(X13*10^(-9)))*U11</f>
        <v>3.5022005549991206</v>
      </c>
      <c r="AH14" s="339">
        <f>AG14*(AH13/AG13)</f>
        <v>1.9373817737684148E-2</v>
      </c>
      <c r="AI14" s="252" t="s">
        <v>41</v>
      </c>
      <c r="AJ14" s="353" t="s">
        <v>273</v>
      </c>
      <c r="AK14" s="339">
        <f>AG14</f>
        <v>3.5022005549991206</v>
      </c>
      <c r="AL14" s="339">
        <f>AK14*(AL13/AK13)</f>
        <v>1.9373817737684148E-2</v>
      </c>
      <c r="AM14" s="252" t="s">
        <v>41</v>
      </c>
      <c r="AO14" s="174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6"/>
      <c r="BL14" s="162">
        <v>7.4646116366453503</v>
      </c>
      <c r="BM14" s="330"/>
      <c r="BN14" s="333">
        <f>C8</f>
        <v>5.5380933160490198E-8</v>
      </c>
      <c r="BO14" s="333">
        <f>C9*1</f>
        <v>2.1216326490265299E-7</v>
      </c>
      <c r="BP14" s="333">
        <f>B8</f>
        <v>3.57723785704385E-8</v>
      </c>
      <c r="BQ14" s="333">
        <f>B9</f>
        <v>3.3821383256336901E-8</v>
      </c>
      <c r="BR14" s="332">
        <f>SQRT(SUM(BN14:BQ14))</f>
        <v>5.8063582380862323E-4</v>
      </c>
      <c r="BT14" s="338" t="s">
        <v>41</v>
      </c>
      <c r="BU14" s="339">
        <f>(U10*U9/(BL14*10^(-9)))*U11 - (U9*U10/(BL13*10^(-9)))*U11</f>
        <v>4.1632649735766165</v>
      </c>
      <c r="BV14" s="339">
        <f>BU14*(BV13/BU13)</f>
        <v>1.2595958089633054E-2</v>
      </c>
      <c r="BW14" s="252" t="s">
        <v>41</v>
      </c>
      <c r="BX14" s="353" t="s">
        <v>273</v>
      </c>
      <c r="BY14" s="339">
        <f>BU14</f>
        <v>4.1632649735766165</v>
      </c>
      <c r="BZ14" s="339">
        <f>BY14*(BZ13/BY13)</f>
        <v>1.2595958089633054E-2</v>
      </c>
      <c r="CA14" s="252" t="s">
        <v>41</v>
      </c>
      <c r="CB14" s="174"/>
      <c r="CC14" s="177"/>
      <c r="CD14" s="177"/>
      <c r="CE14" s="177"/>
      <c r="CF14" s="177"/>
      <c r="CG14" s="177"/>
      <c r="CH14" s="177"/>
      <c r="CI14" s="177"/>
      <c r="CJ14" s="177"/>
      <c r="CK14" s="177"/>
      <c r="CL14" s="177"/>
      <c r="CM14" s="177"/>
      <c r="CN14" s="177"/>
      <c r="CO14" s="177"/>
      <c r="CP14" s="177"/>
      <c r="CQ14" s="177"/>
      <c r="CR14" s="177"/>
      <c r="CS14" s="177"/>
      <c r="CT14" s="177"/>
      <c r="CU14" s="177"/>
      <c r="CV14" s="176"/>
    </row>
    <row r="15" spans="1:100" x14ac:dyDescent="0.25">
      <c r="A15" s="434" t="s">
        <v>204</v>
      </c>
      <c r="B15" s="434"/>
      <c r="C15" s="434"/>
      <c r="D15" s="434"/>
      <c r="E15" s="434"/>
      <c r="H15" s="330"/>
      <c r="I15" s="432" t="s">
        <v>204</v>
      </c>
      <c r="J15" s="432"/>
      <c r="K15" s="432"/>
      <c r="L15" s="432"/>
      <c r="M15" s="433"/>
      <c r="O15" s="174">
        <v>7.4506600000000001</v>
      </c>
      <c r="P15" s="177">
        <v>1.2999999999999999E-3</v>
      </c>
      <c r="Q15" s="177">
        <v>166.40700076664388</v>
      </c>
      <c r="R15" s="176">
        <v>0.03</v>
      </c>
      <c r="Y15" s="330"/>
      <c r="Z15" s="334"/>
      <c r="AA15" s="334"/>
      <c r="AB15" s="334"/>
      <c r="AC15" s="334"/>
      <c r="AD15" s="332"/>
      <c r="AF15" s="338" t="s">
        <v>39</v>
      </c>
      <c r="AG15" s="339">
        <f>AG14*U12</f>
        <v>28247.152452531194</v>
      </c>
      <c r="AH15" s="339">
        <f>AG15*(AH14/AG14)</f>
        <v>156.26037819072144</v>
      </c>
      <c r="AI15" s="252" t="s">
        <v>39</v>
      </c>
      <c r="AJ15" s="353" t="s">
        <v>274</v>
      </c>
      <c r="AK15" s="339">
        <f>AK14*U12</f>
        <v>28247.152452531194</v>
      </c>
      <c r="AL15" s="339">
        <f>AK15*(AL14/AK14)</f>
        <v>156.26037819072144</v>
      </c>
      <c r="AM15" s="252" t="s">
        <v>39</v>
      </c>
      <c r="AO15" s="174"/>
      <c r="AP15" s="177"/>
      <c r="AQ15" s="177"/>
      <c r="AR15" s="177"/>
      <c r="AS15" s="177"/>
      <c r="AT15" s="177"/>
      <c r="AU15" s="355" t="s">
        <v>223</v>
      </c>
      <c r="AV15" s="177">
        <f>AL6</f>
        <v>105.29275311747729</v>
      </c>
      <c r="AW15" s="355" t="s">
        <v>39</v>
      </c>
      <c r="AX15" s="177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6"/>
      <c r="BM15" s="330"/>
      <c r="BN15" s="334"/>
      <c r="BO15" s="334"/>
      <c r="BP15" s="334"/>
      <c r="BQ15" s="334"/>
      <c r="BR15" s="332"/>
      <c r="BT15" s="338" t="s">
        <v>39</v>
      </c>
      <c r="BU15" s="339">
        <f>BU14*AK29</f>
        <v>33578.996565755348</v>
      </c>
      <c r="BV15" s="339">
        <f>BU15*(BV14/BU14)</f>
        <v>101.59325340054599</v>
      </c>
      <c r="BW15" s="252" t="s">
        <v>39</v>
      </c>
      <c r="BX15" s="353" t="s">
        <v>274</v>
      </c>
      <c r="BY15" s="339">
        <f>AK29*BY14</f>
        <v>33578.996565755348</v>
      </c>
      <c r="BZ15" s="339">
        <f>BY15*(BZ14/BY14)</f>
        <v>101.59325340054599</v>
      </c>
      <c r="CA15" s="252" t="s">
        <v>39</v>
      </c>
      <c r="CB15" s="174"/>
      <c r="CC15" s="177"/>
      <c r="CD15" s="177"/>
      <c r="CE15" s="177"/>
      <c r="CF15" s="177"/>
      <c r="CG15" s="177"/>
      <c r="CH15" s="355" t="s">
        <v>223</v>
      </c>
      <c r="CI15" s="177">
        <f>BV6</f>
        <v>167.1900145079361</v>
      </c>
      <c r="CJ15" s="355" t="s">
        <v>39</v>
      </c>
      <c r="CK15" s="177"/>
      <c r="CL15" s="177"/>
      <c r="CM15" s="177"/>
      <c r="CN15" s="177"/>
      <c r="CO15" s="177"/>
      <c r="CP15" s="177"/>
      <c r="CQ15" s="177"/>
      <c r="CR15" s="177"/>
      <c r="CS15" s="177"/>
      <c r="CT15" s="177"/>
      <c r="CU15" s="177"/>
      <c r="CV15" s="176"/>
    </row>
    <row r="16" spans="1:100" x14ac:dyDescent="0.25">
      <c r="A16" s="162" t="s">
        <v>192</v>
      </c>
      <c r="B16" s="162" t="s">
        <v>193</v>
      </c>
      <c r="C16" s="162" t="s">
        <v>194</v>
      </c>
      <c r="D16" s="162" t="s">
        <v>195</v>
      </c>
      <c r="E16" s="162" t="s">
        <v>196</v>
      </c>
      <c r="H16" s="330"/>
      <c r="I16" s="331" t="s">
        <v>206</v>
      </c>
      <c r="J16" s="331" t="s">
        <v>207</v>
      </c>
      <c r="K16" s="331" t="s">
        <v>208</v>
      </c>
      <c r="L16" s="331" t="s">
        <v>209</v>
      </c>
      <c r="M16" s="332"/>
      <c r="O16" s="174">
        <v>7.2966199999999999</v>
      </c>
      <c r="P16" s="177">
        <v>1.2999999999999999E-3</v>
      </c>
      <c r="Q16" s="177">
        <v>169.92004302430479</v>
      </c>
      <c r="R16" s="176">
        <v>0.03</v>
      </c>
      <c r="U16" s="162" t="s">
        <v>163</v>
      </c>
      <c r="Y16" s="330"/>
      <c r="Z16" s="432" t="s">
        <v>204</v>
      </c>
      <c r="AA16" s="432"/>
      <c r="AB16" s="432"/>
      <c r="AC16" s="432"/>
      <c r="AD16" s="433"/>
      <c r="AO16" s="174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>
        <f>SQRT(AY12)</f>
        <v>1.7764015034181981E-2</v>
      </c>
      <c r="AZ16" s="177"/>
      <c r="BA16" s="177"/>
      <c r="BB16" s="177"/>
      <c r="BC16" s="177"/>
      <c r="BD16" s="177"/>
      <c r="BE16" s="177"/>
      <c r="BF16" s="177"/>
      <c r="BG16" s="177"/>
      <c r="BH16" s="177"/>
      <c r="BI16" s="176"/>
      <c r="BM16" s="330"/>
      <c r="BN16" s="432" t="s">
        <v>204</v>
      </c>
      <c r="BO16" s="432"/>
      <c r="BP16" s="432"/>
      <c r="BQ16" s="432"/>
      <c r="BR16" s="433"/>
      <c r="CB16" s="174"/>
      <c r="CC16" s="177"/>
      <c r="CD16" s="177"/>
      <c r="CE16" s="177"/>
      <c r="CF16" s="177"/>
      <c r="CG16" s="177"/>
      <c r="CH16" s="177"/>
      <c r="CI16" s="177"/>
      <c r="CJ16" s="177"/>
      <c r="CK16" s="177"/>
      <c r="CL16" s="177">
        <f>SQRT(CL12)</f>
        <v>0</v>
      </c>
      <c r="CM16" s="177"/>
      <c r="CN16" s="177"/>
      <c r="CO16" s="177"/>
      <c r="CP16" s="177"/>
      <c r="CQ16" s="177"/>
      <c r="CR16" s="177"/>
      <c r="CS16" s="177"/>
      <c r="CT16" s="177"/>
      <c r="CU16" s="177"/>
      <c r="CV16" s="176"/>
    </row>
    <row r="17" spans="1:100" x14ac:dyDescent="0.25">
      <c r="A17" s="162" t="s">
        <v>197</v>
      </c>
      <c r="B17" s="165">
        <f t="shared" ref="B17:D22" si="7">100*((B2)/$E2^2)</f>
        <v>55.764470866801389</v>
      </c>
      <c r="C17" s="165">
        <f t="shared" si="7"/>
        <v>44.235529133198604</v>
      </c>
      <c r="D17" s="165">
        <f t="shared" si="7"/>
        <v>0</v>
      </c>
      <c r="E17" s="165">
        <f>SUM(B17:D17)</f>
        <v>100</v>
      </c>
      <c r="H17" s="335"/>
      <c r="I17" s="336">
        <f>100*(I13/$M$13^2)</f>
        <v>23.105209758796654</v>
      </c>
      <c r="J17" s="336">
        <f t="shared" ref="J17:L17" si="8">100*(J13/$M$13^2)</f>
        <v>18.095121730273096</v>
      </c>
      <c r="K17" s="336">
        <f t="shared" si="8"/>
        <v>29.127034800150597</v>
      </c>
      <c r="L17" s="336">
        <f t="shared" si="8"/>
        <v>29.672633710779657</v>
      </c>
      <c r="M17" s="337">
        <f>SUM(I17:L17)</f>
        <v>100</v>
      </c>
      <c r="O17" s="174">
        <v>0.15404000000000018</v>
      </c>
      <c r="P17" s="177">
        <v>1.8384776310850235E-3</v>
      </c>
      <c r="Q17" s="177">
        <v>3.5130422576609135</v>
      </c>
      <c r="R17" s="176">
        <v>0.01</v>
      </c>
      <c r="T17" s="252" t="s">
        <v>251</v>
      </c>
      <c r="U17" s="252" t="s">
        <v>252</v>
      </c>
      <c r="V17" s="252" t="s">
        <v>253</v>
      </c>
      <c r="W17" s="252" t="s">
        <v>254</v>
      </c>
      <c r="Y17" s="330"/>
      <c r="Z17" s="331" t="s">
        <v>206</v>
      </c>
      <c r="AA17" s="331" t="s">
        <v>207</v>
      </c>
      <c r="AB17" s="331" t="s">
        <v>208</v>
      </c>
      <c r="AC17" s="331" t="s">
        <v>209</v>
      </c>
      <c r="AD17" s="332"/>
      <c r="AO17" s="174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/>
      <c r="BC17" s="177"/>
      <c r="BD17" s="177"/>
      <c r="BE17" s="177"/>
      <c r="BF17" s="177"/>
      <c r="BG17" s="177"/>
      <c r="BH17" s="177"/>
      <c r="BI17" s="176"/>
      <c r="BM17" s="330"/>
      <c r="BN17" s="331" t="s">
        <v>206</v>
      </c>
      <c r="BO17" s="331" t="s">
        <v>207</v>
      </c>
      <c r="BP17" s="331" t="s">
        <v>208</v>
      </c>
      <c r="BQ17" s="331" t="s">
        <v>209</v>
      </c>
      <c r="BR17" s="332"/>
      <c r="CB17" s="174"/>
      <c r="CC17" s="177"/>
      <c r="CD17" s="177"/>
      <c r="CE17" s="177"/>
      <c r="CF17" s="177"/>
      <c r="CG17" s="177"/>
      <c r="CH17" s="177"/>
      <c r="CI17" s="177"/>
      <c r="CJ17" s="177"/>
      <c r="CK17" s="177"/>
      <c r="CL17" s="177"/>
      <c r="CM17" s="177"/>
      <c r="CN17" s="177"/>
      <c r="CO17" s="177"/>
      <c r="CP17" s="177"/>
      <c r="CQ17" s="177"/>
      <c r="CR17" s="177"/>
      <c r="CS17" s="177"/>
      <c r="CT17" s="177"/>
      <c r="CU17" s="177"/>
      <c r="CV17" s="176"/>
    </row>
    <row r="18" spans="1:100" x14ac:dyDescent="0.25">
      <c r="A18" s="162" t="s">
        <v>198</v>
      </c>
      <c r="B18" s="165">
        <f t="shared" si="7"/>
        <v>62.118543014642647</v>
      </c>
      <c r="C18" s="165">
        <f t="shared" si="7"/>
        <v>37.88145698535736</v>
      </c>
      <c r="D18" s="165">
        <f t="shared" si="7"/>
        <v>0</v>
      </c>
      <c r="E18" s="162">
        <f t="shared" ref="E18:E22" si="9">SUM(B18:D18)</f>
        <v>100</v>
      </c>
      <c r="O18" s="174"/>
      <c r="P18" s="177"/>
      <c r="Q18" s="177"/>
      <c r="R18" s="176"/>
      <c r="T18" s="162">
        <v>7.657</v>
      </c>
      <c r="U18" s="162">
        <v>2E-3</v>
      </c>
      <c r="V18" s="162">
        <v>161.922</v>
      </c>
      <c r="W18" s="162">
        <v>4.2000000000000003E-2</v>
      </c>
      <c r="Y18" s="335"/>
      <c r="Z18" s="351">
        <f>100*(Z14/$AD$14^2)</f>
        <v>83.740736743983902</v>
      </c>
      <c r="AA18" s="351">
        <f t="shared" ref="AA18:AC18" si="10">100*(AA14/$AD$14^2)</f>
        <v>7.166374704463947</v>
      </c>
      <c r="AB18" s="351">
        <f t="shared" si="10"/>
        <v>4.6481218846441763</v>
      </c>
      <c r="AC18" s="351">
        <f t="shared" si="10"/>
        <v>4.4447666669079728</v>
      </c>
      <c r="AD18" s="337">
        <f>SUM(Z18:AC18)</f>
        <v>99.999999999999986</v>
      </c>
      <c r="AO18" s="174"/>
      <c r="AP18" s="231"/>
      <c r="AQ18" s="239" t="s">
        <v>120</v>
      </c>
      <c r="AR18" s="240"/>
      <c r="AS18" s="216"/>
      <c r="AT18" s="216"/>
      <c r="AU18" s="217"/>
      <c r="AV18" s="177"/>
      <c r="AW18" s="347" t="s">
        <v>245</v>
      </c>
      <c r="AX18" s="320" t="s">
        <v>36</v>
      </c>
      <c r="AY18" s="240"/>
      <c r="AZ18" s="216"/>
      <c r="BA18" s="216"/>
      <c r="BB18" s="217"/>
      <c r="BC18" s="177">
        <f>35*10^(-3)</f>
        <v>3.5000000000000003E-2</v>
      </c>
      <c r="BD18" s="177" t="e">
        <f>BC18*#REF!</f>
        <v>#REF!</v>
      </c>
      <c r="BE18" s="177"/>
      <c r="BF18" s="177"/>
      <c r="BG18" s="177"/>
      <c r="BH18" s="177"/>
      <c r="BI18" s="176"/>
      <c r="BM18" s="335"/>
      <c r="BN18" s="351">
        <f>100*(BN14/$BR$14^2)</f>
        <v>16.426786582731008</v>
      </c>
      <c r="BO18" s="351">
        <f t="shared" ref="BO18:BQ18" si="11">100*(BO14/$BR$14^2)</f>
        <v>62.930696078225068</v>
      </c>
      <c r="BP18" s="351">
        <f t="shared" si="11"/>
        <v>10.610605397896697</v>
      </c>
      <c r="BQ18" s="351">
        <f t="shared" si="11"/>
        <v>10.031911941147232</v>
      </c>
      <c r="BR18" s="389">
        <f>SUM(BN18:BQ18)</f>
        <v>100</v>
      </c>
      <c r="CB18" s="174"/>
      <c r="CC18" s="390"/>
      <c r="CD18" s="391" t="s">
        <v>120</v>
      </c>
      <c r="CE18" s="392"/>
      <c r="CF18" s="393"/>
      <c r="CG18" s="393"/>
      <c r="CH18" s="394"/>
      <c r="CI18" s="177"/>
      <c r="CJ18" s="347" t="s">
        <v>245</v>
      </c>
      <c r="CK18" s="320" t="s">
        <v>36</v>
      </c>
      <c r="CL18" s="240"/>
      <c r="CM18" s="216"/>
      <c r="CN18" s="216"/>
      <c r="CO18" s="217"/>
      <c r="CP18" s="177">
        <f>35*10^(-3)</f>
        <v>3.5000000000000003E-2</v>
      </c>
      <c r="CQ18" s="177" t="e">
        <f>CP18*#REF!</f>
        <v>#REF!</v>
      </c>
      <c r="CR18" s="177"/>
      <c r="CS18" s="177"/>
      <c r="CT18" s="177"/>
      <c r="CU18" s="177"/>
      <c r="CV18" s="176"/>
    </row>
    <row r="19" spans="1:100" x14ac:dyDescent="0.25">
      <c r="A19" s="162" t="s">
        <v>199</v>
      </c>
      <c r="B19" s="165">
        <f t="shared" si="7"/>
        <v>75.393078019462948</v>
      </c>
      <c r="C19" s="165">
        <f t="shared" si="7"/>
        <v>24.606921980537049</v>
      </c>
      <c r="D19" s="165">
        <f t="shared" si="7"/>
        <v>0</v>
      </c>
      <c r="E19" s="162">
        <f t="shared" si="9"/>
        <v>100</v>
      </c>
      <c r="I19" s="338" t="s">
        <v>214</v>
      </c>
      <c r="J19" s="339">
        <f>G2-G3</f>
        <v>0.15354270946179049</v>
      </c>
      <c r="K19" s="339">
        <f>M13</f>
        <v>2.4404991934468223E-4</v>
      </c>
      <c r="L19" s="252" t="s">
        <v>56</v>
      </c>
      <c r="O19" s="174" t="s">
        <v>174</v>
      </c>
      <c r="P19" s="177"/>
      <c r="Q19" s="177"/>
      <c r="R19" s="176"/>
      <c r="T19" s="162">
        <v>7.4945000000000004</v>
      </c>
      <c r="U19" s="162">
        <v>2E-3</v>
      </c>
      <c r="V19" s="162">
        <v>165.43299999999999</v>
      </c>
      <c r="W19" s="162">
        <v>4.3999999999999997E-2</v>
      </c>
      <c r="AJ19" s="291" t="s">
        <v>111</v>
      </c>
      <c r="AK19" s="354" t="s">
        <v>270</v>
      </c>
      <c r="AL19" s="354" t="s">
        <v>275</v>
      </c>
      <c r="AO19" s="174"/>
      <c r="AP19" s="369"/>
      <c r="AQ19" s="249" t="s">
        <v>204</v>
      </c>
      <c r="AR19" s="250"/>
      <c r="AS19" s="234"/>
      <c r="AT19" s="215"/>
      <c r="AU19" s="218"/>
      <c r="AV19" s="177"/>
      <c r="AW19" s="426" t="s">
        <v>204</v>
      </c>
      <c r="AX19" s="426"/>
      <c r="AY19" s="427"/>
      <c r="AZ19" s="234"/>
      <c r="BA19" s="215"/>
      <c r="BB19" s="218"/>
      <c r="BC19" s="177" t="e">
        <f>(BC18^2 *#REF!/#REF!^2)</f>
        <v>#REF!</v>
      </c>
      <c r="BD19" s="177"/>
      <c r="BE19" s="177"/>
      <c r="BF19" s="177"/>
      <c r="BG19" s="177"/>
      <c r="BH19" s="177"/>
      <c r="BI19" s="176"/>
      <c r="CB19" s="174"/>
      <c r="CC19" s="385"/>
      <c r="CD19" s="395" t="s">
        <v>204</v>
      </c>
      <c r="CE19" s="396"/>
      <c r="CF19" s="397"/>
      <c r="CG19" s="398"/>
      <c r="CH19" s="399"/>
      <c r="CI19" s="177"/>
      <c r="CJ19" s="426" t="s">
        <v>204</v>
      </c>
      <c r="CK19" s="426"/>
      <c r="CL19" s="427"/>
      <c r="CM19" s="234"/>
      <c r="CN19" s="215"/>
      <c r="CO19" s="218"/>
      <c r="CP19" s="177" t="e">
        <f>(CP18^2 *#REF!/#REF!^2)</f>
        <v>#REF!</v>
      </c>
      <c r="CQ19" s="177"/>
      <c r="CR19" s="177"/>
      <c r="CS19" s="177"/>
      <c r="CT19" s="177"/>
      <c r="CU19" s="177"/>
      <c r="CV19" s="176"/>
    </row>
    <row r="20" spans="1:100" x14ac:dyDescent="0.25">
      <c r="A20" s="162" t="s">
        <v>200</v>
      </c>
      <c r="B20" s="165">
        <f t="shared" si="7"/>
        <v>64.378966927117816</v>
      </c>
      <c r="C20" s="165">
        <f t="shared" si="7"/>
        <v>35.62103307288217</v>
      </c>
      <c r="D20" s="165">
        <f t="shared" si="7"/>
        <v>0</v>
      </c>
      <c r="E20" s="162">
        <f t="shared" si="9"/>
        <v>99.999999999999986</v>
      </c>
      <c r="I20" s="338" t="s">
        <v>41</v>
      </c>
      <c r="J20" s="339">
        <f>(U10*U9/(G3*10^(-9)))*U11 - (U10*U9/(G2*10^(-9)))*U11</f>
        <v>3.5040574611601585</v>
      </c>
      <c r="K20" s="339">
        <f>J20*(K19/J19)</f>
        <v>5.5695574460868733E-3</v>
      </c>
      <c r="L20" s="252" t="s">
        <v>41</v>
      </c>
      <c r="O20" s="174">
        <v>7.4462000000000002</v>
      </c>
      <c r="P20" s="177">
        <v>8.0000000000000004E-4</v>
      </c>
      <c r="Q20" s="177">
        <v>166.50667244124557</v>
      </c>
      <c r="R20" s="176">
        <v>1.9E-2</v>
      </c>
      <c r="T20" s="162">
        <v>0.16249999999999964</v>
      </c>
      <c r="U20" s="162">
        <v>2.8284271247461901E-3</v>
      </c>
      <c r="V20" s="162">
        <v>3.5109999999999957</v>
      </c>
      <c r="W20" s="162">
        <v>6.0827625302982198E-2</v>
      </c>
      <c r="AJ20" s="185"/>
      <c r="AK20" s="172" t="s">
        <v>120</v>
      </c>
      <c r="AL20" s="173" t="s">
        <v>36</v>
      </c>
      <c r="AO20" s="174"/>
      <c r="AP20" s="244" t="s">
        <v>220</v>
      </c>
      <c r="AQ20" s="238" t="s">
        <v>221</v>
      </c>
      <c r="AR20" s="242" t="s">
        <v>242</v>
      </c>
      <c r="AS20" s="235"/>
      <c r="AT20" s="237" t="s">
        <v>239</v>
      </c>
      <c r="AU20" s="218"/>
      <c r="AV20" s="177"/>
      <c r="AW20" s="244" t="s">
        <v>220</v>
      </c>
      <c r="AX20" s="238" t="s">
        <v>221</v>
      </c>
      <c r="AY20" s="242" t="s">
        <v>242</v>
      </c>
      <c r="AZ20" s="235"/>
      <c r="BA20" s="237" t="s">
        <v>239</v>
      </c>
      <c r="BB20" s="218"/>
      <c r="BC20" s="177"/>
      <c r="BD20" s="177"/>
      <c r="BE20" s="177"/>
      <c r="BF20" s="177"/>
      <c r="BG20" s="177"/>
      <c r="BH20" s="177"/>
      <c r="BI20" s="176"/>
      <c r="CB20" s="174"/>
      <c r="CC20" s="400" t="s">
        <v>220</v>
      </c>
      <c r="CD20" s="401" t="s">
        <v>221</v>
      </c>
      <c r="CE20" s="402" t="s">
        <v>242</v>
      </c>
      <c r="CF20" s="403"/>
      <c r="CG20" s="404" t="s">
        <v>239</v>
      </c>
      <c r="CH20" s="399"/>
      <c r="CI20" s="177"/>
      <c r="CJ20" s="374" t="s">
        <v>220</v>
      </c>
      <c r="CK20" s="238" t="s">
        <v>221</v>
      </c>
      <c r="CL20" s="242" t="s">
        <v>242</v>
      </c>
      <c r="CM20" s="235"/>
      <c r="CN20" s="237" t="s">
        <v>239</v>
      </c>
      <c r="CO20" s="218"/>
      <c r="CP20" s="177"/>
      <c r="CQ20" s="177"/>
      <c r="CR20" s="177"/>
      <c r="CS20" s="177"/>
      <c r="CT20" s="177"/>
      <c r="CU20" s="177"/>
      <c r="CV20" s="176"/>
    </row>
    <row r="21" spans="1:100" x14ac:dyDescent="0.25">
      <c r="A21" s="162" t="s">
        <v>201</v>
      </c>
      <c r="B21" s="165">
        <f t="shared" si="7"/>
        <v>5.258719205973212</v>
      </c>
      <c r="C21" s="165">
        <f t="shared" si="7"/>
        <v>94.741280794026764</v>
      </c>
      <c r="D21" s="165">
        <f t="shared" si="7"/>
        <v>0</v>
      </c>
      <c r="E21" s="162">
        <f t="shared" si="9"/>
        <v>99.999999999999972</v>
      </c>
      <c r="I21" s="338" t="s">
        <v>39</v>
      </c>
      <c r="J21" s="339">
        <f>J20*U12</f>
        <v>28262.129410759931</v>
      </c>
      <c r="K21" s="339">
        <f>J21*(K20/J20)</f>
        <v>44.921510291059192</v>
      </c>
      <c r="L21" s="252" t="s">
        <v>39</v>
      </c>
      <c r="O21" s="174">
        <v>7.2919999999999998</v>
      </c>
      <c r="P21" s="177">
        <v>2.5000000000000001E-3</v>
      </c>
      <c r="Q21" s="177">
        <v>170.02769944212875</v>
      </c>
      <c r="R21" s="176">
        <v>5.8000000000000003E-2</v>
      </c>
      <c r="AJ21" s="174" t="s">
        <v>31</v>
      </c>
      <c r="AK21" s="177">
        <v>-3700</v>
      </c>
      <c r="AL21" s="176">
        <v>-3723</v>
      </c>
      <c r="AO21" s="174"/>
      <c r="AP21" s="245">
        <v>1</v>
      </c>
      <c r="AQ21" s="318">
        <f>AP12</f>
        <v>1.8477626186997812E-6</v>
      </c>
      <c r="AR21" s="232">
        <f>100*(AQ21/$BH$12^2)</f>
        <v>0.56520042812256843</v>
      </c>
      <c r="AS21" s="236"/>
      <c r="AT21" s="219"/>
      <c r="AU21" s="220"/>
      <c r="AV21" s="177"/>
      <c r="AW21" s="245">
        <v>1</v>
      </c>
      <c r="AX21" s="318">
        <f>AP13</f>
        <v>1.8337218951470735E-6</v>
      </c>
      <c r="AY21" s="232">
        <f>100*(AX21/$AX$29)</f>
        <v>0.57204433316173231</v>
      </c>
      <c r="AZ21" s="236"/>
      <c r="BA21" s="219"/>
      <c r="BB21" s="220"/>
      <c r="BC21" s="177" t="e">
        <f>100*BC19/BH12^2</f>
        <v>#REF!</v>
      </c>
      <c r="BD21" s="177"/>
      <c r="BE21" s="177"/>
      <c r="BF21" s="177"/>
      <c r="BG21" s="177"/>
      <c r="BH21" s="177"/>
      <c r="BI21" s="176"/>
      <c r="BM21" s="162">
        <f>BL13-BL14</f>
        <v>0.19191400689526006</v>
      </c>
      <c r="CB21" s="174"/>
      <c r="CC21" s="405">
        <v>1</v>
      </c>
      <c r="CD21" s="406">
        <f>CC12</f>
        <v>0</v>
      </c>
      <c r="CE21" s="407">
        <f>100*(CD21/$BH$12^2)</f>
        <v>0</v>
      </c>
      <c r="CF21" s="408"/>
      <c r="CG21" s="409"/>
      <c r="CH21" s="410"/>
      <c r="CI21" s="177"/>
      <c r="CJ21" s="371">
        <v>1</v>
      </c>
      <c r="CK21" s="373">
        <f>CC13</f>
        <v>1.8565903761869982E-6</v>
      </c>
      <c r="CL21" s="232">
        <f>100*(CK21/$CK$29)</f>
        <v>0.17512645944441235</v>
      </c>
      <c r="CM21" s="236"/>
      <c r="CN21" s="219"/>
      <c r="CO21" s="220"/>
      <c r="CP21" s="177" t="e">
        <f>100*CP19/CU12^2</f>
        <v>#REF!</v>
      </c>
      <c r="CQ21" s="177"/>
      <c r="CR21" s="177"/>
      <c r="CS21" s="177"/>
      <c r="CT21" s="177"/>
      <c r="CU21" s="177"/>
      <c r="CV21" s="176"/>
    </row>
    <row r="22" spans="1:100" x14ac:dyDescent="0.25">
      <c r="A22" s="162" t="s">
        <v>202</v>
      </c>
      <c r="B22" s="165">
        <f t="shared" si="7"/>
        <v>38.280187319627814</v>
      </c>
      <c r="C22" s="165">
        <f t="shared" si="7"/>
        <v>61.719812680372179</v>
      </c>
      <c r="D22" s="165">
        <f t="shared" si="7"/>
        <v>0</v>
      </c>
      <c r="E22" s="162">
        <f t="shared" si="9"/>
        <v>100</v>
      </c>
      <c r="O22" s="179">
        <v>0.15420000000000034</v>
      </c>
      <c r="P22" s="180">
        <v>2.6248809496813375E-3</v>
      </c>
      <c r="Q22" s="180">
        <v>3.5210270008831799</v>
      </c>
      <c r="R22" s="181">
        <v>6.1032778078668512E-2</v>
      </c>
      <c r="AJ22" s="174" t="s">
        <v>175</v>
      </c>
      <c r="AK22" s="177">
        <v>-3353</v>
      </c>
      <c r="AL22" s="176">
        <v>-3361</v>
      </c>
      <c r="AO22" s="174"/>
      <c r="AP22" s="245">
        <v>2</v>
      </c>
      <c r="AQ22" s="318">
        <f>AR12</f>
        <v>4.6749452154857566E-6</v>
      </c>
      <c r="AR22" s="232">
        <f t="shared" ref="AR22:AR28" si="12">100*(AQ22/$BH$12^2)</f>
        <v>1.4299894426381465</v>
      </c>
      <c r="AS22" s="233" t="s">
        <v>220</v>
      </c>
      <c r="AT22" s="233" t="s">
        <v>221</v>
      </c>
      <c r="AU22" s="233" t="s">
        <v>224</v>
      </c>
      <c r="AV22" s="177"/>
      <c r="AW22" s="245">
        <v>2</v>
      </c>
      <c r="AX22" s="318">
        <f>AR13</f>
        <v>2.5972659879577762E-6</v>
      </c>
      <c r="AY22" s="232">
        <f t="shared" ref="AY22:AY28" si="13">100*(AX22/$AX$29)</f>
        <v>0.8102380704822143</v>
      </c>
      <c r="AZ22" s="233" t="s">
        <v>220</v>
      </c>
      <c r="BA22" s="233" t="s">
        <v>221</v>
      </c>
      <c r="BB22" s="233" t="s">
        <v>224</v>
      </c>
      <c r="BC22" s="177"/>
      <c r="BD22" s="177"/>
      <c r="BE22" s="177"/>
      <c r="BF22" s="177"/>
      <c r="BG22" s="177"/>
      <c r="BH22" s="177"/>
      <c r="BI22" s="176"/>
      <c r="CB22" s="174"/>
      <c r="CC22" s="405">
        <v>2</v>
      </c>
      <c r="CD22" s="406">
        <f>CE12</f>
        <v>0</v>
      </c>
      <c r="CE22" s="407">
        <f t="shared" ref="CE22:CE28" si="14">100*(CD22/$BH$12^2)</f>
        <v>0</v>
      </c>
      <c r="CF22" s="411" t="s">
        <v>220</v>
      </c>
      <c r="CG22" s="411" t="s">
        <v>221</v>
      </c>
      <c r="CH22" s="411" t="s">
        <v>224</v>
      </c>
      <c r="CI22" s="177"/>
      <c r="CJ22" s="371">
        <v>2</v>
      </c>
      <c r="CK22" s="373">
        <f>CE13</f>
        <v>1.9007450401658769E-5</v>
      </c>
      <c r="CL22" s="232">
        <f t="shared" ref="CL22:CL28" si="15">100*(CK22/$CK$29)</f>
        <v>1.7929143308090172</v>
      </c>
      <c r="CM22" s="233" t="s">
        <v>220</v>
      </c>
      <c r="CN22" s="233" t="s">
        <v>221</v>
      </c>
      <c r="CO22" s="233" t="s">
        <v>224</v>
      </c>
      <c r="CP22" s="177"/>
      <c r="CQ22" s="177"/>
      <c r="CR22" s="177"/>
      <c r="CS22" s="177"/>
      <c r="CT22" s="177"/>
      <c r="CU22" s="177"/>
      <c r="CV22" s="176"/>
    </row>
    <row r="23" spans="1:100" x14ac:dyDescent="0.25">
      <c r="B23" s="165"/>
      <c r="C23" s="165"/>
      <c r="D23" s="165"/>
      <c r="H23" s="278" t="s">
        <v>112</v>
      </c>
      <c r="I23" s="279" t="s">
        <v>115</v>
      </c>
      <c r="J23" s="280"/>
      <c r="K23" s="280"/>
      <c r="L23" s="280"/>
      <c r="M23" s="281"/>
      <c r="T23" s="162" t="s">
        <v>157</v>
      </c>
      <c r="V23" s="190"/>
      <c r="W23" s="190"/>
      <c r="X23" s="190"/>
      <c r="Y23" s="190"/>
      <c r="Z23" s="186"/>
      <c r="AJ23" s="174" t="s">
        <v>176</v>
      </c>
      <c r="AK23" s="177">
        <v>1.5E-3</v>
      </c>
      <c r="AL23" s="176">
        <v>1.5E-3</v>
      </c>
      <c r="AO23" s="174"/>
      <c r="AP23" s="225" t="s">
        <v>236</v>
      </c>
      <c r="AQ23" s="318">
        <f>AU12</f>
        <v>2.5235429860606035E-5</v>
      </c>
      <c r="AR23" s="232">
        <f t="shared" si="12"/>
        <v>7.7191061323169867</v>
      </c>
      <c r="AS23" s="244" t="s">
        <v>222</v>
      </c>
      <c r="AT23" s="424">
        <f>AY12</f>
        <v>3.1556023013464343E-4</v>
      </c>
      <c r="AU23" s="425">
        <f>100*(AT23/BH12^2)</f>
        <v>96.524724207301006</v>
      </c>
      <c r="AV23" s="177"/>
      <c r="AW23" s="225" t="s">
        <v>236</v>
      </c>
      <c r="AX23" s="318">
        <f>AU13</f>
        <v>2.4924593417250753E-5</v>
      </c>
      <c r="AY23" s="232">
        <f t="shared" si="13"/>
        <v>7.7754279198127536</v>
      </c>
      <c r="AZ23" s="423" t="s">
        <v>222</v>
      </c>
      <c r="BA23" s="424">
        <f>AY13</f>
        <v>3.1167332905385198E-4</v>
      </c>
      <c r="BB23" s="425">
        <f>100*BA23/AX29</f>
        <v>97.229008474378347</v>
      </c>
      <c r="BC23" s="177"/>
      <c r="BD23" s="177"/>
      <c r="BE23" s="177"/>
      <c r="BF23" s="177"/>
      <c r="BG23" s="177"/>
      <c r="BH23" s="177"/>
      <c r="BI23" s="176"/>
      <c r="CB23" s="174"/>
      <c r="CC23" s="412" t="s">
        <v>236</v>
      </c>
      <c r="CD23" s="406">
        <f>CH12</f>
        <v>0</v>
      </c>
      <c r="CE23" s="407">
        <f t="shared" si="14"/>
        <v>0</v>
      </c>
      <c r="CF23" s="400" t="s">
        <v>222</v>
      </c>
      <c r="CG23" s="439">
        <f>CL12</f>
        <v>0</v>
      </c>
      <c r="CH23" s="440" t="e">
        <f>100*(CG23/CU12^2)</f>
        <v>#DIV/0!</v>
      </c>
      <c r="CI23" s="177"/>
      <c r="CJ23" s="225" t="s">
        <v>236</v>
      </c>
      <c r="CK23" s="373">
        <f>CH13</f>
        <v>2.1291714253476108E-6</v>
      </c>
      <c r="CL23" s="232">
        <f t="shared" si="15"/>
        <v>0.20083819137161335</v>
      </c>
      <c r="CM23" s="423" t="s">
        <v>222</v>
      </c>
      <c r="CN23" s="424">
        <f>CL13</f>
        <v>1.0353054946360281E-3</v>
      </c>
      <c r="CO23" s="425">
        <f>100*CN23/CK29</f>
        <v>97.657182782192734</v>
      </c>
      <c r="CP23" s="177"/>
      <c r="CQ23" s="177"/>
      <c r="CR23" s="177"/>
      <c r="CS23" s="177"/>
      <c r="CT23" s="177"/>
      <c r="CU23" s="177"/>
      <c r="CV23" s="176"/>
    </row>
    <row r="24" spans="1:100" x14ac:dyDescent="0.25">
      <c r="B24" s="291" t="s">
        <v>111</v>
      </c>
      <c r="C24" s="165"/>
      <c r="D24" s="165"/>
      <c r="H24" s="282"/>
      <c r="I24" s="283" t="s">
        <v>206</v>
      </c>
      <c r="J24" s="283" t="s">
        <v>207</v>
      </c>
      <c r="K24" s="284" t="s">
        <v>249</v>
      </c>
      <c r="L24" s="283"/>
      <c r="M24" s="285"/>
      <c r="O24" s="340" t="s">
        <v>214</v>
      </c>
      <c r="P24" s="341">
        <f>I146</f>
        <v>0.161723443404032</v>
      </c>
      <c r="Q24" s="341">
        <f>M25</f>
        <v>3.3399895954700203E-4</v>
      </c>
      <c r="R24" s="252" t="s">
        <v>56</v>
      </c>
      <c r="T24" s="162" t="s">
        <v>159</v>
      </c>
      <c r="U24" s="162" t="s">
        <v>71</v>
      </c>
      <c r="W24" s="162" t="s">
        <v>41</v>
      </c>
      <c r="X24" s="162" t="s">
        <v>158</v>
      </c>
      <c r="Y24" s="171" t="s">
        <v>226</v>
      </c>
      <c r="AJ24" s="174" t="s">
        <v>177</v>
      </c>
      <c r="AK24" s="177">
        <v>10</v>
      </c>
      <c r="AL24" s="176">
        <v>10</v>
      </c>
      <c r="AO24" s="174"/>
      <c r="AP24" s="225" t="s">
        <v>237</v>
      </c>
      <c r="AQ24" s="318">
        <f>AV12</f>
        <v>7.9404377692942542E-5</v>
      </c>
      <c r="AR24" s="232">
        <f t="shared" si="12"/>
        <v>24.288503194440423</v>
      </c>
      <c r="AS24" s="245"/>
      <c r="AT24" s="424"/>
      <c r="AU24" s="425"/>
      <c r="AV24" s="177"/>
      <c r="AW24" s="225" t="s">
        <v>237</v>
      </c>
      <c r="AX24" s="318">
        <f>AV13</f>
        <v>7.8426317303828934E-5</v>
      </c>
      <c r="AY24" s="232">
        <f t="shared" si="13"/>
        <v>24.465722148560044</v>
      </c>
      <c r="AZ24" s="424"/>
      <c r="BA24" s="424"/>
      <c r="BB24" s="425"/>
      <c r="BC24" s="177"/>
      <c r="BD24" s="177"/>
      <c r="BE24" s="177"/>
      <c r="BF24" s="177"/>
      <c r="BG24" s="177"/>
      <c r="BH24" s="177"/>
      <c r="BI24" s="176"/>
      <c r="CB24" s="174"/>
      <c r="CC24" s="412" t="s">
        <v>237</v>
      </c>
      <c r="CD24" s="406">
        <f>CI12</f>
        <v>0</v>
      </c>
      <c r="CE24" s="407">
        <f t="shared" si="14"/>
        <v>0</v>
      </c>
      <c r="CF24" s="405"/>
      <c r="CG24" s="439"/>
      <c r="CH24" s="440"/>
      <c r="CI24" s="177"/>
      <c r="CJ24" s="225" t="s">
        <v>237</v>
      </c>
      <c r="CK24" s="373">
        <f>CI13</f>
        <v>7.8815025957188162E-4</v>
      </c>
      <c r="CL24" s="232">
        <f t="shared" si="15"/>
        <v>74.34378969069698</v>
      </c>
      <c r="CM24" s="424"/>
      <c r="CN24" s="424"/>
      <c r="CO24" s="425"/>
      <c r="CP24" s="177"/>
      <c r="CQ24" s="177"/>
      <c r="CR24" s="177"/>
      <c r="CS24" s="177"/>
      <c r="CT24" s="177"/>
      <c r="CU24" s="177"/>
      <c r="CV24" s="176"/>
    </row>
    <row r="25" spans="1:100" x14ac:dyDescent="0.25">
      <c r="B25" s="185"/>
      <c r="C25" s="172" t="s">
        <v>120</v>
      </c>
      <c r="D25" s="173" t="s">
        <v>36</v>
      </c>
      <c r="H25" s="282"/>
      <c r="I25" s="286">
        <f>K146</f>
        <v>1.4100825361316601E-4</v>
      </c>
      <c r="J25" s="286">
        <f>L146</f>
        <v>1.85014004048892E-4</v>
      </c>
      <c r="K25" s="379">
        <f>I150</f>
        <v>2.396701810764984E-4</v>
      </c>
      <c r="L25" s="286"/>
      <c r="M25" s="285">
        <f>SQRT(SUMSQ(I25:K25))</f>
        <v>3.3399895954700203E-4</v>
      </c>
      <c r="O25" s="342" t="s">
        <v>41</v>
      </c>
      <c r="P25" s="341">
        <v>3.4945381926152899</v>
      </c>
      <c r="Q25" s="343">
        <f>P25*(Q24/P24)</f>
        <v>7.2170867492280253E-3</v>
      </c>
      <c r="R25" s="292" t="s">
        <v>41</v>
      </c>
      <c r="S25" s="187"/>
      <c r="T25" s="162">
        <v>7.4479256028210896</v>
      </c>
      <c r="U25" s="162">
        <v>2.0000000000000001E-4</v>
      </c>
      <c r="W25" s="162">
        <f>U10*U9*U11/(T25*10^(-9))</f>
        <v>166.46809466818269</v>
      </c>
      <c r="X25" s="162">
        <f>W26-W25</f>
        <v>3.5015447973480036</v>
      </c>
      <c r="Y25" s="162">
        <f>X25*(U27/T27)</f>
        <v>5.569480552664984E-3</v>
      </c>
      <c r="AA25" s="162" t="s">
        <v>160</v>
      </c>
      <c r="AJ25" s="174" t="s">
        <v>178</v>
      </c>
      <c r="AK25" s="177">
        <f>AL5</f>
        <v>1.3054637596660493E-2</v>
      </c>
      <c r="AL25" s="177">
        <f>AL5</f>
        <v>1.3054637596660493E-2</v>
      </c>
      <c r="AO25" s="174"/>
      <c r="AP25" s="225" t="s">
        <v>238</v>
      </c>
      <c r="AQ25" s="318">
        <f>AW12</f>
        <v>2.1092042258109487E-4</v>
      </c>
      <c r="AR25" s="232">
        <f t="shared" si="12"/>
        <v>64.517114880543588</v>
      </c>
      <c r="AS25" s="245"/>
      <c r="AT25" s="424"/>
      <c r="AU25" s="425"/>
      <c r="AV25" s="177"/>
      <c r="AW25" s="322" t="s">
        <v>269</v>
      </c>
      <c r="AX25" s="318">
        <f>AW13</f>
        <v>2.0832241833277227E-4</v>
      </c>
      <c r="AY25" s="232">
        <f t="shared" si="13"/>
        <v>64.987858406005543</v>
      </c>
      <c r="AZ25" s="424"/>
      <c r="BA25" s="424"/>
      <c r="BB25" s="425"/>
      <c r="BC25" s="177"/>
      <c r="BD25" s="177">
        <v>4</v>
      </c>
      <c r="BE25" s="177"/>
      <c r="BF25" s="177"/>
      <c r="BG25" s="177"/>
      <c r="BH25" s="177"/>
      <c r="BI25" s="176"/>
      <c r="CB25" s="174"/>
      <c r="CC25" s="412" t="s">
        <v>238</v>
      </c>
      <c r="CD25" s="406">
        <f>CJ12</f>
        <v>0</v>
      </c>
      <c r="CE25" s="407">
        <f t="shared" si="14"/>
        <v>0</v>
      </c>
      <c r="CF25" s="405"/>
      <c r="CG25" s="439"/>
      <c r="CH25" s="440"/>
      <c r="CI25" s="177"/>
      <c r="CJ25" s="370" t="s">
        <v>269</v>
      </c>
      <c r="CK25" s="373">
        <f>CJ13</f>
        <v>2.4502606363879884E-4</v>
      </c>
      <c r="CL25" s="232">
        <f t="shared" si="15"/>
        <v>23.112554900124131</v>
      </c>
      <c r="CM25" s="424"/>
      <c r="CN25" s="424"/>
      <c r="CO25" s="425"/>
      <c r="CP25" s="177"/>
      <c r="CQ25" s="177">
        <v>4</v>
      </c>
      <c r="CR25" s="177"/>
      <c r="CS25" s="177"/>
      <c r="CT25" s="177"/>
      <c r="CU25" s="177"/>
      <c r="CV25" s="176"/>
    </row>
    <row r="26" spans="1:100" ht="18" customHeight="1" x14ac:dyDescent="0.25">
      <c r="B26" s="174" t="s">
        <v>31</v>
      </c>
      <c r="C26" s="177">
        <v>-3700</v>
      </c>
      <c r="D26" s="176">
        <v>-3723</v>
      </c>
      <c r="H26" s="282"/>
      <c r="I26" s="286"/>
      <c r="J26" s="286"/>
      <c r="K26" s="286"/>
      <c r="L26" s="286"/>
      <c r="M26" s="285"/>
      <c r="O26" s="342" t="s">
        <v>39</v>
      </c>
      <c r="P26" s="341">
        <f>P25*U12</f>
        <v>28185.35133206319</v>
      </c>
      <c r="Q26" s="344">
        <f>P26*(Q25/P25)</f>
        <v>58.209730273039142</v>
      </c>
      <c r="R26" s="188"/>
      <c r="S26" s="188"/>
      <c r="T26" s="162">
        <v>7.2944908763158196</v>
      </c>
      <c r="U26" s="162">
        <v>2.0000000000000001E-4</v>
      </c>
      <c r="W26" s="162">
        <f>U10*U9*U11/(T26*10^(-9))</f>
        <v>169.96963946553069</v>
      </c>
      <c r="AA26" s="162">
        <v>2.8284271247461902E-4</v>
      </c>
      <c r="AJ26" s="174" t="s">
        <v>179</v>
      </c>
      <c r="AK26" s="177">
        <f>AK5</f>
        <v>3.5058694513383273</v>
      </c>
      <c r="AL26" s="177">
        <f>AK5</f>
        <v>3.5058694513383273</v>
      </c>
      <c r="AO26" s="174"/>
      <c r="AP26" s="245">
        <v>4</v>
      </c>
      <c r="AQ26" s="318">
        <f>BA12</f>
        <v>2.061633208868604E-6</v>
      </c>
      <c r="AR26" s="232">
        <f t="shared" si="12"/>
        <v>0.63061995111914493</v>
      </c>
      <c r="AS26" s="245"/>
      <c r="AT26" s="424"/>
      <c r="AU26" s="425"/>
      <c r="AV26" s="177"/>
      <c r="AW26" s="245">
        <v>4</v>
      </c>
      <c r="AX26" s="318">
        <f>BA13</f>
        <v>2.061633208868604E-6</v>
      </c>
      <c r="AY26" s="232">
        <f t="shared" si="13"/>
        <v>0.64314310545805731</v>
      </c>
      <c r="AZ26" s="424"/>
      <c r="BA26" s="424"/>
      <c r="BB26" s="425"/>
      <c r="BC26" s="177"/>
      <c r="BD26" s="177"/>
      <c r="BE26" s="177"/>
      <c r="BF26" s="177">
        <v>4.4650867254515999E-3</v>
      </c>
      <c r="BG26" s="177"/>
      <c r="BH26" s="177"/>
      <c r="BI26" s="176"/>
      <c r="CB26" s="174"/>
      <c r="CC26" s="405">
        <v>4</v>
      </c>
      <c r="CD26" s="406">
        <f>CN12</f>
        <v>0</v>
      </c>
      <c r="CE26" s="407">
        <f t="shared" si="14"/>
        <v>0</v>
      </c>
      <c r="CF26" s="405"/>
      <c r="CG26" s="439"/>
      <c r="CH26" s="440"/>
      <c r="CI26" s="177"/>
      <c r="CJ26" s="371">
        <v>4</v>
      </c>
      <c r="CK26" s="373">
        <f>CN13</f>
        <v>3.2192812110066174E-6</v>
      </c>
      <c r="CL26" s="232">
        <f t="shared" si="15"/>
        <v>0.30366489435186228</v>
      </c>
      <c r="CM26" s="424"/>
      <c r="CN26" s="424"/>
      <c r="CO26" s="425"/>
      <c r="CP26" s="177"/>
      <c r="CQ26" s="177"/>
      <c r="CR26" s="177"/>
      <c r="CS26" s="177">
        <v>4.4650867254515999E-3</v>
      </c>
      <c r="CT26" s="177"/>
      <c r="CU26" s="177"/>
      <c r="CV26" s="176"/>
    </row>
    <row r="27" spans="1:100" ht="27.75" customHeight="1" x14ac:dyDescent="0.25">
      <c r="B27" s="174" t="s">
        <v>175</v>
      </c>
      <c r="C27" s="177">
        <v>-3353</v>
      </c>
      <c r="D27" s="176">
        <v>-3361</v>
      </c>
      <c r="H27" s="282"/>
      <c r="I27" s="286"/>
      <c r="J27" s="286"/>
      <c r="K27" s="286"/>
      <c r="L27" s="286"/>
      <c r="M27" s="285"/>
      <c r="Q27" s="189"/>
      <c r="R27" s="189"/>
      <c r="S27" s="189"/>
      <c r="T27" s="162">
        <f>T25-T26</f>
        <v>0.15343472650527001</v>
      </c>
      <c r="U27" s="162">
        <f>SQRT(E2^2+E3^2)</f>
        <v>2.4404991934468223E-4</v>
      </c>
      <c r="AJ27" s="174" t="s">
        <v>180</v>
      </c>
      <c r="AK27" s="177">
        <f>AK29*(AK26-AK32)/AK21</f>
        <v>3.3041589684125135E-2</v>
      </c>
      <c r="AL27" s="176">
        <f>AK29*(AL26-AL32)/AL21</f>
        <v>3.0612560054988022E-2</v>
      </c>
      <c r="AO27" s="174"/>
      <c r="AP27" s="245">
        <v>5</v>
      </c>
      <c r="AQ27" s="318">
        <f>BC12</f>
        <v>4.7721625923813015E-8</v>
      </c>
      <c r="AR27" s="232">
        <f t="shared" si="12"/>
        <v>1.4597266515665208E-2</v>
      </c>
      <c r="AS27" s="245"/>
      <c r="AT27" s="245"/>
      <c r="AU27" s="246"/>
      <c r="AV27" s="177"/>
      <c r="AW27" s="245">
        <v>5</v>
      </c>
      <c r="AX27" s="318">
        <f>BC13</f>
        <v>4.7133816619385621E-8</v>
      </c>
      <c r="AY27" s="232">
        <f t="shared" si="13"/>
        <v>1.4703774203034909E-2</v>
      </c>
      <c r="AZ27" s="245"/>
      <c r="BA27" s="245"/>
      <c r="BB27" s="246"/>
      <c r="BC27" s="177"/>
      <c r="BD27" s="177"/>
      <c r="BE27" s="177"/>
      <c r="BF27" s="177"/>
      <c r="BG27" s="177"/>
      <c r="BH27" s="177"/>
      <c r="BI27" s="176"/>
      <c r="CB27" s="174"/>
      <c r="CC27" s="405">
        <v>5</v>
      </c>
      <c r="CD27" s="406">
        <f>CP12</f>
        <v>0</v>
      </c>
      <c r="CE27" s="407">
        <f t="shared" si="14"/>
        <v>0</v>
      </c>
      <c r="CF27" s="405"/>
      <c r="CG27" s="405"/>
      <c r="CH27" s="413"/>
      <c r="CI27" s="177"/>
      <c r="CJ27" s="371">
        <v>5</v>
      </c>
      <c r="CK27" s="373">
        <f>CP13</f>
        <v>7.6305111168978189E-8</v>
      </c>
      <c r="CL27" s="232">
        <f t="shared" si="15"/>
        <v>7.1976264274190615E-3</v>
      </c>
      <c r="CM27" s="371"/>
      <c r="CN27" s="371"/>
      <c r="CO27" s="372"/>
      <c r="CP27" s="177"/>
      <c r="CQ27" s="177"/>
      <c r="CR27" s="177"/>
      <c r="CS27" s="177"/>
      <c r="CT27" s="177"/>
      <c r="CU27" s="177"/>
      <c r="CV27" s="176"/>
    </row>
    <row r="28" spans="1:100" x14ac:dyDescent="0.25">
      <c r="B28" s="174" t="s">
        <v>176</v>
      </c>
      <c r="C28" s="177">
        <v>1.5E-3</v>
      </c>
      <c r="D28" s="176">
        <v>1.5E-3</v>
      </c>
      <c r="H28" s="282"/>
      <c r="I28" s="437" t="s">
        <v>204</v>
      </c>
      <c r="J28" s="437"/>
      <c r="K28" s="437"/>
      <c r="L28" s="437"/>
      <c r="M28" s="438"/>
      <c r="R28" s="189"/>
      <c r="S28" s="189"/>
      <c r="T28" s="162" t="s">
        <v>47</v>
      </c>
      <c r="AE28" s="291" t="s">
        <v>112</v>
      </c>
      <c r="AF28" s="165"/>
      <c r="AJ28" s="174"/>
      <c r="AK28" s="177"/>
      <c r="AL28" s="176"/>
      <c r="AO28" s="174"/>
      <c r="AP28" s="245">
        <v>6</v>
      </c>
      <c r="AQ28" s="318">
        <f>BE12</f>
        <v>2.7293666221352114E-6</v>
      </c>
      <c r="AR28" s="232">
        <f t="shared" si="12"/>
        <v>0.83486870430346827</v>
      </c>
      <c r="AS28" s="245"/>
      <c r="AT28" s="245"/>
      <c r="AU28" s="246"/>
      <c r="AV28" s="177"/>
      <c r="AW28" s="245">
        <v>6</v>
      </c>
      <c r="AX28" s="318">
        <f>BE13</f>
        <v>2.3428220828006211E-6</v>
      </c>
      <c r="AY28" s="232">
        <f t="shared" si="13"/>
        <v>0.73086224231661456</v>
      </c>
      <c r="AZ28" s="245"/>
      <c r="BA28" s="245"/>
      <c r="BB28" s="246"/>
      <c r="BC28" s="177"/>
      <c r="BD28" s="177"/>
      <c r="BE28" s="177"/>
      <c r="BF28" s="177"/>
      <c r="BG28" s="177"/>
      <c r="BH28" s="177"/>
      <c r="BI28" s="176"/>
      <c r="CB28" s="174"/>
      <c r="CC28" s="405">
        <v>6</v>
      </c>
      <c r="CD28" s="406">
        <f>CR12</f>
        <v>0</v>
      </c>
      <c r="CE28" s="407">
        <f t="shared" si="14"/>
        <v>0</v>
      </c>
      <c r="CF28" s="405"/>
      <c r="CG28" s="405"/>
      <c r="CH28" s="413"/>
      <c r="CI28" s="177"/>
      <c r="CJ28" s="371">
        <v>6</v>
      </c>
      <c r="CK28" s="373">
        <f>CR13</f>
        <v>6.7757861718102759E-7</v>
      </c>
      <c r="CL28" s="232">
        <f t="shared" si="15"/>
        <v>6.3913906774556314E-2</v>
      </c>
      <c r="CM28" s="371"/>
      <c r="CN28" s="371"/>
      <c r="CO28" s="372"/>
      <c r="CP28" s="177"/>
      <c r="CQ28" s="177"/>
      <c r="CR28" s="177"/>
      <c r="CS28" s="177"/>
      <c r="CT28" s="177"/>
      <c r="CU28" s="177"/>
      <c r="CV28" s="176"/>
    </row>
    <row r="29" spans="1:100" x14ac:dyDescent="0.25">
      <c r="B29" s="174" t="s">
        <v>177</v>
      </c>
      <c r="C29" s="177">
        <v>10</v>
      </c>
      <c r="D29" s="176">
        <v>10</v>
      </c>
      <c r="H29" s="282"/>
      <c r="I29" s="283" t="s">
        <v>206</v>
      </c>
      <c r="J29" s="283" t="s">
        <v>207</v>
      </c>
      <c r="K29" s="284" t="s">
        <v>234</v>
      </c>
      <c r="L29" s="283"/>
      <c r="M29" s="285"/>
      <c r="R29" s="190"/>
      <c r="S29" s="190"/>
      <c r="T29" s="162">
        <v>3.5025594992231901</v>
      </c>
      <c r="U29" s="162">
        <v>4.52901503572266E-3</v>
      </c>
      <c r="V29" s="162" t="s">
        <v>41</v>
      </c>
      <c r="AE29" s="185"/>
      <c r="AF29" s="173" t="s">
        <v>36</v>
      </c>
      <c r="AJ29" s="174" t="s">
        <v>44</v>
      </c>
      <c r="AK29" s="177">
        <v>8065.5439370000004</v>
      </c>
      <c r="AL29" s="176"/>
      <c r="AO29" s="174"/>
      <c r="AP29" s="228" t="s">
        <v>225</v>
      </c>
      <c r="AQ29" s="229">
        <f>SUM(AQ21:AQ26)</f>
        <v>3.2414457117769759E-4</v>
      </c>
      <c r="AR29" s="246">
        <f>SUM(AR21:AR28)</f>
        <v>100</v>
      </c>
      <c r="AS29" s="221"/>
      <c r="AT29" s="221"/>
      <c r="AU29" s="230"/>
      <c r="AV29" s="177"/>
      <c r="AW29" s="228" t="s">
        <v>225</v>
      </c>
      <c r="AX29" s="229">
        <f>SUM(AX21:AX28)</f>
        <v>3.2055590604524543E-4</v>
      </c>
      <c r="AY29" s="232">
        <f>SUM(AY21:AY28)</f>
        <v>99.999999999999986</v>
      </c>
      <c r="AZ29" s="221"/>
      <c r="BA29" s="221"/>
      <c r="BB29" s="230"/>
      <c r="BC29" s="177"/>
      <c r="BD29" s="177"/>
      <c r="BE29" s="177"/>
      <c r="BF29" s="177">
        <v>3.5026221826488402</v>
      </c>
      <c r="BG29" s="177"/>
      <c r="BH29" s="177"/>
      <c r="BI29" s="176"/>
      <c r="CB29" s="174"/>
      <c r="CC29" s="414" t="s">
        <v>225</v>
      </c>
      <c r="CD29" s="415">
        <f>SUM(CD21:CD26)</f>
        <v>0</v>
      </c>
      <c r="CE29" s="413">
        <f>SUM(CE21:CE28)</f>
        <v>0</v>
      </c>
      <c r="CF29" s="416"/>
      <c r="CG29" s="416"/>
      <c r="CH29" s="417"/>
      <c r="CI29" s="177"/>
      <c r="CJ29" s="228" t="s">
        <v>225</v>
      </c>
      <c r="CK29" s="229">
        <f>SUM(CK21:CK28)</f>
        <v>1.0601427003532305E-3</v>
      </c>
      <c r="CL29" s="232">
        <f>SUM(CL21:CL28)</f>
        <v>99.999999999999986</v>
      </c>
      <c r="CM29" s="221"/>
      <c r="CN29" s="221"/>
      <c r="CO29" s="230"/>
      <c r="CP29" s="177"/>
      <c r="CQ29" s="177"/>
      <c r="CR29" s="177"/>
      <c r="CS29" s="177">
        <v>3.5026221826488402</v>
      </c>
      <c r="CT29" s="177"/>
      <c r="CU29" s="177"/>
      <c r="CV29" s="176"/>
    </row>
    <row r="30" spans="1:100" x14ac:dyDescent="0.25">
      <c r="B30" s="174" t="s">
        <v>178</v>
      </c>
      <c r="C30" s="177">
        <f>Q4</f>
        <v>7.277145166527276E-3</v>
      </c>
      <c r="D30" s="177">
        <f>Q4</f>
        <v>7.277145166527276E-3</v>
      </c>
      <c r="H30" s="287"/>
      <c r="I30" s="288">
        <f>100*(I25/$M$25)^2</f>
        <v>17.82374006406117</v>
      </c>
      <c r="J30" s="288">
        <f>100*(J25/$M$25)^2</f>
        <v>30.68449474528061</v>
      </c>
      <c r="K30" s="290">
        <f>100*(K25/M25)^2</f>
        <v>51.491765190658221</v>
      </c>
      <c r="L30" s="288"/>
      <c r="M30" s="289">
        <f>SUM(I30:K30)</f>
        <v>100</v>
      </c>
      <c r="T30" s="162">
        <v>0.15340000000000001</v>
      </c>
      <c r="U30" s="162">
        <v>2.0000000000000001E-4</v>
      </c>
      <c r="V30" s="162" t="s">
        <v>56</v>
      </c>
      <c r="AE30" s="174" t="s">
        <v>31</v>
      </c>
      <c r="AF30" s="176">
        <v>-3700</v>
      </c>
      <c r="AJ30" s="252" t="s">
        <v>267</v>
      </c>
      <c r="AK30" s="162">
        <f>Q20</f>
        <v>166.50667244124557</v>
      </c>
      <c r="AL30" s="176">
        <f>Q9</f>
        <v>166.44</v>
      </c>
      <c r="AO30" s="174"/>
      <c r="AP30" s="245"/>
      <c r="AQ30" s="245"/>
      <c r="AR30" s="245"/>
      <c r="AS30" s="221"/>
      <c r="AT30" s="221"/>
      <c r="AU30" s="221"/>
      <c r="AV30" s="177"/>
      <c r="AW30" s="245"/>
      <c r="AX30" s="245"/>
      <c r="AY30" s="245"/>
      <c r="AZ30" s="221"/>
      <c r="BA30" s="221"/>
      <c r="BB30" s="221"/>
      <c r="BC30" s="177"/>
      <c r="BD30" s="177"/>
      <c r="BE30" s="177"/>
      <c r="BF30" s="177"/>
      <c r="BG30" s="177"/>
      <c r="BH30" s="177"/>
      <c r="BI30" s="176"/>
      <c r="CB30" s="174"/>
      <c r="CC30" s="405"/>
      <c r="CD30" s="405"/>
      <c r="CE30" s="405"/>
      <c r="CF30" s="416"/>
      <c r="CG30" s="416"/>
      <c r="CH30" s="416"/>
      <c r="CI30" s="177"/>
      <c r="CJ30" s="371"/>
      <c r="CK30" s="371"/>
      <c r="CL30" s="371"/>
      <c r="CM30" s="221"/>
      <c r="CN30" s="221"/>
      <c r="CO30" s="221"/>
      <c r="CP30" s="177"/>
      <c r="CQ30" s="177"/>
      <c r="CR30" s="177"/>
      <c r="CS30" s="177"/>
      <c r="CT30" s="177"/>
      <c r="CU30" s="177"/>
      <c r="CV30" s="176"/>
    </row>
    <row r="31" spans="1:100" x14ac:dyDescent="0.25">
      <c r="B31" s="174" t="s">
        <v>179</v>
      </c>
      <c r="C31" s="177">
        <v>3.5078534225260598</v>
      </c>
      <c r="D31" s="177">
        <v>3.5078534225260598</v>
      </c>
      <c r="F31" s="162">
        <f>C38/C34</f>
        <v>9.9187358750854691E-4</v>
      </c>
      <c r="AE31" s="174" t="s">
        <v>175</v>
      </c>
      <c r="AF31" s="176">
        <v>-3361</v>
      </c>
      <c r="AJ31" s="252" t="s">
        <v>268</v>
      </c>
      <c r="AK31" s="162">
        <f>Q21</f>
        <v>170.02769944212875</v>
      </c>
      <c r="AL31" s="162">
        <f>Q10</f>
        <v>169.96</v>
      </c>
      <c r="AO31" s="179"/>
      <c r="AP31" s="180"/>
      <c r="AQ31" s="180"/>
      <c r="AR31" s="363"/>
      <c r="AS31" s="363"/>
      <c r="AT31" s="363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1"/>
      <c r="CB31" s="179"/>
      <c r="CC31" s="180"/>
      <c r="CD31" s="180"/>
      <c r="CE31" s="363"/>
      <c r="CF31" s="363"/>
      <c r="CG31" s="363"/>
      <c r="CH31" s="180"/>
      <c r="CI31" s="180"/>
      <c r="CJ31" s="180"/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1"/>
    </row>
    <row r="32" spans="1:100" x14ac:dyDescent="0.25">
      <c r="B32" s="174" t="s">
        <v>180</v>
      </c>
      <c r="C32" s="177">
        <f>(1/C26)*(Q20-Q21+C31)*C34</f>
        <v>2.8716777039693043E-2</v>
      </c>
      <c r="D32" s="176">
        <f>(1/D26)*(Q9-Q10+C31)*C34</f>
        <v>2.6314465296890049E-2</v>
      </c>
      <c r="T32" s="171" t="s">
        <v>215</v>
      </c>
      <c r="AE32" s="174" t="s">
        <v>176</v>
      </c>
      <c r="AF32" s="176">
        <v>1.5E-3</v>
      </c>
      <c r="AJ32" s="174"/>
      <c r="AK32" s="162">
        <f>AK31-AK30</f>
        <v>3.5210270008831799</v>
      </c>
      <c r="AL32" s="162">
        <f>AL31-AL30</f>
        <v>3.5200000000000102</v>
      </c>
      <c r="AR32" s="194"/>
      <c r="AS32" s="194"/>
      <c r="AT32" s="194"/>
    </row>
    <row r="33" spans="1:100" x14ac:dyDescent="0.25">
      <c r="B33" s="174"/>
      <c r="C33" s="177"/>
      <c r="D33" s="176"/>
      <c r="H33" s="182" t="s">
        <v>112</v>
      </c>
      <c r="I33" s="183" t="s">
        <v>210</v>
      </c>
      <c r="J33" s="172"/>
      <c r="K33" s="172"/>
      <c r="L33" s="172"/>
      <c r="M33" s="173"/>
      <c r="T33" s="162" t="s">
        <v>159</v>
      </c>
      <c r="U33" s="162" t="s">
        <v>71</v>
      </c>
      <c r="V33" s="162" t="s">
        <v>160</v>
      </c>
      <c r="W33" s="162" t="s">
        <v>41</v>
      </c>
      <c r="X33" s="162" t="s">
        <v>158</v>
      </c>
      <c r="AE33" s="174" t="s">
        <v>177</v>
      </c>
      <c r="AF33" s="176">
        <f>W19-W18</f>
        <v>1.9999999999999948E-3</v>
      </c>
      <c r="AJ33" s="174" t="s">
        <v>181</v>
      </c>
      <c r="AK33" s="177">
        <v>158</v>
      </c>
      <c r="AL33" s="176">
        <v>143</v>
      </c>
      <c r="AP33" s="291" t="s">
        <v>111</v>
      </c>
      <c r="AQ33" s="354" t="s">
        <v>270</v>
      </c>
      <c r="AR33" s="354" t="s">
        <v>276</v>
      </c>
    </row>
    <row r="34" spans="1:100" x14ac:dyDescent="0.25">
      <c r="B34" s="174" t="s">
        <v>44</v>
      </c>
      <c r="C34" s="177">
        <v>8065.5439370000004</v>
      </c>
      <c r="D34" s="176"/>
      <c r="G34" s="162">
        <v>7.6552852889297096</v>
      </c>
      <c r="H34" s="174"/>
      <c r="I34" s="175" t="s">
        <v>206</v>
      </c>
      <c r="J34" s="175" t="s">
        <v>207</v>
      </c>
      <c r="K34" s="175" t="s">
        <v>208</v>
      </c>
      <c r="L34" s="175" t="s">
        <v>209</v>
      </c>
      <c r="M34" s="176"/>
      <c r="O34" s="293" t="s">
        <v>214</v>
      </c>
      <c r="P34" s="172">
        <f>G34-G35</f>
        <v>0.16178687030653993</v>
      </c>
      <c r="Q34" s="173">
        <f>M35</f>
        <v>2.2228728672097367E-4</v>
      </c>
      <c r="T34" s="162">
        <v>7.6553095902656301</v>
      </c>
      <c r="AE34" s="174" t="s">
        <v>178</v>
      </c>
      <c r="AF34" s="177">
        <f>Q25</f>
        <v>7.2170867492280253E-3</v>
      </c>
      <c r="AJ34" s="174" t="s">
        <v>182</v>
      </c>
      <c r="AK34" s="177">
        <v>150</v>
      </c>
      <c r="AL34" s="176">
        <v>137</v>
      </c>
      <c r="AN34" s="162">
        <f>AK29*(AK26-AK32)/AK21</f>
        <v>3.3041589684125135E-2</v>
      </c>
      <c r="AP34" s="185"/>
      <c r="AQ34" s="172" t="s">
        <v>120</v>
      </c>
      <c r="AR34" s="173" t="s">
        <v>36</v>
      </c>
      <c r="CB34" s="185"/>
      <c r="CC34" s="172"/>
      <c r="CD34" s="172"/>
      <c r="CE34" s="172"/>
      <c r="CF34" s="172"/>
      <c r="CG34" s="172"/>
      <c r="CH34" s="172"/>
      <c r="CI34" s="172"/>
      <c r="CJ34" s="172"/>
      <c r="CK34" s="172"/>
      <c r="CL34" s="172"/>
      <c r="CM34" s="172"/>
      <c r="CN34" s="172"/>
      <c r="CO34" s="172"/>
      <c r="CP34" s="172"/>
      <c r="CQ34" s="172"/>
      <c r="CR34" s="172"/>
      <c r="CS34" s="172"/>
      <c r="CT34" s="172"/>
      <c r="CU34" s="172"/>
      <c r="CV34" s="173"/>
    </row>
    <row r="35" spans="1:100" x14ac:dyDescent="0.25">
      <c r="B35" s="174"/>
      <c r="C35" s="177"/>
      <c r="D35" s="176"/>
      <c r="G35" s="162">
        <v>7.4934984186231697</v>
      </c>
      <c r="H35" s="174"/>
      <c r="I35" s="178">
        <f>C4</f>
        <v>5.5632446623345096E-9</v>
      </c>
      <c r="J35" s="178">
        <f>C5</f>
        <v>9.5475709424536596E-9</v>
      </c>
      <c r="K35" s="178">
        <f>B4</f>
        <v>1.7045209441493598E-8</v>
      </c>
      <c r="L35" s="178">
        <f>B5</f>
        <v>1.7255612791490599E-8</v>
      </c>
      <c r="M35" s="176">
        <f>SQRT(SUM(I35:L35))</f>
        <v>2.2228728672097367E-4</v>
      </c>
      <c r="O35" s="345" t="s">
        <v>41</v>
      </c>
      <c r="P35" s="177">
        <f>(U10*U9/(G35*10^(-9)))*U11 - (U10*U9/(G34*10^(-9)))*U11</f>
        <v>3.4967421801952696</v>
      </c>
      <c r="Q35" s="176">
        <f>P35*(Q34/P34)</f>
        <v>4.8043535926349419E-3</v>
      </c>
      <c r="T35" s="162">
        <v>7.4932333096760297</v>
      </c>
      <c r="AE35" s="174" t="s">
        <v>179</v>
      </c>
      <c r="AF35" s="177">
        <v>3.4945381926152899</v>
      </c>
      <c r="AJ35" s="179"/>
      <c r="AK35" s="180">
        <v>8</v>
      </c>
      <c r="AL35" s="181">
        <v>6</v>
      </c>
      <c r="AP35" s="174" t="s">
        <v>31</v>
      </c>
      <c r="AQ35" s="177">
        <v>-3700</v>
      </c>
      <c r="AR35" s="176">
        <v>-3723</v>
      </c>
      <c r="AU35" s="185"/>
      <c r="AV35" s="172"/>
      <c r="AW35" s="172"/>
      <c r="AX35" s="172"/>
      <c r="AY35" s="172"/>
      <c r="AZ35" s="172"/>
      <c r="BA35" s="172"/>
      <c r="BB35" s="172"/>
      <c r="BC35" s="172"/>
      <c r="BD35" s="172"/>
      <c r="BE35" s="172"/>
      <c r="BF35" s="172"/>
      <c r="BG35" s="172"/>
      <c r="BH35" s="172"/>
      <c r="BI35" s="172"/>
      <c r="BJ35" s="172"/>
      <c r="BK35" s="172"/>
      <c r="BL35" s="172"/>
      <c r="BM35" s="172"/>
      <c r="BN35" s="172"/>
      <c r="BO35" s="173"/>
      <c r="CB35" s="388" t="s">
        <v>304</v>
      </c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6"/>
    </row>
    <row r="36" spans="1:100" x14ac:dyDescent="0.25">
      <c r="B36" s="174" t="s">
        <v>181</v>
      </c>
      <c r="C36" s="177">
        <v>158</v>
      </c>
      <c r="D36" s="176">
        <v>143</v>
      </c>
      <c r="H36" s="174"/>
      <c r="I36" s="177"/>
      <c r="J36" s="177"/>
      <c r="K36" s="177"/>
      <c r="L36" s="177"/>
      <c r="M36" s="176"/>
      <c r="O36" s="346" t="s">
        <v>39</v>
      </c>
      <c r="P36" s="180">
        <f>U12*P35</f>
        <v>28203.12769072612</v>
      </c>
      <c r="Q36" s="181">
        <f>P36*(Q35/P35)</f>
        <v>38.749724990280924</v>
      </c>
      <c r="T36" s="162">
        <f>T34-T35</f>
        <v>0.16207628058960033</v>
      </c>
      <c r="AE36" s="252" t="s">
        <v>255</v>
      </c>
      <c r="AF36" s="162">
        <f>V20</f>
        <v>3.5109999999999957</v>
      </c>
      <c r="AP36" s="174" t="s">
        <v>175</v>
      </c>
      <c r="AQ36" s="177">
        <v>-3353</v>
      </c>
      <c r="AR36" s="176">
        <v>-3361</v>
      </c>
      <c r="AU36" s="364" t="s">
        <v>261</v>
      </c>
      <c r="AV36" s="177"/>
      <c r="AW36" s="177"/>
      <c r="AX36" s="177"/>
      <c r="AY36" s="177"/>
      <c r="AZ36" s="177"/>
      <c r="BA36" s="177"/>
      <c r="BB36" s="177"/>
      <c r="BC36" s="177"/>
      <c r="BD36" s="177"/>
      <c r="BE36" s="177"/>
      <c r="BF36" s="177"/>
      <c r="BG36" s="177"/>
      <c r="BH36" s="177"/>
      <c r="BI36" s="177"/>
      <c r="BJ36" s="177"/>
      <c r="BK36" s="177"/>
      <c r="BL36" s="177"/>
      <c r="BM36" s="177"/>
      <c r="BN36" s="177"/>
      <c r="BO36" s="176"/>
      <c r="CB36" s="174"/>
      <c r="CC36" s="177"/>
      <c r="CD36" s="177"/>
      <c r="CE36" s="177"/>
      <c r="CF36" s="177"/>
      <c r="CG36" s="177"/>
      <c r="CH36" s="177"/>
      <c r="CI36" s="177"/>
      <c r="CJ36" s="177"/>
      <c r="CK36" s="177"/>
      <c r="CL36" s="177"/>
      <c r="CM36" s="177"/>
      <c r="CN36" s="177"/>
      <c r="CO36" s="177"/>
      <c r="CP36" s="177"/>
      <c r="CQ36" s="177"/>
      <c r="CR36" s="177"/>
      <c r="CS36" s="177"/>
      <c r="CT36" s="177"/>
      <c r="CU36" s="177"/>
      <c r="CV36" s="176"/>
    </row>
    <row r="37" spans="1:100" x14ac:dyDescent="0.25">
      <c r="B37" s="174" t="s">
        <v>182</v>
      </c>
      <c r="C37" s="177">
        <v>150</v>
      </c>
      <c r="D37" s="176">
        <v>137</v>
      </c>
      <c r="H37" s="174"/>
      <c r="I37" s="428" t="s">
        <v>204</v>
      </c>
      <c r="J37" s="428"/>
      <c r="K37" s="428"/>
      <c r="L37" s="428"/>
      <c r="M37" s="429"/>
      <c r="AE37" s="174" t="s">
        <v>180</v>
      </c>
      <c r="AF37" s="176">
        <f>U12*(AF35-AF36)/AF30</f>
        <v>3.5884711011831306E-2</v>
      </c>
      <c r="AP37" s="174" t="s">
        <v>176</v>
      </c>
      <c r="AQ37" s="177">
        <v>1.5E-3</v>
      </c>
      <c r="AR37" s="176">
        <v>1.5E-3</v>
      </c>
      <c r="AU37" s="174"/>
      <c r="AV37" s="177"/>
      <c r="AW37" s="177"/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/>
      <c r="BJ37" s="177"/>
      <c r="BK37" s="177"/>
      <c r="BL37" s="177"/>
      <c r="BM37" s="177"/>
      <c r="BN37" s="177"/>
      <c r="BO37" s="176"/>
      <c r="CB37" s="174"/>
      <c r="CC37" s="177"/>
      <c r="CD37" s="177"/>
      <c r="CE37" s="177"/>
      <c r="CF37" s="177"/>
      <c r="CG37" s="177"/>
      <c r="CH37" s="177"/>
      <c r="CI37" s="177"/>
      <c r="CJ37" s="177"/>
      <c r="CK37" s="177"/>
      <c r="CL37" s="177"/>
      <c r="CM37" s="177"/>
      <c r="CN37" s="264" t="s">
        <v>243</v>
      </c>
      <c r="CO37" s="177">
        <f>35*10^(-3)</f>
        <v>3.5000000000000003E-2</v>
      </c>
      <c r="CP37" s="264" t="s">
        <v>41</v>
      </c>
      <c r="CQ37" s="177"/>
      <c r="CR37" s="177"/>
      <c r="CS37" s="177"/>
      <c r="CT37" s="177"/>
      <c r="CU37" s="177"/>
      <c r="CV37" s="176"/>
    </row>
    <row r="38" spans="1:100" x14ac:dyDescent="0.25">
      <c r="B38" s="179"/>
      <c r="C38" s="180">
        <v>8</v>
      </c>
      <c r="D38" s="181">
        <v>6</v>
      </c>
      <c r="H38" s="174"/>
      <c r="I38" s="175" t="s">
        <v>206</v>
      </c>
      <c r="J38" s="175" t="s">
        <v>207</v>
      </c>
      <c r="K38" s="175" t="s">
        <v>208</v>
      </c>
      <c r="L38" s="175" t="s">
        <v>209</v>
      </c>
      <c r="M38" s="176"/>
      <c r="AE38" s="252" t="s">
        <v>267</v>
      </c>
      <c r="AF38" s="162">
        <v>165.43299999999999</v>
      </c>
      <c r="AP38" s="174" t="s">
        <v>177</v>
      </c>
      <c r="AQ38" s="177">
        <v>10</v>
      </c>
      <c r="AR38" s="176">
        <v>10</v>
      </c>
      <c r="AU38" s="174"/>
      <c r="AV38" s="177"/>
      <c r="AW38" s="177"/>
      <c r="AX38" s="177"/>
      <c r="AY38" s="177"/>
      <c r="AZ38" s="177"/>
      <c r="BA38" s="177"/>
      <c r="BB38" s="177"/>
      <c r="BC38" s="177"/>
      <c r="BD38" s="177"/>
      <c r="BE38" s="177"/>
      <c r="BF38" s="177"/>
      <c r="BG38" s="264" t="s">
        <v>243</v>
      </c>
      <c r="BH38" s="177">
        <f>35*10^(-3)</f>
        <v>3.5000000000000003E-2</v>
      </c>
      <c r="BI38" s="264" t="s">
        <v>41</v>
      </c>
      <c r="BJ38" s="177"/>
      <c r="BK38" s="177"/>
      <c r="BL38" s="177"/>
      <c r="BM38" s="177"/>
      <c r="BN38" s="177"/>
      <c r="BO38" s="176"/>
      <c r="CB38" s="174"/>
      <c r="CC38" s="177"/>
      <c r="CD38" s="177"/>
      <c r="CE38" s="177"/>
      <c r="CF38" s="177"/>
      <c r="CG38" s="177"/>
      <c r="CH38" s="177"/>
      <c r="CI38" s="177"/>
      <c r="CJ38" s="177"/>
      <c r="CK38" s="177"/>
      <c r="CL38" s="177"/>
      <c r="CM38" s="177"/>
      <c r="CN38" s="264" t="s">
        <v>240</v>
      </c>
      <c r="CO38" s="177">
        <f>9*10^(-3)</f>
        <v>9.0000000000000011E-3</v>
      </c>
      <c r="CP38" s="264" t="s">
        <v>41</v>
      </c>
      <c r="CQ38" s="177"/>
      <c r="CR38" s="177"/>
      <c r="CS38" s="177"/>
      <c r="CT38" s="177"/>
      <c r="CU38" s="177"/>
      <c r="CV38" s="176"/>
    </row>
    <row r="39" spans="1:100" x14ac:dyDescent="0.25">
      <c r="H39" s="179"/>
      <c r="I39" s="184">
        <f>100*(I35/$M$35^2)</f>
        <v>11.258976439112748</v>
      </c>
      <c r="J39" s="184">
        <f t="shared" ref="J39:L39" si="16">100*(J35/$M$35^2)</f>
        <v>19.32251461447224</v>
      </c>
      <c r="K39" s="184">
        <f t="shared" si="16"/>
        <v>34.496345774767086</v>
      </c>
      <c r="L39" s="184">
        <f t="shared" si="16"/>
        <v>34.922163171647945</v>
      </c>
      <c r="M39" s="181">
        <f>SUM(I39:L39)</f>
        <v>100.00000000000003</v>
      </c>
      <c r="AE39" s="252" t="s">
        <v>268</v>
      </c>
      <c r="AF39" s="162">
        <v>161.922</v>
      </c>
      <c r="AP39" s="174" t="s">
        <v>178</v>
      </c>
      <c r="AQ39" s="177">
        <f>AL14</f>
        <v>1.9373817737684148E-2</v>
      </c>
      <c r="AR39" s="177">
        <f>AL14</f>
        <v>1.9373817737684148E-2</v>
      </c>
      <c r="AU39" s="174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264" t="s">
        <v>240</v>
      </c>
      <c r="BH39" s="177">
        <f>9*10^(-3)</f>
        <v>9.0000000000000011E-3</v>
      </c>
      <c r="BI39" s="264" t="s">
        <v>41</v>
      </c>
      <c r="BJ39" s="177"/>
      <c r="BK39" s="177"/>
      <c r="BL39" s="177"/>
      <c r="BM39" s="177"/>
      <c r="BN39" s="177"/>
      <c r="BO39" s="176"/>
      <c r="CB39" s="174"/>
      <c r="CC39" s="177"/>
      <c r="CD39" s="177"/>
      <c r="CE39" s="177"/>
      <c r="CF39" s="177"/>
      <c r="CG39" s="177"/>
      <c r="CH39" s="177"/>
      <c r="CI39" s="177"/>
      <c r="CJ39" s="177"/>
      <c r="CK39" s="177"/>
      <c r="CL39" s="177"/>
      <c r="CM39" s="177"/>
      <c r="CN39" s="177"/>
      <c r="CO39" s="177"/>
      <c r="CP39" s="177"/>
      <c r="CQ39" s="177"/>
      <c r="CR39" s="177"/>
      <c r="CS39" s="177"/>
      <c r="CT39" s="177"/>
      <c r="CU39" s="418" t="s">
        <v>302</v>
      </c>
      <c r="CV39" s="176"/>
    </row>
    <row r="40" spans="1:100" x14ac:dyDescent="0.25">
      <c r="E40" s="162">
        <f>C38/C34</f>
        <v>9.9187358750854691E-4</v>
      </c>
      <c r="Q40" s="162">
        <f>(U10*U9/(G35*10^(-9)))*U11 - (U10*U9/(G34*10^(-9)))*U11</f>
        <v>3.4967421801952696</v>
      </c>
      <c r="AE40" s="174" t="s">
        <v>181</v>
      </c>
      <c r="AF40" s="176">
        <v>143</v>
      </c>
      <c r="AP40" s="174" t="s">
        <v>179</v>
      </c>
      <c r="AQ40" s="177">
        <f>AK14</f>
        <v>3.5022005549991206</v>
      </c>
      <c r="AR40" s="177">
        <f>AK14</f>
        <v>3.5022005549991206</v>
      </c>
      <c r="AU40" s="174"/>
      <c r="AV40" s="177"/>
      <c r="AW40" s="177"/>
      <c r="AX40" s="177"/>
      <c r="AY40" s="177"/>
      <c r="AZ40" s="177"/>
      <c r="BA40" s="177"/>
      <c r="BB40" s="177"/>
      <c r="BC40" s="177"/>
      <c r="BD40" s="177"/>
      <c r="BE40" s="177"/>
      <c r="BF40" s="177"/>
      <c r="BG40" s="177"/>
      <c r="BH40" s="177"/>
      <c r="BI40" s="177"/>
      <c r="BJ40" s="177"/>
      <c r="BK40" s="177"/>
      <c r="BL40" s="177"/>
      <c r="BM40" s="177"/>
      <c r="BN40" s="251" t="s">
        <v>111</v>
      </c>
      <c r="BO40" s="176"/>
      <c r="CB40" s="174"/>
      <c r="CC40" s="177"/>
      <c r="CD40" s="177"/>
      <c r="CE40" s="177"/>
      <c r="CF40" s="177"/>
      <c r="CG40" s="177"/>
      <c r="CH40" s="177"/>
      <c r="CI40" s="177"/>
      <c r="CJ40" s="177"/>
      <c r="CK40" s="177"/>
      <c r="CL40" s="177"/>
      <c r="CM40" s="177"/>
      <c r="CN40" s="177"/>
      <c r="CO40" s="177"/>
      <c r="CP40" s="177"/>
      <c r="CQ40" s="177"/>
      <c r="CR40" s="177"/>
      <c r="CS40" s="177"/>
      <c r="CT40" s="177"/>
      <c r="CU40" s="355" t="s">
        <v>219</v>
      </c>
      <c r="CV40" s="176"/>
    </row>
    <row r="41" spans="1:100" x14ac:dyDescent="0.25">
      <c r="B41" s="171" t="s">
        <v>217</v>
      </c>
      <c r="C41" s="162">
        <v>1</v>
      </c>
      <c r="V41" s="294"/>
      <c r="AE41" s="174" t="s">
        <v>182</v>
      </c>
      <c r="AF41" s="176">
        <v>137</v>
      </c>
      <c r="AP41" s="174" t="s">
        <v>180</v>
      </c>
      <c r="AQ41" s="177">
        <f>AQ43*(AQ40-AQ46)/AQ35</f>
        <v>4.1039331474441242E-2</v>
      </c>
      <c r="AR41" s="177">
        <f>AR43*(AR40-AR46)/AR35</f>
        <v>3.8560893287373089E-2</v>
      </c>
      <c r="AU41" s="174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  <c r="BJ41" s="177"/>
      <c r="BK41" s="177"/>
      <c r="BL41" s="177"/>
      <c r="BM41" s="177"/>
      <c r="BN41" s="355" t="s">
        <v>219</v>
      </c>
      <c r="BO41" s="176"/>
      <c r="CB41" s="174"/>
      <c r="CC41" s="177"/>
      <c r="CD41" s="177"/>
      <c r="CE41" s="177"/>
      <c r="CF41" s="177"/>
      <c r="CG41" s="177"/>
      <c r="CH41" s="177"/>
      <c r="CI41" s="177"/>
      <c r="CJ41" s="177"/>
      <c r="CK41" s="177"/>
      <c r="CL41" s="177"/>
      <c r="CM41" s="177"/>
      <c r="CN41" s="177"/>
      <c r="CO41" s="177"/>
      <c r="CP41" s="177"/>
      <c r="CQ41" s="177"/>
      <c r="CR41" s="177"/>
      <c r="CS41" s="177"/>
      <c r="CT41" s="356"/>
      <c r="CU41" s="254"/>
      <c r="CV41" s="357"/>
    </row>
    <row r="42" spans="1:100" x14ac:dyDescent="0.25">
      <c r="B42" s="276"/>
      <c r="C42" s="276">
        <v>1</v>
      </c>
      <c r="D42" s="276"/>
      <c r="E42" s="276"/>
      <c r="F42" s="276">
        <v>2</v>
      </c>
      <c r="G42" s="276"/>
      <c r="H42" s="276">
        <v>3</v>
      </c>
      <c r="I42" s="276"/>
      <c r="J42" s="276">
        <v>4</v>
      </c>
      <c r="K42" s="276"/>
      <c r="L42" s="276"/>
      <c r="V42" s="294"/>
      <c r="AE42" s="179"/>
      <c r="AF42" s="181">
        <v>6</v>
      </c>
      <c r="AP42" s="174"/>
      <c r="AQ42" s="177"/>
      <c r="AR42" s="176"/>
      <c r="AU42" s="174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  <c r="BJ42" s="177"/>
      <c r="BK42" s="177"/>
      <c r="BL42" s="177"/>
      <c r="BM42" s="356" t="s">
        <v>120</v>
      </c>
      <c r="BN42" s="254">
        <f>AQ41</f>
        <v>4.1039331474441242E-2</v>
      </c>
      <c r="BO42" s="357" t="s">
        <v>61</v>
      </c>
      <c r="CB42" s="174"/>
      <c r="CC42" s="177"/>
      <c r="CD42" s="177"/>
      <c r="CE42" s="177"/>
      <c r="CF42" s="177"/>
      <c r="CG42" s="177"/>
      <c r="CH42" s="177"/>
      <c r="CI42" s="177"/>
      <c r="CJ42" s="177"/>
      <c r="CK42" s="177"/>
      <c r="CL42" s="177"/>
      <c r="CM42" s="177"/>
      <c r="CN42" s="177"/>
      <c r="CO42" s="177"/>
      <c r="CP42" s="177"/>
      <c r="CQ42" s="177"/>
      <c r="CR42" s="177"/>
      <c r="CS42" s="177"/>
      <c r="CT42" s="358" t="s">
        <v>36</v>
      </c>
      <c r="CU42" s="359">
        <f>(1/AF30)*AK29*(BU14-AF36)</f>
        <v>-1.4218572440401027</v>
      </c>
      <c r="CV42" s="357" t="s">
        <v>61</v>
      </c>
    </row>
    <row r="43" spans="1:100" x14ac:dyDescent="0.25">
      <c r="B43" s="276" t="s">
        <v>120</v>
      </c>
      <c r="C43" s="276">
        <f>'Nuclear Radius Table (3)'!F69</f>
        <v>7.3910504747991247E-6</v>
      </c>
      <c r="D43" s="276">
        <f>'Nuclear Radius Table (3)'!G69</f>
        <v>0</v>
      </c>
      <c r="E43" s="276">
        <f>'Nuclear Radius Table (3)'!H69</f>
        <v>0</v>
      </c>
      <c r="F43" s="276">
        <f>'Nuclear Radius Table (3)'!I69</f>
        <v>1.8699780861943026E-5</v>
      </c>
      <c r="G43" s="276">
        <f>'Nuclear Radius Table (3)'!J69</f>
        <v>0</v>
      </c>
      <c r="H43" s="276">
        <f>'Nuclear Radius Table (3)'!K69</f>
        <v>3.8988038915114794E-4</v>
      </c>
      <c r="I43" s="276">
        <f>'Nuclear Radius Table (3)'!L69</f>
        <v>0</v>
      </c>
      <c r="J43" s="276">
        <f>'Nuclear Radius Table (3)'!M69</f>
        <v>1.6206161707147039E-5</v>
      </c>
      <c r="K43" s="276">
        <f>'Nuclear Radius Table (3)'!N69</f>
        <v>0</v>
      </c>
      <c r="L43" s="276">
        <f>'Nuclear Radius Table (3)'!O69</f>
        <v>2.0788876405304763E-2</v>
      </c>
      <c r="V43" s="294"/>
      <c r="AP43" s="174" t="s">
        <v>44</v>
      </c>
      <c r="AQ43" s="177">
        <v>8065.5439370000004</v>
      </c>
      <c r="AR43" s="177">
        <v>8065.5439370000004</v>
      </c>
      <c r="AU43" s="174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/>
      <c r="BF43" s="177"/>
      <c r="BG43" s="177"/>
      <c r="BH43" s="177"/>
      <c r="BI43" s="177"/>
      <c r="BJ43" s="177"/>
      <c r="BK43" s="177"/>
      <c r="BL43" s="177"/>
      <c r="BM43" s="358" t="s">
        <v>36</v>
      </c>
      <c r="BN43" s="359">
        <f>AR41</f>
        <v>3.8560893287373089E-2</v>
      </c>
      <c r="BO43" s="357" t="s">
        <v>61</v>
      </c>
      <c r="CB43" s="174"/>
      <c r="CC43" s="177"/>
      <c r="CD43" s="177"/>
      <c r="CE43" s="177"/>
      <c r="CF43" s="177"/>
      <c r="CG43" s="177"/>
      <c r="CH43" s="177" t="s">
        <v>206</v>
      </c>
      <c r="CI43" s="177" t="s">
        <v>207</v>
      </c>
      <c r="CJ43" s="365" t="s">
        <v>262</v>
      </c>
      <c r="CK43" s="365" t="s">
        <v>263</v>
      </c>
      <c r="CL43" s="177"/>
      <c r="CM43" s="177"/>
      <c r="CN43" s="177"/>
      <c r="CO43" s="177"/>
      <c r="CP43" s="264" t="s">
        <v>240</v>
      </c>
      <c r="CQ43" s="177"/>
      <c r="CR43" s="264" t="s">
        <v>241</v>
      </c>
      <c r="CS43" s="177"/>
      <c r="CT43" s="177"/>
      <c r="CU43" s="177"/>
      <c r="CV43" s="176"/>
    </row>
    <row r="44" spans="1:100" x14ac:dyDescent="0.25">
      <c r="B44" s="276" t="s">
        <v>36</v>
      </c>
      <c r="C44" s="276">
        <f>'Nuclear Radius Table (3)'!F70</f>
        <v>7.3348875805882941E-6</v>
      </c>
      <c r="D44" s="276"/>
      <c r="E44" s="276"/>
      <c r="F44" s="276">
        <f>'Nuclear Radius Table (3)'!I70</f>
        <v>1.0389063951831105E-5</v>
      </c>
      <c r="G44" s="276"/>
      <c r="H44" s="276">
        <f>'Nuclear Radius Table (3)'!K70</f>
        <v>3.8507805235058092E-4</v>
      </c>
      <c r="I44" s="276"/>
      <c r="J44" s="276">
        <f>'Nuclear Radius Table (3)'!M70</f>
        <v>1.4275757169631787E-5</v>
      </c>
      <c r="K44" s="276"/>
      <c r="L44" s="276">
        <f>'Nuclear Radius Table (3)'!O70</f>
        <v>2.042248175547311E-2</v>
      </c>
      <c r="V44" s="294"/>
      <c r="AP44" s="252" t="s">
        <v>267</v>
      </c>
      <c r="AQ44" s="162">
        <v>166.50667244124557</v>
      </c>
      <c r="AR44" s="176">
        <v>166.44</v>
      </c>
      <c r="AU44" s="174"/>
      <c r="AV44" s="177"/>
      <c r="AW44" s="177"/>
      <c r="AX44" s="177"/>
      <c r="AY44" s="177"/>
      <c r="AZ44" s="177"/>
      <c r="BA44" s="177" t="s">
        <v>206</v>
      </c>
      <c r="BB44" s="177" t="s">
        <v>207</v>
      </c>
      <c r="BC44" s="365" t="s">
        <v>262</v>
      </c>
      <c r="BD44" s="365" t="s">
        <v>263</v>
      </c>
      <c r="BE44" s="177"/>
      <c r="BF44" s="177"/>
      <c r="BG44" s="177"/>
      <c r="BH44" s="177"/>
      <c r="BI44" s="264" t="s">
        <v>240</v>
      </c>
      <c r="BJ44" s="177"/>
      <c r="BK44" s="264" t="s">
        <v>241</v>
      </c>
      <c r="BL44" s="177"/>
      <c r="BM44" s="177"/>
      <c r="BN44" s="177"/>
      <c r="BO44" s="176"/>
      <c r="CB44" s="345" t="s">
        <v>111</v>
      </c>
      <c r="CC44" s="177">
        <v>1</v>
      </c>
      <c r="CD44" s="177"/>
      <c r="CE44" s="177">
        <v>2</v>
      </c>
      <c r="CF44" s="177"/>
      <c r="CG44" s="177"/>
      <c r="CH44" s="355" t="s">
        <v>211</v>
      </c>
      <c r="CI44" s="355" t="s">
        <v>212</v>
      </c>
      <c r="CJ44" s="355" t="s">
        <v>213</v>
      </c>
      <c r="CK44" s="418" t="s">
        <v>305</v>
      </c>
      <c r="CL44" s="355" t="s">
        <v>216</v>
      </c>
      <c r="CM44" s="177"/>
      <c r="CN44" s="177">
        <v>4</v>
      </c>
      <c r="CO44" s="177"/>
      <c r="CP44" s="177">
        <v>5</v>
      </c>
      <c r="CQ44" s="177"/>
      <c r="CR44" s="177">
        <v>6</v>
      </c>
      <c r="CS44" s="177"/>
      <c r="CT44" s="177"/>
      <c r="CU44" s="355" t="s">
        <v>218</v>
      </c>
      <c r="CV44" s="176"/>
    </row>
    <row r="45" spans="1:100" x14ac:dyDescent="0.25">
      <c r="B45" s="186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V45" s="294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P45" s="252" t="s">
        <v>268</v>
      </c>
      <c r="AQ45" s="162">
        <v>170.02769944212875</v>
      </c>
      <c r="AR45" s="162">
        <v>169.96</v>
      </c>
      <c r="AU45" s="345" t="s">
        <v>111</v>
      </c>
      <c r="AV45" s="177">
        <v>1</v>
      </c>
      <c r="AW45" s="177"/>
      <c r="AX45" s="177">
        <v>2</v>
      </c>
      <c r="AY45" s="177"/>
      <c r="AZ45" s="177"/>
      <c r="BA45" s="355" t="s">
        <v>211</v>
      </c>
      <c r="BB45" s="355" t="s">
        <v>212</v>
      </c>
      <c r="BC45" s="355" t="s">
        <v>213</v>
      </c>
      <c r="BD45" s="355"/>
      <c r="BE45" s="355" t="s">
        <v>216</v>
      </c>
      <c r="BF45" s="177"/>
      <c r="BG45" s="177">
        <v>4</v>
      </c>
      <c r="BH45" s="177"/>
      <c r="BI45" s="177">
        <v>5</v>
      </c>
      <c r="BJ45" s="177"/>
      <c r="BK45" s="177">
        <v>6</v>
      </c>
      <c r="BL45" s="177"/>
      <c r="BM45" s="177"/>
      <c r="BN45" s="355" t="s">
        <v>218</v>
      </c>
      <c r="BO45" s="176"/>
      <c r="CB45" s="361"/>
      <c r="CC45" s="177"/>
      <c r="CD45" s="177"/>
      <c r="CE45" s="177"/>
      <c r="CF45" s="177"/>
      <c r="CG45" s="177"/>
      <c r="CH45" s="177"/>
      <c r="CI45" s="177"/>
      <c r="CJ45" s="177"/>
      <c r="CK45" s="177"/>
      <c r="CL45" s="177"/>
      <c r="CM45" s="177"/>
      <c r="CN45" s="177"/>
      <c r="CO45" s="177"/>
      <c r="CP45" s="177"/>
      <c r="CQ45" s="177"/>
      <c r="CR45" s="177"/>
      <c r="CS45" s="177"/>
      <c r="CT45" s="177"/>
      <c r="CU45" s="254"/>
      <c r="CV45" s="357"/>
    </row>
    <row r="46" spans="1:100" x14ac:dyDescent="0.25">
      <c r="A46" s="252" t="s">
        <v>260</v>
      </c>
      <c r="T46" s="162">
        <v>3.2329949373060142E-2</v>
      </c>
      <c r="U46" s="162">
        <v>1.2151831841425407E-2</v>
      </c>
      <c r="V46" s="294"/>
      <c r="AP46" s="174"/>
      <c r="AQ46" s="162">
        <v>3.5210270008831799</v>
      </c>
      <c r="AR46" s="162">
        <v>3.5200000000000102</v>
      </c>
      <c r="AU46" s="361" t="s">
        <v>120</v>
      </c>
      <c r="AV46" s="177">
        <f>AP12</f>
        <v>1.8477626186997812E-6</v>
      </c>
      <c r="AW46" s="177"/>
      <c r="AX46" s="177">
        <f>AR12</f>
        <v>4.6749452154857566E-6</v>
      </c>
      <c r="AY46" s="177"/>
      <c r="AZ46" s="177"/>
      <c r="BA46" s="177">
        <f>($C$41*$BB$49*Z18/(100*$C$26))^2</f>
        <v>1.2507423318124775E-3</v>
      </c>
      <c r="BB46" s="177">
        <f>($C$41*$BB$49*AA18/(100*$C$26))^2</f>
        <v>9.1599545403838671E-6</v>
      </c>
      <c r="BC46" s="177">
        <f>($C$41*$BB$49*AB18/(100*$C$26))^2</f>
        <v>3.8534462849821398E-6</v>
      </c>
      <c r="BD46" s="177">
        <f>($C$41*$BB$49*AC18/(100*$C$26))^2</f>
        <v>3.5236456539627566E-6</v>
      </c>
      <c r="BE46" s="177">
        <f>SUM(BA46:BD46)</f>
        <v>1.2672793782918061E-3</v>
      </c>
      <c r="BF46" s="177"/>
      <c r="BG46" s="177">
        <f xml:space="preserve"> ($C$41*0.05*BN42)^2</f>
        <v>4.2105668196726593E-6</v>
      </c>
      <c r="BH46" s="177"/>
      <c r="BI46" s="177">
        <f>BC12</f>
        <v>4.7721625923813015E-8</v>
      </c>
      <c r="BJ46" s="177"/>
      <c r="BK46" s="177">
        <f>BE12</f>
        <v>2.7293666221352114E-6</v>
      </c>
      <c r="BL46" s="177"/>
      <c r="BM46" s="177"/>
      <c r="BN46" s="254">
        <f>SQRT(SUM(AV46,AX46,BE46,BG46, BI46, BK46))</f>
        <v>3.5788122906820964E-2</v>
      </c>
      <c r="BO46" s="357" t="s">
        <v>61</v>
      </c>
      <c r="CB46" s="362" t="s">
        <v>36</v>
      </c>
      <c r="CC46" s="177">
        <f>CC13</f>
        <v>1.8565903761869982E-6</v>
      </c>
      <c r="CD46" s="177"/>
      <c r="CE46" s="162">
        <f>CE13</f>
        <v>1.9007450401658769E-5</v>
      </c>
      <c r="CH46" s="177">
        <f>($C$41*$CI$15*BN18/(100*$AF$30))^2</f>
        <v>5.5096302244352317E-5</v>
      </c>
      <c r="CI46" s="177">
        <f t="shared" ref="CI46:CK46" si="17">($C$41*$CI$15*BO18/(100*$AF$30))^2</f>
        <v>8.0861593185985387E-4</v>
      </c>
      <c r="CJ46" s="177">
        <f t="shared" si="17"/>
        <v>2.2987807418444142E-5</v>
      </c>
      <c r="CK46" s="177">
        <f t="shared" si="17"/>
        <v>2.0548713896755117E-5</v>
      </c>
      <c r="CL46" s="177">
        <f>SUM(CH46:CK46)</f>
        <v>9.0724875541940535E-4</v>
      </c>
      <c r="CM46" s="177"/>
      <c r="CN46" s="177">
        <f>CN13</f>
        <v>3.2192812110066174E-6</v>
      </c>
      <c r="CO46" s="177"/>
      <c r="CP46" s="162">
        <f>CP13</f>
        <v>7.6305111168978189E-8</v>
      </c>
      <c r="CR46" s="162">
        <f>CR13</f>
        <v>6.7757861718102759E-7</v>
      </c>
      <c r="CS46" s="177"/>
      <c r="CT46" s="177"/>
      <c r="CU46" s="359">
        <f>SQRT(SUM(CC46,CE46,CL46,CN46, CP46, CR46))</f>
        <v>3.053008288781096E-2</v>
      </c>
      <c r="CV46" s="357" t="s">
        <v>61</v>
      </c>
    </row>
    <row r="47" spans="1:100" x14ac:dyDescent="0.25">
      <c r="T47" s="162">
        <v>2.9905316125108768E-2</v>
      </c>
      <c r="U47" s="162">
        <v>1.1962816715743781E-2</v>
      </c>
      <c r="V47" s="294"/>
      <c r="AJ47" s="186"/>
      <c r="AP47" s="174" t="s">
        <v>181</v>
      </c>
      <c r="AQ47" s="177">
        <v>158</v>
      </c>
      <c r="AR47" s="176">
        <v>143</v>
      </c>
      <c r="AU47" s="362" t="s">
        <v>36</v>
      </c>
      <c r="AV47" s="177">
        <f>AP13</f>
        <v>1.8337218951470735E-6</v>
      </c>
      <c r="AW47" s="177"/>
      <c r="AX47" s="177">
        <f>AR13</f>
        <v>2.5972659879577762E-6</v>
      </c>
      <c r="AY47" s="177"/>
      <c r="AZ47" s="177"/>
      <c r="BA47" s="177">
        <f>($C$41*$BB$49*Z18/(100*$AR$35))^2</f>
        <v>1.2353363609167178E-3</v>
      </c>
      <c r="BB47" s="177">
        <f>($C$41*$BB$49*AA18/(100*$AR$35))^2</f>
        <v>9.0471271502281837E-6</v>
      </c>
      <c r="BC47" s="177">
        <f>($C$41*$BB$49*AB18/(100*$AR$35))^2</f>
        <v>3.8059816075623078E-6</v>
      </c>
      <c r="BD47" s="177">
        <f>($C$41*$BB$49*AC18/(100*$AR$35))^2</f>
        <v>3.4802432832176525E-6</v>
      </c>
      <c r="BE47" s="177">
        <f>SUM(BA47:BD47)</f>
        <v>1.251669712957726E-3</v>
      </c>
      <c r="BF47" s="177"/>
      <c r="BG47" s="177">
        <f xml:space="preserve"> ($C$41*0.05*BN43)^2</f>
        <v>3.717356227800438E-6</v>
      </c>
      <c r="BH47" s="177"/>
      <c r="BI47" s="177">
        <f>BC13</f>
        <v>4.7133816619385621E-8</v>
      </c>
      <c r="BJ47" s="177"/>
      <c r="BK47" s="177">
        <f>BE13</f>
        <v>2.3428220828006211E-6</v>
      </c>
      <c r="BL47" s="177"/>
      <c r="BM47" s="177"/>
      <c r="BN47" s="359">
        <f>SQRT(SUM(AV47,AX47,BE47,BG47))</f>
        <v>3.5493915775363968E-2</v>
      </c>
      <c r="BO47" s="357" t="s">
        <v>61</v>
      </c>
      <c r="CB47" s="174"/>
      <c r="CC47" s="177"/>
      <c r="CD47" s="177"/>
      <c r="CE47" s="177"/>
      <c r="CF47" s="177"/>
      <c r="CG47" s="177"/>
      <c r="CH47" s="177"/>
      <c r="CI47" s="177"/>
      <c r="CJ47" s="177"/>
      <c r="CK47" s="177"/>
      <c r="CL47" s="177"/>
      <c r="CM47" s="177"/>
      <c r="CN47" s="177"/>
      <c r="CO47" s="177"/>
      <c r="CP47" s="177"/>
      <c r="CQ47" s="177"/>
      <c r="CR47" s="177"/>
      <c r="CS47" s="177"/>
      <c r="CT47" s="177"/>
      <c r="CU47" s="177"/>
      <c r="CV47" s="176"/>
    </row>
    <row r="48" spans="1:100" x14ac:dyDescent="0.25">
      <c r="M48" s="241" t="s">
        <v>243</v>
      </c>
      <c r="N48" s="162">
        <f>35*10^(-3)</f>
        <v>3.5000000000000003E-2</v>
      </c>
      <c r="O48" s="241" t="s">
        <v>41</v>
      </c>
      <c r="V48" s="294"/>
      <c r="AL48" s="162">
        <v>3.3912885180825469E-2</v>
      </c>
      <c r="AM48" s="241" t="s">
        <v>41</v>
      </c>
      <c r="AP48" s="174" t="s">
        <v>182</v>
      </c>
      <c r="AQ48" s="177">
        <v>150</v>
      </c>
      <c r="AR48" s="176">
        <v>137</v>
      </c>
      <c r="AU48" s="174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/>
      <c r="BF48" s="177"/>
      <c r="BG48" s="177"/>
      <c r="BH48" s="177"/>
      <c r="BI48" s="177"/>
      <c r="BJ48" s="177"/>
      <c r="BK48" s="177"/>
      <c r="BL48" s="177"/>
      <c r="BM48" s="177"/>
      <c r="BN48" s="177"/>
      <c r="BO48" s="176"/>
      <c r="CB48" s="174"/>
      <c r="CC48" s="177"/>
      <c r="CD48" s="177"/>
      <c r="CE48" s="177"/>
      <c r="CF48" s="177"/>
      <c r="CG48" s="177"/>
      <c r="CH48" s="355" t="s">
        <v>223</v>
      </c>
      <c r="CI48" s="177">
        <f>BV15</f>
        <v>101.59325340054599</v>
      </c>
      <c r="CJ48" s="355" t="s">
        <v>39</v>
      </c>
      <c r="CK48" s="177"/>
      <c r="CL48" s="177"/>
      <c r="CM48" s="177"/>
      <c r="CN48" s="177"/>
      <c r="CO48" s="177"/>
      <c r="CP48" s="177"/>
      <c r="CQ48" s="177"/>
      <c r="CR48" s="177"/>
      <c r="CS48" s="177"/>
      <c r="CT48" s="177"/>
      <c r="CU48" s="177"/>
      <c r="CV48" s="176"/>
    </row>
    <row r="49" spans="1:100" x14ac:dyDescent="0.25">
      <c r="M49" s="241" t="s">
        <v>240</v>
      </c>
      <c r="N49" s="162">
        <f>9*10^(-3)</f>
        <v>9.0000000000000011E-3</v>
      </c>
      <c r="O49" s="241" t="s">
        <v>41</v>
      </c>
      <c r="V49" s="294"/>
      <c r="AL49" s="162">
        <v>1.1380509564020258E-2</v>
      </c>
      <c r="AM49" s="241" t="s">
        <v>41</v>
      </c>
      <c r="AP49" s="179"/>
      <c r="AQ49" s="180">
        <v>8</v>
      </c>
      <c r="AR49" s="181">
        <v>6</v>
      </c>
      <c r="AU49" s="174"/>
      <c r="AV49" s="177"/>
      <c r="AW49" s="177"/>
      <c r="AX49" s="177"/>
      <c r="AY49" s="177"/>
      <c r="AZ49" s="177"/>
      <c r="BA49" s="355" t="s">
        <v>223</v>
      </c>
      <c r="BB49" s="177">
        <f>AL15</f>
        <v>156.26037819072144</v>
      </c>
      <c r="BC49" s="355" t="s">
        <v>39</v>
      </c>
      <c r="BD49" s="177"/>
      <c r="BE49" s="177"/>
      <c r="BF49" s="177"/>
      <c r="BG49" s="177"/>
      <c r="BH49" s="177"/>
      <c r="BI49" s="177"/>
      <c r="BJ49" s="177"/>
      <c r="BK49" s="177"/>
      <c r="BL49" s="177"/>
      <c r="BM49" s="177"/>
      <c r="BN49" s="177"/>
      <c r="BO49" s="176"/>
      <c r="CB49" s="174"/>
      <c r="CC49" s="177"/>
      <c r="CD49" s="177"/>
      <c r="CE49" s="177"/>
      <c r="CF49" s="177"/>
      <c r="CG49" s="177"/>
      <c r="CH49" s="177"/>
      <c r="CI49" s="177"/>
      <c r="CJ49" s="177"/>
      <c r="CK49" s="177"/>
      <c r="CL49" s="177">
        <f>SQRT(CL45)</f>
        <v>0</v>
      </c>
      <c r="CM49" s="177"/>
      <c r="CN49" s="177"/>
      <c r="CO49" s="177"/>
      <c r="CP49" s="177"/>
      <c r="CQ49" s="177"/>
      <c r="CR49" s="177"/>
      <c r="CS49" s="177"/>
      <c r="CT49" s="177"/>
      <c r="CU49" s="177"/>
      <c r="CV49" s="176"/>
    </row>
    <row r="50" spans="1:100" x14ac:dyDescent="0.25">
      <c r="T50" s="252" t="s">
        <v>111</v>
      </c>
      <c r="V50" s="294"/>
      <c r="AK50" s="241" t="s">
        <v>243</v>
      </c>
      <c r="AR50" s="252" t="s">
        <v>112</v>
      </c>
      <c r="AU50" s="174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>
        <f>SQRT(BE46)</f>
        <v>3.5598867654629218E-2</v>
      </c>
      <c r="BF50" s="177"/>
      <c r="BG50" s="177"/>
      <c r="BH50" s="177"/>
      <c r="BI50" s="177"/>
      <c r="BJ50" s="177"/>
      <c r="BK50" s="177"/>
      <c r="BL50" s="177"/>
      <c r="BM50" s="177"/>
      <c r="BN50" s="177"/>
      <c r="BO50" s="176"/>
      <c r="CB50" s="174"/>
      <c r="CC50" s="177"/>
      <c r="CD50" s="177"/>
      <c r="CE50" s="177"/>
      <c r="CF50" s="177"/>
      <c r="CG50" s="177"/>
      <c r="CH50" s="177"/>
      <c r="CI50" s="177"/>
      <c r="CJ50" s="177"/>
      <c r="CK50" s="177"/>
      <c r="CL50" s="177"/>
      <c r="CM50" s="177"/>
      <c r="CN50" s="177"/>
      <c r="CO50" s="177"/>
      <c r="CP50" s="177"/>
      <c r="CQ50" s="177"/>
      <c r="CR50" s="177"/>
      <c r="CS50" s="177"/>
      <c r="CT50" s="177"/>
      <c r="CU50" s="177"/>
      <c r="CV50" s="176"/>
    </row>
    <row r="51" spans="1:100" x14ac:dyDescent="0.25">
      <c r="T51" s="171" t="s">
        <v>219</v>
      </c>
      <c r="V51" s="294"/>
      <c r="AK51" s="241" t="s">
        <v>240</v>
      </c>
      <c r="AR51" s="171" t="s">
        <v>219</v>
      </c>
      <c r="AU51" s="174"/>
      <c r="AV51" s="177"/>
      <c r="AW51" s="177"/>
      <c r="AX51" s="177"/>
      <c r="AY51" s="177"/>
      <c r="AZ51" s="177"/>
      <c r="BA51" s="177"/>
      <c r="BB51" s="177"/>
      <c r="BC51" s="177"/>
      <c r="BD51" s="177"/>
      <c r="BE51" s="177"/>
      <c r="BF51" s="177"/>
      <c r="BG51" s="177"/>
      <c r="BH51" s="177"/>
      <c r="BI51" s="177"/>
      <c r="BJ51" s="177"/>
      <c r="BK51" s="177"/>
      <c r="BL51" s="177"/>
      <c r="BM51" s="177"/>
      <c r="BN51" s="177"/>
      <c r="BO51" s="176"/>
      <c r="CB51" s="174"/>
      <c r="CC51" s="390"/>
      <c r="CD51" s="391" t="s">
        <v>120</v>
      </c>
      <c r="CE51" s="392"/>
      <c r="CF51" s="393"/>
      <c r="CG51" s="393"/>
      <c r="CH51" s="394"/>
      <c r="CI51" s="177"/>
      <c r="CJ51" s="347" t="s">
        <v>245</v>
      </c>
      <c r="CK51" s="320" t="s">
        <v>36</v>
      </c>
      <c r="CL51" s="240"/>
      <c r="CM51" s="216"/>
      <c r="CN51" s="216"/>
      <c r="CO51" s="217"/>
      <c r="CP51" s="177">
        <f>35*10^(-3)</f>
        <v>3.5000000000000003E-2</v>
      </c>
      <c r="CQ51" s="177" t="e">
        <f>CP51*#REF!</f>
        <v>#REF!</v>
      </c>
      <c r="CR51" s="177"/>
      <c r="CS51" s="177"/>
      <c r="CT51" s="177"/>
      <c r="CU51" s="177"/>
      <c r="CV51" s="176"/>
    </row>
    <row r="52" spans="1:100" x14ac:dyDescent="0.25">
      <c r="S52" s="195" t="s">
        <v>120</v>
      </c>
      <c r="T52" s="191">
        <f>C32</f>
        <v>2.8716777039693043E-2</v>
      </c>
      <c r="U52" s="171" t="s">
        <v>61</v>
      </c>
      <c r="V52" s="294"/>
      <c r="AQ52" s="319"/>
      <c r="AR52" s="186"/>
      <c r="AS52" s="171" t="s">
        <v>61</v>
      </c>
      <c r="AU52" s="174"/>
      <c r="AV52" s="231"/>
      <c r="AW52" s="239" t="s">
        <v>120</v>
      </c>
      <c r="AX52" s="240"/>
      <c r="AY52" s="216"/>
      <c r="AZ52" s="216"/>
      <c r="BA52" s="217"/>
      <c r="BB52" s="177"/>
      <c r="BC52" s="347" t="s">
        <v>245</v>
      </c>
      <c r="BD52" s="320" t="s">
        <v>36</v>
      </c>
      <c r="BE52" s="240"/>
      <c r="BF52" s="216"/>
      <c r="BG52" s="216"/>
      <c r="BH52" s="217"/>
      <c r="BI52" s="177">
        <f>35*10^(-3)</f>
        <v>3.5000000000000003E-2</v>
      </c>
      <c r="BJ52" s="177" t="e">
        <f>BI52*#REF!</f>
        <v>#REF!</v>
      </c>
      <c r="BK52" s="177"/>
      <c r="BL52" s="177"/>
      <c r="BM52" s="177"/>
      <c r="BN52" s="177"/>
      <c r="BO52" s="176"/>
      <c r="CB52" s="174"/>
      <c r="CC52" s="385"/>
      <c r="CD52" s="395" t="s">
        <v>204</v>
      </c>
      <c r="CE52" s="396"/>
      <c r="CF52" s="397"/>
      <c r="CG52" s="398"/>
      <c r="CH52" s="399"/>
      <c r="CI52" s="177"/>
      <c r="CJ52" s="426" t="s">
        <v>204</v>
      </c>
      <c r="CK52" s="426"/>
      <c r="CL52" s="427"/>
      <c r="CM52" s="234"/>
      <c r="CN52" s="215"/>
      <c r="CO52" s="218"/>
      <c r="CP52" s="177" t="e">
        <f>(CP51^2 *#REF!/#REF!^2)</f>
        <v>#REF!</v>
      </c>
      <c r="CQ52" s="177"/>
      <c r="CR52" s="177"/>
      <c r="CS52" s="177"/>
      <c r="CT52" s="177"/>
      <c r="CU52" s="177"/>
      <c r="CV52" s="176"/>
    </row>
    <row r="53" spans="1:100" x14ac:dyDescent="0.25">
      <c r="S53" s="196" t="s">
        <v>36</v>
      </c>
      <c r="T53" s="192">
        <f>D32</f>
        <v>2.6314465296890049E-2</v>
      </c>
      <c r="U53" s="171" t="s">
        <v>61</v>
      </c>
      <c r="V53" s="294"/>
      <c r="AQ53" s="196" t="s">
        <v>36</v>
      </c>
      <c r="AR53" s="192">
        <f>AF37</f>
        <v>3.5884711011831306E-2</v>
      </c>
      <c r="AS53" s="171" t="s">
        <v>61</v>
      </c>
      <c r="AU53" s="174"/>
      <c r="AV53" s="369"/>
      <c r="AW53" s="249" t="s">
        <v>204</v>
      </c>
      <c r="AX53" s="250"/>
      <c r="AY53" s="234"/>
      <c r="AZ53" s="215"/>
      <c r="BA53" s="218"/>
      <c r="BB53" s="177"/>
      <c r="BC53" s="426" t="s">
        <v>204</v>
      </c>
      <c r="BD53" s="426"/>
      <c r="BE53" s="427"/>
      <c r="BF53" s="234"/>
      <c r="BG53" s="215"/>
      <c r="BH53" s="218"/>
      <c r="BI53" s="177" t="e">
        <f>(BI52^2 *#REF!/#REF!^2)</f>
        <v>#REF!</v>
      </c>
      <c r="BJ53" s="177"/>
      <c r="BK53" s="177"/>
      <c r="BL53" s="177"/>
      <c r="BM53" s="177"/>
      <c r="BN53" s="177"/>
      <c r="BO53" s="176"/>
      <c r="CB53" s="174"/>
      <c r="CC53" s="400" t="s">
        <v>220</v>
      </c>
      <c r="CD53" s="401" t="s">
        <v>221</v>
      </c>
      <c r="CE53" s="402" t="s">
        <v>242</v>
      </c>
      <c r="CF53" s="403"/>
      <c r="CG53" s="404" t="s">
        <v>239</v>
      </c>
      <c r="CH53" s="399"/>
      <c r="CI53" s="177"/>
      <c r="CJ53" s="374" t="s">
        <v>220</v>
      </c>
      <c r="CK53" s="238" t="s">
        <v>221</v>
      </c>
      <c r="CL53" s="242" t="s">
        <v>242</v>
      </c>
      <c r="CM53" s="235"/>
      <c r="CN53" s="237" t="s">
        <v>239</v>
      </c>
      <c r="CO53" s="218"/>
      <c r="CP53" s="177"/>
      <c r="CQ53" s="177"/>
      <c r="CR53" s="177"/>
      <c r="CS53" s="177"/>
      <c r="CT53" s="177"/>
      <c r="CU53" s="177"/>
      <c r="CV53" s="176"/>
    </row>
    <row r="54" spans="1:100" x14ac:dyDescent="0.25">
      <c r="G54" s="162" t="s">
        <v>206</v>
      </c>
      <c r="H54" s="162" t="s">
        <v>207</v>
      </c>
      <c r="I54" s="200" t="s">
        <v>234</v>
      </c>
      <c r="O54" s="241" t="s">
        <v>240</v>
      </c>
      <c r="Q54" s="241" t="s">
        <v>241</v>
      </c>
      <c r="V54" s="294"/>
      <c r="AE54" s="162" t="s">
        <v>206</v>
      </c>
      <c r="AF54" s="162" t="s">
        <v>207</v>
      </c>
      <c r="AG54" s="200" t="s">
        <v>234</v>
      </c>
      <c r="AM54" s="241" t="s">
        <v>240</v>
      </c>
      <c r="AO54" s="241" t="s">
        <v>241</v>
      </c>
      <c r="AU54" s="174"/>
      <c r="AV54" s="244" t="s">
        <v>220</v>
      </c>
      <c r="AW54" s="238" t="s">
        <v>221</v>
      </c>
      <c r="AX54" s="242" t="s">
        <v>242</v>
      </c>
      <c r="AY54" s="235"/>
      <c r="AZ54" s="237" t="s">
        <v>239</v>
      </c>
      <c r="BA54" s="218"/>
      <c r="BB54" s="177"/>
      <c r="BC54" s="244" t="s">
        <v>220</v>
      </c>
      <c r="BD54" s="238" t="s">
        <v>221</v>
      </c>
      <c r="BE54" s="242" t="s">
        <v>242</v>
      </c>
      <c r="BF54" s="235"/>
      <c r="BG54" s="237" t="s">
        <v>239</v>
      </c>
      <c r="BH54" s="218"/>
      <c r="BI54" s="177"/>
      <c r="BJ54" s="177"/>
      <c r="BK54" s="177"/>
      <c r="BL54" s="177"/>
      <c r="BM54" s="177"/>
      <c r="BN54" s="177"/>
      <c r="BO54" s="176"/>
      <c r="CB54" s="174"/>
      <c r="CC54" s="405">
        <v>1</v>
      </c>
      <c r="CD54" s="406">
        <f>CC45</f>
        <v>0</v>
      </c>
      <c r="CE54" s="407">
        <f>100*(CD54/$BH$12^2)</f>
        <v>0</v>
      </c>
      <c r="CF54" s="408"/>
      <c r="CG54" s="409"/>
      <c r="CH54" s="410"/>
      <c r="CI54" s="177"/>
      <c r="CJ54" s="371">
        <v>1</v>
      </c>
      <c r="CK54" s="373">
        <f>CC46</f>
        <v>1.8565903761869982E-6</v>
      </c>
      <c r="CL54" s="232">
        <f>100*(CK54/$CK$62)</f>
        <v>0.20367685268032429</v>
      </c>
      <c r="CM54" s="236"/>
      <c r="CN54" s="219"/>
      <c r="CO54" s="220"/>
      <c r="CP54" s="177" t="e">
        <f>100*CP52/CU45^2</f>
        <v>#REF!</v>
      </c>
      <c r="CQ54" s="177"/>
      <c r="CR54" s="177"/>
      <c r="CS54" s="177"/>
      <c r="CT54" s="177"/>
      <c r="CU54" s="177"/>
      <c r="CV54" s="176"/>
    </row>
    <row r="55" spans="1:100" x14ac:dyDescent="0.25">
      <c r="A55" s="252" t="s">
        <v>111</v>
      </c>
      <c r="B55" s="162">
        <v>1</v>
      </c>
      <c r="D55" s="162">
        <v>2</v>
      </c>
      <c r="G55" s="171" t="s">
        <v>211</v>
      </c>
      <c r="H55" s="171" t="s">
        <v>212</v>
      </c>
      <c r="I55" s="171" t="s">
        <v>213</v>
      </c>
      <c r="J55" s="171"/>
      <c r="K55" s="171" t="s">
        <v>216</v>
      </c>
      <c r="M55" s="162">
        <v>4</v>
      </c>
      <c r="O55" s="162">
        <v>5</v>
      </c>
      <c r="Q55" s="162">
        <v>6</v>
      </c>
      <c r="T55" s="171" t="s">
        <v>218</v>
      </c>
      <c r="V55" s="294"/>
      <c r="Y55" s="252" t="s">
        <v>112</v>
      </c>
      <c r="Z55" s="162">
        <v>1</v>
      </c>
      <c r="AB55" s="162">
        <v>2</v>
      </c>
      <c r="AE55" s="171" t="s">
        <v>211</v>
      </c>
      <c r="AF55" s="171" t="s">
        <v>212</v>
      </c>
      <c r="AG55" s="171" t="s">
        <v>213</v>
      </c>
      <c r="AH55" s="171"/>
      <c r="AI55" s="171" t="s">
        <v>216</v>
      </c>
      <c r="AM55" s="162">
        <v>5</v>
      </c>
      <c r="AO55" s="162">
        <v>6</v>
      </c>
      <c r="AR55" s="171" t="s">
        <v>218</v>
      </c>
      <c r="AU55" s="174"/>
      <c r="AV55" s="245">
        <v>1</v>
      </c>
      <c r="AW55" s="318">
        <f>AV46</f>
        <v>1.8477626186997812E-6</v>
      </c>
      <c r="AX55" s="366">
        <f>100*AW55/$AW$64</f>
        <v>0.14426744369279748</v>
      </c>
      <c r="AY55" s="236"/>
      <c r="AZ55" s="219"/>
      <c r="BA55" s="220"/>
      <c r="BB55" s="177"/>
      <c r="BC55" s="245">
        <v>1</v>
      </c>
      <c r="BD55" s="318">
        <f>AV47</f>
        <v>1.8337218951470735E-6</v>
      </c>
      <c r="BE55" s="232">
        <f>100*(BD55/$BD$64)</f>
        <v>0.14527390287416639</v>
      </c>
      <c r="BF55" s="236"/>
      <c r="BG55" s="219"/>
      <c r="BH55" s="220"/>
      <c r="BI55" s="177" t="e">
        <f>100*BI53/BN46^2</f>
        <v>#REF!</v>
      </c>
      <c r="BJ55" s="177"/>
      <c r="BK55" s="177"/>
      <c r="BL55" s="177"/>
      <c r="BM55" s="177"/>
      <c r="BN55" s="177"/>
      <c r="BO55" s="176"/>
      <c r="CB55" s="174"/>
      <c r="CC55" s="405">
        <v>2</v>
      </c>
      <c r="CD55" s="406">
        <f>CE45</f>
        <v>0</v>
      </c>
      <c r="CE55" s="407">
        <f t="shared" ref="CE55:CE61" si="18">100*(CD55/$BH$12^2)</f>
        <v>0</v>
      </c>
      <c r="CF55" s="411" t="s">
        <v>220</v>
      </c>
      <c r="CG55" s="411" t="s">
        <v>221</v>
      </c>
      <c r="CH55" s="411" t="s">
        <v>224</v>
      </c>
      <c r="CI55" s="177"/>
      <c r="CJ55" s="371">
        <v>2</v>
      </c>
      <c r="CK55" s="373">
        <f>CE46</f>
        <v>1.9007450401658769E-5</v>
      </c>
      <c r="CL55" s="232">
        <f t="shared" ref="CL55:CL61" si="19">100*(CK55/$CK$62)</f>
        <v>2.0852083070893253</v>
      </c>
      <c r="CM55" s="233" t="s">
        <v>220</v>
      </c>
      <c r="CN55" s="233" t="s">
        <v>221</v>
      </c>
      <c r="CO55" s="233" t="s">
        <v>224</v>
      </c>
      <c r="CP55" s="177"/>
      <c r="CQ55" s="177"/>
      <c r="CR55" s="177"/>
      <c r="CS55" s="177"/>
      <c r="CT55" s="177"/>
      <c r="CU55" s="177"/>
      <c r="CV55" s="176"/>
    </row>
    <row r="56" spans="1:100" x14ac:dyDescent="0.25">
      <c r="A56" s="191" t="s">
        <v>120</v>
      </c>
      <c r="B56" s="162">
        <f>(C41*C27*C28/C26)^2</f>
        <v>1.8477626186997812E-6</v>
      </c>
      <c r="D56" s="162">
        <f>(C41*C38/C26)^2</f>
        <v>4.6749452154857566E-6</v>
      </c>
      <c r="G56" s="162">
        <f>(C41*$H$59*I8/(100*$C$26))^2</f>
        <v>6.0975405044918924E-6</v>
      </c>
      <c r="H56" s="162">
        <f>(C41*$H$59*J8/(100*$C$26))^2</f>
        <v>2.134986383865474E-5</v>
      </c>
      <c r="I56" s="162">
        <f>(C41*$H$59*K8/(100*$C$26))^2</f>
        <v>7.6971992150778315E-5</v>
      </c>
      <c r="K56" s="162">
        <f>SUM(G56:I56)</f>
        <v>1.0441939649392495E-4</v>
      </c>
      <c r="M56" s="162">
        <f>(C41*C32*0.05)^2</f>
        <v>2.061633208868604E-6</v>
      </c>
      <c r="O56" s="162">
        <f>((C41*N49)^2 *C34/C26^2)</f>
        <v>4.7721625923813015E-8</v>
      </c>
      <c r="Q56" s="162">
        <f>((C41*N48)^2 *C34/C26^2)</f>
        <v>7.2171594761322151E-7</v>
      </c>
      <c r="T56" s="191">
        <f>SQRT(SUM(B56,D56,K56,M56, O56, Q56))</f>
        <v>1.0666450914456792E-2</v>
      </c>
      <c r="U56" s="171" t="s">
        <v>61</v>
      </c>
      <c r="V56" s="294"/>
      <c r="Y56" s="192" t="s">
        <v>36</v>
      </c>
      <c r="Z56" s="162">
        <f>(C41*AF31*AF32/AF30)^2</f>
        <v>1.8565903761869982E-6</v>
      </c>
      <c r="AB56" s="162">
        <f>(C41*AF33*U12/AF30)^2</f>
        <v>1.9007450401658769E-5</v>
      </c>
      <c r="AE56" s="162">
        <f>(C41*I30*AF59/(100*AF30))^2</f>
        <v>7.8629480351973295E-6</v>
      </c>
      <c r="AF56" s="162">
        <f>(C41*J30*AF59/(100*AF30))^2</f>
        <v>2.3303742817087002E-5</v>
      </c>
      <c r="AG56" s="162">
        <f>(C41*K30*AF59/(100*AF30))^2</f>
        <v>6.562408875922971E-5</v>
      </c>
      <c r="AI56" s="162">
        <f>SUM(AE56:AG56)</f>
        <v>9.6790779611514045E-5</v>
      </c>
      <c r="AM56" s="162">
        <f>((AL49*C41)^2*U12/AF30^2)</f>
        <v>7.6305111168978189E-8</v>
      </c>
      <c r="AO56" s="162">
        <f>((AL48*C41)^2*U12/AF30^2)</f>
        <v>6.7757861718102759E-7</v>
      </c>
      <c r="AR56" s="192">
        <f>SQRT(SUM(Z56,AB56,AI56,AK58,AM56,AO56))</f>
        <v>1.1028507846881029E-2</v>
      </c>
      <c r="AS56" s="171" t="s">
        <v>61</v>
      </c>
      <c r="AU56" s="174"/>
      <c r="AV56" s="245">
        <v>2</v>
      </c>
      <c r="AW56" s="318">
        <f>AX46</f>
        <v>4.6749452154857566E-6</v>
      </c>
      <c r="AX56" s="366">
        <f t="shared" ref="AX56:AX63" si="20">100*AW56/$AW$64</f>
        <v>0.36500489230407235</v>
      </c>
      <c r="AY56" s="233" t="s">
        <v>220</v>
      </c>
      <c r="AZ56" s="233" t="s">
        <v>221</v>
      </c>
      <c r="BA56" s="233" t="s">
        <v>224</v>
      </c>
      <c r="BB56" s="177"/>
      <c r="BC56" s="245">
        <v>2</v>
      </c>
      <c r="BD56" s="318">
        <f>AX47</f>
        <v>2.5972659879577762E-6</v>
      </c>
      <c r="BE56" s="232">
        <f t="shared" ref="BE56:BE62" si="21">100*(BD56/$BD$64)</f>
        <v>0.20576455343174668</v>
      </c>
      <c r="BF56" s="233" t="s">
        <v>220</v>
      </c>
      <c r="BG56" s="233" t="s">
        <v>221</v>
      </c>
      <c r="BH56" s="233" t="s">
        <v>224</v>
      </c>
      <c r="BI56" s="177"/>
      <c r="BJ56" s="177"/>
      <c r="BK56" s="177"/>
      <c r="BL56" s="177"/>
      <c r="BM56" s="177"/>
      <c r="BN56" s="177"/>
      <c r="BO56" s="176"/>
      <c r="CB56" s="174"/>
      <c r="CC56" s="412" t="s">
        <v>236</v>
      </c>
      <c r="CD56" s="406">
        <f>CH45</f>
        <v>0</v>
      </c>
      <c r="CE56" s="407">
        <f t="shared" si="18"/>
        <v>0</v>
      </c>
      <c r="CF56" s="400" t="s">
        <v>222</v>
      </c>
      <c r="CG56" s="439">
        <f>CL45</f>
        <v>0</v>
      </c>
      <c r="CH56" s="440" t="e">
        <f>100*(CG56/CU45^2)</f>
        <v>#DIV/0!</v>
      </c>
      <c r="CI56" s="177"/>
      <c r="CJ56" s="225" t="s">
        <v>236</v>
      </c>
      <c r="CK56" s="373">
        <f>CH46</f>
        <v>5.5096302244352317E-5</v>
      </c>
      <c r="CL56" s="232">
        <f t="shared" si="19"/>
        <v>6.0443281293424578</v>
      </c>
      <c r="CM56" s="423" t="s">
        <v>222</v>
      </c>
      <c r="CN56" s="424">
        <f>CL46</f>
        <v>9.0724875541940535E-4</v>
      </c>
      <c r="CO56" s="425">
        <f>100*CN56/CK62</f>
        <v>99.52953191617425</v>
      </c>
      <c r="CP56" s="177"/>
      <c r="CQ56" s="177"/>
      <c r="CR56" s="177"/>
      <c r="CS56" s="177"/>
      <c r="CT56" s="177"/>
      <c r="CU56" s="177"/>
      <c r="CV56" s="176"/>
    </row>
    <row r="57" spans="1:100" x14ac:dyDescent="0.25">
      <c r="A57" s="192" t="s">
        <v>36</v>
      </c>
      <c r="B57" s="162">
        <f>(C41*D27*D28/D26)^2</f>
        <v>1.8337218951470735E-6</v>
      </c>
      <c r="D57" s="162">
        <f>(C41*D38/D26)^2</f>
        <v>2.5972659879577762E-6</v>
      </c>
      <c r="G57" s="162">
        <f>(C41*$H$59*I8/(100*$D$26))^2</f>
        <v>6.02243428224403E-6</v>
      </c>
      <c r="H57" s="162">
        <f>(C41*$H$59*J8/(100*$D$26))^2</f>
        <v>2.1086887706352488E-5</v>
      </c>
      <c r="I57" s="162">
        <f>(C41*$H$59*K8/(100*$D$26))^2</f>
        <v>7.6023892577667106E-5</v>
      </c>
      <c r="K57" s="162">
        <f>SUM(G57:I57)</f>
        <v>1.0313321456626362E-4</v>
      </c>
      <c r="M57" s="162">
        <f>(C41*C32*0.05)^2</f>
        <v>2.061633208868604E-6</v>
      </c>
      <c r="O57" s="162">
        <f>(N49^2 *C34/D26^2)</f>
        <v>4.7133816619385621E-8</v>
      </c>
      <c r="Q57" s="162">
        <f>(N48^2 *C34/D26^2)</f>
        <v>7.128262389968812E-7</v>
      </c>
      <c r="T57" s="192">
        <f>SQRT(SUM(B57,D57,K57,M57))</f>
        <v>1.047023570213379E-2</v>
      </c>
      <c r="U57" s="171" t="s">
        <v>61</v>
      </c>
      <c r="V57" s="294"/>
      <c r="AK57" s="162">
        <v>4</v>
      </c>
      <c r="AS57" s="171"/>
      <c r="AU57" s="174"/>
      <c r="AV57" s="225" t="s">
        <v>236</v>
      </c>
      <c r="AW57" s="318">
        <f>BA46</f>
        <v>1.2507423318124775E-3</v>
      </c>
      <c r="AX57" s="366">
        <f t="shared" si="20"/>
        <v>97.653993593574469</v>
      </c>
      <c r="AY57" s="244" t="s">
        <v>222</v>
      </c>
      <c r="AZ57" s="424">
        <f>BE46</f>
        <v>1.2672793782918061E-3</v>
      </c>
      <c r="BA57" s="425">
        <f>100*(AZ57/BN46^2)</f>
        <v>98.945153722942422</v>
      </c>
      <c r="BB57" s="177"/>
      <c r="BC57" s="225" t="s">
        <v>236</v>
      </c>
      <c r="BD57" s="318">
        <f>BA47</f>
        <v>1.2353363609167178E-3</v>
      </c>
      <c r="BE57" s="232">
        <f t="shared" si="21"/>
        <v>97.867694652982067</v>
      </c>
      <c r="BF57" s="423" t="s">
        <v>222</v>
      </c>
      <c r="BG57" s="424">
        <f>BE47</f>
        <v>1.251669712957726E-3</v>
      </c>
      <c r="BH57" s="425">
        <f>100*BG57/BD64</f>
        <v>99.16168029185927</v>
      </c>
      <c r="BI57" s="177"/>
      <c r="BJ57" s="177"/>
      <c r="BK57" s="177"/>
      <c r="BL57" s="177"/>
      <c r="BM57" s="177"/>
      <c r="BN57" s="177"/>
      <c r="BO57" s="176"/>
      <c r="CB57" s="174"/>
      <c r="CC57" s="412" t="s">
        <v>237</v>
      </c>
      <c r="CD57" s="406">
        <f>CI45</f>
        <v>0</v>
      </c>
      <c r="CE57" s="407">
        <f t="shared" si="18"/>
        <v>0</v>
      </c>
      <c r="CF57" s="405"/>
      <c r="CG57" s="439"/>
      <c r="CH57" s="440"/>
      <c r="CI57" s="177"/>
      <c r="CJ57" s="225" t="s">
        <v>237</v>
      </c>
      <c r="CK57" s="373">
        <f>CI46</f>
        <v>8.0861593185985387E-4</v>
      </c>
      <c r="CL57" s="232">
        <f t="shared" si="19"/>
        <v>88.709038967782618</v>
      </c>
      <c r="CM57" s="424"/>
      <c r="CN57" s="424"/>
      <c r="CO57" s="425"/>
      <c r="CP57" s="177"/>
      <c r="CQ57" s="177"/>
      <c r="CR57" s="177"/>
      <c r="CS57" s="177"/>
      <c r="CT57" s="177"/>
      <c r="CU57" s="177"/>
      <c r="CV57" s="176"/>
    </row>
    <row r="58" spans="1:100" x14ac:dyDescent="0.25">
      <c r="V58" s="294"/>
      <c r="AK58" s="162">
        <f>(C41*AF37*0.05)^2</f>
        <v>3.2192812110066174E-6</v>
      </c>
      <c r="AU58" s="174"/>
      <c r="AV58" s="225" t="s">
        <v>237</v>
      </c>
      <c r="AW58" s="318">
        <f>BB46</f>
        <v>9.1599545403838671E-6</v>
      </c>
      <c r="AX58" s="366">
        <f t="shared" si="20"/>
        <v>0.71518019279625045</v>
      </c>
      <c r="AY58" s="245"/>
      <c r="AZ58" s="424"/>
      <c r="BA58" s="425"/>
      <c r="BB58" s="177"/>
      <c r="BC58" s="225" t="s">
        <v>237</v>
      </c>
      <c r="BD58" s="318">
        <f>BB47</f>
        <v>9.0471271502281837E-6</v>
      </c>
      <c r="BE58" s="232">
        <f t="shared" si="21"/>
        <v>0.71674525695024682</v>
      </c>
      <c r="BF58" s="424"/>
      <c r="BG58" s="424"/>
      <c r="BH58" s="425"/>
      <c r="BI58" s="177"/>
      <c r="BJ58" s="177"/>
      <c r="BK58" s="177"/>
      <c r="BL58" s="177"/>
      <c r="BM58" s="177"/>
      <c r="BN58" s="177"/>
      <c r="BO58" s="176"/>
      <c r="CB58" s="174"/>
      <c r="CC58" s="412" t="s">
        <v>238</v>
      </c>
      <c r="CD58" s="406">
        <f>CJ45</f>
        <v>0</v>
      </c>
      <c r="CE58" s="407">
        <f t="shared" si="18"/>
        <v>0</v>
      </c>
      <c r="CF58" s="405"/>
      <c r="CG58" s="439"/>
      <c r="CH58" s="440"/>
      <c r="CI58" s="177"/>
      <c r="CJ58" s="370" t="s">
        <v>269</v>
      </c>
      <c r="CK58" s="373">
        <f>CJ46</f>
        <v>2.2987807418444142E-5</v>
      </c>
      <c r="CL58" s="232">
        <f t="shared" si="19"/>
        <v>2.5218725277602796</v>
      </c>
      <c r="CM58" s="424"/>
      <c r="CN58" s="424"/>
      <c r="CO58" s="425"/>
      <c r="CP58" s="177"/>
      <c r="CQ58" s="177">
        <v>4</v>
      </c>
      <c r="CR58" s="177"/>
      <c r="CS58" s="177"/>
      <c r="CT58" s="177"/>
      <c r="CU58" s="177"/>
      <c r="CV58" s="176"/>
    </row>
    <row r="59" spans="1:100" x14ac:dyDescent="0.25">
      <c r="G59" s="171" t="s">
        <v>223</v>
      </c>
      <c r="H59" s="162">
        <f>Q5</f>
        <v>58.694134076552928</v>
      </c>
      <c r="I59" s="171" t="s">
        <v>39</v>
      </c>
      <c r="V59" s="294"/>
      <c r="AE59" s="171" t="s">
        <v>223</v>
      </c>
      <c r="AF59" s="162">
        <f>Q26</f>
        <v>58.209730273039142</v>
      </c>
      <c r="AG59" s="171" t="s">
        <v>39</v>
      </c>
      <c r="AR59" s="162">
        <v>3.0892400130823276E-2</v>
      </c>
      <c r="AS59" s="162">
        <v>1.0700916387698127E-2</v>
      </c>
      <c r="AU59" s="174"/>
      <c r="AV59" s="367" t="s">
        <v>277</v>
      </c>
      <c r="AW59" s="318">
        <f>BC46</f>
        <v>3.8534462849821398E-6</v>
      </c>
      <c r="AX59" s="366">
        <f t="shared" si="20"/>
        <v>0.30086486181491789</v>
      </c>
      <c r="AY59" s="245"/>
      <c r="AZ59" s="424"/>
      <c r="BA59" s="425"/>
      <c r="BB59" s="177"/>
      <c r="BC59" s="367" t="s">
        <v>277</v>
      </c>
      <c r="BD59" s="318">
        <f>BC47</f>
        <v>3.8059816075623078E-6</v>
      </c>
      <c r="BE59" s="232">
        <f t="shared" si="21"/>
        <v>0.30152325925820078</v>
      </c>
      <c r="BF59" s="424"/>
      <c r="BG59" s="424"/>
      <c r="BH59" s="425"/>
      <c r="BI59" s="177"/>
      <c r="BJ59" s="177"/>
      <c r="BK59" s="177"/>
      <c r="BL59" s="177"/>
      <c r="BM59" s="177"/>
      <c r="BN59" s="177"/>
      <c r="BO59" s="176"/>
      <c r="CB59" s="174"/>
      <c r="CC59" s="405">
        <v>4</v>
      </c>
      <c r="CD59" s="406">
        <f>CN45</f>
        <v>0</v>
      </c>
      <c r="CE59" s="407">
        <f t="shared" si="18"/>
        <v>0</v>
      </c>
      <c r="CF59" s="405"/>
      <c r="CG59" s="439"/>
      <c r="CH59" s="440"/>
      <c r="CI59" s="177"/>
      <c r="CJ59" s="371">
        <v>4</v>
      </c>
      <c r="CK59" s="373">
        <f>CN46</f>
        <v>3.2192812110066174E-6</v>
      </c>
      <c r="CL59" s="232">
        <f t="shared" si="19"/>
        <v>0.35317056113226808</v>
      </c>
      <c r="CM59" s="424"/>
      <c r="CN59" s="424"/>
      <c r="CO59" s="425"/>
      <c r="CP59" s="177"/>
      <c r="CQ59" s="177"/>
      <c r="CR59" s="177"/>
      <c r="CS59" s="177">
        <v>4.4650867254515999E-3</v>
      </c>
      <c r="CT59" s="177"/>
      <c r="CU59" s="177"/>
      <c r="CV59" s="176"/>
    </row>
    <row r="60" spans="1:100" x14ac:dyDescent="0.25">
      <c r="K60" s="162">
        <f>SQRT(K56)</f>
        <v>1.0218580943258459E-2</v>
      </c>
      <c r="V60" s="294"/>
      <c r="AI60" s="162">
        <f>SQRT(AI56)</f>
        <v>9.8382305122168209E-3</v>
      </c>
      <c r="AU60" s="174"/>
      <c r="AV60" s="368" t="s">
        <v>278</v>
      </c>
      <c r="AW60" s="369">
        <f>BD46</f>
        <v>3.5236456539627566E-6</v>
      </c>
      <c r="AX60" s="366">
        <f t="shared" si="20"/>
        <v>0.27511507475681718</v>
      </c>
      <c r="AY60" s="245"/>
      <c r="AZ60" s="424"/>
      <c r="BA60" s="425"/>
      <c r="BB60" s="177"/>
      <c r="BC60" s="368" t="s">
        <v>278</v>
      </c>
      <c r="BD60" s="369">
        <f>BD46</f>
        <v>3.5236456539627566E-6</v>
      </c>
      <c r="BE60" s="232">
        <f t="shared" si="21"/>
        <v>0.27915561124698662</v>
      </c>
      <c r="BF60" s="424"/>
      <c r="BG60" s="424"/>
      <c r="BH60" s="425"/>
      <c r="BI60" s="177"/>
      <c r="BJ60" s="177"/>
      <c r="BK60" s="177"/>
      <c r="BL60" s="177">
        <v>4.4650867254515999E-3</v>
      </c>
      <c r="BM60" s="177"/>
      <c r="BN60" s="177"/>
      <c r="BO60" s="176"/>
      <c r="CB60" s="174"/>
      <c r="CC60" s="405">
        <v>5</v>
      </c>
      <c r="CD60" s="406">
        <f>CP45</f>
        <v>0</v>
      </c>
      <c r="CE60" s="407">
        <f t="shared" si="18"/>
        <v>0</v>
      </c>
      <c r="CF60" s="405"/>
      <c r="CG60" s="405"/>
      <c r="CH60" s="413"/>
      <c r="CI60" s="177"/>
      <c r="CJ60" s="371">
        <v>5</v>
      </c>
      <c r="CK60" s="373">
        <f>CP46</f>
        <v>7.6305111168978189E-8</v>
      </c>
      <c r="CL60" s="232">
        <f t="shared" si="19"/>
        <v>8.3710360053888214E-3</v>
      </c>
      <c r="CM60" s="371"/>
      <c r="CN60" s="371"/>
      <c r="CO60" s="372"/>
      <c r="CP60" s="177"/>
      <c r="CQ60" s="177"/>
      <c r="CR60" s="177"/>
      <c r="CS60" s="177"/>
      <c r="CT60" s="177"/>
      <c r="CU60" s="177"/>
      <c r="CV60" s="176"/>
    </row>
    <row r="61" spans="1:100" x14ac:dyDescent="0.25">
      <c r="V61" s="294"/>
      <c r="AU61" s="174"/>
      <c r="AV61" s="245">
        <v>4</v>
      </c>
      <c r="AW61" s="318">
        <f>BG46</f>
        <v>4.2105668196726593E-6</v>
      </c>
      <c r="AX61" s="366">
        <f t="shared" si="20"/>
        <v>0.32874770028594402</v>
      </c>
      <c r="AY61" s="245"/>
      <c r="AZ61" s="245"/>
      <c r="BA61" s="246"/>
      <c r="BB61" s="177"/>
      <c r="BC61" s="245">
        <v>4</v>
      </c>
      <c r="BD61" s="318">
        <f>BG47</f>
        <v>3.717356227800438E-6</v>
      </c>
      <c r="BE61" s="232">
        <f t="shared" si="21"/>
        <v>0.29450204472954983</v>
      </c>
      <c r="BF61" s="245"/>
      <c r="BG61" s="245"/>
      <c r="BH61" s="246"/>
      <c r="BI61" s="177"/>
      <c r="BJ61" s="177"/>
      <c r="BK61" s="177"/>
      <c r="BL61" s="177"/>
      <c r="BM61" s="177"/>
      <c r="BN61" s="177"/>
      <c r="BO61" s="176"/>
      <c r="CB61" s="174"/>
      <c r="CC61" s="405">
        <v>6</v>
      </c>
      <c r="CD61" s="406">
        <f>CR45</f>
        <v>0</v>
      </c>
      <c r="CE61" s="407">
        <f t="shared" si="18"/>
        <v>0</v>
      </c>
      <c r="CF61" s="405"/>
      <c r="CG61" s="405"/>
      <c r="CH61" s="413"/>
      <c r="CI61" s="177"/>
      <c r="CJ61" s="371">
        <v>6</v>
      </c>
      <c r="CK61" s="373">
        <f>CR46</f>
        <v>6.7757861718102759E-7</v>
      </c>
      <c r="CL61" s="232">
        <f t="shared" si="19"/>
        <v>7.4333618207346436E-2</v>
      </c>
      <c r="CM61" s="371"/>
      <c r="CN61" s="371"/>
      <c r="CO61" s="372"/>
      <c r="CP61" s="177"/>
      <c r="CQ61" s="177"/>
      <c r="CR61" s="177"/>
      <c r="CS61" s="177"/>
      <c r="CT61" s="177"/>
      <c r="CU61" s="177"/>
      <c r="CV61" s="176"/>
    </row>
    <row r="62" spans="1:100" x14ac:dyDescent="0.25">
      <c r="B62" s="231"/>
      <c r="C62" s="239" t="s">
        <v>120</v>
      </c>
      <c r="D62" s="240"/>
      <c r="E62" s="216"/>
      <c r="F62" s="216"/>
      <c r="G62" s="217"/>
      <c r="I62" s="347" t="s">
        <v>245</v>
      </c>
      <c r="J62" s="320" t="s">
        <v>36</v>
      </c>
      <c r="K62" s="240"/>
      <c r="L62" s="216"/>
      <c r="M62" s="216"/>
      <c r="N62" s="217"/>
      <c r="O62" s="162">
        <f>35*10^(-3)</f>
        <v>3.5000000000000003E-2</v>
      </c>
      <c r="P62" s="162">
        <f>O62*C34</f>
        <v>282.29403779500007</v>
      </c>
      <c r="V62" s="294"/>
      <c r="AD62" s="231"/>
      <c r="AE62" s="320" t="s">
        <v>36</v>
      </c>
      <c r="AF62" s="240"/>
      <c r="AG62" s="216"/>
      <c r="AH62" s="216"/>
      <c r="AI62" s="217"/>
      <c r="AU62" s="174"/>
      <c r="AV62" s="245">
        <v>5</v>
      </c>
      <c r="AW62" s="318">
        <f>BI46</f>
        <v>4.7721625923813015E-8</v>
      </c>
      <c r="AX62" s="366">
        <f t="shared" si="20"/>
        <v>3.7259531669371002E-3</v>
      </c>
      <c r="AY62" s="245"/>
      <c r="AZ62" s="245"/>
      <c r="BA62" s="246"/>
      <c r="BB62" s="177"/>
      <c r="BC62" s="245">
        <v>5</v>
      </c>
      <c r="BD62" s="318">
        <f>BI47</f>
        <v>4.7133816619385621E-8</v>
      </c>
      <c r="BE62" s="232">
        <f t="shared" si="21"/>
        <v>3.7341068543571094E-3</v>
      </c>
      <c r="BF62" s="245"/>
      <c r="BG62" s="245"/>
      <c r="BH62" s="246"/>
      <c r="BI62" s="177"/>
      <c r="BJ62" s="177"/>
      <c r="BK62" s="177"/>
      <c r="BL62" s="177"/>
      <c r="BM62" s="177"/>
      <c r="BN62" s="177"/>
      <c r="BO62" s="176"/>
      <c r="CB62" s="174"/>
      <c r="CC62" s="414" t="s">
        <v>225</v>
      </c>
      <c r="CD62" s="415">
        <f>SUM(CD54:CD59)</f>
        <v>0</v>
      </c>
      <c r="CE62" s="413">
        <f>SUM(CE54:CE61)</f>
        <v>0</v>
      </c>
      <c r="CF62" s="416"/>
      <c r="CG62" s="416"/>
      <c r="CH62" s="417"/>
      <c r="CI62" s="177"/>
      <c r="CJ62" s="228" t="s">
        <v>225</v>
      </c>
      <c r="CK62" s="229">
        <f>SUM(CK54:CK61)</f>
        <v>9.1153724723985264E-4</v>
      </c>
      <c r="CL62" s="232">
        <f>SUM(CL54:CL61)</f>
        <v>100.00000000000001</v>
      </c>
      <c r="CM62" s="221"/>
      <c r="CN62" s="221"/>
      <c r="CO62" s="230"/>
      <c r="CP62" s="177"/>
      <c r="CQ62" s="177"/>
      <c r="CR62" s="177"/>
      <c r="CS62" s="177">
        <v>3.5026221826488402</v>
      </c>
      <c r="CT62" s="177"/>
      <c r="CU62" s="177"/>
      <c r="CV62" s="176"/>
    </row>
    <row r="63" spans="1:100" x14ac:dyDescent="0.25">
      <c r="B63" s="420" t="s">
        <v>204</v>
      </c>
      <c r="C63" s="421"/>
      <c r="D63" s="422"/>
      <c r="E63" s="234"/>
      <c r="F63" s="215"/>
      <c r="G63" s="218"/>
      <c r="I63" s="426" t="s">
        <v>204</v>
      </c>
      <c r="J63" s="426"/>
      <c r="K63" s="427"/>
      <c r="L63" s="234"/>
      <c r="M63" s="215"/>
      <c r="N63" s="218"/>
      <c r="O63" s="162">
        <f>(O62^2 *C34/C26^2)</f>
        <v>7.2171594761322151E-7</v>
      </c>
      <c r="V63" s="294"/>
      <c r="AD63" s="426" t="s">
        <v>204</v>
      </c>
      <c r="AE63" s="426"/>
      <c r="AF63" s="427"/>
      <c r="AG63" s="234"/>
      <c r="AH63" s="215"/>
      <c r="AI63" s="218"/>
      <c r="AU63" s="174"/>
      <c r="AV63" s="245">
        <v>6</v>
      </c>
      <c r="AW63" s="318">
        <f>BK46</f>
        <v>2.7293666221352114E-6</v>
      </c>
      <c r="AX63" s="366">
        <f t="shared" si="20"/>
        <v>0.21310028760781485</v>
      </c>
      <c r="AY63" s="221"/>
      <c r="AZ63" s="221"/>
      <c r="BA63" s="230"/>
      <c r="BB63" s="177"/>
      <c r="BC63" s="245">
        <v>6</v>
      </c>
      <c r="BD63" s="318">
        <f>BK47</f>
        <v>2.3428220828006211E-6</v>
      </c>
      <c r="BE63" s="232">
        <f t="shared" ref="BE63" si="22">100*(BD63/$BD$64)</f>
        <v>0.18560661167266687</v>
      </c>
      <c r="BF63" s="221"/>
      <c r="BG63" s="221"/>
      <c r="BH63" s="230"/>
      <c r="BI63" s="177"/>
      <c r="BJ63" s="365" t="s">
        <v>279</v>
      </c>
      <c r="BK63" s="177"/>
      <c r="BL63" s="177">
        <v>3.5026221826488402</v>
      </c>
      <c r="BM63" s="177"/>
      <c r="BN63" s="177"/>
      <c r="BO63" s="176"/>
      <c r="CB63" s="174"/>
      <c r="CC63" s="405"/>
      <c r="CD63" s="405"/>
      <c r="CE63" s="405"/>
      <c r="CF63" s="416"/>
      <c r="CG63" s="416"/>
      <c r="CH63" s="416"/>
      <c r="CI63" s="177"/>
      <c r="CJ63" s="371"/>
      <c r="CK63" s="371"/>
      <c r="CL63" s="371"/>
      <c r="CM63" s="221"/>
      <c r="CN63" s="221"/>
      <c r="CO63" s="221"/>
      <c r="CP63" s="177"/>
      <c r="CQ63" s="177"/>
      <c r="CR63" s="177"/>
      <c r="CS63" s="177"/>
      <c r="CT63" s="177"/>
      <c r="CU63" s="177"/>
      <c r="CV63" s="176"/>
    </row>
    <row r="64" spans="1:100" x14ac:dyDescent="0.25">
      <c r="B64" s="226" t="s">
        <v>220</v>
      </c>
      <c r="C64" s="238" t="s">
        <v>221</v>
      </c>
      <c r="D64" s="242" t="s">
        <v>242</v>
      </c>
      <c r="E64" s="235"/>
      <c r="F64" s="237" t="s">
        <v>239</v>
      </c>
      <c r="G64" s="218"/>
      <c r="I64" s="226" t="s">
        <v>220</v>
      </c>
      <c r="J64" s="238" t="s">
        <v>221</v>
      </c>
      <c r="K64" s="242" t="s">
        <v>242</v>
      </c>
      <c r="L64" s="235"/>
      <c r="M64" s="237" t="s">
        <v>239</v>
      </c>
      <c r="N64" s="218"/>
      <c r="V64" s="294"/>
      <c r="AD64" s="226" t="s">
        <v>220</v>
      </c>
      <c r="AE64" s="238" t="s">
        <v>221</v>
      </c>
      <c r="AF64" s="242" t="s">
        <v>242</v>
      </c>
      <c r="AG64" s="235"/>
      <c r="AH64" s="237" t="s">
        <v>239</v>
      </c>
      <c r="AI64" s="218"/>
      <c r="AU64" s="174"/>
      <c r="AV64" s="228" t="s">
        <v>225</v>
      </c>
      <c r="AW64" s="229">
        <f>SUM(AW55:AW63)</f>
        <v>1.2807897411937232E-3</v>
      </c>
      <c r="AX64" s="246">
        <f>SUM(AX55:AX63)</f>
        <v>100.00000000000001</v>
      </c>
      <c r="AY64" s="221"/>
      <c r="AZ64" s="221"/>
      <c r="BA64" s="221"/>
      <c r="BB64" s="177"/>
      <c r="BC64" s="228" t="s">
        <v>225</v>
      </c>
      <c r="BD64" s="229">
        <f>SUM(BD55:BD63)</f>
        <v>1.2622514153387964E-3</v>
      </c>
      <c r="BE64" s="232">
        <f>SUM(BE55:BE63)</f>
        <v>100</v>
      </c>
      <c r="BF64" s="221"/>
      <c r="BG64" s="221"/>
      <c r="BH64" s="221"/>
      <c r="BI64" s="177"/>
      <c r="BJ64" s="177"/>
      <c r="BK64" s="177"/>
      <c r="BL64" s="177"/>
      <c r="BM64" s="177"/>
      <c r="BN64" s="177"/>
      <c r="BO64" s="176"/>
      <c r="CB64" s="179"/>
      <c r="CC64" s="180"/>
      <c r="CD64" s="180"/>
      <c r="CE64" s="363"/>
      <c r="CF64" s="363"/>
      <c r="CG64" s="363"/>
      <c r="CH64" s="180"/>
      <c r="CI64" s="180"/>
      <c r="CJ64" s="180"/>
      <c r="CK64" s="180"/>
      <c r="CL64" s="180"/>
      <c r="CM64" s="180"/>
      <c r="CN64" s="180"/>
      <c r="CO64" s="180"/>
      <c r="CP64" s="180"/>
      <c r="CQ64" s="180"/>
      <c r="CR64" s="180"/>
      <c r="CS64" s="180"/>
      <c r="CT64" s="180"/>
      <c r="CU64" s="180"/>
      <c r="CV64" s="181"/>
    </row>
    <row r="65" spans="1:67" x14ac:dyDescent="0.25">
      <c r="B65" s="222">
        <v>1</v>
      </c>
      <c r="C65" s="223">
        <f>B56</f>
        <v>1.8477626186997812E-6</v>
      </c>
      <c r="D65" s="232">
        <f t="shared" ref="D65:D70" si="23">100*(C65/$T$56^2)</f>
        <v>1.6240758130419717</v>
      </c>
      <c r="E65" s="236"/>
      <c r="F65" s="219"/>
      <c r="G65" s="220"/>
      <c r="I65" s="222">
        <v>1</v>
      </c>
      <c r="J65" s="223">
        <f>B57</f>
        <v>1.8337218951470735E-6</v>
      </c>
      <c r="K65" s="232">
        <f>100*(J65/$J$73)</f>
        <v>1.6611937100136722</v>
      </c>
      <c r="L65" s="236"/>
      <c r="M65" s="219"/>
      <c r="N65" s="220"/>
      <c r="O65" s="162">
        <f>100*O63/T56^2</f>
        <v>0.63434631837616062</v>
      </c>
      <c r="V65" s="294"/>
      <c r="AD65" s="222">
        <v>1</v>
      </c>
      <c r="AE65" s="223">
        <f>Z56</f>
        <v>1.8565903761869982E-6</v>
      </c>
      <c r="AF65" s="232">
        <f>100*(AE65/$AR$56^2)</f>
        <v>1.5264499951794039</v>
      </c>
      <c r="AG65" s="236"/>
      <c r="AH65" s="219"/>
      <c r="AI65" s="220"/>
      <c r="AU65" s="179"/>
      <c r="AV65" s="180"/>
      <c r="AW65" s="180"/>
      <c r="AX65" s="363"/>
      <c r="AY65" s="363"/>
      <c r="AZ65" s="363"/>
      <c r="BA65" s="180"/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180"/>
      <c r="BN65" s="180"/>
      <c r="BO65" s="181"/>
    </row>
    <row r="66" spans="1:67" x14ac:dyDescent="0.25">
      <c r="B66" s="222">
        <v>2</v>
      </c>
      <c r="C66" s="223">
        <f>D56</f>
        <v>4.6749452154857566E-6</v>
      </c>
      <c r="D66" s="227">
        <f t="shared" si="23"/>
        <v>4.1090047904039269</v>
      </c>
      <c r="E66" s="233" t="s">
        <v>220</v>
      </c>
      <c r="F66" s="233" t="s">
        <v>221</v>
      </c>
      <c r="G66" s="233" t="s">
        <v>224</v>
      </c>
      <c r="I66" s="222">
        <v>2</v>
      </c>
      <c r="J66" s="223">
        <f>D57</f>
        <v>2.5972659879577762E-6</v>
      </c>
      <c r="K66" s="232">
        <f t="shared" ref="K66:K72" si="24">100*(J66/$J$73)</f>
        <v>2.3528987322703343</v>
      </c>
      <c r="L66" s="233" t="s">
        <v>220</v>
      </c>
      <c r="M66" s="233" t="s">
        <v>221</v>
      </c>
      <c r="N66" s="233" t="s">
        <v>224</v>
      </c>
      <c r="V66" s="294"/>
      <c r="AD66" s="222">
        <v>2</v>
      </c>
      <c r="AE66" s="223">
        <f>AB56</f>
        <v>1.9007450401658769E-5</v>
      </c>
      <c r="AF66" s="232">
        <f>100*(AE66/$AR$56^2)</f>
        <v>15.627530416037485</v>
      </c>
      <c r="AG66" s="233" t="s">
        <v>220</v>
      </c>
      <c r="AH66" s="233" t="s">
        <v>221</v>
      </c>
      <c r="AI66" s="233" t="s">
        <v>224</v>
      </c>
    </row>
    <row r="67" spans="1:67" ht="15.75" customHeight="1" x14ac:dyDescent="0.25">
      <c r="B67" s="225" t="s">
        <v>236</v>
      </c>
      <c r="C67" s="223">
        <f>G56</f>
        <v>6.0975405044918924E-6</v>
      </c>
      <c r="D67" s="227">
        <f t="shared" si="23"/>
        <v>5.3593832628551583</v>
      </c>
      <c r="E67" s="226" t="s">
        <v>222</v>
      </c>
      <c r="F67" s="424">
        <f>K56</f>
        <v>1.0441939649392495E-4</v>
      </c>
      <c r="G67" s="425">
        <f>100*(F67/T56^2)</f>
        <v>91.778572930301721</v>
      </c>
      <c r="I67" s="225" t="s">
        <v>236</v>
      </c>
      <c r="J67" s="223">
        <f>G57</f>
        <v>6.02243428224403E-6</v>
      </c>
      <c r="K67" s="232">
        <f t="shared" si="24"/>
        <v>5.4558054714355046</v>
      </c>
      <c r="L67" s="423" t="s">
        <v>222</v>
      </c>
      <c r="M67" s="424">
        <f>K57</f>
        <v>1.0313321456626362E-4</v>
      </c>
      <c r="N67" s="425">
        <f>100*M67/J73</f>
        <v>93.429787681750128</v>
      </c>
      <c r="V67" s="294"/>
      <c r="AD67" s="225" t="s">
        <v>236</v>
      </c>
      <c r="AE67" s="223">
        <f>AE56</f>
        <v>7.8629480351973295E-6</v>
      </c>
      <c r="AF67" s="232">
        <f t="shared" ref="AF67:AF72" si="25">100*(AE67/$AR$56^2)</f>
        <v>6.4647523462191918</v>
      </c>
      <c r="AG67" s="430" t="s">
        <v>222</v>
      </c>
      <c r="AH67" s="431">
        <f>SUM(AE67:AE69)</f>
        <v>9.6790779611514045E-5</v>
      </c>
      <c r="AI67" s="425">
        <f>100*(AH67/AR56^2)</f>
        <v>79.579366006863964</v>
      </c>
    </row>
    <row r="68" spans="1:67" x14ac:dyDescent="0.25">
      <c r="B68" s="225" t="s">
        <v>237</v>
      </c>
      <c r="C68" s="223">
        <f>H56</f>
        <v>2.134986383865474E-5</v>
      </c>
      <c r="D68" s="227">
        <f t="shared" si="23"/>
        <v>18.765287879077004</v>
      </c>
      <c r="E68" s="222"/>
      <c r="F68" s="424"/>
      <c r="G68" s="425"/>
      <c r="I68" s="225" t="s">
        <v>237</v>
      </c>
      <c r="J68" s="223">
        <f>H57</f>
        <v>2.1086887706352488E-5</v>
      </c>
      <c r="K68" s="232">
        <f t="shared" si="24"/>
        <v>19.102899580499283</v>
      </c>
      <c r="L68" s="424"/>
      <c r="M68" s="424"/>
      <c r="N68" s="425"/>
      <c r="V68" s="294"/>
      <c r="AD68" s="225" t="s">
        <v>237</v>
      </c>
      <c r="AE68" s="223">
        <f>AF56</f>
        <v>2.3303742817087002E-5</v>
      </c>
      <c r="AF68" s="232">
        <f t="shared" si="25"/>
        <v>19.159852688594174</v>
      </c>
      <c r="AG68" s="424"/>
      <c r="AH68" s="424"/>
      <c r="AI68" s="425"/>
    </row>
    <row r="69" spans="1:67" x14ac:dyDescent="0.25">
      <c r="B69" s="225" t="s">
        <v>238</v>
      </c>
      <c r="C69" s="223">
        <f>I56</f>
        <v>7.6971992150778315E-5</v>
      </c>
      <c r="D69" s="227">
        <f t="shared" si="23"/>
        <v>67.653901788369566</v>
      </c>
      <c r="E69" s="222"/>
      <c r="F69" s="424"/>
      <c r="G69" s="425"/>
      <c r="I69" s="321" t="s">
        <v>269</v>
      </c>
      <c r="J69" s="223">
        <f>I57</f>
        <v>7.6023892577667106E-5</v>
      </c>
      <c r="K69" s="232">
        <f t="shared" si="24"/>
        <v>68.871082629815348</v>
      </c>
      <c r="L69" s="424"/>
      <c r="M69" s="424"/>
      <c r="N69" s="425"/>
      <c r="V69" s="294"/>
      <c r="AD69" s="225" t="s">
        <v>238</v>
      </c>
      <c r="AE69" s="223">
        <f>AG56</f>
        <v>6.562408875922971E-5</v>
      </c>
      <c r="AF69" s="232">
        <f t="shared" si="25"/>
        <v>53.9547609720506</v>
      </c>
      <c r="AG69" s="424"/>
      <c r="AH69" s="424"/>
      <c r="AI69" s="425"/>
    </row>
    <row r="70" spans="1:67" x14ac:dyDescent="0.25">
      <c r="B70" s="222">
        <v>4</v>
      </c>
      <c r="C70" s="223">
        <f>M56</f>
        <v>2.061633208868604E-6</v>
      </c>
      <c r="D70" s="227">
        <f t="shared" si="23"/>
        <v>1.8120556158039802</v>
      </c>
      <c r="E70" s="222"/>
      <c r="F70" s="424"/>
      <c r="G70" s="425"/>
      <c r="I70" s="222">
        <v>4</v>
      </c>
      <c r="J70" s="223">
        <f>M57</f>
        <v>2.061633208868604E-6</v>
      </c>
      <c r="K70" s="232">
        <f t="shared" si="24"/>
        <v>1.8676616819548555</v>
      </c>
      <c r="L70" s="424"/>
      <c r="M70" s="424"/>
      <c r="N70" s="425"/>
      <c r="R70" s="177">
        <v>4.4650867254515999E-3</v>
      </c>
      <c r="V70" s="294"/>
      <c r="AD70" s="222">
        <v>4</v>
      </c>
      <c r="AE70" s="223">
        <f>AK58</f>
        <v>3.2192812110066174E-6</v>
      </c>
      <c r="AF70" s="232">
        <f t="shared" si="25"/>
        <v>2.6468260592379833</v>
      </c>
      <c r="AG70" s="424"/>
      <c r="AH70" s="424"/>
      <c r="AI70" s="425"/>
    </row>
    <row r="71" spans="1:67" x14ac:dyDescent="0.25">
      <c r="B71" s="222">
        <v>5</v>
      </c>
      <c r="C71" s="223">
        <f>O56</f>
        <v>4.7721625923813015E-8</v>
      </c>
      <c r="D71" s="227">
        <f>100*(C71/T56^2)</f>
        <v>4.1944532072219605E-2</v>
      </c>
      <c r="E71" s="222"/>
      <c r="F71" s="222"/>
      <c r="G71" s="224"/>
      <c r="I71" s="222">
        <v>5</v>
      </c>
      <c r="J71" s="223">
        <f>O57</f>
        <v>4.7133816619385621E-8</v>
      </c>
      <c r="K71" s="232">
        <f t="shared" si="24"/>
        <v>4.2699168234985464E-2</v>
      </c>
      <c r="L71" s="222"/>
      <c r="M71" s="222"/>
      <c r="N71" s="227"/>
      <c r="R71" s="177"/>
      <c r="V71" s="294"/>
      <c r="AD71" s="222">
        <v>5</v>
      </c>
      <c r="AE71" s="223">
        <f>AM56</f>
        <v>7.6305111168978189E-8</v>
      </c>
      <c r="AF71" s="232">
        <f t="shared" si="25"/>
        <v>6.2736475460604804E-2</v>
      </c>
      <c r="AG71" s="222"/>
      <c r="AH71" s="222"/>
      <c r="AI71" s="227"/>
    </row>
    <row r="72" spans="1:67" x14ac:dyDescent="0.25">
      <c r="B72" s="222">
        <v>6</v>
      </c>
      <c r="C72" s="223">
        <f>Q56</f>
        <v>7.2171594761322151E-7</v>
      </c>
      <c r="D72" s="227">
        <f>100*C72/T56^2</f>
        <v>0.63434631837616062</v>
      </c>
      <c r="E72" s="222"/>
      <c r="F72" s="222"/>
      <c r="G72" s="224"/>
      <c r="I72" s="222">
        <v>6</v>
      </c>
      <c r="J72" s="223">
        <f>Q57</f>
        <v>7.128262389968812E-7</v>
      </c>
      <c r="K72" s="232">
        <f t="shared" si="24"/>
        <v>0.64575902577601474</v>
      </c>
      <c r="L72" s="222"/>
      <c r="M72" s="222"/>
      <c r="N72" s="227"/>
      <c r="R72" s="177"/>
      <c r="V72" s="294"/>
      <c r="AD72" s="222">
        <v>6</v>
      </c>
      <c r="AE72" s="317">
        <f>AO56</f>
        <v>6.7757861718102759E-7</v>
      </c>
      <c r="AF72" s="232">
        <f t="shared" si="25"/>
        <v>0.55709104722057001</v>
      </c>
      <c r="AG72" s="222"/>
      <c r="AH72" s="222"/>
      <c r="AI72" s="227"/>
    </row>
    <row r="73" spans="1:67" x14ac:dyDescent="0.25">
      <c r="B73" s="228" t="s">
        <v>225</v>
      </c>
      <c r="C73" s="229">
        <f>SUM(C65:C70)</f>
        <v>1.130037375369791E-4</v>
      </c>
      <c r="D73" s="222">
        <f>SUM(D65:D72)</f>
        <v>99.999999999999986</v>
      </c>
      <c r="E73" s="221"/>
      <c r="F73" s="221"/>
      <c r="G73" s="230"/>
      <c r="I73" s="228" t="s">
        <v>225</v>
      </c>
      <c r="J73" s="229">
        <f>SUM(J65:J72)</f>
        <v>1.1038579571385335E-4</v>
      </c>
      <c r="K73" s="232">
        <f>SUM(K65:K72)</f>
        <v>100</v>
      </c>
      <c r="L73" s="221"/>
      <c r="M73" s="221"/>
      <c r="N73" s="230"/>
      <c r="R73" s="177">
        <v>3.5026221826488402</v>
      </c>
      <c r="V73" s="294"/>
      <c r="AD73" s="228" t="s">
        <v>225</v>
      </c>
      <c r="AE73" s="229">
        <f>SUM(AE65:AE72)</f>
        <v>1.2162798532871642E-4</v>
      </c>
      <c r="AF73" s="227">
        <f>100*(AE73/$AR$56^2)</f>
        <v>100</v>
      </c>
      <c r="AG73" s="221"/>
      <c r="AH73" s="221"/>
      <c r="AI73" s="230"/>
    </row>
    <row r="74" spans="1:67" x14ac:dyDescent="0.25">
      <c r="B74" s="222"/>
      <c r="C74" s="222"/>
      <c r="D74" s="222"/>
      <c r="E74" s="221"/>
      <c r="F74" s="221"/>
      <c r="G74" s="221"/>
      <c r="I74" s="222"/>
      <c r="J74" s="222"/>
      <c r="K74" s="222"/>
      <c r="L74" s="221"/>
      <c r="M74" s="221"/>
      <c r="N74" s="221"/>
      <c r="V74" s="294"/>
      <c r="AD74" s="222"/>
      <c r="AE74" s="222"/>
      <c r="AF74" s="222"/>
      <c r="AG74" s="221"/>
      <c r="AH74" s="221"/>
      <c r="AI74" s="221"/>
    </row>
    <row r="75" spans="1:67" x14ac:dyDescent="0.25">
      <c r="D75" s="193"/>
      <c r="E75" s="193"/>
      <c r="F75" s="193"/>
      <c r="V75" s="294"/>
    </row>
    <row r="76" spans="1:67" x14ac:dyDescent="0.25">
      <c r="D76" s="194"/>
      <c r="E76" s="194"/>
      <c r="F76" s="194"/>
      <c r="V76" s="294"/>
    </row>
    <row r="77" spans="1:67" x14ac:dyDescent="0.25">
      <c r="A77" s="252"/>
      <c r="D77" s="194"/>
      <c r="E77" s="194"/>
      <c r="F77" s="194"/>
      <c r="V77" s="294"/>
    </row>
    <row r="78" spans="1:67" x14ac:dyDescent="0.25">
      <c r="A78" s="252"/>
      <c r="D78" s="194"/>
      <c r="E78" s="194"/>
      <c r="F78" s="194"/>
      <c r="V78" s="294"/>
    </row>
    <row r="79" spans="1:67" x14ac:dyDescent="0.25">
      <c r="A79" s="252" t="s">
        <v>261</v>
      </c>
      <c r="D79" s="194"/>
      <c r="E79" s="194"/>
      <c r="F79" s="194"/>
      <c r="T79" s="162">
        <v>4.4182993736335323E-2</v>
      </c>
      <c r="U79" s="162">
        <v>1.2605442057133633E-2</v>
      </c>
      <c r="V79" s="294"/>
      <c r="Y79" s="252" t="s">
        <v>266</v>
      </c>
      <c r="AB79" s="194"/>
      <c r="AC79" s="194"/>
      <c r="AD79" s="194"/>
    </row>
    <row r="80" spans="1:67" x14ac:dyDescent="0.25">
      <c r="T80" s="162">
        <v>4.1685134589819518E-2</v>
      </c>
      <c r="U80" s="162">
        <v>1.2417761841624747E-2</v>
      </c>
      <c r="V80" s="294"/>
    </row>
    <row r="81" spans="1:45" x14ac:dyDescent="0.25">
      <c r="M81" s="241" t="s">
        <v>243</v>
      </c>
      <c r="N81" s="162">
        <f>35*10^(-3)</f>
        <v>3.5000000000000003E-2</v>
      </c>
      <c r="O81" s="241" t="s">
        <v>41</v>
      </c>
      <c r="V81" s="294"/>
      <c r="AL81" s="162">
        <v>3.3912885180825469E-2</v>
      </c>
      <c r="AM81" s="241" t="s">
        <v>41</v>
      </c>
    </row>
    <row r="82" spans="1:45" x14ac:dyDescent="0.25">
      <c r="M82" s="241" t="s">
        <v>240</v>
      </c>
      <c r="N82" s="162">
        <f>9*10^(-3)</f>
        <v>9.0000000000000011E-3</v>
      </c>
      <c r="O82" s="241" t="s">
        <v>41</v>
      </c>
      <c r="V82" s="294"/>
      <c r="AL82" s="162">
        <v>1.1380509564020258E-2</v>
      </c>
      <c r="AM82" s="241" t="s">
        <v>41</v>
      </c>
    </row>
    <row r="83" spans="1:45" x14ac:dyDescent="0.25">
      <c r="T83" s="252" t="s">
        <v>111</v>
      </c>
      <c r="V83" s="294"/>
      <c r="AK83" s="241" t="s">
        <v>243</v>
      </c>
      <c r="AR83" s="348" t="s">
        <v>112</v>
      </c>
    </row>
    <row r="84" spans="1:45" x14ac:dyDescent="0.25">
      <c r="T84" s="171" t="s">
        <v>219</v>
      </c>
      <c r="V84" s="294"/>
      <c r="AK84" s="241" t="s">
        <v>240</v>
      </c>
      <c r="AR84" s="171" t="s">
        <v>219</v>
      </c>
    </row>
    <row r="85" spans="1:45" x14ac:dyDescent="0.25">
      <c r="S85" s="195" t="s">
        <v>120</v>
      </c>
      <c r="T85" s="191">
        <f>(1/C26)*(Q20-Q21+J20)*C34</f>
        <v>3.6991504926134032E-2</v>
      </c>
      <c r="U85" s="171" t="s">
        <v>61</v>
      </c>
      <c r="V85" s="294"/>
      <c r="AQ85" s="195"/>
      <c r="AR85" s="191"/>
      <c r="AS85" s="171" t="s">
        <v>61</v>
      </c>
    </row>
    <row r="86" spans="1:45" x14ac:dyDescent="0.25">
      <c r="S86" s="196" t="s">
        <v>36</v>
      </c>
      <c r="T86" s="192">
        <f>(1/D26)*(Q9-Q10+J20)*C34</f>
        <v>3.4538073456930787E-2</v>
      </c>
      <c r="U86" s="171" t="s">
        <v>61</v>
      </c>
      <c r="V86" s="294"/>
      <c r="AQ86" s="196" t="s">
        <v>36</v>
      </c>
      <c r="AR86" s="192">
        <f>(1/AF30)*(AF39-AF38+P35)*U12</f>
        <v>3.1080289751580233E-2</v>
      </c>
      <c r="AS86" s="171" t="s">
        <v>61</v>
      </c>
    </row>
    <row r="87" spans="1:45" x14ac:dyDescent="0.25">
      <c r="G87" s="162" t="s">
        <v>206</v>
      </c>
      <c r="H87" s="162" t="s">
        <v>207</v>
      </c>
      <c r="I87" s="252" t="s">
        <v>262</v>
      </c>
      <c r="J87" s="252" t="s">
        <v>263</v>
      </c>
      <c r="O87" s="241" t="s">
        <v>240</v>
      </c>
      <c r="Q87" s="241" t="s">
        <v>241</v>
      </c>
      <c r="V87" s="294"/>
      <c r="AE87" s="162" t="s">
        <v>206</v>
      </c>
      <c r="AF87" s="162" t="s">
        <v>207</v>
      </c>
      <c r="AG87" s="252" t="s">
        <v>262</v>
      </c>
      <c r="AH87" s="252" t="s">
        <v>263</v>
      </c>
      <c r="AM87" s="241" t="s">
        <v>240</v>
      </c>
      <c r="AO87" s="241" t="s">
        <v>241</v>
      </c>
    </row>
    <row r="88" spans="1:45" x14ac:dyDescent="0.25">
      <c r="A88" s="252" t="s">
        <v>111</v>
      </c>
      <c r="B88" s="162">
        <v>1</v>
      </c>
      <c r="D88" s="162">
        <v>2</v>
      </c>
      <c r="G88" s="171" t="s">
        <v>211</v>
      </c>
      <c r="H88" s="171" t="s">
        <v>212</v>
      </c>
      <c r="I88" s="171" t="s">
        <v>213</v>
      </c>
      <c r="J88" s="171"/>
      <c r="K88" s="171" t="s">
        <v>216</v>
      </c>
      <c r="M88" s="162">
        <v>4</v>
      </c>
      <c r="O88" s="162">
        <v>5</v>
      </c>
      <c r="Q88" s="162">
        <v>6</v>
      </c>
      <c r="T88" s="171" t="s">
        <v>218</v>
      </c>
      <c r="V88" s="294"/>
      <c r="Y88" s="252"/>
      <c r="Z88" s="162">
        <v>1</v>
      </c>
      <c r="AB88" s="162">
        <v>2</v>
      </c>
      <c r="AE88" s="171" t="s">
        <v>211</v>
      </c>
      <c r="AF88" s="171" t="s">
        <v>212</v>
      </c>
      <c r="AG88" s="171" t="s">
        <v>213</v>
      </c>
      <c r="AH88" s="171"/>
      <c r="AI88" s="171" t="s">
        <v>216</v>
      </c>
      <c r="AM88" s="162">
        <v>5</v>
      </c>
      <c r="AO88" s="162">
        <v>6</v>
      </c>
      <c r="AR88" s="171" t="s">
        <v>218</v>
      </c>
    </row>
    <row r="89" spans="1:45" x14ac:dyDescent="0.25">
      <c r="A89" s="191" t="s">
        <v>120</v>
      </c>
      <c r="B89" s="162">
        <f>B56</f>
        <v>1.8477626186997812E-6</v>
      </c>
      <c r="D89" s="162">
        <f>D56</f>
        <v>4.6749452154857566E-6</v>
      </c>
      <c r="G89" s="162">
        <f>($C$41*$H$92*I17/(100*$C$26))^2</f>
        <v>7.869100306299647E-6</v>
      </c>
      <c r="H89" s="162">
        <f>($C$41*$H$92*J17/(100*$C$26))^2</f>
        <v>4.826455076016055E-6</v>
      </c>
      <c r="I89" s="162">
        <f>($C$41*$H$92*K17/(100*$C$26))^2</f>
        <v>1.2505406097112956E-5</v>
      </c>
      <c r="J89" s="162">
        <f>($C$41*$H$92*L17/(100*$C$26))^2</f>
        <v>1.2978289010823025E-5</v>
      </c>
      <c r="K89" s="162">
        <f>SUM(G89:J89)</f>
        <v>3.8179250490251684E-5</v>
      </c>
      <c r="M89" s="162">
        <f>M56</f>
        <v>2.061633208868604E-6</v>
      </c>
      <c r="O89" s="162">
        <f>O56</f>
        <v>4.7721625923813015E-8</v>
      </c>
      <c r="Q89" s="162">
        <f>Q56</f>
        <v>7.2171594761322151E-7</v>
      </c>
      <c r="T89" s="191">
        <f>SQRT(SUM(B89,D89,K89,M89, O89, Q89))</f>
        <v>6.8944201429012768E-3</v>
      </c>
      <c r="U89" s="171" t="s">
        <v>61</v>
      </c>
      <c r="V89" s="294"/>
      <c r="Y89" s="192" t="s">
        <v>36</v>
      </c>
      <c r="Z89" s="162">
        <f>Z56</f>
        <v>1.8565903761869982E-6</v>
      </c>
      <c r="AB89" s="162">
        <f>AB56</f>
        <v>1.9007450401658769E-5</v>
      </c>
      <c r="AE89" s="162">
        <f>($C$41*$H$92*I39/(100*$C$26))^2</f>
        <v>1.8685428888547479E-6</v>
      </c>
      <c r="AF89" s="162">
        <f>($C$41*$H$92*J39/(100*$C$26))^2</f>
        <v>5.503418494485444E-6</v>
      </c>
      <c r="AG89" s="162">
        <f>($C$41*$H$92*K39/(100*$C$26))^2</f>
        <v>1.754088231386297E-5</v>
      </c>
      <c r="AH89" s="162">
        <f>($C$41*$H$92*L39/(100*$C$26))^2</f>
        <v>1.7976598739115842E-5</v>
      </c>
      <c r="AI89" s="162">
        <f>SUM(AE89:AH89)</f>
        <v>4.2889442436319002E-5</v>
      </c>
      <c r="AM89" s="162">
        <f>AM56</f>
        <v>7.6305111168978189E-8</v>
      </c>
      <c r="AO89" s="162">
        <f>AO56</f>
        <v>6.7757861718102759E-7</v>
      </c>
      <c r="AR89" s="191">
        <f>SQRT(SUM(Z89,AB89,AI89,AK91, AM89, AO89))</f>
        <v>8.2296201706713885E-3</v>
      </c>
      <c r="AS89" s="171" t="s">
        <v>61</v>
      </c>
    </row>
    <row r="90" spans="1:45" x14ac:dyDescent="0.25">
      <c r="A90" s="192" t="s">
        <v>36</v>
      </c>
      <c r="B90" s="162">
        <f>B57</f>
        <v>1.8337218951470735E-6</v>
      </c>
      <c r="D90" s="162">
        <f>D57</f>
        <v>2.5972659879577762E-6</v>
      </c>
      <c r="G90" s="162">
        <f>($C$41*$H$92*I17/(100*$D$26))^2</f>
        <v>7.7721729638637459E-6</v>
      </c>
      <c r="H90" s="162">
        <f>($C$41*$H$92*J17/(100*$D$26))^2</f>
        <v>4.7670053999800299E-6</v>
      </c>
      <c r="I90" s="162">
        <f>($C$41*$H$92*K17/(100*$D$26))^2</f>
        <v>1.2351371235198119E-5</v>
      </c>
      <c r="J90" s="162">
        <f>($C$41*$H$92*L17/(100*$D$26))^2</f>
        <v>1.2818429431681929E-5</v>
      </c>
      <c r="K90" s="162">
        <f>SUM(G90:J90)</f>
        <v>3.7708979030723827E-5</v>
      </c>
      <c r="M90" s="162">
        <f>M57</f>
        <v>2.061633208868604E-6</v>
      </c>
      <c r="O90" s="162">
        <f>O57</f>
        <v>4.7133816619385621E-8</v>
      </c>
      <c r="Q90" s="162">
        <f>Q57</f>
        <v>7.128262389968812E-7</v>
      </c>
      <c r="T90" s="192">
        <f>SQRT(SUM(B90,D90,K90,M90))</f>
        <v>6.6484283949439721E-3</v>
      </c>
      <c r="U90" s="171" t="s">
        <v>61</v>
      </c>
      <c r="V90" s="294"/>
      <c r="Z90" s="162">
        <f>Z57</f>
        <v>0</v>
      </c>
      <c r="AB90" s="162">
        <f>AB57</f>
        <v>0</v>
      </c>
      <c r="AE90" s="162">
        <f>($C$41*$H$92*AG17/(100*$D$26))^2</f>
        <v>0</v>
      </c>
      <c r="AF90" s="162">
        <f>($C$41*$H$92*AH17/(100*$D$26))^2</f>
        <v>0</v>
      </c>
      <c r="AG90" s="162">
        <f>($C$41*$H$92*AI17/(100*$D$26))^2</f>
        <v>0</v>
      </c>
      <c r="AH90" s="162">
        <f>($C$41*$H$92*AJ17/(100*$D$26))^2</f>
        <v>0</v>
      </c>
      <c r="AI90" s="162">
        <f>SUM(AE90:AH90)</f>
        <v>0</v>
      </c>
      <c r="AK90" s="162">
        <v>4</v>
      </c>
      <c r="AM90" s="162">
        <f>AM57</f>
        <v>0</v>
      </c>
      <c r="AO90" s="162">
        <f>AO57</f>
        <v>0</v>
      </c>
      <c r="AR90" s="192">
        <f>SQRT(SUM(Z90,AB90,AI90,AK92))</f>
        <v>0</v>
      </c>
      <c r="AS90" s="171" t="s">
        <v>61</v>
      </c>
    </row>
    <row r="91" spans="1:45" x14ac:dyDescent="0.25">
      <c r="V91" s="294"/>
      <c r="AK91" s="162">
        <f>AK58</f>
        <v>3.2192812110066174E-6</v>
      </c>
    </row>
    <row r="92" spans="1:45" x14ac:dyDescent="0.25">
      <c r="G92" s="171" t="s">
        <v>223</v>
      </c>
      <c r="H92" s="162">
        <f>K21</f>
        <v>44.921510291059192</v>
      </c>
      <c r="I92" s="171" t="s">
        <v>39</v>
      </c>
      <c r="V92" s="294"/>
      <c r="AE92" s="171" t="s">
        <v>223</v>
      </c>
      <c r="AF92" s="162">
        <f>Q36</f>
        <v>38.749724990280924</v>
      </c>
      <c r="AG92" s="171" t="s">
        <v>39</v>
      </c>
      <c r="AK92" s="162">
        <f>AK59</f>
        <v>0</v>
      </c>
    </row>
    <row r="93" spans="1:45" x14ac:dyDescent="0.25">
      <c r="K93" s="162">
        <f>SQRT(K89)</f>
        <v>6.1789360322187905E-3</v>
      </c>
      <c r="V93" s="294"/>
      <c r="AI93" s="162">
        <f>SQRT(AI89)</f>
        <v>6.5490031635600087E-3</v>
      </c>
    </row>
    <row r="94" spans="1:45" x14ac:dyDescent="0.25">
      <c r="V94" s="294"/>
      <c r="AR94" s="162">
        <v>2.9288651454087013E-2</v>
      </c>
      <c r="AS94" s="162">
        <v>1.3723391530172255E-2</v>
      </c>
    </row>
    <row r="95" spans="1:45" x14ac:dyDescent="0.25">
      <c r="D95" s="347" t="s">
        <v>245</v>
      </c>
      <c r="E95" s="239" t="s">
        <v>120</v>
      </c>
      <c r="F95" s="240"/>
      <c r="G95" s="216"/>
      <c r="H95" s="216"/>
      <c r="I95" s="217"/>
      <c r="M95" s="177">
        <v>4.4650867254515999E-3</v>
      </c>
      <c r="O95" s="162">
        <f>35*10^(-3)</f>
        <v>3.5000000000000003E-2</v>
      </c>
      <c r="P95" s="162" t="e">
        <f>O95*#REF!</f>
        <v>#REF!</v>
      </c>
      <c r="V95" s="294"/>
      <c r="AB95" s="231"/>
      <c r="AC95" s="320" t="s">
        <v>36</v>
      </c>
      <c r="AD95" s="240"/>
      <c r="AE95" s="216"/>
      <c r="AF95" s="216"/>
      <c r="AG95" s="217"/>
    </row>
    <row r="96" spans="1:45" x14ac:dyDescent="0.25">
      <c r="D96" s="426" t="s">
        <v>204</v>
      </c>
      <c r="E96" s="426"/>
      <c r="F96" s="427"/>
      <c r="G96" s="234"/>
      <c r="H96" s="215"/>
      <c r="I96" s="218"/>
      <c r="M96" s="177"/>
      <c r="O96" s="162" t="e">
        <f>(O95^2 *#REF!/C55^2)</f>
        <v>#REF!</v>
      </c>
      <c r="V96" s="294"/>
      <c r="AB96" s="426" t="s">
        <v>204</v>
      </c>
      <c r="AC96" s="426"/>
      <c r="AD96" s="427"/>
      <c r="AE96" s="234"/>
      <c r="AF96" s="215"/>
      <c r="AG96" s="218"/>
    </row>
    <row r="97" spans="4:36" x14ac:dyDescent="0.25">
      <c r="D97" s="226" t="s">
        <v>220</v>
      </c>
      <c r="E97" s="238" t="s">
        <v>221</v>
      </c>
      <c r="F97" s="242" t="s">
        <v>242</v>
      </c>
      <c r="G97" s="235"/>
      <c r="H97" s="237" t="s">
        <v>239</v>
      </c>
      <c r="I97" s="218"/>
      <c r="M97" s="177"/>
      <c r="V97" s="294"/>
      <c r="AB97" s="226" t="s">
        <v>220</v>
      </c>
      <c r="AC97" s="238" t="s">
        <v>221</v>
      </c>
      <c r="AD97" s="242" t="s">
        <v>242</v>
      </c>
      <c r="AE97" s="235"/>
      <c r="AF97" s="237" t="s">
        <v>239</v>
      </c>
      <c r="AG97" s="218"/>
    </row>
    <row r="98" spans="4:36" x14ac:dyDescent="0.25">
      <c r="D98" s="222">
        <v>1</v>
      </c>
      <c r="E98" s="223">
        <f>B89</f>
        <v>1.8477626186997812E-6</v>
      </c>
      <c r="F98" s="232">
        <f>100*(E98/$T$89^2)</f>
        <v>3.8873235167623199</v>
      </c>
      <c r="G98" s="236"/>
      <c r="H98" s="219"/>
      <c r="I98" s="220"/>
      <c r="M98" s="177">
        <v>3.5026221826488402</v>
      </c>
      <c r="O98" s="162" t="e">
        <f>100*O96/T89^2</f>
        <v>#REF!</v>
      </c>
      <c r="V98" s="294"/>
      <c r="AB98" s="222">
        <v>1</v>
      </c>
      <c r="AC98" s="223">
        <f>Z89</f>
        <v>1.8565903761869982E-6</v>
      </c>
      <c r="AD98" s="232">
        <f>100*(AC98/$AR$89^2)</f>
        <v>2.7412996609230054</v>
      </c>
      <c r="AE98" s="236"/>
      <c r="AF98" s="219"/>
      <c r="AG98" s="220"/>
    </row>
    <row r="99" spans="4:36" x14ac:dyDescent="0.25">
      <c r="D99" s="222">
        <v>2</v>
      </c>
      <c r="E99" s="223">
        <f>D89</f>
        <v>4.6749452154857566E-6</v>
      </c>
      <c r="F99" s="232">
        <f t="shared" ref="F99:F106" si="26">100*(E99/$T$89^2)</f>
        <v>9.8351510588092328</v>
      </c>
      <c r="G99" s="233" t="s">
        <v>220</v>
      </c>
      <c r="H99" s="233" t="s">
        <v>221</v>
      </c>
      <c r="I99" s="233" t="s">
        <v>224</v>
      </c>
      <c r="V99" s="294"/>
      <c r="AB99" s="222">
        <v>2</v>
      </c>
      <c r="AC99" s="223">
        <f>AB89</f>
        <v>1.9007450401658769E-5</v>
      </c>
      <c r="AD99" s="232">
        <f t="shared" ref="AD99:AD106" si="27">100*(AC99/$AR$89^2)</f>
        <v>28.06495068023014</v>
      </c>
      <c r="AE99" s="233" t="s">
        <v>220</v>
      </c>
      <c r="AF99" s="233" t="s">
        <v>221</v>
      </c>
      <c r="AG99" s="233" t="s">
        <v>224</v>
      </c>
    </row>
    <row r="100" spans="4:36" x14ac:dyDescent="0.25">
      <c r="D100" s="225" t="s">
        <v>236</v>
      </c>
      <c r="E100" s="223">
        <f>G89</f>
        <v>7.869100306299647E-6</v>
      </c>
      <c r="F100" s="232">
        <f t="shared" si="26"/>
        <v>16.55501543697498</v>
      </c>
      <c r="G100" s="423" t="s">
        <v>222</v>
      </c>
      <c r="H100" s="424">
        <f>K89</f>
        <v>3.8179250490251684E-5</v>
      </c>
      <c r="I100" s="425">
        <f>100*(H100/T89^2)</f>
        <v>80.321517916381623</v>
      </c>
      <c r="V100" s="294"/>
      <c r="AB100" s="225" t="s">
        <v>236</v>
      </c>
      <c r="AC100" s="223">
        <f>AE89</f>
        <v>1.8685428888547479E-6</v>
      </c>
      <c r="AD100" s="232">
        <f t="shared" si="27"/>
        <v>2.758947828953787</v>
      </c>
      <c r="AE100" s="423" t="s">
        <v>222</v>
      </c>
      <c r="AF100" s="424">
        <f>AI89</f>
        <v>4.2889442436319002E-5</v>
      </c>
      <c r="AG100" s="425">
        <f>100*(AF100/AR89^2)</f>
        <v>63.327277527596081</v>
      </c>
    </row>
    <row r="101" spans="4:36" x14ac:dyDescent="0.25">
      <c r="D101" s="225" t="s">
        <v>237</v>
      </c>
      <c r="E101" s="223">
        <f>H89</f>
        <v>4.826455076016055E-6</v>
      </c>
      <c r="F101" s="232">
        <f t="shared" si="26"/>
        <v>10.15389754599342</v>
      </c>
      <c r="G101" s="424"/>
      <c r="H101" s="424"/>
      <c r="I101" s="425"/>
      <c r="K101" s="194"/>
      <c r="V101" s="294"/>
      <c r="AB101" s="225" t="s">
        <v>237</v>
      </c>
      <c r="AC101" s="223">
        <f>AF89</f>
        <v>5.503418494485444E-6</v>
      </c>
      <c r="AD101" s="232">
        <f t="shared" si="27"/>
        <v>8.1259277470965472</v>
      </c>
      <c r="AE101" s="424"/>
      <c r="AF101" s="424"/>
      <c r="AG101" s="425"/>
      <c r="AI101" s="194"/>
    </row>
    <row r="102" spans="4:36" x14ac:dyDescent="0.25">
      <c r="D102" s="321" t="s">
        <v>264</v>
      </c>
      <c r="E102" s="223">
        <f>I89</f>
        <v>1.2505406097112956E-5</v>
      </c>
      <c r="F102" s="232">
        <f t="shared" si="26"/>
        <v>26.308876863293939</v>
      </c>
      <c r="G102" s="424"/>
      <c r="H102" s="424"/>
      <c r="I102" s="425"/>
      <c r="V102" s="294"/>
      <c r="AB102" s="321" t="s">
        <v>264</v>
      </c>
      <c r="AC102" s="223">
        <f>AG89</f>
        <v>1.754088231386297E-5</v>
      </c>
      <c r="AD102" s="232">
        <f t="shared" si="27"/>
        <v>25.899528165193797</v>
      </c>
      <c r="AE102" s="424"/>
      <c r="AF102" s="424"/>
      <c r="AG102" s="425"/>
    </row>
    <row r="103" spans="4:36" x14ac:dyDescent="0.25">
      <c r="D103" s="323" t="s">
        <v>265</v>
      </c>
      <c r="E103" s="221">
        <f>J89</f>
        <v>1.2978289010823025E-5</v>
      </c>
      <c r="F103" s="232">
        <f t="shared" si="26"/>
        <v>27.303728070119281</v>
      </c>
      <c r="G103" s="424"/>
      <c r="H103" s="424"/>
      <c r="I103" s="425"/>
      <c r="V103" s="294"/>
      <c r="AB103" s="323" t="s">
        <v>265</v>
      </c>
      <c r="AC103" s="221">
        <f>AH89</f>
        <v>1.7976598739115842E-5</v>
      </c>
      <c r="AD103" s="232">
        <f t="shared" si="27"/>
        <v>26.542873786351951</v>
      </c>
      <c r="AE103" s="424"/>
      <c r="AF103" s="424"/>
      <c r="AG103" s="425"/>
    </row>
    <row r="104" spans="4:36" x14ac:dyDescent="0.25">
      <c r="D104" s="222">
        <v>4</v>
      </c>
      <c r="E104" s="223">
        <f>M89</f>
        <v>2.061633208868604E-6</v>
      </c>
      <c r="F104" s="232">
        <f t="shared" si="26"/>
        <v>4.3372645244942127</v>
      </c>
      <c r="G104" s="222"/>
      <c r="H104" s="222"/>
      <c r="I104" s="227"/>
      <c r="V104" s="294"/>
      <c r="AB104" s="222">
        <v>4</v>
      </c>
      <c r="AC104" s="223">
        <f>AK91</f>
        <v>3.2192812110066174E-6</v>
      </c>
      <c r="AD104" s="232">
        <f t="shared" si="27"/>
        <v>4.7533449517673114</v>
      </c>
      <c r="AE104" s="222"/>
      <c r="AF104" s="222"/>
      <c r="AG104" s="227"/>
    </row>
    <row r="105" spans="4:36" x14ac:dyDescent="0.25">
      <c r="D105" s="222">
        <v>5</v>
      </c>
      <c r="E105" s="223">
        <f>O89</f>
        <v>4.7721625923813015E-8</v>
      </c>
      <c r="F105" s="232">
        <f t="shared" si="26"/>
        <v>0.10039677003657022</v>
      </c>
      <c r="G105" s="222"/>
      <c r="H105" s="222"/>
      <c r="I105" s="227"/>
      <c r="V105" s="294"/>
      <c r="AB105" s="222">
        <v>5</v>
      </c>
      <c r="AC105" s="223">
        <f>AM89</f>
        <v>7.6305111168978189E-8</v>
      </c>
      <c r="AD105" s="232">
        <f t="shared" si="27"/>
        <v>0.11266630381000303</v>
      </c>
      <c r="AE105" s="222"/>
      <c r="AF105" s="222"/>
      <c r="AG105" s="227"/>
      <c r="AJ105" s="177"/>
    </row>
    <row r="106" spans="4:36" x14ac:dyDescent="0.25">
      <c r="D106" s="222">
        <v>6</v>
      </c>
      <c r="E106" s="223">
        <f>Q89</f>
        <v>7.2171594761322151E-7</v>
      </c>
      <c r="F106" s="232">
        <f t="shared" si="26"/>
        <v>1.5183462135160311</v>
      </c>
      <c r="G106" s="221"/>
      <c r="H106" s="221"/>
      <c r="I106" s="230"/>
      <c r="V106" s="294"/>
      <c r="AB106" s="222">
        <v>6</v>
      </c>
      <c r="AC106" s="223">
        <f>AO89</f>
        <v>6.7757861718102759E-7</v>
      </c>
      <c r="AD106" s="232">
        <f t="shared" si="27"/>
        <v>1.0004608756734961</v>
      </c>
      <c r="AE106" s="221"/>
      <c r="AF106" s="221"/>
      <c r="AG106" s="230"/>
      <c r="AJ106" s="177"/>
    </row>
    <row r="107" spans="4:36" x14ac:dyDescent="0.25">
      <c r="D107" s="228" t="s">
        <v>225</v>
      </c>
      <c r="E107" s="229">
        <f>SUM(E98:E104)</f>
        <v>4.6763591533305831E-5</v>
      </c>
      <c r="F107" s="232">
        <f>SUM(F98:F106)</f>
        <v>99.999999999999986</v>
      </c>
      <c r="G107" s="221"/>
      <c r="H107" s="221"/>
      <c r="I107" s="221"/>
      <c r="V107" s="294"/>
      <c r="AB107" s="228" t="s">
        <v>225</v>
      </c>
      <c r="AC107" s="229">
        <f>SUM(AC98:AC104)</f>
        <v>6.6972764425171378E-5</v>
      </c>
      <c r="AD107" s="222">
        <f>SUM(AD98:AD106)</f>
        <v>100.00000000000004</v>
      </c>
      <c r="AE107" s="221"/>
      <c r="AF107" s="221"/>
      <c r="AG107" s="221"/>
      <c r="AJ107" s="177"/>
    </row>
    <row r="108" spans="4:36" x14ac:dyDescent="0.25">
      <c r="D108" s="222"/>
      <c r="E108" s="222"/>
      <c r="F108" s="222"/>
      <c r="V108" s="294"/>
      <c r="AB108" s="222"/>
      <c r="AC108" s="222"/>
      <c r="AD108" s="222"/>
      <c r="AJ108" s="177"/>
    </row>
    <row r="109" spans="4:36" x14ac:dyDescent="0.25">
      <c r="D109" s="194"/>
      <c r="E109" s="194"/>
      <c r="F109" s="194"/>
      <c r="V109" s="294"/>
    </row>
    <row r="110" spans="4:36" x14ac:dyDescent="0.25">
      <c r="D110" s="194"/>
      <c r="E110" s="194"/>
      <c r="F110" s="194"/>
      <c r="V110" s="294"/>
    </row>
    <row r="111" spans="4:36" x14ac:dyDescent="0.25">
      <c r="D111" s="347" t="s">
        <v>245</v>
      </c>
      <c r="E111" s="320" t="s">
        <v>36</v>
      </c>
      <c r="F111" s="240"/>
      <c r="G111" s="216"/>
      <c r="H111" s="216"/>
      <c r="I111" s="217"/>
      <c r="V111" s="294"/>
    </row>
    <row r="112" spans="4:36" x14ac:dyDescent="0.25">
      <c r="D112" s="426" t="s">
        <v>204</v>
      </c>
      <c r="E112" s="426"/>
      <c r="F112" s="427"/>
      <c r="G112" s="234"/>
      <c r="H112" s="215"/>
      <c r="I112" s="218"/>
      <c r="V112" s="294"/>
    </row>
    <row r="113" spans="1:37" x14ac:dyDescent="0.25">
      <c r="D113" s="226" t="s">
        <v>220</v>
      </c>
      <c r="E113" s="238" t="s">
        <v>221</v>
      </c>
      <c r="F113" s="242" t="s">
        <v>242</v>
      </c>
      <c r="G113" s="235"/>
      <c r="H113" s="237" t="s">
        <v>239</v>
      </c>
      <c r="I113" s="218"/>
      <c r="V113" s="294"/>
    </row>
    <row r="114" spans="1:37" x14ac:dyDescent="0.25">
      <c r="D114" s="222">
        <v>1</v>
      </c>
      <c r="E114" s="223">
        <f>B90</f>
        <v>1.8337218951470735E-6</v>
      </c>
      <c r="F114" s="232">
        <f>100*(E114/$E$123)</f>
        <v>4.078421406807716</v>
      </c>
      <c r="G114" s="236"/>
      <c r="H114" s="219"/>
      <c r="I114" s="220"/>
      <c r="V114" s="294"/>
    </row>
    <row r="115" spans="1:37" x14ac:dyDescent="0.25">
      <c r="D115" s="222">
        <v>2</v>
      </c>
      <c r="E115" s="223">
        <f>D90</f>
        <v>2.5972659879577762E-6</v>
      </c>
      <c r="F115" s="232">
        <f t="shared" ref="F115:F122" si="28">100*(E115/$E$123)</f>
        <v>5.7766367040139404</v>
      </c>
      <c r="G115" s="233" t="s">
        <v>220</v>
      </c>
      <c r="H115" s="233" t="s">
        <v>221</v>
      </c>
      <c r="I115" s="233" t="s">
        <v>224</v>
      </c>
      <c r="V115" s="294"/>
    </row>
    <row r="116" spans="1:37" x14ac:dyDescent="0.25">
      <c r="D116" s="225" t="s">
        <v>236</v>
      </c>
      <c r="E116" s="223">
        <f>G90</f>
        <v>7.7721729638637459E-6</v>
      </c>
      <c r="F116" s="232">
        <f t="shared" si="28"/>
        <v>17.286261715652213</v>
      </c>
      <c r="G116" s="423" t="s">
        <v>222</v>
      </c>
      <c r="H116" s="424">
        <f>K90</f>
        <v>3.7708979030723827E-5</v>
      </c>
      <c r="I116" s="425">
        <f>100*(H116/T90^2)</f>
        <v>85.311343765947669</v>
      </c>
      <c r="V116" s="294"/>
    </row>
    <row r="117" spans="1:37" x14ac:dyDescent="0.25">
      <c r="D117" s="225" t="s">
        <v>237</v>
      </c>
      <c r="E117" s="223">
        <f>H90</f>
        <v>4.7670053999800299E-6</v>
      </c>
      <c r="F117" s="232">
        <f t="shared" si="28"/>
        <v>10.602402098758384</v>
      </c>
      <c r="G117" s="424"/>
      <c r="H117" s="424"/>
      <c r="I117" s="425"/>
      <c r="V117" s="294"/>
    </row>
    <row r="118" spans="1:37" x14ac:dyDescent="0.25">
      <c r="D118" s="321" t="s">
        <v>264</v>
      </c>
      <c r="E118" s="223">
        <f>I90</f>
        <v>1.2351371235198119E-5</v>
      </c>
      <c r="F118" s="232">
        <f t="shared" si="28"/>
        <v>27.470957827561321</v>
      </c>
      <c r="G118" s="424"/>
      <c r="H118" s="424"/>
      <c r="I118" s="425"/>
      <c r="V118" s="294"/>
    </row>
    <row r="119" spans="1:37" x14ac:dyDescent="0.25">
      <c r="A119" s="252"/>
      <c r="D119" s="323" t="s">
        <v>265</v>
      </c>
      <c r="E119" s="221">
        <f>J90</f>
        <v>1.2818429431681929E-5</v>
      </c>
      <c r="F119" s="232">
        <f t="shared" si="28"/>
        <v>28.509752288054901</v>
      </c>
      <c r="G119" s="424"/>
      <c r="H119" s="424"/>
      <c r="I119" s="425"/>
      <c r="V119" s="294"/>
    </row>
    <row r="120" spans="1:37" x14ac:dyDescent="0.25">
      <c r="D120" s="222">
        <v>4</v>
      </c>
      <c r="E120" s="223">
        <f>M90</f>
        <v>2.061633208868604E-6</v>
      </c>
      <c r="F120" s="232">
        <f t="shared" si="28"/>
        <v>4.5853239983051077</v>
      </c>
      <c r="G120" s="222"/>
      <c r="H120" s="222"/>
      <c r="I120" s="227"/>
      <c r="V120" s="294"/>
    </row>
    <row r="121" spans="1:37" x14ac:dyDescent="0.25">
      <c r="D121" s="222">
        <v>5</v>
      </c>
      <c r="E121" s="223">
        <f>O90</f>
        <v>4.7133816619385621E-8</v>
      </c>
      <c r="F121" s="232">
        <f t="shared" si="28"/>
        <v>0.10483136357470046</v>
      </c>
      <c r="G121" s="222"/>
      <c r="H121" s="222"/>
      <c r="I121" s="227"/>
      <c r="V121" s="294"/>
    </row>
    <row r="122" spans="1:37" x14ac:dyDescent="0.25">
      <c r="D122" s="222">
        <v>6</v>
      </c>
      <c r="E122" s="223">
        <f>Q90</f>
        <v>7.128262389968812E-7</v>
      </c>
      <c r="F122" s="232">
        <f t="shared" si="28"/>
        <v>1.5854125972717044</v>
      </c>
      <c r="G122" s="221"/>
      <c r="H122" s="221"/>
      <c r="I122" s="230"/>
      <c r="V122" s="294"/>
    </row>
    <row r="123" spans="1:37" x14ac:dyDescent="0.25">
      <c r="D123" s="228" t="s">
        <v>225</v>
      </c>
      <c r="E123" s="229">
        <f>SUM(E114:E122)</f>
        <v>4.4961560178313551E-5</v>
      </c>
      <c r="F123" s="232">
        <f>SUM(F114:F122)</f>
        <v>99.999999999999986</v>
      </c>
      <c r="G123" s="221"/>
      <c r="H123" s="221"/>
      <c r="I123" s="221"/>
      <c r="V123" s="294"/>
    </row>
    <row r="124" spans="1:37" x14ac:dyDescent="0.25">
      <c r="D124" s="222"/>
      <c r="E124" s="222"/>
      <c r="F124" s="222"/>
      <c r="V124" s="294"/>
    </row>
    <row r="125" spans="1:37" s="199" customFormat="1" x14ac:dyDescent="0.25">
      <c r="D125" s="198"/>
      <c r="E125" s="198"/>
      <c r="F125" s="198"/>
      <c r="M125" s="198"/>
      <c r="AJ125" s="162"/>
      <c r="AK125" s="162"/>
    </row>
    <row r="126" spans="1:37" x14ac:dyDescent="0.25">
      <c r="C126" s="174"/>
      <c r="D126" s="253" t="s">
        <v>259</v>
      </c>
      <c r="E126" s="253" t="s">
        <v>258</v>
      </c>
      <c r="F126" s="384" t="s">
        <v>111</v>
      </c>
      <c r="G126" s="378">
        <v>44689</v>
      </c>
      <c r="H126" s="254"/>
      <c r="I126" s="255" t="s">
        <v>227</v>
      </c>
      <c r="J126" s="255" t="s">
        <v>228</v>
      </c>
      <c r="K126" s="255" t="s">
        <v>232</v>
      </c>
      <c r="L126" s="255" t="s">
        <v>233</v>
      </c>
      <c r="M126" s="256"/>
    </row>
    <row r="127" spans="1:37" x14ac:dyDescent="0.25">
      <c r="C127" s="174"/>
      <c r="D127" s="177"/>
      <c r="E127" s="177"/>
      <c r="F127" s="177"/>
      <c r="G127" s="177"/>
      <c r="H127" s="255" t="s">
        <v>229</v>
      </c>
      <c r="I127" s="171">
        <v>0.15402698740134799</v>
      </c>
      <c r="J127" s="162">
        <v>2.0906981424601801E-4</v>
      </c>
      <c r="K127" s="162">
        <v>1.29625790250741E-4</v>
      </c>
      <c r="L127" s="162">
        <v>1.640345748028E-4</v>
      </c>
      <c r="M127" s="258" t="s">
        <v>56</v>
      </c>
      <c r="N127" s="171">
        <v>0.15402698740134799</v>
      </c>
      <c r="O127" s="162">
        <v>2.0906981424601801E-4</v>
      </c>
      <c r="P127" s="162">
        <v>1.29625790250741E-4</v>
      </c>
      <c r="Q127" s="162">
        <v>1.640345748028E-4</v>
      </c>
      <c r="AJ127" s="199"/>
      <c r="AK127" s="199"/>
    </row>
    <row r="128" spans="1:37" x14ac:dyDescent="0.25">
      <c r="C128" s="174"/>
      <c r="D128" s="177"/>
      <c r="E128" s="177"/>
      <c r="F128" s="259">
        <f>23*J128/I128</f>
        <v>3.1898579571872823E-2</v>
      </c>
      <c r="G128" s="177"/>
      <c r="H128" s="255" t="s">
        <v>230</v>
      </c>
      <c r="I128" s="171">
        <v>0.153553187325735</v>
      </c>
      <c r="J128" s="162">
        <v>2.1296211149672399E-4</v>
      </c>
      <c r="K128" s="162">
        <v>1.25681287715354E-4</v>
      </c>
      <c r="L128" s="162">
        <v>1.71921711401886E-4</v>
      </c>
      <c r="M128" s="260" t="s">
        <v>56</v>
      </c>
      <c r="N128" s="171">
        <v>0.153553187325735</v>
      </c>
      <c r="O128" s="162">
        <v>2.1296211149672399E-4</v>
      </c>
      <c r="P128" s="162">
        <v>1.25681287715354E-4</v>
      </c>
      <c r="Q128" s="162">
        <v>1.71921711401886E-4</v>
      </c>
    </row>
    <row r="129" spans="3:17" x14ac:dyDescent="0.25">
      <c r="C129" s="174"/>
      <c r="D129" s="177"/>
      <c r="E129" s="177"/>
      <c r="F129" s="177"/>
      <c r="G129" s="177"/>
      <c r="H129" s="255" t="s">
        <v>231</v>
      </c>
      <c r="I129" s="162">
        <v>0.15317650880019101</v>
      </c>
      <c r="J129" s="162">
        <v>2.0043963897291899E-4</v>
      </c>
      <c r="K129" s="162">
        <v>1.25681287715354E-4</v>
      </c>
      <c r="L129" s="162">
        <v>1.5614180346660699E-4</v>
      </c>
      <c r="M129" s="260" t="s">
        <v>56</v>
      </c>
      <c r="N129" s="162">
        <v>0.15317650880019101</v>
      </c>
      <c r="O129" s="162">
        <v>2.0043963897291899E-4</v>
      </c>
      <c r="P129" s="162">
        <v>1.25681287715354E-4</v>
      </c>
      <c r="Q129" s="162">
        <v>1.5614180346660699E-4</v>
      </c>
    </row>
    <row r="130" spans="3:17" x14ac:dyDescent="0.25">
      <c r="C130" s="174"/>
      <c r="D130" s="177"/>
      <c r="E130" s="177"/>
      <c r="F130" s="177"/>
      <c r="G130" s="177"/>
      <c r="H130" s="177"/>
      <c r="I130" s="177"/>
      <c r="J130" s="177"/>
      <c r="K130" s="177"/>
      <c r="L130" s="177"/>
      <c r="M130" s="261"/>
    </row>
    <row r="131" spans="3:17" x14ac:dyDescent="0.25">
      <c r="C131" s="174"/>
      <c r="D131" s="177"/>
      <c r="E131" s="177"/>
      <c r="F131" s="177"/>
      <c r="G131" s="177"/>
      <c r="H131" s="177"/>
      <c r="I131" s="178"/>
      <c r="J131" s="178"/>
      <c r="K131" s="177"/>
      <c r="L131" s="177"/>
      <c r="M131" s="261"/>
    </row>
    <row r="132" spans="3:17" x14ac:dyDescent="0.25">
      <c r="C132" s="174"/>
      <c r="D132" s="177"/>
      <c r="E132" s="177"/>
      <c r="F132" s="177"/>
      <c r="G132" s="177"/>
      <c r="H132" s="262" t="s">
        <v>244</v>
      </c>
      <c r="I132" s="263">
        <f>(I127-I128)/2</f>
        <v>2.3690003780649227E-4</v>
      </c>
      <c r="J132" s="264" t="s">
        <v>56</v>
      </c>
      <c r="K132" s="177"/>
      <c r="L132" s="177"/>
      <c r="M132" s="176"/>
    </row>
    <row r="133" spans="3:17" x14ac:dyDescent="0.25">
      <c r="C133" s="174"/>
      <c r="D133" s="177"/>
      <c r="E133" s="177"/>
      <c r="F133" s="177"/>
      <c r="G133" s="177"/>
      <c r="H133" s="177"/>
      <c r="I133" s="259"/>
      <c r="J133" s="264"/>
      <c r="K133" s="177"/>
      <c r="L133" s="177"/>
      <c r="M133" s="176"/>
    </row>
    <row r="134" spans="3:17" x14ac:dyDescent="0.25">
      <c r="C134" s="174">
        <v>3.504</v>
      </c>
      <c r="D134" s="177">
        <v>3.0000000000000001E-3</v>
      </c>
      <c r="E134" s="177"/>
      <c r="F134" s="177"/>
      <c r="G134" s="251" t="s">
        <v>250</v>
      </c>
      <c r="H134" s="177"/>
      <c r="I134" s="177"/>
      <c r="J134" s="177"/>
      <c r="K134" s="177"/>
      <c r="L134" s="177"/>
      <c r="M134" s="176"/>
    </row>
    <row r="135" spans="3:17" x14ac:dyDescent="0.25">
      <c r="C135" s="174"/>
      <c r="D135" s="265"/>
      <c r="E135" s="177"/>
      <c r="F135" s="177"/>
      <c r="G135" s="177"/>
      <c r="H135" s="266"/>
      <c r="I135" s="267" t="s">
        <v>227</v>
      </c>
      <c r="J135" s="267" t="s">
        <v>228</v>
      </c>
      <c r="K135" s="267" t="s">
        <v>232</v>
      </c>
      <c r="L135" s="267" t="s">
        <v>233</v>
      </c>
      <c r="M135" s="268"/>
    </row>
    <row r="136" spans="3:17" x14ac:dyDescent="0.25">
      <c r="C136" s="174">
        <f>C34*(C134-3.521)/C26</f>
        <v>3.7057904575405198E-2</v>
      </c>
      <c r="D136" s="265">
        <f>SQRT(0.000025+7.21*10^(-8)*D134^2)</f>
        <v>5.0000000648899997E-3</v>
      </c>
      <c r="E136" s="177"/>
      <c r="F136" s="177"/>
      <c r="G136" s="177"/>
      <c r="H136" s="267" t="s">
        <v>229</v>
      </c>
      <c r="I136" s="269">
        <v>0.15555309094779099</v>
      </c>
      <c r="J136" s="270">
        <v>2.0549783797219301E-4</v>
      </c>
      <c r="K136" s="270">
        <v>1.40837975130888E-4</v>
      </c>
      <c r="L136" s="271">
        <v>1.4964633698249101E-4</v>
      </c>
      <c r="M136" s="272" t="s">
        <v>56</v>
      </c>
    </row>
    <row r="137" spans="3:17" x14ac:dyDescent="0.25">
      <c r="C137" s="174"/>
      <c r="D137" s="265"/>
      <c r="E137" s="177"/>
      <c r="F137" s="177"/>
      <c r="G137" s="177"/>
      <c r="H137" s="267" t="s">
        <v>230</v>
      </c>
      <c r="I137" s="269">
        <v>0.15349956054827599</v>
      </c>
      <c r="J137" s="270">
        <v>1.8781717859437099E-4</v>
      </c>
      <c r="K137" s="270">
        <v>1.3073166870757399E-4</v>
      </c>
      <c r="L137" s="270">
        <v>1.34850003233529E-4</v>
      </c>
      <c r="M137" s="273" t="s">
        <v>56</v>
      </c>
    </row>
    <row r="138" spans="3:17" x14ac:dyDescent="0.25">
      <c r="C138" s="174"/>
      <c r="D138" s="177"/>
      <c r="E138" s="177"/>
      <c r="F138" s="177"/>
      <c r="G138" s="177"/>
      <c r="H138" s="267" t="s">
        <v>231</v>
      </c>
      <c r="I138" s="269">
        <v>0.15142704410065999</v>
      </c>
      <c r="J138" s="270">
        <v>2.02597098866537E-4</v>
      </c>
      <c r="K138" s="270">
        <v>1.4957732291761799E-4</v>
      </c>
      <c r="L138" s="270">
        <v>1.3664629134351201E-4</v>
      </c>
      <c r="M138" s="273" t="s">
        <v>56</v>
      </c>
    </row>
    <row r="139" spans="3:17" x14ac:dyDescent="0.25">
      <c r="C139" s="174"/>
      <c r="D139" s="177"/>
      <c r="E139" s="177"/>
      <c r="F139" s="177"/>
      <c r="G139" s="177"/>
      <c r="H139" s="177"/>
      <c r="I139" s="177"/>
      <c r="J139" s="177"/>
      <c r="K139" s="177"/>
      <c r="L139" s="177"/>
      <c r="M139" s="176"/>
    </row>
    <row r="140" spans="3:17" x14ac:dyDescent="0.25">
      <c r="C140" s="174"/>
      <c r="D140" s="177"/>
      <c r="E140" s="177"/>
      <c r="F140" s="177"/>
      <c r="G140" s="177"/>
      <c r="H140" s="264" t="s">
        <v>244</v>
      </c>
      <c r="I140" s="274">
        <f>(I136-I137)/2</f>
        <v>1.0267651997575011E-3</v>
      </c>
      <c r="J140" s="264" t="s">
        <v>56</v>
      </c>
      <c r="K140" s="177"/>
      <c r="L140" s="177"/>
      <c r="M140" s="176"/>
    </row>
    <row r="141" spans="3:17" x14ac:dyDescent="0.25">
      <c r="C141" s="179"/>
      <c r="D141" s="180"/>
      <c r="E141" s="180"/>
      <c r="F141" s="180"/>
      <c r="G141" s="180"/>
      <c r="H141" s="275" t="s">
        <v>245</v>
      </c>
      <c r="I141" s="180"/>
      <c r="J141" s="180"/>
      <c r="K141" s="180"/>
      <c r="L141" s="180"/>
      <c r="M141" s="181"/>
    </row>
    <row r="143" spans="3:17" x14ac:dyDescent="0.25">
      <c r="C143" s="185"/>
      <c r="D143" s="172"/>
      <c r="E143" s="253" t="s">
        <v>259</v>
      </c>
      <c r="F143" s="253" t="s">
        <v>258</v>
      </c>
      <c r="G143" s="253" t="s">
        <v>112</v>
      </c>
      <c r="H143" s="378">
        <v>44689</v>
      </c>
      <c r="I143" s="172"/>
      <c r="J143" s="172"/>
      <c r="K143" s="172"/>
      <c r="L143" s="172"/>
      <c r="M143" s="173"/>
    </row>
    <row r="144" spans="3:17" x14ac:dyDescent="0.25">
      <c r="C144" s="174"/>
      <c r="D144" s="177"/>
      <c r="E144" s="177"/>
      <c r="F144" s="177"/>
      <c r="G144" s="177"/>
      <c r="H144" s="254"/>
      <c r="I144" s="255" t="s">
        <v>227</v>
      </c>
      <c r="J144" s="255" t="s">
        <v>228</v>
      </c>
      <c r="K144" s="255" t="s">
        <v>232</v>
      </c>
      <c r="L144" s="255" t="s">
        <v>233</v>
      </c>
      <c r="M144" s="256"/>
    </row>
    <row r="145" spans="3:15" x14ac:dyDescent="0.25">
      <c r="C145" s="174"/>
      <c r="D145" s="177"/>
      <c r="E145" s="177"/>
      <c r="F145" s="177"/>
      <c r="G145" s="177"/>
      <c r="H145" s="255" t="s">
        <v>229</v>
      </c>
      <c r="I145" s="162">
        <v>0.16220278376618499</v>
      </c>
      <c r="J145" s="162">
        <v>2.2480658671782401E-4</v>
      </c>
      <c r="K145" s="385">
        <v>1.54033565283696E-4</v>
      </c>
      <c r="L145" s="385">
        <v>1.8501341030635699E-4</v>
      </c>
      <c r="M145" s="258" t="s">
        <v>56</v>
      </c>
      <c r="N145" s="162">
        <v>0.16220278376618499</v>
      </c>
      <c r="O145" s="162">
        <v>2.2480658671782401E-4</v>
      </c>
    </row>
    <row r="146" spans="3:15" x14ac:dyDescent="0.25">
      <c r="C146" s="174"/>
      <c r="D146" s="177"/>
      <c r="E146" s="177"/>
      <c r="F146" s="177"/>
      <c r="G146" s="177"/>
      <c r="H146" s="255" t="s">
        <v>230</v>
      </c>
      <c r="I146" s="162">
        <v>0.161723443404032</v>
      </c>
      <c r="J146" s="162">
        <v>2.2949540035733799E-4</v>
      </c>
      <c r="K146" s="385">
        <v>1.4100825361316601E-4</v>
      </c>
      <c r="L146" s="385">
        <v>1.85014004048892E-4</v>
      </c>
      <c r="M146" s="260" t="s">
        <v>56</v>
      </c>
      <c r="N146" s="162">
        <v>0.161723443404032</v>
      </c>
      <c r="O146" s="162">
        <v>2.2949540035733799E-4</v>
      </c>
    </row>
    <row r="147" spans="3:15" x14ac:dyDescent="0.25">
      <c r="C147" s="174"/>
      <c r="D147" s="177"/>
      <c r="E147" s="177"/>
      <c r="F147" s="177"/>
      <c r="G147" s="177"/>
      <c r="H147" s="255" t="s">
        <v>231</v>
      </c>
      <c r="I147" s="162">
        <v>0.161244103043332</v>
      </c>
      <c r="J147" s="162">
        <v>2.3417955803782501E-4</v>
      </c>
      <c r="K147" s="385">
        <v>1.4100825361316601E-4</v>
      </c>
      <c r="L147" s="385">
        <v>1.82912417322646E-4</v>
      </c>
      <c r="M147" s="260" t="s">
        <v>56</v>
      </c>
      <c r="N147" s="162">
        <v>0.161244103043332</v>
      </c>
      <c r="O147" s="162">
        <v>2.3417955803782501E-4</v>
      </c>
    </row>
    <row r="148" spans="3:15" x14ac:dyDescent="0.25">
      <c r="C148" s="174"/>
      <c r="D148" s="177"/>
      <c r="E148" s="177"/>
      <c r="F148" s="177"/>
      <c r="G148" s="177"/>
      <c r="H148" s="177"/>
      <c r="I148" s="177"/>
      <c r="J148" s="177"/>
      <c r="K148" s="177"/>
      <c r="L148" s="177"/>
      <c r="M148" s="261"/>
    </row>
    <row r="149" spans="3:15" x14ac:dyDescent="0.25">
      <c r="C149" s="174"/>
      <c r="D149" s="177"/>
      <c r="E149" s="177"/>
      <c r="F149" s="177"/>
      <c r="G149" s="177"/>
      <c r="H149" s="177"/>
      <c r="I149" s="178"/>
      <c r="J149" s="178"/>
      <c r="K149" s="177"/>
      <c r="L149" s="177"/>
      <c r="M149" s="261"/>
    </row>
    <row r="150" spans="3:15" x14ac:dyDescent="0.25">
      <c r="C150" s="174"/>
      <c r="D150" s="177"/>
      <c r="E150" s="177"/>
      <c r="F150" s="177"/>
      <c r="G150" s="177"/>
      <c r="H150" s="262" t="s">
        <v>244</v>
      </c>
      <c r="I150" s="263">
        <f>(I145-I146)/2</f>
        <v>2.396701810764984E-4</v>
      </c>
      <c r="J150" s="264" t="s">
        <v>56</v>
      </c>
      <c r="K150" s="177"/>
      <c r="L150" s="177"/>
      <c r="M150" s="176"/>
    </row>
    <row r="151" spans="3:15" x14ac:dyDescent="0.25">
      <c r="C151" s="179"/>
      <c r="D151" s="180"/>
      <c r="E151" s="180"/>
      <c r="F151" s="180"/>
      <c r="G151" s="180"/>
      <c r="H151" s="180"/>
      <c r="I151" s="180"/>
      <c r="J151" s="180"/>
      <c r="K151" s="180"/>
      <c r="L151" s="180"/>
      <c r="M151" s="181"/>
    </row>
    <row r="154" spans="3:15" x14ac:dyDescent="0.25">
      <c r="C154" s="185"/>
      <c r="D154" s="172"/>
      <c r="E154" s="253" t="s">
        <v>259</v>
      </c>
      <c r="F154" s="349" t="s">
        <v>270</v>
      </c>
      <c r="G154" s="349" t="s">
        <v>169</v>
      </c>
      <c r="H154" s="378">
        <v>44689</v>
      </c>
      <c r="I154" s="172"/>
      <c r="J154" s="172"/>
      <c r="K154" s="172"/>
      <c r="L154" s="172"/>
      <c r="M154" s="173"/>
    </row>
    <row r="155" spans="3:15" x14ac:dyDescent="0.25">
      <c r="C155" s="174"/>
      <c r="D155" s="177"/>
      <c r="E155" s="177"/>
      <c r="F155" s="177"/>
      <c r="G155" s="177"/>
      <c r="H155" s="254"/>
      <c r="I155" s="255" t="s">
        <v>227</v>
      </c>
      <c r="J155" s="255" t="s">
        <v>228</v>
      </c>
      <c r="K155" s="255" t="s">
        <v>232</v>
      </c>
      <c r="L155" s="255" t="s">
        <v>233</v>
      </c>
      <c r="M155" s="256"/>
    </row>
    <row r="156" spans="3:15" x14ac:dyDescent="0.25">
      <c r="C156" s="174"/>
      <c r="D156" s="177"/>
      <c r="E156" s="177"/>
      <c r="F156" s="177"/>
      <c r="G156" s="177"/>
      <c r="H156" s="255" t="s">
        <v>229</v>
      </c>
      <c r="I156" s="162">
        <v>0.15445819183217199</v>
      </c>
      <c r="J156" s="257">
        <v>3.85232454518045E-4</v>
      </c>
      <c r="K156" s="386">
        <v>2.4621731299775902E-4</v>
      </c>
      <c r="L156" s="387">
        <v>2.9627871809186898E-4</v>
      </c>
      <c r="M156" s="258" t="s">
        <v>56</v>
      </c>
      <c r="N156" s="162">
        <v>0.15445819183217199</v>
      </c>
    </row>
    <row r="157" spans="3:15" x14ac:dyDescent="0.25">
      <c r="C157" s="174"/>
      <c r="D157" s="177"/>
      <c r="E157" s="177"/>
      <c r="F157" s="177"/>
      <c r="G157" s="177"/>
      <c r="H157" s="255" t="s">
        <v>230</v>
      </c>
      <c r="I157" s="162">
        <v>0.15364078760388999</v>
      </c>
      <c r="J157" s="257">
        <v>4.0033299136098298E-4</v>
      </c>
      <c r="K157" s="386">
        <v>2.40369800368761E-4</v>
      </c>
      <c r="L157" s="386">
        <v>3.2013881839401302E-4</v>
      </c>
      <c r="M157" s="260" t="s">
        <v>56</v>
      </c>
      <c r="N157" s="162">
        <v>0.15364078760388999</v>
      </c>
      <c r="O157" s="162">
        <v>2.3099348477668299E-4</v>
      </c>
    </row>
    <row r="158" spans="3:15" x14ac:dyDescent="0.25">
      <c r="C158" s="174"/>
      <c r="D158" s="177"/>
      <c r="E158" s="177"/>
      <c r="F158" s="177"/>
      <c r="G158" s="177"/>
      <c r="H158" s="255" t="s">
        <v>231</v>
      </c>
      <c r="I158" s="162">
        <v>0.15270911051157501</v>
      </c>
      <c r="J158" s="257">
        <v>3.9619496022466302E-4</v>
      </c>
      <c r="K158" s="386">
        <v>2.33412903380914E-4</v>
      </c>
      <c r="L158" s="386">
        <v>3.2013881839401302E-4</v>
      </c>
      <c r="M158" s="260" t="s">
        <v>56</v>
      </c>
      <c r="N158" s="162">
        <v>0.15270911051157501</v>
      </c>
    </row>
    <row r="159" spans="3:15" x14ac:dyDescent="0.25">
      <c r="C159" s="174"/>
      <c r="D159" s="177"/>
      <c r="E159" s="177"/>
      <c r="F159" s="177"/>
      <c r="G159" s="177"/>
      <c r="H159" s="177"/>
      <c r="I159" s="177"/>
      <c r="J159" s="177"/>
      <c r="K159" s="177"/>
      <c r="L159" s="177"/>
      <c r="M159" s="261"/>
    </row>
    <row r="160" spans="3:15" x14ac:dyDescent="0.25">
      <c r="C160" s="174"/>
      <c r="D160" s="177"/>
      <c r="E160" s="177"/>
      <c r="F160" s="177"/>
      <c r="G160" s="177"/>
      <c r="H160" s="177"/>
      <c r="I160" s="178"/>
      <c r="J160" s="178"/>
      <c r="K160" s="177"/>
      <c r="L160" s="177"/>
      <c r="M160" s="261"/>
    </row>
    <row r="161" spans="3:15" x14ac:dyDescent="0.25">
      <c r="C161" s="174"/>
      <c r="D161" s="177"/>
      <c r="E161" s="177"/>
      <c r="F161" s="177"/>
      <c r="G161" s="177"/>
      <c r="H161" s="262" t="s">
        <v>244</v>
      </c>
      <c r="I161" s="263">
        <f>(I156-I157)/2</f>
        <v>4.0870211414099911E-4</v>
      </c>
      <c r="J161" s="264" t="s">
        <v>56</v>
      </c>
      <c r="K161" s="177"/>
      <c r="L161" s="177"/>
      <c r="M161" s="176"/>
    </row>
    <row r="162" spans="3:15" x14ac:dyDescent="0.25"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1"/>
    </row>
    <row r="165" spans="3:15" x14ac:dyDescent="0.25">
      <c r="C165" s="185"/>
      <c r="D165" s="172"/>
      <c r="E165" s="253" t="s">
        <v>259</v>
      </c>
      <c r="F165" s="349" t="s">
        <v>270</v>
      </c>
      <c r="G165" s="384" t="s">
        <v>301</v>
      </c>
      <c r="H165" s="378">
        <v>44689</v>
      </c>
      <c r="I165" s="172"/>
      <c r="J165" s="172"/>
      <c r="K165" s="172"/>
      <c r="L165" s="172"/>
      <c r="M165" s="173"/>
    </row>
    <row r="166" spans="3:15" x14ac:dyDescent="0.25">
      <c r="C166" s="174"/>
      <c r="D166" s="177"/>
      <c r="E166" s="177"/>
      <c r="F166" s="177"/>
      <c r="G166" s="177"/>
      <c r="H166" s="254"/>
      <c r="I166" s="255" t="s">
        <v>227</v>
      </c>
      <c r="J166" s="255" t="s">
        <v>228</v>
      </c>
      <c r="K166" s="255" t="s">
        <v>232</v>
      </c>
      <c r="L166" s="255" t="s">
        <v>233</v>
      </c>
      <c r="M166" s="256"/>
    </row>
    <row r="167" spans="3:15" x14ac:dyDescent="0.25">
      <c r="C167" s="174"/>
      <c r="D167" s="177"/>
      <c r="E167" s="177"/>
      <c r="F167" s="177"/>
      <c r="G167" s="177"/>
      <c r="H167" s="255" t="s">
        <v>229</v>
      </c>
      <c r="I167" s="162">
        <v>0.16310499283768701</v>
      </c>
      <c r="J167" s="257">
        <v>3.85232454518045E-4</v>
      </c>
      <c r="K167" s="386">
        <v>2.4621731299775902E-4</v>
      </c>
      <c r="L167" s="387">
        <v>2.9627871809186898E-4</v>
      </c>
      <c r="M167" s="258" t="s">
        <v>56</v>
      </c>
      <c r="N167" s="162">
        <v>0.16310499283768701</v>
      </c>
    </row>
    <row r="168" spans="3:15" x14ac:dyDescent="0.25">
      <c r="C168" s="174"/>
      <c r="D168" s="177"/>
      <c r="E168" s="177"/>
      <c r="F168" s="177"/>
      <c r="G168" s="177"/>
      <c r="H168" s="255" t="s">
        <v>230</v>
      </c>
      <c r="I168" s="162">
        <v>0.161975501057709</v>
      </c>
      <c r="J168" s="257">
        <v>4.0033299136098298E-4</v>
      </c>
      <c r="K168" s="386">
        <v>2.40369800368761E-4</v>
      </c>
      <c r="L168" s="386">
        <v>3.2013881839401302E-4</v>
      </c>
      <c r="M168" s="260" t="s">
        <v>56</v>
      </c>
      <c r="N168" s="162">
        <v>0.161975501057709</v>
      </c>
      <c r="O168" s="162">
        <v>7.7572025077854803E-4</v>
      </c>
    </row>
    <row r="169" spans="3:15" x14ac:dyDescent="0.25">
      <c r="C169" s="174"/>
      <c r="D169" s="177"/>
      <c r="E169" s="177"/>
      <c r="F169" s="177"/>
      <c r="G169" s="177"/>
      <c r="H169" s="255" t="s">
        <v>231</v>
      </c>
      <c r="I169" s="162">
        <v>0.16105921037521501</v>
      </c>
      <c r="J169" s="257">
        <v>3.9619496022466302E-4</v>
      </c>
      <c r="K169" s="386">
        <v>2.33412903380914E-4</v>
      </c>
      <c r="L169" s="386">
        <v>3.2013881839401302E-4</v>
      </c>
      <c r="M169" s="260" t="s">
        <v>56</v>
      </c>
      <c r="N169" s="162">
        <v>0.16105921037521501</v>
      </c>
    </row>
    <row r="170" spans="3:15" x14ac:dyDescent="0.25">
      <c r="C170" s="174"/>
      <c r="D170" s="177"/>
      <c r="E170" s="177"/>
      <c r="F170" s="177"/>
      <c r="G170" s="177"/>
      <c r="H170" s="177"/>
      <c r="I170" s="177"/>
      <c r="J170" s="177"/>
      <c r="K170" s="177"/>
      <c r="L170" s="177"/>
      <c r="M170" s="261"/>
    </row>
    <row r="171" spans="3:15" x14ac:dyDescent="0.25">
      <c r="C171" s="174"/>
      <c r="D171" s="177"/>
      <c r="E171" s="177"/>
      <c r="F171" s="177"/>
      <c r="G171" s="177"/>
      <c r="H171" s="177"/>
      <c r="I171" s="178"/>
      <c r="J171" s="178"/>
      <c r="K171" s="177"/>
      <c r="L171" s="177"/>
      <c r="M171" s="261"/>
    </row>
    <row r="172" spans="3:15" x14ac:dyDescent="0.25">
      <c r="C172" s="174"/>
      <c r="D172" s="177"/>
      <c r="E172" s="177"/>
      <c r="F172" s="177"/>
      <c r="G172" s="177"/>
      <c r="H172" s="262" t="s">
        <v>244</v>
      </c>
      <c r="I172" s="263">
        <f>(I167-I168)/2</f>
        <v>5.6474588998900455E-4</v>
      </c>
      <c r="J172" s="264" t="s">
        <v>56</v>
      </c>
      <c r="K172" s="177"/>
      <c r="L172" s="177"/>
      <c r="M172" s="176"/>
    </row>
    <row r="173" spans="3:15" x14ac:dyDescent="0.25">
      <c r="C173" s="179"/>
      <c r="D173" s="180"/>
      <c r="E173" s="180"/>
      <c r="F173" s="180"/>
      <c r="G173" s="180"/>
      <c r="H173" s="180"/>
      <c r="I173" s="180"/>
      <c r="J173" s="180"/>
      <c r="K173" s="180"/>
      <c r="L173" s="180"/>
      <c r="M173" s="181"/>
    </row>
  </sheetData>
  <mergeCells count="54">
    <mergeCell ref="CN23:CN26"/>
    <mergeCell ref="CO23:CO26"/>
    <mergeCell ref="CJ52:CL52"/>
    <mergeCell ref="CG56:CG59"/>
    <mergeCell ref="CH56:CH59"/>
    <mergeCell ref="CM56:CM59"/>
    <mergeCell ref="CN56:CN59"/>
    <mergeCell ref="CO56:CO59"/>
    <mergeCell ref="BN16:BR16"/>
    <mergeCell ref="CJ19:CL19"/>
    <mergeCell ref="CG23:CG26"/>
    <mergeCell ref="CH23:CH26"/>
    <mergeCell ref="CM23:CM26"/>
    <mergeCell ref="BH57:BH60"/>
    <mergeCell ref="BC53:BE53"/>
    <mergeCell ref="AZ57:AZ60"/>
    <mergeCell ref="BA57:BA60"/>
    <mergeCell ref="BF57:BF60"/>
    <mergeCell ref="BG57:BG60"/>
    <mergeCell ref="BB23:BB26"/>
    <mergeCell ref="Z16:AD16"/>
    <mergeCell ref="A15:E15"/>
    <mergeCell ref="I6:M6"/>
    <mergeCell ref="I28:M28"/>
    <mergeCell ref="I15:M15"/>
    <mergeCell ref="AW19:AY19"/>
    <mergeCell ref="AT23:AT26"/>
    <mergeCell ref="AU23:AU26"/>
    <mergeCell ref="AZ23:AZ26"/>
    <mergeCell ref="BA23:BA26"/>
    <mergeCell ref="I37:M37"/>
    <mergeCell ref="AD63:AF63"/>
    <mergeCell ref="AG67:AG70"/>
    <mergeCell ref="AH67:AH70"/>
    <mergeCell ref="AI67:AI70"/>
    <mergeCell ref="N67:N70"/>
    <mergeCell ref="G116:G119"/>
    <mergeCell ref="H116:H119"/>
    <mergeCell ref="I116:I119"/>
    <mergeCell ref="G100:G103"/>
    <mergeCell ref="H100:H103"/>
    <mergeCell ref="I100:I103"/>
    <mergeCell ref="B63:D63"/>
    <mergeCell ref="AE100:AE103"/>
    <mergeCell ref="AF100:AF103"/>
    <mergeCell ref="AG100:AG103"/>
    <mergeCell ref="D112:F112"/>
    <mergeCell ref="D96:F96"/>
    <mergeCell ref="AB96:AD96"/>
    <mergeCell ref="F67:F70"/>
    <mergeCell ref="G67:G70"/>
    <mergeCell ref="I63:K63"/>
    <mergeCell ref="L67:L70"/>
    <mergeCell ref="M67:M7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2F19-1CB3-419F-9D8C-EA1FB4935255}">
  <dimension ref="A1:N49"/>
  <sheetViews>
    <sheetView workbookViewId="0">
      <selection activeCell="H14" sqref="H14"/>
    </sheetView>
  </sheetViews>
  <sheetFormatPr defaultRowHeight="15.75" x14ac:dyDescent="0.25"/>
  <cols>
    <col min="2" max="2" width="11.75" bestFit="1" customWidth="1"/>
    <col min="4" max="4" width="16.5" bestFit="1" customWidth="1"/>
    <col min="5" max="5" width="10.5" bestFit="1" customWidth="1"/>
    <col min="6" max="6" width="14.625" bestFit="1" customWidth="1"/>
    <col min="8" max="8" width="9.25" customWidth="1"/>
    <col min="11" max="11" width="11.375" bestFit="1" customWidth="1"/>
  </cols>
  <sheetData>
    <row r="1" spans="1:14" x14ac:dyDescent="0.25">
      <c r="A1" s="25" t="s">
        <v>76</v>
      </c>
      <c r="B1" s="25" t="s">
        <v>77</v>
      </c>
      <c r="C1" s="25" t="s">
        <v>78</v>
      </c>
      <c r="D1" s="25" t="s">
        <v>79</v>
      </c>
      <c r="E1" s="25" t="s">
        <v>80</v>
      </c>
      <c r="F1" s="25" t="s">
        <v>81</v>
      </c>
    </row>
    <row r="2" spans="1:14" x14ac:dyDescent="0.25">
      <c r="A2" s="23" t="s">
        <v>82</v>
      </c>
      <c r="B2" s="27">
        <v>166.52027941212401</v>
      </c>
      <c r="C2" s="23">
        <v>40.78</v>
      </c>
      <c r="D2" s="23"/>
      <c r="E2" s="28">
        <v>40264424419.334991</v>
      </c>
      <c r="F2" s="29">
        <v>40.78</v>
      </c>
      <c r="J2" t="str">
        <f t="shared" ref="J2:L3" si="0">A2</f>
        <v>Os192</v>
      </c>
      <c r="K2" s="92">
        <f t="shared" si="0"/>
        <v>166.52027941212401</v>
      </c>
      <c r="L2">
        <f t="shared" si="0"/>
        <v>40.78</v>
      </c>
      <c r="N2">
        <f>K2*L2/100</f>
        <v>67.906969944264176</v>
      </c>
    </row>
    <row r="3" spans="1:14" x14ac:dyDescent="0.25">
      <c r="A3" s="23" t="s">
        <v>83</v>
      </c>
      <c r="B3" s="27">
        <v>166.52288319936042</v>
      </c>
      <c r="C3" s="23">
        <v>26.26</v>
      </c>
      <c r="D3" s="23"/>
      <c r="E3" s="28">
        <v>40265054012.287605</v>
      </c>
      <c r="F3" s="29">
        <v>26.26</v>
      </c>
      <c r="J3" t="str">
        <f t="shared" si="0"/>
        <v>Os190</v>
      </c>
      <c r="K3" s="92">
        <f t="shared" si="0"/>
        <v>166.52288319936042</v>
      </c>
      <c r="L3">
        <f t="shared" si="0"/>
        <v>26.26</v>
      </c>
      <c r="N3">
        <f t="shared" ref="N3:N8" si="1">K3*L3/100</f>
        <v>43.728909128152047</v>
      </c>
    </row>
    <row r="4" spans="1:14" x14ac:dyDescent="0.25">
      <c r="A4" s="85" t="s">
        <v>84</v>
      </c>
      <c r="B4" s="86">
        <v>166.5356994503336</v>
      </c>
      <c r="C4" s="85">
        <v>16.149999999999999</v>
      </c>
      <c r="D4" s="87">
        <v>6.25E-2</v>
      </c>
      <c r="E4" s="88">
        <v>40268152967.985191</v>
      </c>
      <c r="F4" s="89">
        <v>1.0093749999999999</v>
      </c>
      <c r="G4">
        <f>F4/$I$7</f>
        <v>6.25E-2</v>
      </c>
      <c r="H4">
        <f>G4*B4</f>
        <v>10.40848121564585</v>
      </c>
      <c r="J4" t="str">
        <f>A4</f>
        <v>Os189</v>
      </c>
      <c r="K4">
        <f>SUM(H4:H7)</f>
        <v>166.5248208521615</v>
      </c>
      <c r="L4">
        <f>C4</f>
        <v>16.149999999999999</v>
      </c>
      <c r="N4">
        <f t="shared" si="1"/>
        <v>26.893758567624083</v>
      </c>
    </row>
    <row r="5" spans="1:14" x14ac:dyDescent="0.25">
      <c r="A5" s="85"/>
      <c r="B5" s="86">
        <v>166.5441447049493</v>
      </c>
      <c r="C5" s="90"/>
      <c r="D5" s="87">
        <v>0.3125</v>
      </c>
      <c r="E5" s="88">
        <v>40270195021.465866</v>
      </c>
      <c r="F5" s="89">
        <v>5.046875</v>
      </c>
      <c r="G5">
        <f>F5/$I$7</f>
        <v>0.3125</v>
      </c>
      <c r="H5">
        <f t="shared" ref="H5:H7" si="2">G5*B5</f>
        <v>52.045045220296657</v>
      </c>
      <c r="J5" t="s">
        <v>85</v>
      </c>
      <c r="K5" s="92">
        <f>B8</f>
        <v>166.52570226293201</v>
      </c>
      <c r="L5">
        <f>C8</f>
        <v>13.24</v>
      </c>
      <c r="N5">
        <f t="shared" si="1"/>
        <v>22.048002979612196</v>
      </c>
    </row>
    <row r="6" spans="1:14" x14ac:dyDescent="0.25">
      <c r="A6" s="85"/>
      <c r="B6" s="86">
        <v>166.50984843864254</v>
      </c>
      <c r="C6" s="90"/>
      <c r="D6" s="87">
        <v>0.3125</v>
      </c>
      <c r="E6" s="88">
        <v>40261902221.168816</v>
      </c>
      <c r="F6" s="89">
        <v>5.046875</v>
      </c>
      <c r="G6">
        <f>F6/$I$7</f>
        <v>0.3125</v>
      </c>
      <c r="H6">
        <f t="shared" si="2"/>
        <v>52.034327637075791</v>
      </c>
      <c r="J6" t="s">
        <v>86</v>
      </c>
      <c r="K6">
        <f>SUM(H9:H12)</f>
        <v>166.52819701157188</v>
      </c>
      <c r="L6">
        <f>1.96</f>
        <v>1.96</v>
      </c>
      <c r="N6">
        <f t="shared" si="1"/>
        <v>3.2639526614268091</v>
      </c>
    </row>
    <row r="7" spans="1:14" x14ac:dyDescent="0.25">
      <c r="A7" s="85"/>
      <c r="B7" s="86">
        <v>166.51829369325824</v>
      </c>
      <c r="C7" s="90"/>
      <c r="D7" s="87">
        <v>0.3125</v>
      </c>
      <c r="E7" s="88">
        <v>40263944274.649483</v>
      </c>
      <c r="F7" s="89">
        <v>5.046875</v>
      </c>
      <c r="G7">
        <f>F7/$I$7</f>
        <v>0.3125</v>
      </c>
      <c r="H7">
        <f t="shared" si="2"/>
        <v>52.036966779143199</v>
      </c>
      <c r="I7" s="91">
        <f>SUM(F4:F7)</f>
        <v>16.149999999999999</v>
      </c>
      <c r="J7" s="23" t="s">
        <v>87</v>
      </c>
      <c r="K7" s="27">
        <v>166.52915517132104</v>
      </c>
      <c r="L7" s="23">
        <v>1.59</v>
      </c>
      <c r="N7">
        <f t="shared" si="1"/>
        <v>2.6478135672240044</v>
      </c>
    </row>
    <row r="8" spans="1:14" x14ac:dyDescent="0.25">
      <c r="A8" s="23" t="s">
        <v>85</v>
      </c>
      <c r="B8" s="27">
        <v>166.52570226293201</v>
      </c>
      <c r="C8" s="23">
        <v>13.24</v>
      </c>
      <c r="D8" s="23"/>
      <c r="E8" s="28">
        <v>40265735658.826462</v>
      </c>
      <c r="F8" s="29">
        <v>13.24</v>
      </c>
      <c r="J8" s="23" t="s">
        <v>88</v>
      </c>
      <c r="K8" s="27">
        <v>166.5326682944208</v>
      </c>
      <c r="L8" s="23">
        <v>0.02</v>
      </c>
      <c r="N8">
        <f t="shared" si="1"/>
        <v>3.3306533658884162E-2</v>
      </c>
    </row>
    <row r="9" spans="1:14" x14ac:dyDescent="0.25">
      <c r="A9" s="67" t="s">
        <v>86</v>
      </c>
      <c r="B9" s="68">
        <v>166.53011559682918</v>
      </c>
      <c r="C9" s="69">
        <v>1.96</v>
      </c>
      <c r="D9" s="70">
        <v>0</v>
      </c>
      <c r="E9" s="71">
        <v>40267112072.78241</v>
      </c>
      <c r="F9" s="72">
        <f>C$9*D9</f>
        <v>0</v>
      </c>
      <c r="G9">
        <f>F9/$I$12</f>
        <v>0</v>
      </c>
      <c r="H9">
        <f>G9*B9</f>
        <v>0</v>
      </c>
    </row>
    <row r="10" spans="1:14" x14ac:dyDescent="0.25">
      <c r="A10" s="73"/>
      <c r="B10" s="74">
        <v>166.53135666118482</v>
      </c>
      <c r="C10" s="75"/>
      <c r="D10" s="76">
        <v>0.25</v>
      </c>
      <c r="E10" s="77">
        <v>40267712248.834518</v>
      </c>
      <c r="F10" s="78">
        <f t="shared" ref="F10:F11" si="3">C$9*D10</f>
        <v>0.49</v>
      </c>
      <c r="G10">
        <f>F10/$I$12</f>
        <v>0.25</v>
      </c>
      <c r="H10">
        <f t="shared" ref="H10:H12" si="4">G10*B10</f>
        <v>41.632839165296204</v>
      </c>
      <c r="L10">
        <f>SUM(L2:L8)</f>
        <v>99.999999999999986</v>
      </c>
      <c r="N10">
        <f>SUM(N2:N8)</f>
        <v>166.52271338196218</v>
      </c>
    </row>
    <row r="11" spans="1:14" x14ac:dyDescent="0.25">
      <c r="A11" s="73"/>
      <c r="B11" s="74">
        <v>166.52631641879714</v>
      </c>
      <c r="C11" s="75"/>
      <c r="D11" s="76">
        <v>0.25</v>
      </c>
      <c r="E11" s="77">
        <v>40265274798.460426</v>
      </c>
      <c r="F11" s="78">
        <f t="shared" si="3"/>
        <v>0.49</v>
      </c>
      <c r="G11">
        <f>F11/$I$12</f>
        <v>0.25</v>
      </c>
      <c r="H11">
        <f t="shared" si="4"/>
        <v>41.631579104699284</v>
      </c>
    </row>
    <row r="12" spans="1:14" x14ac:dyDescent="0.25">
      <c r="A12" s="79"/>
      <c r="B12" s="80">
        <v>166.52755748315278</v>
      </c>
      <c r="C12" s="81"/>
      <c r="D12" s="82">
        <v>0.5</v>
      </c>
      <c r="E12" s="83">
        <v>40265874974.512535</v>
      </c>
      <c r="F12" s="84">
        <f>C$9*D12</f>
        <v>0.98</v>
      </c>
      <c r="G12">
        <f>F12/$I$12</f>
        <v>0.5</v>
      </c>
      <c r="H12">
        <f t="shared" si="4"/>
        <v>83.263778741576388</v>
      </c>
      <c r="I12" s="91">
        <f>SUM(F9:F12)</f>
        <v>1.96</v>
      </c>
    </row>
    <row r="13" spans="1:14" x14ac:dyDescent="0.25">
      <c r="A13" s="23" t="s">
        <v>87</v>
      </c>
      <c r="B13" s="27">
        <v>166.52915517132104</v>
      </c>
      <c r="C13" s="23">
        <v>1.59</v>
      </c>
      <c r="D13" s="23"/>
      <c r="E13" s="28">
        <v>40266570568.360291</v>
      </c>
      <c r="F13" s="29">
        <v>1.59</v>
      </c>
    </row>
    <row r="14" spans="1:14" x14ac:dyDescent="0.25">
      <c r="A14" s="23" t="s">
        <v>88</v>
      </c>
      <c r="B14" s="27">
        <v>166.5326682944208</v>
      </c>
      <c r="C14" s="23">
        <v>0.02</v>
      </c>
      <c r="D14" s="23"/>
      <c r="E14" s="28">
        <v>40267420037.746399</v>
      </c>
      <c r="F14" s="29">
        <v>0.02</v>
      </c>
    </row>
    <row r="17" spans="2:10" x14ac:dyDescent="0.25">
      <c r="B17">
        <f>7.4455-7.2913</f>
        <v>0.15420000000000034</v>
      </c>
    </row>
    <row r="19" spans="2:10" x14ac:dyDescent="0.25">
      <c r="B19" s="465" t="s">
        <v>137</v>
      </c>
      <c r="C19" s="465"/>
      <c r="G19" s="103" t="s">
        <v>139</v>
      </c>
      <c r="H19" s="103"/>
    </row>
    <row r="20" spans="2:10" x14ac:dyDescent="0.25">
      <c r="B20">
        <f>7.4476-7.2941</f>
        <v>0.15350000000000019</v>
      </c>
      <c r="C20">
        <f>SQRT(0.0002^2 + 0.0002^2)</f>
        <v>2.8284271247461902E-4</v>
      </c>
      <c r="G20">
        <v>7.4489999999999998</v>
      </c>
    </row>
    <row r="21" spans="2:10" x14ac:dyDescent="0.25">
      <c r="B21">
        <f>7.6551-7.493</f>
        <v>0.16209999999999969</v>
      </c>
      <c r="G21">
        <v>7.2948000000000004</v>
      </c>
    </row>
    <row r="22" spans="2:10" x14ac:dyDescent="0.25">
      <c r="C22" t="s">
        <v>140</v>
      </c>
      <c r="D22" t="s">
        <v>141</v>
      </c>
      <c r="G22">
        <f>G20-G21</f>
        <v>0.15419999999999945</v>
      </c>
      <c r="H22">
        <f>SQRT(0.0013^2 + 0.0013^2)</f>
        <v>1.8384776310850235E-3</v>
      </c>
    </row>
    <row r="23" spans="2:10" x14ac:dyDescent="0.25">
      <c r="C23">
        <f>SQRT((0.0000792959814011651)^2 + (0.000123760796635439)^2)</f>
        <v>1.4698499056098351E-4</v>
      </c>
      <c r="D23">
        <f>SQRT((0.0000875916105002976)^2 + (0.000116735125901694)^2)</f>
        <v>1.4594307057657857E-4</v>
      </c>
    </row>
    <row r="27" spans="2:10" x14ac:dyDescent="0.25">
      <c r="B27" s="465" t="s">
        <v>138</v>
      </c>
      <c r="C27" s="465"/>
      <c r="F27">
        <v>161.922</v>
      </c>
      <c r="G27">
        <v>4.2000000000000003E-2</v>
      </c>
      <c r="I27">
        <v>7.6570299999999998</v>
      </c>
      <c r="J27">
        <f>I27*(G27/F27)</f>
        <v>1.9861122021714163E-3</v>
      </c>
    </row>
    <row r="28" spans="2:10" x14ac:dyDescent="0.25">
      <c r="B28">
        <f>7.4477-7.2941</f>
        <v>0.15359999999999996</v>
      </c>
      <c r="F28">
        <v>165.43299999999999</v>
      </c>
      <c r="G28">
        <v>4.3999999999999997E-2</v>
      </c>
      <c r="I28">
        <v>7.4945300000000001</v>
      </c>
      <c r="J28">
        <f>I28*(G28/F28)</f>
        <v>1.9933104036075028E-3</v>
      </c>
    </row>
    <row r="29" spans="2:10" x14ac:dyDescent="0.25">
      <c r="B29" s="4">
        <f>7.655-7.493</f>
        <v>0.16199999999999992</v>
      </c>
      <c r="C29" t="s">
        <v>140</v>
      </c>
      <c r="D29" t="s">
        <v>141</v>
      </c>
      <c r="I29">
        <f>I27-I28</f>
        <v>0.16249999999999964</v>
      </c>
    </row>
    <row r="30" spans="2:10" x14ac:dyDescent="0.25">
      <c r="C30">
        <f>SQRT((0.00010666699269255)^2 +(0.000104231910352482)^2)</f>
        <v>1.4913798465112889E-4</v>
      </c>
      <c r="D30">
        <f>SQRT((0.0000832441827762913)^2 +(0.000130122591838497)^2)</f>
        <v>1.5447162481459396E-4</v>
      </c>
    </row>
    <row r="33" spans="3:10" ht="16.5" thickBot="1" x14ac:dyDescent="0.3"/>
    <row r="34" spans="3:10" ht="16.5" thickBot="1" x14ac:dyDescent="0.3">
      <c r="E34" s="105" t="s">
        <v>144</v>
      </c>
      <c r="I34" s="105" t="s">
        <v>151</v>
      </c>
    </row>
    <row r="35" spans="3:10" x14ac:dyDescent="0.25">
      <c r="C35" s="106" t="s">
        <v>154</v>
      </c>
      <c r="D35" s="106" t="s">
        <v>145</v>
      </c>
      <c r="E35" s="106" t="s">
        <v>146</v>
      </c>
      <c r="F35" s="106" t="s">
        <v>71</v>
      </c>
      <c r="G35" s="106"/>
      <c r="H35" s="106" t="s">
        <v>145</v>
      </c>
      <c r="I35" s="106" t="s">
        <v>146</v>
      </c>
      <c r="J35" s="106" t="s">
        <v>71</v>
      </c>
    </row>
    <row r="36" spans="3:10" x14ac:dyDescent="0.25">
      <c r="C36" s="106">
        <v>1</v>
      </c>
      <c r="D36" s="106" t="s">
        <v>147</v>
      </c>
      <c r="E36" s="52">
        <v>7.4476000000000004</v>
      </c>
      <c r="F36" s="52">
        <v>1.8015899320348899E-4</v>
      </c>
      <c r="G36" s="106"/>
      <c r="H36" s="106" t="s">
        <v>147</v>
      </c>
      <c r="I36" s="52">
        <v>7.2941304892272498</v>
      </c>
      <c r="J36" s="52">
        <v>1.6830166728921099E-4</v>
      </c>
    </row>
    <row r="37" spans="3:10" x14ac:dyDescent="0.25">
      <c r="C37" s="106">
        <v>2</v>
      </c>
      <c r="D37" s="106" t="s">
        <v>148</v>
      </c>
      <c r="E37" s="106">
        <v>7.4477000000000002</v>
      </c>
      <c r="F37" s="106">
        <v>2.0000000000000001E-4</v>
      </c>
      <c r="G37" s="106"/>
      <c r="H37" s="106" t="s">
        <v>148</v>
      </c>
      <c r="I37" s="106">
        <v>7.2946</v>
      </c>
      <c r="J37" s="106">
        <v>2.0000000000000001E-4</v>
      </c>
    </row>
    <row r="38" spans="3:10" x14ac:dyDescent="0.25">
      <c r="C38" s="106">
        <v>3</v>
      </c>
      <c r="D38" s="106" t="s">
        <v>120</v>
      </c>
      <c r="E38" s="106">
        <v>7.4462000000000002</v>
      </c>
      <c r="F38" s="123">
        <v>8.3169628318964604E-4</v>
      </c>
      <c r="G38" s="106"/>
      <c r="H38" s="106" t="s">
        <v>120</v>
      </c>
      <c r="I38" s="106">
        <v>7.2919999999999998</v>
      </c>
      <c r="J38" s="106">
        <v>2.46724871580652E-3</v>
      </c>
    </row>
    <row r="39" spans="3:10" x14ac:dyDescent="0.25">
      <c r="C39" s="106">
        <v>4</v>
      </c>
      <c r="D39" s="106" t="s">
        <v>149</v>
      </c>
      <c r="E39" s="106">
        <v>7.4489999999999998</v>
      </c>
      <c r="F39" s="106">
        <v>1.2999999999999999E-3</v>
      </c>
      <c r="G39" s="106"/>
      <c r="H39" s="106" t="s">
        <v>149</v>
      </c>
      <c r="I39" s="106">
        <v>7.2948000000000004</v>
      </c>
      <c r="J39" s="106">
        <v>1.2999999999999999E-3</v>
      </c>
    </row>
    <row r="40" spans="3:10" x14ac:dyDescent="0.25">
      <c r="C40" s="106">
        <v>5</v>
      </c>
      <c r="D40" s="106" t="s">
        <v>150</v>
      </c>
      <c r="E40" s="106">
        <v>7.4506600000000001</v>
      </c>
      <c r="F40" s="123">
        <v>2.2386400000000001E-3</v>
      </c>
      <c r="G40" s="106"/>
      <c r="H40" s="106" t="s">
        <v>150</v>
      </c>
      <c r="I40" s="106">
        <v>7.2966199999999999</v>
      </c>
      <c r="J40" s="106">
        <v>2.14707509416195E-3</v>
      </c>
    </row>
    <row r="41" spans="3:10" x14ac:dyDescent="0.25">
      <c r="C41" s="106"/>
      <c r="D41" s="106"/>
      <c r="E41" s="106"/>
      <c r="F41" s="106"/>
      <c r="G41" s="106"/>
      <c r="H41" s="106"/>
      <c r="I41" s="106"/>
      <c r="J41" s="106"/>
    </row>
    <row r="42" spans="3:10" x14ac:dyDescent="0.25">
      <c r="C42" s="106"/>
      <c r="D42" s="106"/>
      <c r="E42" s="106"/>
      <c r="F42" s="106"/>
      <c r="G42" s="106"/>
      <c r="H42" s="106"/>
      <c r="I42" s="106"/>
      <c r="J42" s="106"/>
    </row>
    <row r="43" spans="3:10" x14ac:dyDescent="0.25">
      <c r="C43" s="106"/>
      <c r="D43" s="106"/>
      <c r="E43" s="106" t="s">
        <v>152</v>
      </c>
      <c r="F43" s="106"/>
      <c r="G43" s="106"/>
      <c r="H43" s="106"/>
      <c r="I43" s="106" t="s">
        <v>153</v>
      </c>
      <c r="J43" s="106"/>
    </row>
    <row r="44" spans="3:10" x14ac:dyDescent="0.25">
      <c r="C44" s="106"/>
      <c r="D44" s="106" t="s">
        <v>145</v>
      </c>
      <c r="E44" s="106" t="s">
        <v>146</v>
      </c>
      <c r="F44" s="106" t="s">
        <v>71</v>
      </c>
      <c r="G44" s="106"/>
      <c r="H44" s="106" t="s">
        <v>145</v>
      </c>
      <c r="I44" s="106" t="s">
        <v>146</v>
      </c>
      <c r="J44" s="106" t="s">
        <v>71</v>
      </c>
    </row>
    <row r="45" spans="3:10" x14ac:dyDescent="0.25">
      <c r="C45" s="106"/>
      <c r="D45" s="106" t="s">
        <v>147</v>
      </c>
      <c r="E45" s="52">
        <v>7.6550562627676104</v>
      </c>
      <c r="F45" s="52">
        <v>1.6830166728921099E-4</v>
      </c>
      <c r="G45" s="106"/>
      <c r="H45" s="106" t="s">
        <v>147</v>
      </c>
      <c r="I45" s="52">
        <v>7.4929520911420102</v>
      </c>
      <c r="J45" s="52">
        <v>1.6813047593010501E-4</v>
      </c>
    </row>
    <row r="46" spans="3:10" x14ac:dyDescent="0.25">
      <c r="C46" s="106"/>
      <c r="D46" s="106" t="s">
        <v>148</v>
      </c>
      <c r="E46" s="106">
        <v>7.6553000000000004</v>
      </c>
      <c r="F46" s="106">
        <v>2.0000000000000001E-4</v>
      </c>
      <c r="G46" s="106"/>
      <c r="H46" s="106" t="s">
        <v>148</v>
      </c>
      <c r="I46" s="106">
        <v>7.4931999999999999</v>
      </c>
      <c r="J46" s="106">
        <v>2.0000000000000001E-4</v>
      </c>
    </row>
    <row r="47" spans="3:10" x14ac:dyDescent="0.25">
      <c r="C47" s="106"/>
      <c r="D47" s="106" t="s">
        <v>120</v>
      </c>
      <c r="E47" s="106"/>
      <c r="F47" s="106"/>
      <c r="G47" s="106"/>
      <c r="H47" s="106" t="s">
        <v>120</v>
      </c>
      <c r="I47" s="106"/>
      <c r="J47" s="106"/>
    </row>
    <row r="48" spans="3:10" x14ac:dyDescent="0.25">
      <c r="C48" s="106"/>
      <c r="D48" s="106" t="s">
        <v>36</v>
      </c>
      <c r="E48" s="106">
        <v>7.657</v>
      </c>
      <c r="F48" s="106">
        <v>2E-3</v>
      </c>
      <c r="G48" s="106"/>
      <c r="H48" s="106" t="s">
        <v>36</v>
      </c>
      <c r="I48" s="106">
        <v>7.4945000000000004</v>
      </c>
      <c r="J48" s="106">
        <v>2E-3</v>
      </c>
    </row>
    <row r="49" spans="3:10" x14ac:dyDescent="0.25">
      <c r="C49" s="106"/>
      <c r="D49" s="106" t="s">
        <v>150</v>
      </c>
      <c r="E49" s="106"/>
      <c r="F49" s="106"/>
      <c r="G49" s="106"/>
      <c r="H49" s="106" t="s">
        <v>150</v>
      </c>
      <c r="I49" s="106"/>
      <c r="J49" s="106"/>
    </row>
  </sheetData>
  <mergeCells count="2">
    <mergeCell ref="B19:C19"/>
    <mergeCell ref="B27:C2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68DA-B01C-404D-8FC2-9032E0AB3FF1}">
  <dimension ref="A1:J34"/>
  <sheetViews>
    <sheetView workbookViewId="0">
      <selection activeCell="J8" sqref="J8"/>
    </sheetView>
  </sheetViews>
  <sheetFormatPr defaultRowHeight="15" x14ac:dyDescent="0.25"/>
  <cols>
    <col min="1" max="1" width="26.125" style="297" customWidth="1"/>
    <col min="2" max="2" width="12.625" style="303" customWidth="1"/>
    <col min="3" max="3" width="15.875" style="297" customWidth="1"/>
    <col min="4" max="4" width="22.5" style="297" customWidth="1"/>
    <col min="5" max="5" width="11.5" style="297" customWidth="1"/>
    <col min="6" max="6" width="18" style="297" customWidth="1"/>
    <col min="7" max="7" width="27.375" style="297" customWidth="1"/>
    <col min="8" max="8" width="25.625" style="297" customWidth="1"/>
    <col min="9" max="9" width="19.25" style="297" customWidth="1"/>
    <col min="10" max="16384" width="9" style="297"/>
  </cols>
  <sheetData>
    <row r="1" spans="1:10" x14ac:dyDescent="0.25">
      <c r="A1" s="295" t="s">
        <v>256</v>
      </c>
      <c r="B1" s="296" t="s">
        <v>77</v>
      </c>
      <c r="C1" s="295" t="s">
        <v>78</v>
      </c>
      <c r="D1" s="295" t="s">
        <v>104</v>
      </c>
      <c r="E1" s="295" t="s">
        <v>80</v>
      </c>
      <c r="F1" s="295" t="s">
        <v>81</v>
      </c>
    </row>
    <row r="2" spans="1:10" x14ac:dyDescent="0.25">
      <c r="A2" s="298" t="s">
        <v>105</v>
      </c>
      <c r="B2" s="299">
        <v>165.14741131773843</v>
      </c>
      <c r="C2" s="297">
        <v>62.7</v>
      </c>
      <c r="D2" s="300">
        <f>1/3</f>
        <v>0.33333333333333331</v>
      </c>
      <c r="E2" s="301">
        <f>B2*241798924.2</f>
        <v>39932466391.044052</v>
      </c>
      <c r="F2" s="302">
        <f>D2*C$2</f>
        <v>20.9</v>
      </c>
      <c r="G2" s="297">
        <f>B2*F2</f>
        <v>3451.5808965407332</v>
      </c>
    </row>
    <row r="3" spans="1:10" x14ac:dyDescent="0.25">
      <c r="B3" s="299">
        <v>165.15102651028593</v>
      </c>
      <c r="D3" s="300">
        <f>1/3</f>
        <v>0.33333333333333331</v>
      </c>
      <c r="E3" s="301">
        <f t="shared" ref="E3:E8" si="0">B3*241798924.2</f>
        <v>39933340540.712814</v>
      </c>
      <c r="F3" s="302">
        <f t="shared" ref="F3:F4" si="1">D3*C$2</f>
        <v>20.9</v>
      </c>
      <c r="G3" s="297">
        <f t="shared" ref="G3:G8" si="2">B3*F3</f>
        <v>3451.6564540649756</v>
      </c>
    </row>
    <row r="4" spans="1:10" x14ac:dyDescent="0.25">
      <c r="B4" s="299">
        <v>165.15625846851003</v>
      </c>
      <c r="D4" s="300">
        <f>1/3</f>
        <v>0.33333333333333331</v>
      </c>
      <c r="E4" s="301">
        <f t="shared" si="0"/>
        <v>39934605622.582863</v>
      </c>
      <c r="F4" s="302">
        <f t="shared" si="1"/>
        <v>20.9</v>
      </c>
      <c r="G4" s="297">
        <f t="shared" si="2"/>
        <v>3451.7658019918595</v>
      </c>
    </row>
    <row r="5" spans="1:10" x14ac:dyDescent="0.25">
      <c r="B5" s="299"/>
      <c r="E5" s="301"/>
      <c r="F5" s="302"/>
    </row>
    <row r="6" spans="1:10" x14ac:dyDescent="0.25">
      <c r="A6" s="298" t="s">
        <v>106</v>
      </c>
      <c r="B6" s="299">
        <v>165.15063833108769</v>
      </c>
      <c r="C6" s="297">
        <v>37.299999999999997</v>
      </c>
      <c r="D6" s="300">
        <f>1/3</f>
        <v>0.33333333333333331</v>
      </c>
      <c r="E6" s="301">
        <f t="shared" si="0"/>
        <v>39933246679.400284</v>
      </c>
      <c r="F6" s="302">
        <f>C$6*D6</f>
        <v>12.433333333333332</v>
      </c>
      <c r="G6" s="297">
        <f t="shared" si="2"/>
        <v>2053.37293658319</v>
      </c>
    </row>
    <row r="7" spans="1:10" x14ac:dyDescent="0.25">
      <c r="B7" s="299">
        <v>165.15401915528403</v>
      </c>
      <c r="D7" s="300">
        <f>1/3</f>
        <v>0.33333333333333331</v>
      </c>
      <c r="E7" s="301">
        <f t="shared" si="0"/>
        <v>39934064159.053871</v>
      </c>
      <c r="F7" s="302">
        <f t="shared" ref="F7:F8" si="3">C$6*D7</f>
        <v>12.433333333333332</v>
      </c>
      <c r="G7" s="297">
        <f t="shared" si="2"/>
        <v>2053.4149714973646</v>
      </c>
      <c r="I7" s="299">
        <f>MAX(B2:B4,B6:B8)</f>
        <v>165.15879182730245</v>
      </c>
    </row>
    <row r="8" spans="1:10" x14ac:dyDescent="0.25">
      <c r="B8" s="299">
        <v>165.15879182730245</v>
      </c>
      <c r="D8" s="300">
        <f>1/3</f>
        <v>0.33333333333333331</v>
      </c>
      <c r="E8" s="301">
        <f t="shared" si="0"/>
        <v>39935218186.013481</v>
      </c>
      <c r="F8" s="302">
        <f t="shared" si="3"/>
        <v>12.433333333333332</v>
      </c>
      <c r="G8" s="297">
        <f t="shared" si="2"/>
        <v>2053.4743117194603</v>
      </c>
      <c r="I8" s="299">
        <f>MIN(B2:B4,B6:B8)</f>
        <v>165.14741131773843</v>
      </c>
      <c r="J8" s="299">
        <f>I7-I8</f>
        <v>1.1380509564020258E-2</v>
      </c>
    </row>
    <row r="9" spans="1:10" x14ac:dyDescent="0.25">
      <c r="F9" s="302"/>
      <c r="G9" s="304">
        <f>SUM(G2:G8)/100</f>
        <v>165.15265372397582</v>
      </c>
      <c r="H9" s="297" t="s">
        <v>107</v>
      </c>
    </row>
    <row r="10" spans="1:10" x14ac:dyDescent="0.25">
      <c r="A10" s="295" t="s">
        <v>257</v>
      </c>
      <c r="B10" s="296" t="s">
        <v>77</v>
      </c>
      <c r="C10" s="295" t="s">
        <v>78</v>
      </c>
      <c r="D10" s="295" t="s">
        <v>104</v>
      </c>
      <c r="E10" s="295" t="s">
        <v>80</v>
      </c>
      <c r="F10" s="295" t="s">
        <v>81</v>
      </c>
    </row>
    <row r="11" spans="1:10" x14ac:dyDescent="0.25">
      <c r="A11" s="298" t="s">
        <v>105</v>
      </c>
      <c r="B11" s="297">
        <v>633.22909031323923</v>
      </c>
      <c r="C11" s="297">
        <v>62.7</v>
      </c>
      <c r="D11" s="300">
        <f>1/3</f>
        <v>0.33333333333333331</v>
      </c>
      <c r="E11" s="297">
        <f>B11*241798924.2</f>
        <v>153114112809.88586</v>
      </c>
      <c r="F11" s="302">
        <f t="shared" ref="F11:F13" si="4">D11*C$11</f>
        <v>20.9</v>
      </c>
      <c r="G11" s="297">
        <f>B11*F11</f>
        <v>13234.4879875467</v>
      </c>
    </row>
    <row r="12" spans="1:10" x14ac:dyDescent="0.25">
      <c r="B12" s="297">
        <v>633.22590314796469</v>
      </c>
      <c r="D12" s="300">
        <f>1/3</f>
        <v>0.33333333333333331</v>
      </c>
      <c r="E12" s="297">
        <f t="shared" ref="E12:E17" si="5">B12*241798924.2</f>
        <v>153113342156.75125</v>
      </c>
      <c r="F12" s="302">
        <f t="shared" si="4"/>
        <v>20.9</v>
      </c>
      <c r="G12" s="297">
        <f t="shared" ref="G12:G17" si="6">B12*F12</f>
        <v>13234.421375792461</v>
      </c>
    </row>
    <row r="13" spans="1:10" x14ac:dyDescent="0.25">
      <c r="B13" s="297">
        <v>633.22543413622316</v>
      </c>
      <c r="D13" s="300">
        <f>1/3</f>
        <v>0.33333333333333331</v>
      </c>
      <c r="E13" s="297">
        <f t="shared" si="5"/>
        <v>153113228750.21671</v>
      </c>
      <c r="F13" s="302">
        <f t="shared" si="4"/>
        <v>20.9</v>
      </c>
      <c r="G13" s="297">
        <f t="shared" si="6"/>
        <v>13234.411573447063</v>
      </c>
    </row>
    <row r="14" spans="1:10" x14ac:dyDescent="0.25">
      <c r="F14" s="302"/>
    </row>
    <row r="15" spans="1:10" x14ac:dyDescent="0.25">
      <c r="A15" s="298" t="s">
        <v>106</v>
      </c>
      <c r="B15" s="305">
        <v>633.23207415771253</v>
      </c>
      <c r="C15" s="297">
        <v>37.299999999999997</v>
      </c>
      <c r="D15" s="300">
        <f>1/3</f>
        <v>0.33333333333333331</v>
      </c>
      <c r="E15" s="297">
        <f t="shared" si="5"/>
        <v>153114834300.2695</v>
      </c>
      <c r="F15" s="302">
        <f>D15*C$15</f>
        <v>12.433333333333332</v>
      </c>
      <c r="G15" s="297">
        <f t="shared" si="6"/>
        <v>7873.1854553608919</v>
      </c>
    </row>
    <row r="16" spans="1:10" x14ac:dyDescent="0.25">
      <c r="B16" s="305">
        <v>633.2287813392378</v>
      </c>
      <c r="D16" s="300">
        <f>1/3</f>
        <v>0.33333333333333331</v>
      </c>
      <c r="E16" s="297">
        <f t="shared" si="5"/>
        <v>153114038100.30472</v>
      </c>
      <c r="F16" s="302">
        <f t="shared" ref="F16:F17" si="7">D16*C$15</f>
        <v>12.433333333333332</v>
      </c>
      <c r="G16" s="297">
        <f t="shared" si="6"/>
        <v>7873.1445146511887</v>
      </c>
    </row>
    <row r="17" spans="1:7" x14ac:dyDescent="0.25">
      <c r="B17" s="297">
        <v>633.22855349321753</v>
      </c>
      <c r="D17" s="300">
        <f>1/3</f>
        <v>0.33333333333333331</v>
      </c>
      <c r="E17" s="297">
        <f t="shared" si="5"/>
        <v>153113983007.38214</v>
      </c>
      <c r="F17" s="302">
        <f t="shared" si="7"/>
        <v>12.433333333333332</v>
      </c>
      <c r="G17" s="297">
        <f t="shared" si="6"/>
        <v>7873.14168176567</v>
      </c>
    </row>
    <row r="18" spans="1:7" x14ac:dyDescent="0.25">
      <c r="F18" s="302"/>
      <c r="G18" s="304">
        <f>SUM(G11:G17)/100</f>
        <v>633.22792588563982</v>
      </c>
    </row>
    <row r="19" spans="1:7" x14ac:dyDescent="0.25">
      <c r="F19" s="302"/>
    </row>
    <row r="20" spans="1:7" x14ac:dyDescent="0.25">
      <c r="F20" s="302"/>
    </row>
    <row r="21" spans="1:7" x14ac:dyDescent="0.25">
      <c r="A21" s="306" t="s">
        <v>91</v>
      </c>
    </row>
    <row r="22" spans="1:7" x14ac:dyDescent="0.25">
      <c r="A22" s="297" t="s">
        <v>92</v>
      </c>
      <c r="B22" s="303" t="s">
        <v>93</v>
      </c>
      <c r="C22" s="307" t="s">
        <v>94</v>
      </c>
      <c r="D22" s="307" t="s">
        <v>95</v>
      </c>
    </row>
    <row r="23" spans="1:7" x14ac:dyDescent="0.25">
      <c r="B23" s="303">
        <v>165.1526534711</v>
      </c>
      <c r="C23" s="297">
        <f>1000000000/806554.3937/B23</f>
        <v>7.5072483446512903</v>
      </c>
    </row>
    <row r="25" spans="1:7" x14ac:dyDescent="0.25">
      <c r="A25" s="306" t="s">
        <v>97</v>
      </c>
    </row>
    <row r="29" spans="1:7" x14ac:dyDescent="0.25">
      <c r="A29" s="306" t="s">
        <v>99</v>
      </c>
      <c r="B29" s="308" t="s">
        <v>100</v>
      </c>
      <c r="C29" s="306"/>
      <c r="D29" s="306" t="s">
        <v>101</v>
      </c>
    </row>
    <row r="30" spans="1:7" x14ac:dyDescent="0.25">
      <c r="A30" s="297" t="s">
        <v>33</v>
      </c>
      <c r="B30" s="309">
        <v>-3616.2851935232134</v>
      </c>
      <c r="C30" s="297" t="s">
        <v>102</v>
      </c>
    </row>
    <row r="31" spans="1:7" x14ac:dyDescent="0.25">
      <c r="B31" s="309">
        <v>-3657.0928300325459</v>
      </c>
      <c r="C31" s="297" t="s">
        <v>103</v>
      </c>
    </row>
    <row r="32" spans="1:7" x14ac:dyDescent="0.25">
      <c r="B32" s="309"/>
    </row>
    <row r="33" spans="1:3" x14ac:dyDescent="0.25">
      <c r="A33" s="297" t="s">
        <v>34</v>
      </c>
      <c r="B33" s="302">
        <v>-3904.8999935597553</v>
      </c>
      <c r="C33" s="297" t="s">
        <v>102</v>
      </c>
    </row>
    <row r="34" spans="1:3" x14ac:dyDescent="0.25">
      <c r="B34" s="302">
        <v>-3948.8001008688875</v>
      </c>
      <c r="C34" s="297" t="s">
        <v>103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22F9-DCDA-47A6-A426-E87F338CB673}">
  <dimension ref="A1:L49"/>
  <sheetViews>
    <sheetView workbookViewId="0">
      <selection activeCell="L12" sqref="L12"/>
    </sheetView>
  </sheetViews>
  <sheetFormatPr defaultRowHeight="15" x14ac:dyDescent="0.25"/>
  <cols>
    <col min="1" max="1" width="26.25" style="297" customWidth="1"/>
    <col min="2" max="3" width="15" style="297" customWidth="1"/>
    <col min="4" max="4" width="16.75" style="297" customWidth="1"/>
    <col min="5" max="5" width="11.25" style="297" customWidth="1"/>
    <col min="6" max="6" width="12.75" style="297" customWidth="1"/>
    <col min="7" max="7" width="15.375" style="297" customWidth="1"/>
    <col min="8" max="16384" width="9" style="297"/>
  </cols>
  <sheetData>
    <row r="1" spans="1:12" x14ac:dyDescent="0.25">
      <c r="A1" s="295" t="s">
        <v>256</v>
      </c>
      <c r="B1" s="295" t="s">
        <v>77</v>
      </c>
      <c r="C1" s="295" t="s">
        <v>78</v>
      </c>
      <c r="D1" s="295" t="s">
        <v>79</v>
      </c>
      <c r="E1" s="295" t="s">
        <v>80</v>
      </c>
      <c r="F1" s="295" t="s">
        <v>81</v>
      </c>
      <c r="G1" s="296"/>
    </row>
    <row r="2" spans="1:12" x14ac:dyDescent="0.25">
      <c r="A2" s="297" t="s">
        <v>82</v>
      </c>
      <c r="B2" s="310">
        <v>161.65024</v>
      </c>
      <c r="C2" s="297">
        <v>40.78</v>
      </c>
      <c r="E2" s="301">
        <f>B2*241798924.2</f>
        <v>39086854128.671806</v>
      </c>
      <c r="F2" s="302">
        <f>C2</f>
        <v>40.78</v>
      </c>
      <c r="G2" s="303">
        <f>B2*F2</f>
        <v>6592.0967872000001</v>
      </c>
      <c r="I2" s="311"/>
      <c r="J2" s="311"/>
      <c r="K2" s="311"/>
    </row>
    <row r="3" spans="1:12" x14ac:dyDescent="0.25">
      <c r="A3" s="297" t="s">
        <v>83</v>
      </c>
      <c r="B3" s="311">
        <v>161.65278542546159</v>
      </c>
      <c r="C3" s="297">
        <v>26.26</v>
      </c>
      <c r="E3" s="301">
        <f>B3*241798924.2</f>
        <v>39087469609.810051</v>
      </c>
      <c r="F3" s="302">
        <f>C3</f>
        <v>26.26</v>
      </c>
      <c r="G3" s="303">
        <f t="shared" ref="G3:G11" si="0">B3*F3</f>
        <v>4245.0021452726214</v>
      </c>
      <c r="I3" s="311"/>
      <c r="J3" s="311"/>
      <c r="K3" s="311"/>
    </row>
    <row r="4" spans="1:12" x14ac:dyDescent="0.25">
      <c r="A4" s="297" t="s">
        <v>84</v>
      </c>
      <c r="B4" s="303">
        <v>161.63329992297204</v>
      </c>
      <c r="C4" s="297">
        <v>16.149999999999999</v>
      </c>
      <c r="D4" s="300">
        <f>1/3</f>
        <v>0.33333333333333331</v>
      </c>
      <c r="E4" s="301">
        <f t="shared" ref="E4:E9" si="1">B4*241798924.2</f>
        <v>39082758036.270584</v>
      </c>
      <c r="F4" s="302">
        <f>C$4*D4</f>
        <v>5.3833333333333329</v>
      </c>
      <c r="G4" s="303">
        <f t="shared" si="0"/>
        <v>870.12593125199942</v>
      </c>
      <c r="I4" s="311"/>
      <c r="J4" s="311"/>
      <c r="K4" s="300"/>
    </row>
    <row r="5" spans="1:12" x14ac:dyDescent="0.25">
      <c r="B5" s="303">
        <v>161.64635154554108</v>
      </c>
      <c r="C5" s="312"/>
      <c r="D5" s="300">
        <f>1/3</f>
        <v>0.33333333333333331</v>
      </c>
      <c r="E5" s="301">
        <f t="shared" si="1"/>
        <v>39085913904.566841</v>
      </c>
      <c r="F5" s="302">
        <f t="shared" ref="F5:F6" si="2">C$4*D5</f>
        <v>5.3833333333333329</v>
      </c>
      <c r="G5" s="303">
        <f t="shared" si="0"/>
        <v>870.19619248682943</v>
      </c>
      <c r="I5" s="311"/>
      <c r="J5" s="311"/>
      <c r="K5" s="311"/>
    </row>
    <row r="6" spans="1:12" x14ac:dyDescent="0.25">
      <c r="B6" s="303">
        <v>161.66721280815287</v>
      </c>
      <c r="C6" s="312"/>
      <c r="D6" s="300">
        <f>1/3</f>
        <v>0.33333333333333331</v>
      </c>
      <c r="E6" s="301">
        <f t="shared" si="1"/>
        <v>39090958135.42382</v>
      </c>
      <c r="F6" s="302">
        <f t="shared" si="2"/>
        <v>5.3833333333333329</v>
      </c>
      <c r="G6" s="303">
        <f t="shared" si="0"/>
        <v>870.30849561722289</v>
      </c>
    </row>
    <row r="7" spans="1:12" x14ac:dyDescent="0.25">
      <c r="A7" s="297" t="s">
        <v>85</v>
      </c>
      <c r="B7" s="303">
        <v>161.65554130126722</v>
      </c>
      <c r="C7" s="297">
        <v>13.24</v>
      </c>
      <c r="E7" s="301">
        <f t="shared" si="1"/>
        <v>39088135977.615082</v>
      </c>
      <c r="F7" s="302">
        <f>C7</f>
        <v>13.24</v>
      </c>
      <c r="G7" s="303">
        <f t="shared" si="0"/>
        <v>2140.3193668287781</v>
      </c>
    </row>
    <row r="8" spans="1:12" x14ac:dyDescent="0.25">
      <c r="A8" s="297" t="s">
        <v>86</v>
      </c>
      <c r="B8" s="303">
        <v>161.65542490156426</v>
      </c>
      <c r="C8" s="297">
        <v>1.96</v>
      </c>
      <c r="D8" s="300">
        <v>0.5</v>
      </c>
      <c r="E8" s="301">
        <f t="shared" si="1"/>
        <v>39088107832.29213</v>
      </c>
      <c r="F8" s="302">
        <f>C$8*D8</f>
        <v>0.98</v>
      </c>
      <c r="G8" s="303">
        <f t="shared" si="0"/>
        <v>158.42231640353296</v>
      </c>
    </row>
    <row r="9" spans="1:12" x14ac:dyDescent="0.25">
      <c r="B9" s="303">
        <v>161.65914317568047</v>
      </c>
      <c r="D9" s="300">
        <v>0.5</v>
      </c>
      <c r="E9" s="301">
        <f t="shared" si="1"/>
        <v>39089006906.973305</v>
      </c>
      <c r="F9" s="302">
        <f t="shared" ref="F9" si="3">C$8*D9</f>
        <v>0.98</v>
      </c>
      <c r="G9" s="303">
        <f t="shared" si="0"/>
        <v>158.42596031216686</v>
      </c>
      <c r="I9" s="311"/>
      <c r="J9" s="311"/>
      <c r="K9" s="311"/>
    </row>
    <row r="10" spans="1:12" x14ac:dyDescent="0.25">
      <c r="B10" s="303">
        <v>161.65891681374109</v>
      </c>
      <c r="C10" s="297">
        <v>1.59</v>
      </c>
      <c r="E10" s="301">
        <f>B10*241798924.2</f>
        <v>39088952172.899887</v>
      </c>
      <c r="F10" s="302">
        <f>C10</f>
        <v>1.59</v>
      </c>
      <c r="G10" s="303">
        <f t="shared" si="0"/>
        <v>257.03767773384834</v>
      </c>
      <c r="I10" s="311"/>
      <c r="J10" s="311"/>
      <c r="K10" s="311"/>
    </row>
    <row r="11" spans="1:12" x14ac:dyDescent="0.25">
      <c r="A11" s="297" t="s">
        <v>87</v>
      </c>
      <c r="B11" s="303">
        <v>161.66235119227065</v>
      </c>
      <c r="C11" s="297">
        <v>0.02</v>
      </c>
      <c r="E11" s="301">
        <f>B11*241798924.2</f>
        <v>39089782601.933632</v>
      </c>
      <c r="F11" s="302">
        <f>C11</f>
        <v>0.02</v>
      </c>
      <c r="G11" s="303">
        <f t="shared" si="0"/>
        <v>3.2332470238454132</v>
      </c>
      <c r="I11" s="300"/>
      <c r="J11" s="300"/>
      <c r="K11" s="297">
        <f>MAX(B2:B11)</f>
        <v>161.66721280815287</v>
      </c>
    </row>
    <row r="12" spans="1:12" x14ac:dyDescent="0.25">
      <c r="A12" s="297" t="s">
        <v>88</v>
      </c>
      <c r="C12" s="297">
        <f>SUM(C2:C11)</f>
        <v>99.999999999999986</v>
      </c>
      <c r="F12" s="302"/>
      <c r="G12" s="313">
        <f>SUM(G2:G11)/100</f>
        <v>161.65168120130846</v>
      </c>
      <c r="H12" s="297" t="s">
        <v>89</v>
      </c>
      <c r="I12" s="311"/>
      <c r="J12" s="311"/>
      <c r="K12" s="311">
        <f>MIN(B2:B11)</f>
        <v>161.63329992297204</v>
      </c>
      <c r="L12" s="311">
        <f>K11-K12</f>
        <v>3.3912885180825469E-2</v>
      </c>
    </row>
    <row r="13" spans="1:12" x14ac:dyDescent="0.25">
      <c r="G13" s="313"/>
    </row>
    <row r="14" spans="1:12" x14ac:dyDescent="0.25">
      <c r="A14" s="295" t="s">
        <v>257</v>
      </c>
      <c r="B14" s="295" t="s">
        <v>77</v>
      </c>
      <c r="C14" s="295" t="s">
        <v>78</v>
      </c>
      <c r="D14" s="295" t="s">
        <v>79</v>
      </c>
      <c r="E14" s="295" t="s">
        <v>80</v>
      </c>
      <c r="F14" s="295" t="s">
        <v>81</v>
      </c>
      <c r="G14" s="296"/>
    </row>
    <row r="15" spans="1:12" x14ac:dyDescent="0.25">
      <c r="A15" s="297" t="s">
        <v>82</v>
      </c>
      <c r="B15" s="310">
        <v>602.447</v>
      </c>
      <c r="C15" s="297">
        <v>40.78</v>
      </c>
      <c r="E15" s="297">
        <f>B15*241798924.2</f>
        <v>145671036487.5174</v>
      </c>
      <c r="F15" s="302">
        <f>C15</f>
        <v>40.78</v>
      </c>
      <c r="G15" s="303">
        <f>B15*F15</f>
        <v>24567.788660000002</v>
      </c>
    </row>
    <row r="16" spans="1:12" x14ac:dyDescent="0.25">
      <c r="A16" s="297" t="s">
        <v>83</v>
      </c>
      <c r="B16" s="303">
        <v>602.44973324782131</v>
      </c>
      <c r="C16" s="297">
        <v>26.26</v>
      </c>
      <c r="E16" s="297">
        <f t="shared" ref="E16:E24" si="4">B16*241798924.2</f>
        <v>145671697383.90015</v>
      </c>
      <c r="F16" s="302">
        <f t="shared" ref="F16" si="5">C16</f>
        <v>26.26</v>
      </c>
      <c r="G16" s="303">
        <f t="shared" ref="G16:G24" si="6">B16*F16</f>
        <v>15820.329995087788</v>
      </c>
      <c r="I16" s="311"/>
      <c r="J16" s="311"/>
    </row>
    <row r="17" spans="1:7" x14ac:dyDescent="0.25">
      <c r="A17" s="297" t="s">
        <v>84</v>
      </c>
      <c r="B17" s="303">
        <v>602.45950552112845</v>
      </c>
      <c r="C17" s="297">
        <v>16.149999999999999</v>
      </c>
      <c r="D17" s="300">
        <f>1/3</f>
        <v>0.33333333333333331</v>
      </c>
      <c r="E17" s="297">
        <f t="shared" si="4"/>
        <v>145674060309.07281</v>
      </c>
      <c r="F17" s="302">
        <f>C$17*D17</f>
        <v>5.3833333333333329</v>
      </c>
      <c r="G17" s="303">
        <f t="shared" si="6"/>
        <v>3243.2403380554078</v>
      </c>
    </row>
    <row r="18" spans="1:7" x14ac:dyDescent="0.25">
      <c r="B18" s="303">
        <v>602.45323112376207</v>
      </c>
      <c r="D18" s="300">
        <f t="shared" ref="D18:D19" si="7">1/3</f>
        <v>0.33333333333333331</v>
      </c>
      <c r="E18" s="297">
        <f t="shared" si="4"/>
        <v>145672543166.53961</v>
      </c>
      <c r="F18" s="302">
        <f t="shared" ref="F18:F19" si="8">C$17*D18</f>
        <v>5.3833333333333329</v>
      </c>
      <c r="G18" s="303">
        <f t="shared" si="6"/>
        <v>3243.2065608829189</v>
      </c>
    </row>
    <row r="19" spans="1:7" x14ac:dyDescent="0.25">
      <c r="B19" s="303">
        <v>602.44805914910933</v>
      </c>
      <c r="D19" s="300">
        <f t="shared" si="7"/>
        <v>0.33333333333333331</v>
      </c>
      <c r="E19" s="297">
        <f t="shared" si="4"/>
        <v>145671292588.6326</v>
      </c>
      <c r="F19" s="302">
        <f t="shared" si="8"/>
        <v>5.3833333333333329</v>
      </c>
      <c r="G19" s="303">
        <f t="shared" si="6"/>
        <v>3243.1787184193718</v>
      </c>
    </row>
    <row r="20" spans="1:7" x14ac:dyDescent="0.25">
      <c r="A20" s="297" t="s">
        <v>85</v>
      </c>
      <c r="B20" s="303">
        <v>602.45269295392404</v>
      </c>
      <c r="C20" s="297">
        <v>13.24</v>
      </c>
      <c r="E20" s="297">
        <f t="shared" si="4"/>
        <v>145672413037.65173</v>
      </c>
      <c r="F20" s="302">
        <f>C20</f>
        <v>13.24</v>
      </c>
      <c r="G20" s="303">
        <f t="shared" si="6"/>
        <v>7976.4736547099546</v>
      </c>
    </row>
    <row r="21" spans="1:7" x14ac:dyDescent="0.25">
      <c r="A21" s="297" t="s">
        <v>86</v>
      </c>
      <c r="B21" s="303">
        <v>602.45599671843991</v>
      </c>
      <c r="C21" s="297">
        <v>1.96</v>
      </c>
      <c r="D21" s="300">
        <v>0.5</v>
      </c>
      <c r="E21" s="297">
        <f t="shared" si="4"/>
        <v>145673211884.35748</v>
      </c>
      <c r="F21" s="302">
        <f>C$21*D21</f>
        <v>0.98</v>
      </c>
      <c r="G21" s="303">
        <f t="shared" si="6"/>
        <v>590.40687678407107</v>
      </c>
    </row>
    <row r="22" spans="1:7" x14ac:dyDescent="0.25">
      <c r="B22" s="303">
        <v>602.45485155260781</v>
      </c>
      <c r="D22" s="300">
        <v>0.5</v>
      </c>
      <c r="E22" s="297">
        <f t="shared" si="4"/>
        <v>145672934984.49127</v>
      </c>
      <c r="F22" s="302">
        <f>C$21*D22</f>
        <v>0.98</v>
      </c>
      <c r="G22" s="303">
        <f t="shared" si="6"/>
        <v>590.40575452155565</v>
      </c>
    </row>
    <row r="23" spans="1:7" x14ac:dyDescent="0.25">
      <c r="A23" s="297" t="s">
        <v>87</v>
      </c>
      <c r="B23" s="303">
        <v>602.45631984490001</v>
      </c>
      <c r="C23" s="297">
        <v>1.59</v>
      </c>
      <c r="E23" s="297">
        <f t="shared" si="4"/>
        <v>145673290015.98792</v>
      </c>
      <c r="F23" s="302">
        <f>C23</f>
        <v>1.59</v>
      </c>
      <c r="G23" s="303">
        <f t="shared" si="6"/>
        <v>957.9055485533911</v>
      </c>
    </row>
    <row r="24" spans="1:7" x14ac:dyDescent="0.25">
      <c r="A24" s="297" t="s">
        <v>88</v>
      </c>
      <c r="B24" s="303">
        <v>602.46001001211346</v>
      </c>
      <c r="C24" s="297">
        <v>0.02</v>
      </c>
      <c r="E24" s="297">
        <f t="shared" si="4"/>
        <v>145674182294.45026</v>
      </c>
      <c r="F24" s="302">
        <f>C24</f>
        <v>0.02</v>
      </c>
      <c r="G24" s="303">
        <f t="shared" si="6"/>
        <v>12.04920020024227</v>
      </c>
    </row>
    <row r="25" spans="1:7" x14ac:dyDescent="0.25">
      <c r="F25" s="302"/>
      <c r="G25" s="313">
        <f>SUM(G15:G24)/100</f>
        <v>602.44985307214711</v>
      </c>
    </row>
    <row r="26" spans="1:7" x14ac:dyDescent="0.25">
      <c r="A26" s="314" t="s">
        <v>91</v>
      </c>
      <c r="G26" s="303"/>
    </row>
    <row r="27" spans="1:7" x14ac:dyDescent="0.25">
      <c r="A27" s="297" t="s">
        <v>92</v>
      </c>
      <c r="B27" s="297" t="s">
        <v>93</v>
      </c>
      <c r="C27" s="307" t="s">
        <v>94</v>
      </c>
      <c r="D27" s="307" t="s">
        <v>95</v>
      </c>
      <c r="G27" s="303"/>
    </row>
    <row r="28" spans="1:7" x14ac:dyDescent="0.25">
      <c r="A28" s="303"/>
      <c r="B28" s="297">
        <v>161.65168273130001</v>
      </c>
      <c r="C28" s="307">
        <f>1000000000/806554.3937/B28</f>
        <v>7.6698365487884752</v>
      </c>
      <c r="D28" s="307"/>
      <c r="G28" s="303"/>
    </row>
    <row r="29" spans="1:7" x14ac:dyDescent="0.25">
      <c r="A29" s="314" t="s">
        <v>97</v>
      </c>
      <c r="G29" s="303"/>
    </row>
    <row r="30" spans="1:7" x14ac:dyDescent="0.25">
      <c r="A30" s="303"/>
      <c r="B30" s="303"/>
      <c r="G30" s="303"/>
    </row>
    <row r="31" spans="1:7" x14ac:dyDescent="0.25">
      <c r="G31" s="303"/>
    </row>
    <row r="32" spans="1:7" x14ac:dyDescent="0.25">
      <c r="G32" s="303"/>
    </row>
    <row r="33" spans="1:7" x14ac:dyDescent="0.25">
      <c r="A33" s="306" t="s">
        <v>99</v>
      </c>
      <c r="B33" s="308" t="s">
        <v>100</v>
      </c>
      <c r="C33" s="306"/>
      <c r="D33" s="306" t="s">
        <v>101</v>
      </c>
      <c r="G33" s="303"/>
    </row>
    <row r="34" spans="1:7" x14ac:dyDescent="0.25">
      <c r="A34" s="297" t="s">
        <v>33</v>
      </c>
      <c r="B34" s="302">
        <v>-3278.1022303267237</v>
      </c>
      <c r="C34" s="297" t="s">
        <v>102</v>
      </c>
      <c r="G34" s="303"/>
    </row>
    <row r="35" spans="1:7" x14ac:dyDescent="0.25">
      <c r="B35" s="315">
        <v>-3306.0013477810166</v>
      </c>
      <c r="C35" s="316" t="s">
        <v>103</v>
      </c>
      <c r="G35" s="303"/>
    </row>
    <row r="36" spans="1:7" x14ac:dyDescent="0.25">
      <c r="G36" s="303"/>
    </row>
    <row r="37" spans="1:7" x14ac:dyDescent="0.25">
      <c r="G37" s="303"/>
    </row>
    <row r="38" spans="1:7" x14ac:dyDescent="0.25">
      <c r="A38" s="297" t="s">
        <v>34</v>
      </c>
      <c r="B38" s="302">
        <v>-3530.9768559315748</v>
      </c>
      <c r="C38" s="297" t="s">
        <v>102</v>
      </c>
      <c r="G38" s="303"/>
    </row>
    <row r="39" spans="1:7" x14ac:dyDescent="0.25">
      <c r="B39" s="315">
        <v>-3560.9183397508086</v>
      </c>
      <c r="C39" s="316" t="s">
        <v>103</v>
      </c>
      <c r="G39" s="303"/>
    </row>
    <row r="40" spans="1:7" x14ac:dyDescent="0.25">
      <c r="G40" s="303"/>
    </row>
    <row r="41" spans="1:7" x14ac:dyDescent="0.25">
      <c r="G41" s="303"/>
    </row>
    <row r="42" spans="1:7" x14ac:dyDescent="0.25">
      <c r="G42" s="303"/>
    </row>
    <row r="43" spans="1:7" x14ac:dyDescent="0.25">
      <c r="G43" s="303"/>
    </row>
    <row r="47" spans="1:7" x14ac:dyDescent="0.25">
      <c r="G47" s="303"/>
    </row>
    <row r="48" spans="1:7" x14ac:dyDescent="0.25">
      <c r="G48" s="303"/>
    </row>
    <row r="49" spans="7:7" x14ac:dyDescent="0.25">
      <c r="G49" s="30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ECD2-3DAB-4850-A4DE-AA689D583B00}">
  <dimension ref="A1:AD101"/>
  <sheetViews>
    <sheetView zoomScale="85" zoomScaleNormal="85" workbookViewId="0">
      <selection activeCell="Y26" sqref="Y26"/>
    </sheetView>
  </sheetViews>
  <sheetFormatPr defaultRowHeight="15" x14ac:dyDescent="0.25"/>
  <cols>
    <col min="1" max="1" width="11" style="128" bestFit="1" customWidth="1"/>
    <col min="2" max="2" width="10.5" style="128" bestFit="1" customWidth="1"/>
    <col min="3" max="3" width="22.75" style="128" bestFit="1" customWidth="1"/>
    <col min="4" max="4" width="10.5" style="128" bestFit="1" customWidth="1"/>
    <col min="5" max="5" width="9" style="128"/>
    <col min="6" max="6" width="10.5" style="128" bestFit="1" customWidth="1"/>
    <col min="7" max="7" width="10.25" style="128" bestFit="1" customWidth="1"/>
    <col min="8" max="8" width="12" style="128" bestFit="1" customWidth="1"/>
    <col min="9" max="9" width="11.625" style="128" bestFit="1" customWidth="1"/>
    <col min="10" max="10" width="16.5" style="128" bestFit="1" customWidth="1"/>
    <col min="11" max="11" width="10.5" style="128" bestFit="1" customWidth="1"/>
    <col min="12" max="12" width="13.25" style="128" bestFit="1" customWidth="1"/>
    <col min="13" max="13" width="10.5" style="128" bestFit="1" customWidth="1"/>
    <col min="14" max="15" width="15.125" style="128" bestFit="1" customWidth="1"/>
    <col min="16" max="16" width="9" style="128"/>
    <col min="17" max="17" width="10.5" style="128" bestFit="1" customWidth="1"/>
    <col min="18" max="18" width="14" style="128" bestFit="1" customWidth="1"/>
    <col min="19" max="19" width="12.375" style="128" bestFit="1" customWidth="1"/>
    <col min="20" max="20" width="14" style="128" bestFit="1" customWidth="1"/>
    <col min="21" max="21" width="10.5" style="128" bestFit="1" customWidth="1"/>
    <col min="22" max="22" width="9.75" style="128" bestFit="1" customWidth="1"/>
    <col min="23" max="23" width="6.25" style="128" bestFit="1" customWidth="1"/>
    <col min="24" max="24" width="15" style="128" bestFit="1" customWidth="1"/>
    <col min="25" max="25" width="22" style="128" bestFit="1" customWidth="1"/>
    <col min="26" max="16384" width="9" style="128"/>
  </cols>
  <sheetData>
    <row r="1" spans="1:30" x14ac:dyDescent="0.25">
      <c r="A1" s="127" t="s">
        <v>155</v>
      </c>
      <c r="B1" s="127" t="s">
        <v>150</v>
      </c>
      <c r="E1" s="129" t="s">
        <v>167</v>
      </c>
      <c r="F1" s="130">
        <v>-3699.9</v>
      </c>
      <c r="G1" s="131">
        <v>-3723</v>
      </c>
      <c r="H1" s="128" t="s">
        <v>45</v>
      </c>
      <c r="I1" s="132">
        <v>299792458</v>
      </c>
    </row>
    <row r="2" spans="1:30" x14ac:dyDescent="0.25">
      <c r="E2" s="133"/>
      <c r="F2" s="134">
        <v>-3741.68</v>
      </c>
      <c r="G2" s="135"/>
      <c r="H2" s="128" t="s">
        <v>43</v>
      </c>
      <c r="I2" s="132">
        <f>6.62607015*(10)^(-34)</f>
        <v>6.6260701500000015E-34</v>
      </c>
    </row>
    <row r="3" spans="1:30" x14ac:dyDescent="0.25">
      <c r="E3" s="128" t="s">
        <v>168</v>
      </c>
      <c r="F3" s="128">
        <v>-4000</v>
      </c>
      <c r="H3" s="128" t="s">
        <v>46</v>
      </c>
      <c r="I3" s="132">
        <f>1/(1.602176634*10^(-19))</f>
        <v>6.2415090744607621E+18</v>
      </c>
    </row>
    <row r="4" spans="1:30" x14ac:dyDescent="0.25">
      <c r="H4" s="128" t="s">
        <v>44</v>
      </c>
      <c r="I4" s="132">
        <v>8065.5439370000004</v>
      </c>
      <c r="W4" s="380" t="s">
        <v>283</v>
      </c>
      <c r="X4" s="380" t="s">
        <v>71</v>
      </c>
      <c r="Y4" s="380" t="s">
        <v>283</v>
      </c>
      <c r="Z4" s="380" t="s">
        <v>71</v>
      </c>
      <c r="AA4" s="380" t="s">
        <v>283</v>
      </c>
      <c r="AB4" s="380" t="s">
        <v>71</v>
      </c>
      <c r="AC4" s="380" t="s">
        <v>283</v>
      </c>
      <c r="AD4" s="380" t="s">
        <v>71</v>
      </c>
    </row>
    <row r="5" spans="1:30" x14ac:dyDescent="0.25">
      <c r="V5" s="380" t="s">
        <v>288</v>
      </c>
      <c r="W5" s="380" t="s">
        <v>280</v>
      </c>
      <c r="Y5" s="380" t="s">
        <v>286</v>
      </c>
      <c r="AA5" s="380" t="s">
        <v>281</v>
      </c>
      <c r="AC5" s="380" t="s">
        <v>282</v>
      </c>
    </row>
    <row r="6" spans="1:30" x14ac:dyDescent="0.25">
      <c r="A6" s="443" t="s">
        <v>157</v>
      </c>
      <c r="B6" s="444"/>
      <c r="C6" s="130"/>
      <c r="D6" s="130"/>
      <c r="E6" s="131"/>
      <c r="G6" s="443" t="s">
        <v>161</v>
      </c>
      <c r="H6" s="444"/>
      <c r="I6" s="130"/>
      <c r="J6" s="130"/>
      <c r="K6" s="131"/>
      <c r="L6" s="129"/>
      <c r="M6" s="130"/>
      <c r="N6" s="131"/>
      <c r="V6" s="380" t="s">
        <v>284</v>
      </c>
      <c r="W6" s="128">
        <v>5.4349697193730604</v>
      </c>
      <c r="X6" s="128">
        <v>1.2154928692574892E-2</v>
      </c>
      <c r="Y6" s="128">
        <v>5.4468227637363356</v>
      </c>
      <c r="Z6" s="128">
        <v>1.2608427494142692E-2</v>
      </c>
      <c r="AA6" s="381" t="s">
        <v>287</v>
      </c>
      <c r="AB6" s="381" t="s">
        <v>287</v>
      </c>
      <c r="AC6" s="381" t="s">
        <v>287</v>
      </c>
      <c r="AD6" s="381" t="s">
        <v>287</v>
      </c>
    </row>
    <row r="7" spans="1:30" x14ac:dyDescent="0.25">
      <c r="A7" s="136" t="s">
        <v>159</v>
      </c>
      <c r="B7" s="137" t="s">
        <v>71</v>
      </c>
      <c r="C7" s="128" t="s">
        <v>160</v>
      </c>
      <c r="D7" s="128" t="s">
        <v>41</v>
      </c>
      <c r="E7" s="138" t="s">
        <v>158</v>
      </c>
      <c r="G7" s="136" t="s">
        <v>159</v>
      </c>
      <c r="H7" s="137" t="s">
        <v>71</v>
      </c>
      <c r="I7" s="128" t="s">
        <v>160</v>
      </c>
      <c r="J7" s="128" t="s">
        <v>41</v>
      </c>
      <c r="K7" s="138" t="s">
        <v>158</v>
      </c>
      <c r="L7" s="136" t="s">
        <v>47</v>
      </c>
      <c r="N7" s="138"/>
      <c r="V7" s="380" t="s">
        <v>285</v>
      </c>
      <c r="W7" s="128">
        <v>5.432545086125109</v>
      </c>
      <c r="X7" s="128">
        <v>1.1965962485056471E-2</v>
      </c>
      <c r="Y7" s="128">
        <v>5.4443249045898199</v>
      </c>
      <c r="Z7" s="128">
        <v>1.2420792389159864E-2</v>
      </c>
      <c r="AA7" s="128">
        <v>5.4335321701308237</v>
      </c>
      <c r="AB7" s="128">
        <v>1.0704433004872622E-2</v>
      </c>
      <c r="AC7" s="128">
        <v>5.4319284214540877</v>
      </c>
      <c r="AD7" s="128">
        <v>1.3726133815088049E-2</v>
      </c>
    </row>
    <row r="8" spans="1:30" x14ac:dyDescent="0.25">
      <c r="A8" s="136">
        <v>7.4477000000000002</v>
      </c>
      <c r="B8" s="128">
        <v>2.0000000000000001E-4</v>
      </c>
      <c r="C8" s="128">
        <f>SQRT(B8^2+B9^2)</f>
        <v>2.8284271247461902E-4</v>
      </c>
      <c r="D8" s="128">
        <f>10^(9)*I3*I1*I2/A8</f>
        <v>166.4731372547233</v>
      </c>
      <c r="E8" s="138">
        <f>D9-D8</f>
        <v>3.5056105458282047</v>
      </c>
      <c r="G8" s="136">
        <v>7.6550000000000002</v>
      </c>
      <c r="H8" s="128">
        <v>2.0000000000000001E-4</v>
      </c>
      <c r="I8" s="128">
        <f>SQRT((H8*H8)+(H9*H9))</f>
        <v>2.8284271247461902E-4</v>
      </c>
      <c r="J8" s="128">
        <f>10^(9)*I3*I1*I2/G8</f>
        <v>161.96498815571559</v>
      </c>
      <c r="K8" s="138">
        <f>J9-J8</f>
        <v>3.5017120087049136</v>
      </c>
      <c r="L8" s="136">
        <v>3.504</v>
      </c>
      <c r="M8" s="128">
        <v>3.0000000000000001E-3</v>
      </c>
      <c r="N8" s="138" t="s">
        <v>41</v>
      </c>
    </row>
    <row r="9" spans="1:30" x14ac:dyDescent="0.25">
      <c r="A9" s="136">
        <v>7.2941000000000003</v>
      </c>
      <c r="B9" s="128">
        <v>2.0000000000000001E-4</v>
      </c>
      <c r="D9" s="128">
        <f>10^(9)*I3*I1*I2/A9</f>
        <v>169.9787478005515</v>
      </c>
      <c r="E9" s="138"/>
      <c r="G9" s="136">
        <v>7.4930000000000003</v>
      </c>
      <c r="H9" s="128">
        <v>2.0000000000000001E-4</v>
      </c>
      <c r="J9" s="128">
        <f>10^(9)*I3*I1*I2/G9</f>
        <v>165.4667001644205</v>
      </c>
      <c r="K9" s="138"/>
      <c r="L9" s="136">
        <v>0.16209999999999999</v>
      </c>
      <c r="M9" s="128">
        <v>2.0000000000000001E-4</v>
      </c>
      <c r="N9" s="138" t="s">
        <v>56</v>
      </c>
    </row>
    <row r="10" spans="1:30" x14ac:dyDescent="0.25">
      <c r="A10" s="133">
        <f>A8-A9</f>
        <v>0.15359999999999996</v>
      </c>
      <c r="B10" s="134"/>
      <c r="C10" s="134"/>
      <c r="D10" s="134"/>
      <c r="E10" s="135"/>
      <c r="G10" s="133">
        <f>G8-G9</f>
        <v>0.16199999999999992</v>
      </c>
      <c r="H10" s="134"/>
      <c r="I10" s="134"/>
      <c r="J10" s="134"/>
      <c r="K10" s="135"/>
      <c r="L10" s="133"/>
      <c r="M10" s="134"/>
      <c r="N10" s="135"/>
    </row>
    <row r="11" spans="1:30" x14ac:dyDescent="0.25">
      <c r="A11" s="129" t="s">
        <v>47</v>
      </c>
      <c r="B11" s="130"/>
      <c r="C11" s="130"/>
      <c r="D11" s="131"/>
      <c r="V11" s="380" t="s">
        <v>110</v>
      </c>
      <c r="W11" s="380" t="s">
        <v>289</v>
      </c>
      <c r="X11" s="380" t="s">
        <v>290</v>
      </c>
      <c r="Y11" s="380" t="s">
        <v>291</v>
      </c>
    </row>
    <row r="12" spans="1:30" ht="15.75" x14ac:dyDescent="0.25">
      <c r="A12" s="136">
        <v>3.5025594992231901</v>
      </c>
      <c r="B12" s="161">
        <v>4.52901503572266E-3</v>
      </c>
      <c r="C12" s="128" t="s">
        <v>41</v>
      </c>
      <c r="D12" s="138"/>
      <c r="G12" s="134" t="s">
        <v>48</v>
      </c>
      <c r="H12" s="134" t="s">
        <v>49</v>
      </c>
      <c r="I12" s="134" t="s">
        <v>50</v>
      </c>
      <c r="J12" s="134" t="s">
        <v>51</v>
      </c>
      <c r="K12" s="134" t="s">
        <v>52</v>
      </c>
      <c r="L12" s="134" t="s">
        <v>53</v>
      </c>
      <c r="M12" s="134" t="s">
        <v>54</v>
      </c>
      <c r="N12" s="128" t="s">
        <v>55</v>
      </c>
      <c r="Q12" s="128">
        <f>(N13*M13/$N$20)^2</f>
        <v>1.1559999999999998E-13</v>
      </c>
      <c r="R12" s="128">
        <f>(N13*L13/$N$20)^2</f>
        <v>1.9360000000000008E-13</v>
      </c>
      <c r="V12" s="128">
        <v>101</v>
      </c>
      <c r="W12" s="128">
        <f>W6</f>
        <v>5.4349697193730604</v>
      </c>
      <c r="X12" s="150">
        <f>X6</f>
        <v>1.2154928692574892E-2</v>
      </c>
      <c r="Y12" s="380" t="s">
        <v>292</v>
      </c>
    </row>
    <row r="13" spans="1:30" x14ac:dyDescent="0.25">
      <c r="A13" s="136">
        <v>0.15340000000000001</v>
      </c>
      <c r="B13" s="128">
        <v>2.0000000000000001E-4</v>
      </c>
      <c r="C13" s="128" t="s">
        <v>56</v>
      </c>
      <c r="D13" s="138"/>
      <c r="E13" s="128">
        <v>76</v>
      </c>
      <c r="F13" s="441" t="s">
        <v>30</v>
      </c>
      <c r="G13" s="128">
        <v>184</v>
      </c>
      <c r="H13" s="128">
        <v>108</v>
      </c>
      <c r="I13" s="139">
        <v>-0.32</v>
      </c>
      <c r="J13" s="128">
        <v>1.7999999999999999E-2</v>
      </c>
      <c r="K13" s="128">
        <v>5.3822999999999999</v>
      </c>
      <c r="L13" s="128">
        <v>2.2000000000000001E-3</v>
      </c>
      <c r="M13" s="128">
        <v>1.6999999999999999E-3</v>
      </c>
      <c r="N13" s="128">
        <v>0.02</v>
      </c>
      <c r="O13" s="128">
        <f t="shared" ref="O13:O19" si="0">N13*K13</f>
        <v>0.10764600000000001</v>
      </c>
      <c r="Q13" s="128">
        <f t="shared" ref="Q13:Q18" si="1">(N14*M14/$N$20)^2</f>
        <v>4.9550760000000004E-10</v>
      </c>
      <c r="R13" s="128">
        <f t="shared" ref="R13:R18" si="2">(N14*L14/$N$20)^2</f>
        <v>7.3062089999999998E-10</v>
      </c>
      <c r="V13" s="128">
        <v>102</v>
      </c>
      <c r="W13" s="128">
        <f>W7</f>
        <v>5.432545086125109</v>
      </c>
      <c r="X13" s="150">
        <f>X7</f>
        <v>1.1965962485056471E-2</v>
      </c>
      <c r="Y13" s="380" t="s">
        <v>293</v>
      </c>
    </row>
    <row r="14" spans="1:30" x14ac:dyDescent="0.25">
      <c r="A14" s="133"/>
      <c r="B14" s="134"/>
      <c r="C14" s="134"/>
      <c r="D14" s="135"/>
      <c r="F14" s="441"/>
      <c r="G14" s="128">
        <v>186</v>
      </c>
      <c r="H14" s="128">
        <v>110</v>
      </c>
      <c r="I14" s="128">
        <v>-0.23100000000000001</v>
      </c>
      <c r="J14" s="128">
        <v>1.4999999999999999E-2</v>
      </c>
      <c r="K14" s="128">
        <v>5.3909000000000002</v>
      </c>
      <c r="L14" s="128">
        <v>1.6999999999999999E-3</v>
      </c>
      <c r="M14" s="128">
        <v>1.4E-3</v>
      </c>
      <c r="N14" s="128">
        <v>1.59</v>
      </c>
      <c r="O14" s="128">
        <f t="shared" si="0"/>
        <v>8.5715310000000002</v>
      </c>
      <c r="Q14" s="128">
        <f t="shared" si="1"/>
        <v>8.6436E-10</v>
      </c>
      <c r="R14" s="128">
        <f t="shared" si="2"/>
        <v>1.2446784E-9</v>
      </c>
      <c r="V14" s="128">
        <v>103</v>
      </c>
      <c r="W14" s="128">
        <f>Y6</f>
        <v>5.4468227637363356</v>
      </c>
      <c r="X14" s="150">
        <f>Z6</f>
        <v>1.2608427494142692E-2</v>
      </c>
      <c r="Y14" s="380" t="s">
        <v>294</v>
      </c>
    </row>
    <row r="15" spans="1:30" x14ac:dyDescent="0.25">
      <c r="A15" s="140"/>
      <c r="B15" s="140"/>
      <c r="C15" s="140"/>
      <c r="D15" s="140"/>
      <c r="F15" s="441"/>
      <c r="G15" s="128">
        <v>187</v>
      </c>
      <c r="H15" s="128">
        <v>111</v>
      </c>
      <c r="I15" s="128">
        <v>-0.20499999999999999</v>
      </c>
      <c r="J15" s="128">
        <v>1.6E-2</v>
      </c>
      <c r="K15" s="128">
        <v>5.3933</v>
      </c>
      <c r="L15" s="128">
        <v>1.8E-3</v>
      </c>
      <c r="M15" s="128">
        <v>1.5E-3</v>
      </c>
      <c r="N15" s="128">
        <v>1.96</v>
      </c>
      <c r="O15" s="128">
        <f t="shared" si="0"/>
        <v>10.570867999999999</v>
      </c>
      <c r="Q15" s="128">
        <f t="shared" si="1"/>
        <v>1.7529759999999998E-8</v>
      </c>
      <c r="R15" s="128">
        <f t="shared" si="2"/>
        <v>2.1211009599999997E-8</v>
      </c>
      <c r="V15" s="128">
        <v>104</v>
      </c>
      <c r="W15" s="128">
        <f>Y7</f>
        <v>5.4443249045898199</v>
      </c>
      <c r="X15" s="382">
        <f>Z7</f>
        <v>1.2420792389159864E-2</v>
      </c>
      <c r="Y15" s="380" t="s">
        <v>295</v>
      </c>
    </row>
    <row r="16" spans="1:30" x14ac:dyDescent="0.25">
      <c r="A16" s="442" t="s">
        <v>162</v>
      </c>
      <c r="B16" s="442"/>
      <c r="C16" s="442"/>
      <c r="D16" s="442"/>
      <c r="F16" s="441"/>
      <c r="G16" s="128">
        <v>188</v>
      </c>
      <c r="H16" s="128">
        <v>112</v>
      </c>
      <c r="I16" s="128">
        <v>-0.14399999999999999</v>
      </c>
      <c r="J16" s="128">
        <v>1.0999999999999999E-2</v>
      </c>
      <c r="K16" s="128">
        <v>5.3993000000000002</v>
      </c>
      <c r="L16" s="128">
        <v>1.1000000000000001E-3</v>
      </c>
      <c r="M16" s="142">
        <v>1E-3</v>
      </c>
      <c r="N16" s="128">
        <v>13.24</v>
      </c>
      <c r="O16" s="128">
        <f t="shared" si="0"/>
        <v>71.486732000000003</v>
      </c>
      <c r="Q16" s="128">
        <f t="shared" si="1"/>
        <v>3.1559522500000001E-8</v>
      </c>
      <c r="R16" s="128">
        <f t="shared" si="2"/>
        <v>3.7558439999999986E-8</v>
      </c>
      <c r="V16" s="128">
        <v>105</v>
      </c>
      <c r="W16" s="128">
        <f>AA7</f>
        <v>5.4335321701308237</v>
      </c>
      <c r="X16" s="150">
        <f>AB7</f>
        <v>1.0704433004872622E-2</v>
      </c>
      <c r="Y16" s="380" t="s">
        <v>296</v>
      </c>
    </row>
    <row r="17" spans="1:25" x14ac:dyDescent="0.25">
      <c r="A17" s="155">
        <v>7.4462000000000002</v>
      </c>
      <c r="B17" s="155">
        <v>8.0000000000000004E-4</v>
      </c>
      <c r="C17" s="155">
        <f>10^(9)*$I$3*$I$2*$I$1/A17</f>
        <v>166.50667244124557</v>
      </c>
      <c r="D17" s="155">
        <v>1.9E-2</v>
      </c>
      <c r="F17" s="441"/>
      <c r="G17" s="128">
        <v>189</v>
      </c>
      <c r="H17" s="128">
        <v>113</v>
      </c>
      <c r="I17" s="128">
        <v>-0.11899999999999999</v>
      </c>
      <c r="J17" s="128">
        <v>1.2E-2</v>
      </c>
      <c r="K17" s="128">
        <v>5.4016000000000002</v>
      </c>
      <c r="L17" s="128">
        <v>1.1999999999999999E-3</v>
      </c>
      <c r="M17" s="128">
        <v>1.1000000000000001E-3</v>
      </c>
      <c r="N17" s="128">
        <v>16.149999999999999</v>
      </c>
      <c r="O17" s="128">
        <f t="shared" si="0"/>
        <v>87.235839999999996</v>
      </c>
      <c r="Q17" s="128">
        <f t="shared" si="1"/>
        <v>2.4825153600000002E-8</v>
      </c>
      <c r="R17" s="128">
        <f t="shared" si="2"/>
        <v>1.1654030440000001E-7</v>
      </c>
      <c r="V17" s="128">
        <v>106</v>
      </c>
      <c r="W17" s="128">
        <f>AC7</f>
        <v>5.4319284214540877</v>
      </c>
      <c r="X17" s="150">
        <f>AD7</f>
        <v>1.3726133815088049E-2</v>
      </c>
      <c r="Y17" s="380" t="s">
        <v>297</v>
      </c>
    </row>
    <row r="18" spans="1:25" x14ac:dyDescent="0.25">
      <c r="A18" s="155">
        <v>7.2919999999999998</v>
      </c>
      <c r="B18" s="155">
        <v>2.5000000000000001E-3</v>
      </c>
      <c r="C18" s="155">
        <f>10^(9)*$I$3*$I$2*$I$1/A18</f>
        <v>170.02769944212875</v>
      </c>
      <c r="D18" s="155">
        <v>5.8000000000000003E-2</v>
      </c>
      <c r="F18" s="441"/>
      <c r="G18" s="128">
        <v>190</v>
      </c>
      <c r="H18" s="128">
        <v>114</v>
      </c>
      <c r="I18" s="128">
        <v>-6.8000000000000005E-2</v>
      </c>
      <c r="J18" s="128">
        <v>6.0000000000000001E-3</v>
      </c>
      <c r="K18" s="128">
        <v>5.4062000000000001</v>
      </c>
      <c r="L18" s="128">
        <v>1.2999999999999999E-3</v>
      </c>
      <c r="M18" s="128">
        <v>5.9999999999999995E-4</v>
      </c>
      <c r="N18" s="128">
        <v>26.26</v>
      </c>
      <c r="O18" s="128">
        <f t="shared" si="0"/>
        <v>141.966812</v>
      </c>
      <c r="Q18" s="128">
        <f t="shared" si="1"/>
        <v>0</v>
      </c>
      <c r="R18" s="128">
        <f t="shared" si="2"/>
        <v>3.7417689000000008E-7</v>
      </c>
      <c r="V18" s="128">
        <v>103.5</v>
      </c>
      <c r="W18" s="128">
        <v>5.3967999999999998</v>
      </c>
      <c r="X18" s="128">
        <v>0.1061</v>
      </c>
      <c r="Y18" s="380" t="s">
        <v>298</v>
      </c>
    </row>
    <row r="19" spans="1:25" x14ac:dyDescent="0.25">
      <c r="A19" s="155">
        <f>A17-A18</f>
        <v>0.15420000000000034</v>
      </c>
      <c r="B19" s="155">
        <f>SQRT(B18^2 + B17^2)</f>
        <v>2.6248809496813375E-3</v>
      </c>
      <c r="C19" s="155">
        <f>C18-C17</f>
        <v>3.5210270008831799</v>
      </c>
      <c r="D19" s="155">
        <f>SQRT(D17^2+D18^2)</f>
        <v>6.1032778078668512E-2</v>
      </c>
      <c r="F19" s="441"/>
      <c r="G19" s="134">
        <v>192</v>
      </c>
      <c r="H19" s="134">
        <v>116</v>
      </c>
      <c r="I19" s="134">
        <v>0</v>
      </c>
      <c r="J19" s="134">
        <v>0</v>
      </c>
      <c r="K19" s="134">
        <v>5.4126000000000003</v>
      </c>
      <c r="L19" s="134">
        <v>1.5E-3</v>
      </c>
      <c r="M19" s="134">
        <v>0</v>
      </c>
      <c r="N19" s="128">
        <v>40.78</v>
      </c>
      <c r="O19" s="128">
        <f t="shared" si="0"/>
        <v>220.72582800000001</v>
      </c>
      <c r="P19" s="143">
        <f>O20/N20</f>
        <v>5.4066525700000003</v>
      </c>
      <c r="Q19" s="128">
        <f>SQRT(SUM(Q12:Q17))</f>
        <v>2.7436184009442717E-4</v>
      </c>
      <c r="R19" s="128">
        <f>SQRT(SUM(R12:R18))</f>
        <v>7.4260496692386867E-4</v>
      </c>
    </row>
    <row r="20" spans="1:25" x14ac:dyDescent="0.25">
      <c r="A20" s="442" t="s">
        <v>163</v>
      </c>
      <c r="B20" s="442"/>
      <c r="C20" s="442"/>
      <c r="D20" s="442"/>
      <c r="F20" s="144"/>
      <c r="N20" s="128">
        <f>SUM(N13:N19)</f>
        <v>100</v>
      </c>
      <c r="O20" s="128">
        <f>SUM(O13:O19)</f>
        <v>540.665257</v>
      </c>
      <c r="P20" s="143" t="s">
        <v>64</v>
      </c>
      <c r="Q20" s="128" t="s">
        <v>65</v>
      </c>
      <c r="R20" s="128" t="s">
        <v>66</v>
      </c>
      <c r="S20" s="442" t="s">
        <v>169</v>
      </c>
      <c r="T20" s="442"/>
    </row>
    <row r="21" spans="1:25" ht="15.75" x14ac:dyDescent="0.25">
      <c r="A21" s="145">
        <v>7.657</v>
      </c>
      <c r="B21" s="145">
        <v>2E-3</v>
      </c>
      <c r="C21" s="146">
        <v>161.922</v>
      </c>
      <c r="D21" s="146">
        <v>4.2000000000000003E-2</v>
      </c>
      <c r="G21" s="134" t="s">
        <v>48</v>
      </c>
      <c r="H21" s="134" t="s">
        <v>49</v>
      </c>
      <c r="I21" s="134" t="s">
        <v>50</v>
      </c>
      <c r="J21" s="134" t="s">
        <v>51</v>
      </c>
      <c r="K21" s="134" t="s">
        <v>52</v>
      </c>
      <c r="L21" s="134" t="s">
        <v>53</v>
      </c>
      <c r="M21" s="134" t="s">
        <v>54</v>
      </c>
      <c r="N21" s="128" t="s">
        <v>55</v>
      </c>
      <c r="S21" s="128" t="s">
        <v>70</v>
      </c>
      <c r="T21" s="128" t="s">
        <v>71</v>
      </c>
    </row>
    <row r="22" spans="1:25" x14ac:dyDescent="0.25">
      <c r="A22" s="146">
        <v>7.4945000000000004</v>
      </c>
      <c r="B22" s="145">
        <v>2E-3</v>
      </c>
      <c r="C22" s="146">
        <v>165.43299999999999</v>
      </c>
      <c r="D22" s="146">
        <v>4.3999999999999997E-2</v>
      </c>
      <c r="E22" s="128">
        <v>77</v>
      </c>
      <c r="F22" s="441" t="s">
        <v>67</v>
      </c>
      <c r="G22" s="128">
        <v>182</v>
      </c>
      <c r="H22" s="128">
        <f t="shared" ref="H22:H31" si="3">G22-$E$22</f>
        <v>105</v>
      </c>
      <c r="I22" s="128">
        <v>-0.28299999999999997</v>
      </c>
      <c r="J22" s="128">
        <v>6.0000000000000001E-3</v>
      </c>
      <c r="K22" s="128">
        <v>5.3704999999999998</v>
      </c>
      <c r="L22" s="128">
        <v>0.1061</v>
      </c>
      <c r="M22" s="128">
        <v>6.9999999999999999E-4</v>
      </c>
      <c r="N22" s="147">
        <v>0</v>
      </c>
      <c r="O22" s="128">
        <f t="shared" ref="O22:O31" si="4">N22*K22</f>
        <v>0</v>
      </c>
      <c r="R22" s="148">
        <v>182</v>
      </c>
      <c r="S22" s="148">
        <f t="shared" ref="S22:S29" si="5">SQRT($S$30^2 +I22)</f>
        <v>5.418272203086234</v>
      </c>
      <c r="T22" s="148">
        <f t="shared" ref="T22:T29" si="6">SQRT(((1/2)*($S$30^2+I22)^(-1/2)*2*$S$30*$T$30)^(2)+((1/2)*($S$30^2+I22)^(-1/2)*J22)^(2))</f>
        <v>1.2492790997842319E-2</v>
      </c>
    </row>
    <row r="23" spans="1:25" x14ac:dyDescent="0.25">
      <c r="A23" s="145">
        <f>A21-A22</f>
        <v>0.16249999999999964</v>
      </c>
      <c r="B23" s="146">
        <f>SQRT((B21*B21)+(B22*B22))</f>
        <v>2.8284271247461901E-3</v>
      </c>
      <c r="C23" s="145">
        <f>-C21+C22</f>
        <v>3.5109999999999957</v>
      </c>
      <c r="D23" s="146">
        <f>SQRT((D21*D21)+(D22*D22))</f>
        <v>6.0827625302982198E-2</v>
      </c>
      <c r="F23" s="441"/>
      <c r="G23" s="128">
        <v>183</v>
      </c>
      <c r="H23" s="128">
        <f t="shared" si="3"/>
        <v>106</v>
      </c>
      <c r="I23" s="128">
        <v>-0.20300000000000001</v>
      </c>
      <c r="J23" s="128">
        <v>5.0000000000000001E-3</v>
      </c>
      <c r="K23" s="142">
        <v>5.3780000000000001</v>
      </c>
      <c r="L23" s="128">
        <v>0.1061</v>
      </c>
      <c r="M23" s="128">
        <v>5.0000000000000001E-4</v>
      </c>
      <c r="N23" s="128">
        <v>0</v>
      </c>
      <c r="O23" s="128">
        <f t="shared" si="4"/>
        <v>0</v>
      </c>
      <c r="R23" s="148">
        <v>183</v>
      </c>
      <c r="S23" s="148">
        <f t="shared" si="5"/>
        <v>5.425649607810751</v>
      </c>
      <c r="T23" s="148">
        <f t="shared" si="6"/>
        <v>1.2472059689654558E-2</v>
      </c>
    </row>
    <row r="24" spans="1:25" x14ac:dyDescent="0.25">
      <c r="F24" s="441"/>
      <c r="G24" s="128">
        <v>184</v>
      </c>
      <c r="H24" s="128">
        <f t="shared" si="3"/>
        <v>107</v>
      </c>
      <c r="I24" s="128">
        <v>-0.17599999999999999</v>
      </c>
      <c r="J24" s="128">
        <v>3.0000000000000001E-3</v>
      </c>
      <c r="K24" s="128">
        <v>5.3804999999999996</v>
      </c>
      <c r="L24" s="128">
        <v>0.1061</v>
      </c>
      <c r="M24" s="128">
        <v>4.0000000000000002E-4</v>
      </c>
      <c r="N24" s="128">
        <v>0</v>
      </c>
      <c r="O24" s="128">
        <f t="shared" si="4"/>
        <v>0</v>
      </c>
      <c r="R24" s="148">
        <v>184</v>
      </c>
      <c r="S24" s="148">
        <f t="shared" si="5"/>
        <v>5.4281372188566639</v>
      </c>
      <c r="T24" s="148">
        <f t="shared" si="6"/>
        <v>1.246089790281581E-2</v>
      </c>
    </row>
    <row r="25" spans="1:25" x14ac:dyDescent="0.25">
      <c r="F25" s="441"/>
      <c r="G25" s="128">
        <v>185</v>
      </c>
      <c r="H25" s="128">
        <f t="shared" si="3"/>
        <v>108</v>
      </c>
      <c r="I25" s="128">
        <v>-0.123</v>
      </c>
      <c r="J25" s="128">
        <v>3.0000000000000001E-3</v>
      </c>
      <c r="K25" s="128">
        <v>5.3853999999999997</v>
      </c>
      <c r="L25" s="128">
        <v>0.1061</v>
      </c>
      <c r="M25" s="128">
        <v>2.9999999999999997E-4</v>
      </c>
      <c r="N25" s="128">
        <v>0</v>
      </c>
      <c r="O25" s="128">
        <f t="shared" si="4"/>
        <v>0</v>
      </c>
      <c r="R25" s="148">
        <v>185</v>
      </c>
      <c r="S25" s="148">
        <f t="shared" si="5"/>
        <v>5.4330169948875504</v>
      </c>
      <c r="T25" s="148">
        <f>SQRT(((1/2)*($S$30^2+I25)^(-1/2)*2*$S$30*$T$30)^(2)+((1/2)*($S$30^2+I25)^(-1/2)*J25)^(2))</f>
        <v>1.2449705890906645E-2</v>
      </c>
    </row>
    <row r="26" spans="1:25" x14ac:dyDescent="0.25">
      <c r="B26" s="149"/>
      <c r="C26" s="128">
        <f>SQRT(0.000025)</f>
        <v>5.0000000000000001E-3</v>
      </c>
      <c r="F26" s="441"/>
      <c r="G26" s="128">
        <v>186</v>
      </c>
      <c r="H26" s="128">
        <f t="shared" si="3"/>
        <v>109</v>
      </c>
      <c r="I26" s="128">
        <v>-7.2999999999999995E-2</v>
      </c>
      <c r="J26" s="128">
        <v>4.0000000000000001E-3</v>
      </c>
      <c r="K26" s="142">
        <v>5.39</v>
      </c>
      <c r="L26" s="128">
        <v>0.1061</v>
      </c>
      <c r="M26" s="128">
        <v>4.0000000000000002E-4</v>
      </c>
      <c r="N26" s="128">
        <v>0</v>
      </c>
      <c r="O26" s="128">
        <f t="shared" si="4"/>
        <v>0</v>
      </c>
      <c r="R26" s="148">
        <v>186</v>
      </c>
      <c r="S26" s="148">
        <f t="shared" si="5"/>
        <v>5.4376165428188248</v>
      </c>
      <c r="T26" s="148">
        <f>SQRT(((1/2)*($S$30^2+I26)^(-1/2)*2*$S$30*$T$30)^(2)+((1/2)*($S$30^2+I26)^(-1/2)*J26)^(2))</f>
        <v>1.244155378595428E-2</v>
      </c>
    </row>
    <row r="27" spans="1:25" x14ac:dyDescent="0.25">
      <c r="A27" s="128" t="s">
        <v>165</v>
      </c>
      <c r="F27" s="441"/>
      <c r="G27" s="128">
        <v>187</v>
      </c>
      <c r="H27" s="128">
        <f t="shared" si="3"/>
        <v>110</v>
      </c>
      <c r="I27" s="128">
        <v>-0.16800000000000001</v>
      </c>
      <c r="J27" s="128">
        <v>3.0000000000000001E-3</v>
      </c>
      <c r="K27" s="128">
        <v>5.3811999999999998</v>
      </c>
      <c r="L27" s="128">
        <v>0.1061</v>
      </c>
      <c r="M27" s="128">
        <v>4.0000000000000002E-4</v>
      </c>
      <c r="N27" s="128">
        <v>0</v>
      </c>
      <c r="O27" s="128">
        <f t="shared" si="4"/>
        <v>0</v>
      </c>
      <c r="R27" s="148">
        <v>187</v>
      </c>
      <c r="S27" s="148">
        <f>SQRT($S$30^2 +I27)</f>
        <v>5.4288740698911919</v>
      </c>
      <c r="T27" s="148">
        <f>SQRT(((1/2)*($S$30^2+I27)^(-1/2)*2*$S$30*$T$30)^(2)+((1/2)*($S$30^2+I27)^(-1/2)*J27)^(2))</f>
        <v>1.2459206608195116E-2</v>
      </c>
    </row>
    <row r="28" spans="1:25" x14ac:dyDescent="0.25">
      <c r="B28" s="128" t="s">
        <v>58</v>
      </c>
      <c r="C28" s="128" t="s">
        <v>59</v>
      </c>
      <c r="F28" s="441"/>
      <c r="G28" s="128">
        <v>188</v>
      </c>
      <c r="H28" s="128">
        <f t="shared" si="3"/>
        <v>111</v>
      </c>
      <c r="I28" s="139">
        <v>-0.14000000000000001</v>
      </c>
      <c r="J28" s="128">
        <v>4.0000000000000001E-3</v>
      </c>
      <c r="K28" s="128">
        <v>5.3837999999999999</v>
      </c>
      <c r="L28" s="128">
        <v>0.1061</v>
      </c>
      <c r="M28" s="128">
        <v>4.0000000000000001E-3</v>
      </c>
      <c r="N28" s="128">
        <v>0</v>
      </c>
      <c r="O28" s="128">
        <f t="shared" si="4"/>
        <v>0</v>
      </c>
      <c r="R28" s="148">
        <v>188</v>
      </c>
      <c r="S28" s="148">
        <f t="shared" si="5"/>
        <v>5.4314522612959557</v>
      </c>
      <c r="T28" s="148">
        <f t="shared" si="6"/>
        <v>1.2455673994773025E-2</v>
      </c>
    </row>
    <row r="29" spans="1:25" x14ac:dyDescent="0.25">
      <c r="A29" s="128" t="s">
        <v>164</v>
      </c>
      <c r="B29" s="162">
        <v>4.1685134589819518E-2</v>
      </c>
      <c r="C29" s="162">
        <v>1.2417761841624747E-2</v>
      </c>
      <c r="D29" s="128" t="s">
        <v>61</v>
      </c>
      <c r="F29" s="441"/>
      <c r="G29" s="128">
        <v>189</v>
      </c>
      <c r="H29" s="128">
        <f t="shared" si="3"/>
        <v>112</v>
      </c>
      <c r="I29" s="128">
        <v>-7.5999999999999998E-2</v>
      </c>
      <c r="J29" s="128">
        <v>2E-3</v>
      </c>
      <c r="K29" s="128">
        <v>5.3898000000000001</v>
      </c>
      <c r="L29" s="128">
        <v>0.1061</v>
      </c>
      <c r="M29" s="128">
        <v>2.0000000000000001E-4</v>
      </c>
      <c r="N29" s="128">
        <v>0</v>
      </c>
      <c r="O29" s="128">
        <f t="shared" si="4"/>
        <v>0</v>
      </c>
      <c r="R29" s="148">
        <v>189</v>
      </c>
      <c r="S29" s="148">
        <f t="shared" si="5"/>
        <v>5.4373406796647341</v>
      </c>
      <c r="T29" s="148">
        <f t="shared" si="6"/>
        <v>1.2438106580384876E-2</v>
      </c>
    </row>
    <row r="30" spans="1:25" x14ac:dyDescent="0.25">
      <c r="B30" s="142"/>
      <c r="F30" s="441"/>
      <c r="G30" s="128">
        <v>191</v>
      </c>
      <c r="H30" s="128">
        <f t="shared" si="3"/>
        <v>114</v>
      </c>
      <c r="I30" s="128">
        <v>0</v>
      </c>
      <c r="J30" s="128">
        <v>0</v>
      </c>
      <c r="K30" s="128">
        <v>5.3967999999999998</v>
      </c>
      <c r="L30" s="128">
        <v>0.1061</v>
      </c>
      <c r="M30" s="128">
        <v>0</v>
      </c>
      <c r="N30" s="128">
        <v>37.299999999999997</v>
      </c>
      <c r="O30" s="128">
        <f t="shared" si="4"/>
        <v>201.30063999999999</v>
      </c>
      <c r="Q30" s="128">
        <f>K30-P32</f>
        <v>-4.0127999999999275E-3</v>
      </c>
      <c r="R30" s="148">
        <v>191</v>
      </c>
      <c r="S30" s="169">
        <f>Q30+R32</f>
        <v>5.4443249045898199</v>
      </c>
      <c r="T30" s="148">
        <f>SQRT(Q19^2 +C29^2)</f>
        <v>1.2420792389159864E-2</v>
      </c>
      <c r="U30" s="128">
        <f>SQRT(R19^2 + C29^2)</f>
        <v>1.2439946595231493E-2</v>
      </c>
    </row>
    <row r="31" spans="1:25" x14ac:dyDescent="0.25">
      <c r="B31" s="142"/>
      <c r="C31" s="150">
        <f>SQRT(0.000025 + 7.21*10^(-8)*(B12*I4)^2)</f>
        <v>1.1009439679557396E-2</v>
      </c>
      <c r="F31" s="441"/>
      <c r="G31" s="134">
        <v>193</v>
      </c>
      <c r="H31" s="134">
        <f t="shared" si="3"/>
        <v>116</v>
      </c>
      <c r="I31" s="134">
        <v>6.9099999999999995E-2</v>
      </c>
      <c r="J31" s="134">
        <v>1E-3</v>
      </c>
      <c r="K31" s="134">
        <v>5.4032</v>
      </c>
      <c r="L31" s="134">
        <v>0.1061</v>
      </c>
      <c r="M31" s="134">
        <v>1E-4</v>
      </c>
      <c r="N31" s="128">
        <v>62.7</v>
      </c>
      <c r="O31" s="128">
        <f t="shared" si="4"/>
        <v>338.78064000000001</v>
      </c>
      <c r="Q31" s="128">
        <f>K31-P32</f>
        <v>2.3872000000002558E-3</v>
      </c>
      <c r="R31" s="148">
        <v>193</v>
      </c>
      <c r="S31" s="148">
        <f>SQRT(S30^2 +I31)</f>
        <v>5.4506672680266357</v>
      </c>
      <c r="T31" s="148">
        <f>SQRT(((1/2)*(S30^2+I31)^(-1/2)*2*S30*T30)^(2)+((1/2)*(S30^2+I31)^(-1/2)*J31)^(2))</f>
        <v>1.2406678756311436E-2</v>
      </c>
    </row>
    <row r="32" spans="1:25" x14ac:dyDescent="0.25">
      <c r="A32" s="128" t="s">
        <v>166</v>
      </c>
      <c r="B32" s="142"/>
      <c r="N32" s="128">
        <f>SUM(N22:N31)</f>
        <v>100</v>
      </c>
      <c r="O32" s="128">
        <f>SUM(O22:O31)</f>
        <v>540.08127999999999</v>
      </c>
      <c r="P32" s="143">
        <f>O32/N32</f>
        <v>5.4008127999999997</v>
      </c>
      <c r="R32" s="142">
        <f>P19+B29</f>
        <v>5.4483377045898198</v>
      </c>
      <c r="T32" s="128">
        <f>(2*S30*T30+J31)/(2*S30)</f>
        <v>1.2512631140292897E-2</v>
      </c>
    </row>
    <row r="33" spans="1:24" ht="15.75" x14ac:dyDescent="0.25">
      <c r="B33" s="142" t="s">
        <v>58</v>
      </c>
      <c r="C33" s="128" t="s">
        <v>59</v>
      </c>
      <c r="G33" s="134" t="s">
        <v>48</v>
      </c>
      <c r="H33" s="134" t="s">
        <v>49</v>
      </c>
      <c r="I33" s="134" t="s">
        <v>50</v>
      </c>
      <c r="J33" s="134" t="s">
        <v>51</v>
      </c>
      <c r="K33" s="134" t="s">
        <v>52</v>
      </c>
      <c r="L33" s="134" t="s">
        <v>53</v>
      </c>
      <c r="M33" s="134" t="s">
        <v>54</v>
      </c>
      <c r="P33" s="143" t="s">
        <v>64</v>
      </c>
      <c r="R33" s="128" t="s">
        <v>72</v>
      </c>
    </row>
    <row r="34" spans="1:24" x14ac:dyDescent="0.25">
      <c r="A34" s="128" t="s">
        <v>164</v>
      </c>
      <c r="B34" s="162">
        <v>2.9288651454087013E-2</v>
      </c>
      <c r="C34" s="162">
        <v>1.3723391530172255E-2</v>
      </c>
      <c r="D34" s="128" t="s">
        <v>61</v>
      </c>
      <c r="E34" s="128">
        <v>74</v>
      </c>
      <c r="F34" s="441" t="s">
        <v>73</v>
      </c>
      <c r="G34" s="128">
        <v>180</v>
      </c>
      <c r="H34" s="128">
        <f>G34-$E$34</f>
        <v>106</v>
      </c>
      <c r="I34" s="128">
        <v>-0.16800000000000001</v>
      </c>
      <c r="J34" s="128">
        <v>6.0000000000000001E-3</v>
      </c>
      <c r="K34" s="128">
        <v>5.3491</v>
      </c>
      <c r="L34" s="128">
        <v>2.2000000000000001E-3</v>
      </c>
      <c r="M34" s="128">
        <v>1.6999999999999999E-3</v>
      </c>
      <c r="T34" s="128">
        <f>SQRT((1/(2*S31^2))*((2*S30*T30)^2 + (J31)^2))</f>
        <v>1.7545693361181794E-2</v>
      </c>
    </row>
    <row r="35" spans="1:24" x14ac:dyDescent="0.25">
      <c r="F35" s="441"/>
      <c r="G35" s="128">
        <v>182</v>
      </c>
      <c r="H35" s="128">
        <f>G35-$E$34</f>
        <v>108</v>
      </c>
      <c r="I35" s="128">
        <v>-9.9000000000000005E-2</v>
      </c>
      <c r="J35" s="128">
        <v>5.0000000000000001E-3</v>
      </c>
      <c r="K35" s="128">
        <v>5.3559000000000001</v>
      </c>
      <c r="L35" s="128">
        <v>1.6999999999999999E-3</v>
      </c>
      <c r="M35" s="142">
        <v>1E-3</v>
      </c>
      <c r="O35" s="128">
        <f>K31-K30</f>
        <v>6.4000000000001833E-3</v>
      </c>
      <c r="P35" s="128">
        <f>K30^2 - K31^2</f>
        <v>-6.9120000000001625E-2</v>
      </c>
      <c r="S35" s="128">
        <f>Q31+R32</f>
        <v>5.4507249045898201</v>
      </c>
    </row>
    <row r="36" spans="1:24" x14ac:dyDescent="0.25">
      <c r="F36" s="441"/>
      <c r="G36" s="128">
        <v>183</v>
      </c>
      <c r="H36" s="128">
        <f>G36-$E$34</f>
        <v>109</v>
      </c>
      <c r="I36" s="128">
        <v>-4.7E-2</v>
      </c>
      <c r="J36" s="128">
        <v>6.0000000000000001E-3</v>
      </c>
      <c r="K36" s="128">
        <v>5.3611000000000004</v>
      </c>
      <c r="L36" s="142">
        <v>2E-3</v>
      </c>
      <c r="M36" s="128">
        <v>6.9999999999999999E-4</v>
      </c>
      <c r="O36" s="151">
        <v>6.9099999999999995E-2</v>
      </c>
    </row>
    <row r="37" spans="1:24" x14ac:dyDescent="0.25">
      <c r="F37" s="441"/>
      <c r="G37" s="128">
        <v>184</v>
      </c>
      <c r="H37" s="128">
        <f>G37-$E$34</f>
        <v>110</v>
      </c>
      <c r="I37" s="128">
        <v>0</v>
      </c>
      <c r="J37" s="128">
        <v>0</v>
      </c>
      <c r="K37" s="128">
        <v>5.3658000000000001</v>
      </c>
      <c r="L37" s="128">
        <v>2.3E-3</v>
      </c>
      <c r="M37" s="128">
        <v>0</v>
      </c>
    </row>
    <row r="38" spans="1:24" x14ac:dyDescent="0.25">
      <c r="F38" s="441"/>
      <c r="G38" s="134">
        <v>186</v>
      </c>
      <c r="H38" s="134">
        <f>G38-$E$34</f>
        <v>112</v>
      </c>
      <c r="I38" s="134">
        <v>8.5999999999999993E-2</v>
      </c>
      <c r="J38" s="134">
        <v>4.0000000000000001E-3</v>
      </c>
      <c r="K38" s="134">
        <v>5.3742999999999999</v>
      </c>
      <c r="L38" s="134">
        <v>2.5999999999999999E-3</v>
      </c>
      <c r="M38" s="134">
        <v>8.9999999999999998E-4</v>
      </c>
    </row>
    <row r="39" spans="1:24" x14ac:dyDescent="0.25">
      <c r="F39" s="144"/>
      <c r="S39" s="442" t="s">
        <v>170</v>
      </c>
      <c r="T39" s="442"/>
    </row>
    <row r="40" spans="1:24" ht="15.75" x14ac:dyDescent="0.25">
      <c r="A40" s="128" t="s">
        <v>172</v>
      </c>
      <c r="G40" s="134" t="s">
        <v>48</v>
      </c>
      <c r="H40" s="134" t="s">
        <v>49</v>
      </c>
      <c r="I40" s="134" t="s">
        <v>50</v>
      </c>
      <c r="J40" s="134" t="s">
        <v>51</v>
      </c>
      <c r="K40" s="134" t="s">
        <v>52</v>
      </c>
      <c r="L40" s="134" t="s">
        <v>53</v>
      </c>
      <c r="M40" s="134" t="s">
        <v>54</v>
      </c>
      <c r="S40" s="128" t="s">
        <v>70</v>
      </c>
      <c r="T40" s="128" t="s">
        <v>71</v>
      </c>
    </row>
    <row r="41" spans="1:24" x14ac:dyDescent="0.25">
      <c r="A41" s="142">
        <v>7.4489999999999998</v>
      </c>
      <c r="B41" s="128">
        <v>1.2999999999999999E-3</v>
      </c>
      <c r="C41" s="128">
        <v>166.44</v>
      </c>
      <c r="D41" s="128">
        <v>0.03</v>
      </c>
      <c r="E41" s="128">
        <v>75</v>
      </c>
      <c r="F41" s="441" t="s">
        <v>74</v>
      </c>
      <c r="G41" s="128">
        <v>185</v>
      </c>
      <c r="H41" s="128">
        <f>G41-$E$41</f>
        <v>110</v>
      </c>
      <c r="I41" s="128">
        <v>0</v>
      </c>
      <c r="J41" s="128">
        <v>0</v>
      </c>
      <c r="K41" s="128">
        <v>5.3596000000000004</v>
      </c>
      <c r="L41" s="128">
        <v>1.72E-2</v>
      </c>
      <c r="M41" s="128">
        <v>0</v>
      </c>
      <c r="R41" s="148">
        <v>182</v>
      </c>
      <c r="S41" s="148">
        <f t="shared" ref="S41:S48" si="7">SQRT($S$49^2 +I22)</f>
        <v>5.4058159768716409</v>
      </c>
      <c r="T41" s="148">
        <f t="shared" ref="T41:T48" si="8">SQRT(((1/2)*($S$49^2+I22)^(-1/2)*2*$S$49*$T$49)^(2)+((1/2)*($S$49^2+I22)^(-1/2)*J22)^(2))</f>
        <v>1.3803597251534825E-2</v>
      </c>
    </row>
    <row r="42" spans="1:24" x14ac:dyDescent="0.25">
      <c r="A42" s="128">
        <v>7.2948000000000004</v>
      </c>
      <c r="B42" s="128">
        <v>1.2999999999999999E-3</v>
      </c>
      <c r="C42" s="128">
        <v>169.96</v>
      </c>
      <c r="D42" s="128">
        <v>0.03</v>
      </c>
      <c r="F42" s="441"/>
      <c r="G42" s="134">
        <v>187</v>
      </c>
      <c r="H42" s="134">
        <f>G42-$E$41</f>
        <v>112</v>
      </c>
      <c r="I42" s="152">
        <v>0.11</v>
      </c>
      <c r="J42" s="152">
        <v>0.01</v>
      </c>
      <c r="K42" s="134">
        <v>5.3697999999999997</v>
      </c>
      <c r="L42" s="134">
        <v>1.7299999999999999E-2</v>
      </c>
      <c r="M42" s="134">
        <v>8.9999999999999998E-4</v>
      </c>
      <c r="R42" s="148">
        <v>183</v>
      </c>
      <c r="S42" s="148">
        <f t="shared" si="7"/>
        <v>5.4132103576159585</v>
      </c>
      <c r="T42" s="148">
        <f t="shared" si="8"/>
        <v>1.3781337245140515E-2</v>
      </c>
    </row>
    <row r="43" spans="1:24" x14ac:dyDescent="0.25">
      <c r="A43" s="128">
        <f>A41-A42</f>
        <v>0.15419999999999945</v>
      </c>
      <c r="B43" s="128">
        <f>SQRT((B41*B41)+(B42*B42))</f>
        <v>1.8384776310850235E-3</v>
      </c>
      <c r="C43" s="128">
        <f>-C41+C42</f>
        <v>3.5200000000000102</v>
      </c>
      <c r="D43" s="128">
        <f>SQRT((D41*D41)+(D42*D42))</f>
        <v>4.2426406871192854E-2</v>
      </c>
      <c r="F43" s="144"/>
      <c r="I43" s="139"/>
      <c r="J43" s="139"/>
      <c r="R43" s="148">
        <v>184</v>
      </c>
      <c r="S43" s="148">
        <f t="shared" si="7"/>
        <v>5.4157036824221372</v>
      </c>
      <c r="T43" s="148">
        <f t="shared" si="8"/>
        <v>1.3770041324080905E-2</v>
      </c>
      <c r="V43" s="137"/>
    </row>
    <row r="44" spans="1:24" ht="15.75" x14ac:dyDescent="0.25">
      <c r="G44" s="134" t="s">
        <v>48</v>
      </c>
      <c r="H44" s="134" t="s">
        <v>49</v>
      </c>
      <c r="I44" s="134" t="s">
        <v>50</v>
      </c>
      <c r="J44" s="134" t="s">
        <v>51</v>
      </c>
      <c r="K44" s="134" t="s">
        <v>52</v>
      </c>
      <c r="L44" s="134" t="s">
        <v>53</v>
      </c>
      <c r="M44" s="134" t="s">
        <v>54</v>
      </c>
      <c r="O44" s="137"/>
      <c r="P44" s="137"/>
      <c r="R44" s="148">
        <v>185</v>
      </c>
      <c r="S44" s="148">
        <f t="shared" si="7"/>
        <v>5.4205946514935697</v>
      </c>
      <c r="T44" s="148">
        <f t="shared" si="8"/>
        <v>1.3757616700850708E-2</v>
      </c>
      <c r="V44" s="137"/>
      <c r="W44" s="137"/>
      <c r="X44" s="137"/>
    </row>
    <row r="45" spans="1:24" ht="15.75" customHeight="1" x14ac:dyDescent="0.25">
      <c r="E45" s="128">
        <v>78</v>
      </c>
      <c r="F45" s="441" t="s">
        <v>75</v>
      </c>
      <c r="G45" s="128">
        <v>183</v>
      </c>
      <c r="H45" s="128">
        <f t="shared" ref="H45:H56" si="9">G45-$E$45</f>
        <v>105</v>
      </c>
      <c r="I45" s="128">
        <v>-0.19600000000000001</v>
      </c>
      <c r="J45" s="139">
        <v>0.02</v>
      </c>
      <c r="K45" s="128">
        <v>5.4038000000000004</v>
      </c>
      <c r="L45" s="128">
        <v>3.5999999999999999E-3</v>
      </c>
      <c r="M45" s="128">
        <v>1.9E-3</v>
      </c>
      <c r="O45" s="137"/>
      <c r="P45" s="137"/>
      <c r="R45" s="148">
        <v>186</v>
      </c>
      <c r="S45" s="148">
        <f t="shared" si="7"/>
        <v>5.4252047312337162</v>
      </c>
      <c r="T45" s="148">
        <f t="shared" si="8"/>
        <v>1.3748088692873296E-2</v>
      </c>
      <c r="V45" s="137"/>
      <c r="W45" s="137"/>
      <c r="X45" s="137"/>
    </row>
    <row r="46" spans="1:24" ht="15.75" customHeight="1" x14ac:dyDescent="0.25">
      <c r="A46" s="128" t="s">
        <v>173</v>
      </c>
      <c r="F46" s="441"/>
      <c r="G46" s="128">
        <v>184</v>
      </c>
      <c r="H46" s="128">
        <f t="shared" si="9"/>
        <v>106</v>
      </c>
      <c r="I46" s="139">
        <v>-0.24</v>
      </c>
      <c r="J46" s="128">
        <v>1.7999999999999999E-2</v>
      </c>
      <c r="K46" s="128">
        <v>5.4015000000000004</v>
      </c>
      <c r="L46" s="128">
        <v>3.5999999999999999E-3</v>
      </c>
      <c r="M46" s="128">
        <v>1.6999999999999999E-3</v>
      </c>
      <c r="O46" s="137"/>
      <c r="P46" s="137"/>
      <c r="R46" s="148">
        <v>187</v>
      </c>
      <c r="S46" s="148">
        <f t="shared" si="7"/>
        <v>5.4164422249111732</v>
      </c>
      <c r="T46" s="148">
        <f>SQRT(((1/2)*($S$49^2+I27)^(-1/2)*2*$S$49*$T$49)^(2)+((1/2)*($S$49^2+I27)^(-1/2)*J27)^(2))</f>
        <v>1.3768163752019513E-2</v>
      </c>
      <c r="V46" s="137"/>
      <c r="W46" s="137"/>
      <c r="X46" s="137"/>
    </row>
    <row r="47" spans="1:24" ht="15.75" customHeight="1" x14ac:dyDescent="0.25">
      <c r="A47" s="142">
        <v>7.4506600000000001</v>
      </c>
      <c r="B47" s="128">
        <v>1.2999999999999999E-3</v>
      </c>
      <c r="C47" s="128">
        <f>10^(9)*$I$3*$I$2*$I$1/A47</f>
        <v>166.40700076664388</v>
      </c>
      <c r="D47" s="128">
        <v>0.03</v>
      </c>
      <c r="F47" s="441"/>
      <c r="G47" s="128">
        <v>185</v>
      </c>
      <c r="H47" s="128">
        <f t="shared" si="9"/>
        <v>107</v>
      </c>
      <c r="I47" s="139">
        <v>-0.09</v>
      </c>
      <c r="J47" s="128">
        <v>5.0000000000000001E-3</v>
      </c>
      <c r="K47" s="128">
        <v>5.4147999999999996</v>
      </c>
      <c r="L47" s="128">
        <v>2.8E-3</v>
      </c>
      <c r="M47" s="128">
        <v>5.0000000000000001E-4</v>
      </c>
      <c r="O47" s="137"/>
      <c r="P47" s="137"/>
      <c r="R47" s="148">
        <v>188</v>
      </c>
      <c r="S47" s="148">
        <f t="shared" si="7"/>
        <v>5.4190263309750302</v>
      </c>
      <c r="T47" s="148">
        <f t="shared" si="8"/>
        <v>1.3763763315868014E-2</v>
      </c>
      <c r="V47" s="137"/>
      <c r="W47" s="137"/>
      <c r="X47" s="137"/>
    </row>
    <row r="48" spans="1:24" ht="15.75" customHeight="1" x14ac:dyDescent="0.25">
      <c r="A48" s="128">
        <v>7.2966199999999999</v>
      </c>
      <c r="B48" s="128">
        <v>1.2999999999999999E-3</v>
      </c>
      <c r="C48" s="128">
        <f>10^(9)*$I$3*$I$2*$I$1/A48</f>
        <v>169.92004302430479</v>
      </c>
      <c r="D48" s="128">
        <v>0.03</v>
      </c>
      <c r="F48" s="441"/>
      <c r="G48" s="128">
        <v>186</v>
      </c>
      <c r="H48" s="128">
        <f t="shared" si="9"/>
        <v>108</v>
      </c>
      <c r="I48" s="128">
        <v>-0.21299999999999999</v>
      </c>
      <c r="J48" s="128">
        <v>4.0000000000000001E-3</v>
      </c>
      <c r="K48" s="128">
        <v>5.4036999999999997</v>
      </c>
      <c r="L48" s="128">
        <v>3.5999999999999999E-3</v>
      </c>
      <c r="M48" s="128">
        <v>4.0000000000000002E-4</v>
      </c>
      <c r="O48" s="137"/>
      <c r="P48" s="137"/>
      <c r="R48" s="148">
        <v>189</v>
      </c>
      <c r="S48" s="148">
        <f t="shared" si="7"/>
        <v>5.4249282369263367</v>
      </c>
      <c r="T48" s="148">
        <f t="shared" si="8"/>
        <v>1.3745081758394985E-2</v>
      </c>
      <c r="V48" s="137"/>
      <c r="W48" s="137"/>
      <c r="X48" s="137"/>
    </row>
    <row r="49" spans="1:27" ht="15.75" customHeight="1" x14ac:dyDescent="0.25">
      <c r="A49" s="128">
        <f>A47-A48</f>
        <v>0.15404000000000018</v>
      </c>
      <c r="B49" s="128">
        <f>SQRT((B47*B47)+(B48*B48))</f>
        <v>1.8384776310850235E-3</v>
      </c>
      <c r="C49" s="142">
        <f>-C47+C48</f>
        <v>3.5130422576609135</v>
      </c>
      <c r="D49" s="128">
        <v>0.01</v>
      </c>
      <c r="F49" s="441"/>
      <c r="G49" s="128">
        <v>187</v>
      </c>
      <c r="H49" s="128">
        <f t="shared" si="9"/>
        <v>109</v>
      </c>
      <c r="I49" s="128">
        <v>-0.188</v>
      </c>
      <c r="J49" s="128">
        <v>4.0000000000000001E-3</v>
      </c>
      <c r="K49" s="128">
        <v>5.4062999999999999</v>
      </c>
      <c r="L49" s="128">
        <v>3.7000000000000002E-3</v>
      </c>
      <c r="M49" s="128">
        <v>4.0000000000000002E-4</v>
      </c>
      <c r="O49" s="137"/>
      <c r="P49" s="137"/>
      <c r="Q49" s="128">
        <f>Q30</f>
        <v>-4.0127999999999275E-3</v>
      </c>
      <c r="R49" s="148">
        <v>191</v>
      </c>
      <c r="S49" s="148">
        <f>Q49+R51</f>
        <v>5.4319284214540877</v>
      </c>
      <c r="T49" s="148">
        <f>SQRT((Q19^2)+(C34^2))</f>
        <v>1.3726133815088049E-2</v>
      </c>
      <c r="U49" s="128">
        <f>SQRT(R19^2 +C34^2)</f>
        <v>1.3743468893525521E-2</v>
      </c>
      <c r="V49" s="137"/>
      <c r="W49" s="137"/>
      <c r="X49" s="137"/>
    </row>
    <row r="50" spans="1:27" ht="15.75" customHeight="1" x14ac:dyDescent="0.25">
      <c r="F50" s="441"/>
      <c r="G50" s="128">
        <v>188</v>
      </c>
      <c r="H50" s="128">
        <f t="shared" si="9"/>
        <v>110</v>
      </c>
      <c r="I50" s="128">
        <v>-0.193</v>
      </c>
      <c r="J50" s="128">
        <v>3.0000000000000001E-3</v>
      </c>
      <c r="K50" s="128">
        <v>5.4053000000000004</v>
      </c>
      <c r="L50" s="128">
        <v>3.3999999999999998E-3</v>
      </c>
      <c r="M50" s="128">
        <v>2.9999999999999997E-4</v>
      </c>
      <c r="O50" s="137"/>
      <c r="P50" s="137"/>
      <c r="Q50" s="128">
        <f>Q31</f>
        <v>2.3872000000002558E-3</v>
      </c>
      <c r="R50" s="148">
        <v>193</v>
      </c>
      <c r="S50" s="148">
        <f>SQRT(S49^2 +I31)</f>
        <v>5.4382852422248593</v>
      </c>
      <c r="T50" s="148">
        <f>SQRT(((1/2)*($S$49^2+I31)^(-1/2)*2*$S$49*$T$49)^(2)+((1/2)*($S$49^2+I31)^(-1/2)*J31)^(2))</f>
        <v>1.3710397591001476E-2</v>
      </c>
      <c r="V50" s="137"/>
      <c r="W50" s="137"/>
      <c r="X50" s="137"/>
    </row>
    <row r="51" spans="1:27" ht="15.75" customHeight="1" x14ac:dyDescent="0.25">
      <c r="A51" s="128" t="s">
        <v>174</v>
      </c>
      <c r="F51" s="441"/>
      <c r="G51" s="128">
        <v>189</v>
      </c>
      <c r="H51" s="128">
        <f t="shared" si="9"/>
        <v>111</v>
      </c>
      <c r="I51" s="128">
        <v>-0.187</v>
      </c>
      <c r="J51" s="128">
        <v>5.0000000000000001E-3</v>
      </c>
      <c r="K51" s="142">
        <v>5.4059999999999997</v>
      </c>
      <c r="L51" s="128">
        <v>3.5000000000000001E-3</v>
      </c>
      <c r="M51" s="128">
        <v>5.0000000000000001E-4</v>
      </c>
      <c r="O51" s="137"/>
      <c r="P51" s="137"/>
      <c r="R51" s="142">
        <f>P19+B34</f>
        <v>5.4359412214540876</v>
      </c>
      <c r="T51" s="128">
        <f>(2*S49*T49+J50)/(2*S49)</f>
        <v>1.4002278838294829E-2</v>
      </c>
      <c r="V51" s="137"/>
      <c r="W51" s="137"/>
      <c r="X51" s="137"/>
    </row>
    <row r="52" spans="1:27" ht="15.75" customHeight="1" x14ac:dyDescent="0.25">
      <c r="A52" s="128">
        <v>7.4462000000000002</v>
      </c>
      <c r="B52" s="128">
        <v>8.0000000000000004E-4</v>
      </c>
      <c r="C52" s="128">
        <f>10^(9)*$I$3*$I$2*$I$1/A52</f>
        <v>166.50667244124557</v>
      </c>
      <c r="D52" s="128">
        <v>1.9E-2</v>
      </c>
      <c r="E52" s="159" t="s">
        <v>187</v>
      </c>
      <c r="F52" s="441"/>
      <c r="G52" s="128">
        <v>190</v>
      </c>
      <c r="H52" s="128">
        <f t="shared" si="9"/>
        <v>112</v>
      </c>
      <c r="I52" s="128">
        <v>-0.13700000000000001</v>
      </c>
      <c r="J52" s="128">
        <v>2E-3</v>
      </c>
      <c r="K52" s="128">
        <v>5.4108000000000001</v>
      </c>
      <c r="L52" s="142">
        <v>3.0000000000000001E-3</v>
      </c>
      <c r="M52" s="128">
        <v>2.0000000000000001E-4</v>
      </c>
      <c r="O52" s="137"/>
      <c r="P52" s="137"/>
      <c r="R52" s="128" t="s">
        <v>72</v>
      </c>
      <c r="V52" s="137"/>
      <c r="W52" s="137"/>
      <c r="X52" s="137"/>
    </row>
    <row r="53" spans="1:27" ht="15.75" customHeight="1" x14ac:dyDescent="0.25">
      <c r="A53" s="128">
        <v>7.2919999999999998</v>
      </c>
      <c r="B53" s="128">
        <v>2.5000000000000001E-3</v>
      </c>
      <c r="C53" s="128">
        <f>10^(9)*$I$3*$I$2*$I$1/A53</f>
        <v>170.02769944212875</v>
      </c>
      <c r="D53" s="128">
        <v>5.8000000000000003E-2</v>
      </c>
      <c r="E53" s="159" t="s">
        <v>188</v>
      </c>
      <c r="F53" s="441"/>
      <c r="G53" s="128">
        <v>191</v>
      </c>
      <c r="H53" s="128">
        <f t="shared" si="9"/>
        <v>113</v>
      </c>
      <c r="I53" s="128">
        <v>-0.14199999999999999</v>
      </c>
      <c r="J53" s="128">
        <v>4.0000000000000001E-3</v>
      </c>
      <c r="K53" s="128">
        <v>5.4101999999999997</v>
      </c>
      <c r="L53" s="128">
        <v>3.0999999999999999E-3</v>
      </c>
      <c r="M53" s="128">
        <v>4.0000000000000002E-4</v>
      </c>
      <c r="O53" s="137"/>
      <c r="P53" s="137"/>
      <c r="T53" s="128">
        <f>SQRT((1/(2*S50^2))*((2*S49*T49)^2 + (J50)^2))</f>
        <v>1.9392917620046912E-2</v>
      </c>
      <c r="V53" s="137"/>
      <c r="W53" s="137"/>
      <c r="X53" s="137"/>
    </row>
    <row r="54" spans="1:27" ht="15.75" customHeight="1" x14ac:dyDescent="0.25">
      <c r="A54" s="128">
        <f>A52-A53</f>
        <v>0.15420000000000034</v>
      </c>
      <c r="B54" s="128">
        <f>SQRT(B53^2 + B52^2)</f>
        <v>2.6248809496813375E-3</v>
      </c>
      <c r="C54" s="128">
        <f>C53-C52</f>
        <v>3.5210270008831799</v>
      </c>
      <c r="D54" s="128">
        <f>SQRT(D52^2+D53^2)</f>
        <v>6.1032778078668512E-2</v>
      </c>
      <c r="E54" s="159" t="s">
        <v>189</v>
      </c>
      <c r="F54" s="441"/>
      <c r="G54" s="128">
        <v>192</v>
      </c>
      <c r="H54" s="128">
        <f t="shared" si="9"/>
        <v>114</v>
      </c>
      <c r="I54" s="128">
        <v>-7.2999999999999995E-2</v>
      </c>
      <c r="J54" s="128">
        <v>2E-3</v>
      </c>
      <c r="K54" s="128">
        <v>5.4169</v>
      </c>
      <c r="L54" s="128">
        <v>2.8E-3</v>
      </c>
      <c r="M54" s="128">
        <v>2.0000000000000001E-4</v>
      </c>
      <c r="O54" s="137"/>
      <c r="P54" s="137"/>
      <c r="S54" s="128">
        <f>Q50+R51</f>
        <v>5.4383284214540879</v>
      </c>
      <c r="V54" s="137"/>
      <c r="W54" s="137"/>
      <c r="X54" s="137"/>
    </row>
    <row r="55" spans="1:27" ht="15.75" customHeight="1" x14ac:dyDescent="0.25">
      <c r="F55" s="441"/>
      <c r="G55" s="128">
        <v>193</v>
      </c>
      <c r="H55" s="128">
        <f t="shared" si="9"/>
        <v>115</v>
      </c>
      <c r="I55" s="128">
        <v>-4.7E-2</v>
      </c>
      <c r="J55" s="128">
        <v>6.0000000000000001E-3</v>
      </c>
      <c r="K55" s="128">
        <v>5.4191000000000003</v>
      </c>
      <c r="L55" s="128">
        <v>2.7000000000000001E-3</v>
      </c>
      <c r="M55" s="128">
        <v>5.9999999999999995E-4</v>
      </c>
      <c r="O55" s="137"/>
      <c r="P55" s="137"/>
      <c r="V55" s="137"/>
      <c r="W55" s="137"/>
      <c r="X55" s="137"/>
    </row>
    <row r="56" spans="1:27" ht="15.75" customHeight="1" x14ac:dyDescent="0.25">
      <c r="F56" s="441"/>
      <c r="G56" s="134">
        <v>194</v>
      </c>
      <c r="H56" s="134">
        <f t="shared" si="9"/>
        <v>116</v>
      </c>
      <c r="I56" s="134">
        <v>0</v>
      </c>
      <c r="J56" s="134">
        <v>0</v>
      </c>
      <c r="K56" s="134">
        <v>5.4236000000000004</v>
      </c>
      <c r="L56" s="134">
        <v>2.5000000000000001E-3</v>
      </c>
      <c r="M56" s="134">
        <v>0</v>
      </c>
      <c r="O56" s="137"/>
      <c r="P56" s="137"/>
      <c r="Q56" s="137"/>
      <c r="R56" s="137"/>
      <c r="S56" s="137"/>
      <c r="T56" s="137"/>
      <c r="U56" s="137"/>
      <c r="V56" s="137"/>
      <c r="W56" s="137"/>
      <c r="X56" s="137"/>
    </row>
    <row r="57" spans="1:27" ht="15.75" customHeight="1" x14ac:dyDescent="0.25">
      <c r="O57" s="137"/>
      <c r="P57" s="137"/>
      <c r="Q57" s="137"/>
      <c r="R57" s="137"/>
      <c r="S57" s="137"/>
      <c r="T57" s="137"/>
      <c r="U57" s="137"/>
      <c r="V57" s="137"/>
      <c r="W57" s="137"/>
      <c r="X57" s="137"/>
    </row>
    <row r="58" spans="1:27" x14ac:dyDescent="0.25">
      <c r="R58" s="156" t="s">
        <v>35</v>
      </c>
      <c r="T58" s="156" t="s">
        <v>120</v>
      </c>
      <c r="V58" s="156" t="s">
        <v>36</v>
      </c>
      <c r="X58" s="156" t="s">
        <v>183</v>
      </c>
      <c r="Z58" s="156" t="s">
        <v>186</v>
      </c>
    </row>
    <row r="59" spans="1:27" x14ac:dyDescent="0.25">
      <c r="A59" s="166" t="s">
        <v>205</v>
      </c>
      <c r="B59" s="128">
        <v>2</v>
      </c>
      <c r="Q59" s="141">
        <v>182</v>
      </c>
      <c r="R59" s="141">
        <v>5.3704999999999998</v>
      </c>
      <c r="S59" s="141">
        <v>0.1061</v>
      </c>
      <c r="T59" s="128">
        <v>5.4168370764952263</v>
      </c>
      <c r="U59" s="128">
        <v>2.0530054425932587E-2</v>
      </c>
      <c r="V59" s="128">
        <v>5.4112158157648285</v>
      </c>
      <c r="W59" s="128">
        <v>7.1090204501300085E-3</v>
      </c>
      <c r="X59" s="128">
        <v>5.3961919860634699</v>
      </c>
      <c r="Y59" s="128">
        <v>0.10974526440197807</v>
      </c>
      <c r="Z59" s="128">
        <v>5.3905685237029974</v>
      </c>
      <c r="AA59" s="128">
        <v>8.261550233889324E-3</v>
      </c>
    </row>
    <row r="60" spans="1:27" x14ac:dyDescent="0.25">
      <c r="Q60" s="141">
        <v>183</v>
      </c>
      <c r="R60" s="142">
        <v>5.3780000000000001</v>
      </c>
      <c r="S60" s="141">
        <v>0.1061</v>
      </c>
      <c r="T60" s="128">
        <v>5.4242164331167082</v>
      </c>
      <c r="U60" s="128">
        <v>2.049984480849799E-2</v>
      </c>
      <c r="V60" s="128">
        <v>5.4186028277392158</v>
      </c>
      <c r="W60" s="128">
        <v>7.092729419791723E-3</v>
      </c>
      <c r="X60" s="128">
        <v>5.4035995364623028</v>
      </c>
      <c r="Y60" s="128">
        <v>0.10959438989669339</v>
      </c>
      <c r="Z60" s="128">
        <v>5.397983791077694</v>
      </c>
      <c r="AA60" s="128">
        <v>8.2444795478826514E-3</v>
      </c>
    </row>
    <row r="61" spans="1:27" x14ac:dyDescent="0.25">
      <c r="Q61" s="141">
        <v>184</v>
      </c>
      <c r="R61" s="141">
        <v>5.3804999999999996</v>
      </c>
      <c r="S61" s="141">
        <v>0.1061</v>
      </c>
      <c r="T61" s="128">
        <v>5.4267047011324792</v>
      </c>
      <c r="U61" s="128">
        <v>2.0487130483530194E-2</v>
      </c>
      <c r="V61" s="128">
        <v>5.4210936723859904</v>
      </c>
      <c r="W61" s="128">
        <v>7.0798646343295099E-3</v>
      </c>
      <c r="X61" s="128">
        <v>5.4060972938392089</v>
      </c>
      <c r="Y61" s="128">
        <v>0.10954312973545335</v>
      </c>
      <c r="Z61" s="128">
        <v>5.4004841457722579</v>
      </c>
      <c r="AA61" s="128">
        <v>8.2323367375598169E-3</v>
      </c>
    </row>
    <row r="62" spans="1:27" x14ac:dyDescent="0.25">
      <c r="Q62" s="141">
        <v>185</v>
      </c>
      <c r="R62" s="141">
        <v>5.3853999999999997</v>
      </c>
      <c r="S62" s="141">
        <v>0.1061</v>
      </c>
      <c r="T62" s="128">
        <v>5.4315857641478278</v>
      </c>
      <c r="U62" s="128">
        <v>2.0468719842653672E-2</v>
      </c>
      <c r="V62" s="128">
        <v>5.4259797829316891</v>
      </c>
      <c r="W62" s="128">
        <v>7.0734891956740365E-3</v>
      </c>
      <c r="X62" s="128">
        <v>5.4109969460770921</v>
      </c>
      <c r="Y62" s="128">
        <v>0.10944393854275787</v>
      </c>
      <c r="Z62" s="128">
        <v>5.4053888859856798</v>
      </c>
      <c r="AA62" s="128">
        <v>8.2248668822175255E-3</v>
      </c>
    </row>
    <row r="63" spans="1:27" x14ac:dyDescent="0.25">
      <c r="Q63" s="141">
        <v>186</v>
      </c>
      <c r="R63" s="142">
        <v>5.39</v>
      </c>
      <c r="S63" s="141">
        <v>0.1061</v>
      </c>
      <c r="T63" s="128">
        <v>5.4361865230410693</v>
      </c>
      <c r="U63" s="128">
        <v>2.045284444302696E-2</v>
      </c>
      <c r="V63" s="128">
        <v>5.4305852911802628</v>
      </c>
      <c r="W63" s="128">
        <v>7.0716872150839924E-3</v>
      </c>
      <c r="X63" s="128">
        <v>5.4156151959362493</v>
      </c>
      <c r="Y63" s="128">
        <v>0.10935088135570922</v>
      </c>
      <c r="Z63" s="128">
        <v>5.4100119231603836</v>
      </c>
      <c r="AA63" s="128">
        <v>8.2214755791569574E-3</v>
      </c>
    </row>
    <row r="64" spans="1:27" x14ac:dyDescent="0.25">
      <c r="Q64" s="141">
        <v>187</v>
      </c>
      <c r="R64" s="141">
        <v>5.3811999999999998</v>
      </c>
      <c r="S64" s="141">
        <v>0.1061</v>
      </c>
      <c r="T64" s="128">
        <v>5.4274417466513034</v>
      </c>
      <c r="U64" s="128">
        <v>2.0484348335250892E-2</v>
      </c>
      <c r="V64" s="128">
        <v>5.4218314806699244</v>
      </c>
      <c r="W64" s="128">
        <v>7.0789011992255305E-3</v>
      </c>
      <c r="X64" s="128">
        <v>5.4068371485051792</v>
      </c>
      <c r="Y64" s="128">
        <v>0.10952814019657256</v>
      </c>
      <c r="Z64" s="128">
        <v>5.4012247693220017</v>
      </c>
      <c r="AA64" s="128">
        <v>8.2312079079484499E-3</v>
      </c>
    </row>
    <row r="65" spans="3:27" x14ac:dyDescent="0.25">
      <c r="Q65" s="141">
        <v>188</v>
      </c>
      <c r="R65" s="141">
        <v>5.3837999999999999</v>
      </c>
      <c r="S65" s="141">
        <v>0.1061</v>
      </c>
      <c r="T65" s="128">
        <v>5.4300206181278305</v>
      </c>
      <c r="U65" s="128">
        <v>2.0476069086708786E-2</v>
      </c>
      <c r="V65" s="128">
        <v>5.4244130193766971</v>
      </c>
      <c r="W65" s="128">
        <v>7.0797338692464582E-3</v>
      </c>
      <c r="X65" s="128">
        <v>5.4094258429574218</v>
      </c>
      <c r="Y65" s="128">
        <v>0.10947599836866127</v>
      </c>
      <c r="Z65" s="128">
        <v>5.4038161523813439</v>
      </c>
      <c r="AA65" s="128">
        <v>8.2309019505799556E-3</v>
      </c>
    </row>
    <row r="66" spans="3:27" x14ac:dyDescent="0.25">
      <c r="Q66" s="141">
        <v>189</v>
      </c>
      <c r="R66" s="141">
        <v>5.3898000000000001</v>
      </c>
      <c r="S66" s="141">
        <v>0.1061</v>
      </c>
      <c r="T66" s="128">
        <v>5.4359105873159237</v>
      </c>
      <c r="U66" s="128">
        <v>2.0451400688840764E-2</v>
      </c>
      <c r="V66" s="128">
        <v>5.4303090708341291</v>
      </c>
      <c r="W66" s="128">
        <v>7.0648504807739997E-3</v>
      </c>
      <c r="X66" s="128">
        <v>5.4153382120099955</v>
      </c>
      <c r="Y66" s="128">
        <v>0.109356006707387</v>
      </c>
      <c r="Z66" s="128">
        <v>5.4097346523408625</v>
      </c>
      <c r="AA66" s="128">
        <v>8.2156605906843743E-3</v>
      </c>
    </row>
    <row r="67" spans="3:27" x14ac:dyDescent="0.25">
      <c r="Q67" s="141">
        <v>191</v>
      </c>
      <c r="R67" s="141">
        <v>5.3967999999999998</v>
      </c>
      <c r="S67" s="141">
        <v>0.1061</v>
      </c>
      <c r="T67" s="128">
        <v>5.4428966473095324</v>
      </c>
      <c r="U67" s="128">
        <v>2.042432460258924E-2</v>
      </c>
      <c r="V67" s="128">
        <v>5.4373023278813015</v>
      </c>
      <c r="W67" s="128">
        <v>7.0533665741062644E-3</v>
      </c>
      <c r="X67" s="128">
        <v>5.4223507771496688</v>
      </c>
      <c r="Y67" s="128">
        <v>0.10921442412405769</v>
      </c>
      <c r="Z67" s="128">
        <v>5.4167544718897416</v>
      </c>
      <c r="AA67" s="128">
        <v>8.2029363931576792E-3</v>
      </c>
    </row>
    <row r="68" spans="3:27" x14ac:dyDescent="0.25">
      <c r="F68" s="128">
        <v>1</v>
      </c>
      <c r="I68" s="128">
        <v>2</v>
      </c>
      <c r="K68" s="128">
        <v>3</v>
      </c>
      <c r="M68" s="128">
        <v>4</v>
      </c>
      <c r="Q68" s="134">
        <v>193</v>
      </c>
      <c r="R68" s="134">
        <v>5.4032</v>
      </c>
      <c r="S68" s="134">
        <v>0.1061</v>
      </c>
      <c r="T68" s="128">
        <v>5.4492406730932101</v>
      </c>
      <c r="U68" s="128">
        <v>2.0400752874744771E-2</v>
      </c>
      <c r="V68" s="128">
        <v>5.4436528732812697</v>
      </c>
      <c r="W68" s="128">
        <v>7.0457368590908292E-3</v>
      </c>
      <c r="X68" s="128">
        <v>5.4287188129848483</v>
      </c>
      <c r="Y68" s="128">
        <v>0.10908635149535743</v>
      </c>
      <c r="Z68" s="128">
        <v>5.4231290791145215</v>
      </c>
      <c r="AA68" s="128">
        <v>8.1938129922516662E-3</v>
      </c>
    </row>
    <row r="69" spans="3:27" x14ac:dyDescent="0.25">
      <c r="E69" s="148" t="s">
        <v>120</v>
      </c>
      <c r="F69" s="128">
        <f>(B59*D77*D78/D76)^2</f>
        <v>7.3910504747991247E-6</v>
      </c>
      <c r="I69" s="128">
        <f>(B59*D88/D76)^2</f>
        <v>1.8699780861943026E-5</v>
      </c>
      <c r="K69" s="128">
        <f>(B59*D80*D84/D76)^2</f>
        <v>3.8988038915114794E-4</v>
      </c>
      <c r="M69" s="128">
        <f>(B59*D82*0.05)^2</f>
        <v>1.6206161707147039E-5</v>
      </c>
      <c r="O69" s="148">
        <f>SQRT(F69+I69+K69+M69)</f>
        <v>2.0788876405304763E-2</v>
      </c>
    </row>
    <row r="70" spans="3:27" x14ac:dyDescent="0.25">
      <c r="E70" s="153" t="s">
        <v>36</v>
      </c>
      <c r="F70" s="128">
        <f>(B59*E77*E78/E76)^2</f>
        <v>7.3348875805882941E-6</v>
      </c>
      <c r="I70" s="128">
        <f>(B59*E88/E76)^2</f>
        <v>1.0389063951831105E-5</v>
      </c>
      <c r="K70" s="128">
        <f>(B59*E80*D84/E76)^2</f>
        <v>3.8507805235058092E-4</v>
      </c>
      <c r="M70" s="128">
        <f>(B59*0.05*E82)^2</f>
        <v>1.4275757169631787E-5</v>
      </c>
      <c r="O70" s="153">
        <f>SQRT(F70+I70+K70+M70)</f>
        <v>2.042248175547311E-2</v>
      </c>
    </row>
    <row r="71" spans="3:27" x14ac:dyDescent="0.25">
      <c r="E71" s="156" t="s">
        <v>183</v>
      </c>
      <c r="F71" s="128">
        <f>F69</f>
        <v>7.3910504747991247E-6</v>
      </c>
      <c r="I71" s="128">
        <f>(F79/F76)^2</f>
        <v>1.1879656501036793E-2</v>
      </c>
      <c r="K71" s="128">
        <f>(D80*D84/D76)^2</f>
        <v>9.7470097287786985E-5</v>
      </c>
      <c r="M71" s="141">
        <f>(D82*0.05)^2</f>
        <v>4.0515404267867598E-6</v>
      </c>
      <c r="O71" s="128">
        <f>SQRT(F71+I71+K71+M71)*B59</f>
        <v>0.21898464959193981</v>
      </c>
    </row>
    <row r="72" spans="3:27" x14ac:dyDescent="0.25">
      <c r="E72" s="156"/>
    </row>
    <row r="73" spans="3:27" x14ac:dyDescent="0.25">
      <c r="I73" s="154"/>
    </row>
    <row r="75" spans="3:27" x14ac:dyDescent="0.25">
      <c r="D75" s="148" t="s">
        <v>120</v>
      </c>
      <c r="E75" s="153" t="s">
        <v>36</v>
      </c>
      <c r="F75" s="156" t="s">
        <v>183</v>
      </c>
      <c r="G75" s="156"/>
    </row>
    <row r="76" spans="3:27" x14ac:dyDescent="0.25">
      <c r="C76" s="128" t="s">
        <v>31</v>
      </c>
      <c r="D76" s="128">
        <v>-3700</v>
      </c>
      <c r="E76" s="128">
        <v>-3723</v>
      </c>
      <c r="F76" s="141">
        <v>-3700</v>
      </c>
    </row>
    <row r="77" spans="3:27" x14ac:dyDescent="0.25">
      <c r="C77" s="128" t="s">
        <v>175</v>
      </c>
      <c r="D77" s="128">
        <v>-3353</v>
      </c>
      <c r="E77" s="128">
        <v>-3361</v>
      </c>
      <c r="F77" s="141">
        <v>-3353</v>
      </c>
    </row>
    <row r="78" spans="3:27" x14ac:dyDescent="0.25">
      <c r="C78" s="128" t="s">
        <v>176</v>
      </c>
      <c r="D78" s="128">
        <v>1.5E-3</v>
      </c>
      <c r="E78" s="128">
        <v>1.5E-3</v>
      </c>
      <c r="F78" s="141">
        <v>1.5E-3</v>
      </c>
    </row>
    <row r="79" spans="3:27" x14ac:dyDescent="0.25">
      <c r="C79" s="128" t="s">
        <v>177</v>
      </c>
      <c r="D79" s="128">
        <v>10</v>
      </c>
      <c r="E79" s="155">
        <v>10</v>
      </c>
      <c r="F79" s="128">
        <f>0.05*D84</f>
        <v>403.27719685000005</v>
      </c>
    </row>
    <row r="80" spans="3:27" x14ac:dyDescent="0.25">
      <c r="C80" s="128" t="s">
        <v>178</v>
      </c>
      <c r="D80" s="128">
        <f>B12</f>
        <v>4.52901503572266E-3</v>
      </c>
      <c r="E80" s="161">
        <f>B12</f>
        <v>4.52901503572266E-3</v>
      </c>
      <c r="F80" s="161">
        <f>B12</f>
        <v>4.52901503572266E-3</v>
      </c>
    </row>
    <row r="81" spans="3:8" x14ac:dyDescent="0.25">
      <c r="C81" s="128" t="s">
        <v>179</v>
      </c>
      <c r="D81" s="128">
        <f>A12</f>
        <v>3.5025594992231901</v>
      </c>
      <c r="E81" s="161">
        <f>A12</f>
        <v>3.5025594992231901</v>
      </c>
      <c r="F81" s="161">
        <f>A12</f>
        <v>3.5025594992231901</v>
      </c>
    </row>
    <row r="82" spans="3:8" x14ac:dyDescent="0.25">
      <c r="C82" s="128" t="s">
        <v>180</v>
      </c>
      <c r="D82" s="148">
        <f>D84*(C52-C53+D81)/D76</f>
        <v>4.0256877309531897E-2</v>
      </c>
      <c r="E82" s="153">
        <f>D84*(C41-C42+E81)/E76</f>
        <v>3.7783272978438205E-2</v>
      </c>
      <c r="F82" s="157">
        <f>D84*(C47-C48+F81)/F76</f>
        <v>2.2851121286598788E-2</v>
      </c>
    </row>
    <row r="84" spans="3:8" x14ac:dyDescent="0.25">
      <c r="C84" s="128" t="s">
        <v>44</v>
      </c>
      <c r="D84" s="132">
        <v>8065.5439370000004</v>
      </c>
    </row>
    <row r="86" spans="3:8" x14ac:dyDescent="0.25">
      <c r="C86" s="128" t="s">
        <v>181</v>
      </c>
      <c r="D86" s="128">
        <v>158</v>
      </c>
      <c r="E86" s="128">
        <v>143</v>
      </c>
    </row>
    <row r="87" spans="3:8" x14ac:dyDescent="0.25">
      <c r="C87" s="128" t="s">
        <v>182</v>
      </c>
      <c r="D87" s="128">
        <v>150</v>
      </c>
      <c r="E87" s="128">
        <v>137</v>
      </c>
    </row>
    <row r="88" spans="3:8" x14ac:dyDescent="0.25">
      <c r="D88" s="128">
        <f>D86-D87</f>
        <v>8</v>
      </c>
      <c r="E88" s="128">
        <f>E86-E87</f>
        <v>6</v>
      </c>
    </row>
    <row r="92" spans="3:8" x14ac:dyDescent="0.25">
      <c r="C92" s="160" t="s">
        <v>34</v>
      </c>
    </row>
    <row r="93" spans="3:8" x14ac:dyDescent="0.25">
      <c r="D93" s="128">
        <v>14.8964</v>
      </c>
      <c r="E93" s="128">
        <v>4.0000000000000002E-4</v>
      </c>
      <c r="G93" s="128">
        <f>I3*I2*I1/(D93*10^(-9))</f>
        <v>83.230980930426327</v>
      </c>
      <c r="H93" s="128">
        <f>G93*(E93/D93)</f>
        <v>2.2349287325911316E-3</v>
      </c>
    </row>
    <row r="94" spans="3:8" x14ac:dyDescent="0.25">
      <c r="D94" s="128">
        <v>14.5892</v>
      </c>
      <c r="E94" s="128">
        <v>4.0000000000000002E-4</v>
      </c>
      <c r="G94" s="128">
        <f>I3*I2*I1/(D94*10^(-9))</f>
        <v>84.983548401009159</v>
      </c>
      <c r="H94" s="158">
        <f>G94*(E94/D94)</f>
        <v>2.3300399857705471E-3</v>
      </c>
    </row>
    <row r="95" spans="3:8" x14ac:dyDescent="0.25">
      <c r="D95" s="160" t="s">
        <v>191</v>
      </c>
    </row>
    <row r="96" spans="3:8" x14ac:dyDescent="0.25">
      <c r="D96" s="128">
        <f>D93-D94</f>
        <v>0.30719999999999992</v>
      </c>
      <c r="E96" s="128">
        <f>SQRT(E93^2 + E94^2)</f>
        <v>5.6568542494923803E-4</v>
      </c>
      <c r="G96" s="128">
        <f>G94-G93</f>
        <v>1.7525674705828322</v>
      </c>
      <c r="H96" s="128">
        <f>SQRT(2*H93^2 + 2*H94^2)</f>
        <v>4.5659594336899256E-3</v>
      </c>
    </row>
    <row r="97" spans="4:8" x14ac:dyDescent="0.25">
      <c r="D97" s="128">
        <f>D96/2</f>
        <v>0.15359999999999996</v>
      </c>
      <c r="G97" s="128">
        <f>G96*2</f>
        <v>3.5051349411656645</v>
      </c>
      <c r="H97" s="128">
        <f>G97*(E96/D96)</f>
        <v>6.454439286125397E-3</v>
      </c>
    </row>
    <row r="99" spans="4:8" x14ac:dyDescent="0.25">
      <c r="D99" s="160" t="s">
        <v>190</v>
      </c>
    </row>
    <row r="100" spans="4:8" x14ac:dyDescent="0.25">
      <c r="D100" s="158">
        <v>0.30706568856698202</v>
      </c>
      <c r="E100" s="158">
        <v>2.7372760724867997E-4</v>
      </c>
    </row>
    <row r="101" spans="4:8" x14ac:dyDescent="0.25">
      <c r="D101" s="128">
        <f>D100/2</f>
        <v>0.15353284428349101</v>
      </c>
    </row>
  </sheetData>
  <mergeCells count="11">
    <mergeCell ref="S20:T20"/>
    <mergeCell ref="A6:B6"/>
    <mergeCell ref="G6:H6"/>
    <mergeCell ref="F13:F19"/>
    <mergeCell ref="A16:D16"/>
    <mergeCell ref="A20:D20"/>
    <mergeCell ref="F22:F31"/>
    <mergeCell ref="F34:F38"/>
    <mergeCell ref="S39:T39"/>
    <mergeCell ref="F41:F42"/>
    <mergeCell ref="F45:F5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798B-0FF7-6F48-AB04-2D7E113A9E4E}">
  <dimension ref="A2:T59"/>
  <sheetViews>
    <sheetView zoomScale="89" zoomScaleNormal="89" workbookViewId="0">
      <selection activeCell="P10" sqref="P10"/>
    </sheetView>
  </sheetViews>
  <sheetFormatPr defaultColWidth="11" defaultRowHeight="15.75" x14ac:dyDescent="0.25"/>
  <cols>
    <col min="1" max="1" width="21.625" customWidth="1"/>
    <col min="2" max="2" width="14" customWidth="1"/>
    <col min="4" max="4" width="14" customWidth="1"/>
    <col min="6" max="6" width="14" customWidth="1"/>
    <col min="8" max="8" width="14" customWidth="1"/>
    <col min="12" max="12" width="11.875" bestFit="1" customWidth="1"/>
  </cols>
  <sheetData>
    <row r="2" spans="1:20" ht="18.75" x14ac:dyDescent="0.3">
      <c r="B2" s="11" t="s">
        <v>24</v>
      </c>
      <c r="H2" t="s">
        <v>33</v>
      </c>
      <c r="I2" t="s">
        <v>31</v>
      </c>
      <c r="K2" t="s">
        <v>34</v>
      </c>
      <c r="L2" t="s">
        <v>31</v>
      </c>
      <c r="N2" t="s">
        <v>40</v>
      </c>
    </row>
    <row r="3" spans="1:20" x14ac:dyDescent="0.25">
      <c r="H3" t="s">
        <v>30</v>
      </c>
      <c r="I3">
        <v>-3361</v>
      </c>
      <c r="K3" t="s">
        <v>30</v>
      </c>
      <c r="L3">
        <v>-3602</v>
      </c>
      <c r="N3">
        <f>8065.6</f>
        <v>8065.6</v>
      </c>
      <c r="P3" t="s">
        <v>109</v>
      </c>
      <c r="S3">
        <v>2.666E-3</v>
      </c>
      <c r="T3">
        <f>S3*N3</f>
        <v>21.5028896</v>
      </c>
    </row>
    <row r="4" spans="1:20" x14ac:dyDescent="0.25">
      <c r="A4" t="s">
        <v>21</v>
      </c>
      <c r="H4" t="s">
        <v>32</v>
      </c>
      <c r="I4">
        <v>-3723</v>
      </c>
      <c r="K4" t="s">
        <v>32</v>
      </c>
      <c r="L4">
        <v>-4000</v>
      </c>
      <c r="P4">
        <v>3.5074700000000001</v>
      </c>
    </row>
    <row r="5" spans="1:20" x14ac:dyDescent="0.25">
      <c r="A5" t="s">
        <v>20</v>
      </c>
    </row>
    <row r="6" spans="1:20" x14ac:dyDescent="0.25">
      <c r="A6" t="s">
        <v>22</v>
      </c>
    </row>
    <row r="7" spans="1:20" x14ac:dyDescent="0.25">
      <c r="A7" t="s">
        <v>25</v>
      </c>
    </row>
    <row r="8" spans="1:20" x14ac:dyDescent="0.25">
      <c r="A8" t="s">
        <v>26</v>
      </c>
      <c r="H8" s="57"/>
      <c r="I8" s="57" t="s">
        <v>35</v>
      </c>
      <c r="J8" s="57" t="s">
        <v>36</v>
      </c>
      <c r="K8" s="57" t="s">
        <v>37</v>
      </c>
      <c r="L8" s="57" t="s">
        <v>38</v>
      </c>
      <c r="M8" s="57"/>
      <c r="N8" s="57"/>
      <c r="O8" s="57"/>
      <c r="P8" t="s">
        <v>42</v>
      </c>
    </row>
    <row r="9" spans="1:20" x14ac:dyDescent="0.25">
      <c r="A9" t="s">
        <v>27</v>
      </c>
      <c r="H9" s="57" t="s">
        <v>30</v>
      </c>
      <c r="I9" s="57">
        <v>5.4066000000000001</v>
      </c>
      <c r="J9" s="57">
        <v>5.4126000000000003</v>
      </c>
      <c r="K9" s="57">
        <f>I9-J9</f>
        <v>-6.0000000000002274E-3</v>
      </c>
      <c r="L9" s="57">
        <f>K9*I3</f>
        <v>20.166000000000764</v>
      </c>
      <c r="M9" s="57" t="s">
        <v>39</v>
      </c>
      <c r="N9" s="58">
        <f>L9/N3</f>
        <v>2.5002479666733739E-3</v>
      </c>
      <c r="O9" s="58" t="s">
        <v>41</v>
      </c>
      <c r="P9" s="3">
        <f>B33-N9</f>
        <v>161.92198012852015</v>
      </c>
      <c r="Q9" s="3">
        <f>P10-P9</f>
        <v>3.5107035571816141</v>
      </c>
    </row>
    <row r="10" spans="1:20" x14ac:dyDescent="0.25">
      <c r="H10" s="57" t="s">
        <v>32</v>
      </c>
      <c r="I10" s="57">
        <v>5.4008000000000003</v>
      </c>
      <c r="J10" s="57">
        <v>5.4032</v>
      </c>
      <c r="K10" s="57">
        <f>I10-J10</f>
        <v>-2.3999999999997357E-3</v>
      </c>
      <c r="L10" s="57">
        <f>K10*I4</f>
        <v>8.9351999999990159</v>
      </c>
      <c r="M10" s="57" t="s">
        <v>39</v>
      </c>
      <c r="N10" s="58">
        <f>L10/N3</f>
        <v>1.1078159095416354E-3</v>
      </c>
      <c r="O10" s="58" t="s">
        <v>41</v>
      </c>
      <c r="P10" s="3">
        <f>B55-N10</f>
        <v>165.43268368570176</v>
      </c>
    </row>
    <row r="11" spans="1:20" x14ac:dyDescent="0.25">
      <c r="I11" t="s">
        <v>121</v>
      </c>
      <c r="J11" t="s">
        <v>37</v>
      </c>
      <c r="K11" t="s">
        <v>122</v>
      </c>
      <c r="L11" t="s">
        <v>41</v>
      </c>
    </row>
    <row r="12" spans="1:20" x14ac:dyDescent="0.25">
      <c r="A12" s="9" t="s">
        <v>23</v>
      </c>
      <c r="H12" t="s">
        <v>30</v>
      </c>
      <c r="I12">
        <v>1E-3</v>
      </c>
      <c r="J12">
        <f>K9</f>
        <v>-6.0000000000002274E-3</v>
      </c>
      <c r="K12">
        <f>L9</f>
        <v>20.166000000000764</v>
      </c>
      <c r="L12">
        <f>K12/N3</f>
        <v>2.5002479666733739E-3</v>
      </c>
    </row>
    <row r="13" spans="1:20" x14ac:dyDescent="0.25">
      <c r="H13" t="s">
        <v>32</v>
      </c>
      <c r="I13">
        <v>4.7E-2</v>
      </c>
      <c r="J13">
        <f>K10</f>
        <v>-2.3999999999997357E-3</v>
      </c>
      <c r="K13">
        <f>L10</f>
        <v>8.9351999999990159</v>
      </c>
      <c r="L13">
        <f>K13/N3</f>
        <v>1.1078159095416354E-3</v>
      </c>
      <c r="P13">
        <f>N3*(P4-Q9)/I3</f>
        <v>7.7597675703736614E-3</v>
      </c>
    </row>
    <row r="14" spans="1:20" x14ac:dyDescent="0.25">
      <c r="A14" s="10" t="s">
        <v>28</v>
      </c>
    </row>
    <row r="15" spans="1:20" x14ac:dyDescent="0.25">
      <c r="B15" s="1" t="s">
        <v>0</v>
      </c>
      <c r="D15" s="1" t="s">
        <v>1</v>
      </c>
      <c r="F15" s="2" t="s">
        <v>2</v>
      </c>
      <c r="G15" s="3"/>
      <c r="H15" s="2" t="s">
        <v>3</v>
      </c>
    </row>
    <row r="16" spans="1:20" x14ac:dyDescent="0.25">
      <c r="B16" s="4"/>
      <c r="C16" s="4"/>
      <c r="D16" s="4"/>
      <c r="E16" s="4"/>
      <c r="F16" s="4"/>
      <c r="G16" s="4"/>
      <c r="H16" s="4"/>
      <c r="I16" s="4"/>
    </row>
    <row r="17" spans="1:12" x14ac:dyDescent="0.25">
      <c r="A17" s="5" t="s">
        <v>4</v>
      </c>
      <c r="B17" s="3">
        <v>172.08434679379391</v>
      </c>
      <c r="C17" s="6">
        <v>1</v>
      </c>
      <c r="D17" s="3">
        <v>596.01082891390388</v>
      </c>
      <c r="E17" s="6">
        <v>1</v>
      </c>
      <c r="F17" s="3">
        <v>596.01082891390388</v>
      </c>
      <c r="G17" s="6">
        <v>1</v>
      </c>
      <c r="H17" s="3">
        <v>618.03105803985522</v>
      </c>
      <c r="I17" s="6">
        <v>1</v>
      </c>
      <c r="K17">
        <f>L12</f>
        <v>2.5002479666733739E-3</v>
      </c>
      <c r="L17">
        <f>K17^2</f>
        <v>6.2512398948543408E-6</v>
      </c>
    </row>
    <row r="18" spans="1:12" x14ac:dyDescent="0.25">
      <c r="A18" s="5" t="s">
        <v>5</v>
      </c>
      <c r="B18" s="3">
        <v>-4.6680850769967197</v>
      </c>
      <c r="C18" s="6">
        <v>0</v>
      </c>
      <c r="D18" s="3">
        <v>12.665829785563135</v>
      </c>
      <c r="E18" s="6"/>
      <c r="F18" s="3">
        <v>-4.3043721137766111</v>
      </c>
      <c r="G18" s="6"/>
      <c r="H18" s="3">
        <v>21.738386818213847</v>
      </c>
      <c r="I18" s="6"/>
      <c r="K18" s="60">
        <f>C18/1000</f>
        <v>0</v>
      </c>
      <c r="L18">
        <f t="shared" ref="L18:L31" si="0">K18^2</f>
        <v>0</v>
      </c>
    </row>
    <row r="19" spans="1:12" x14ac:dyDescent="0.25">
      <c r="A19" s="5" t="s">
        <v>6</v>
      </c>
      <c r="B19" s="3">
        <v>-0.34810476457021666</v>
      </c>
      <c r="C19" s="6">
        <v>0</v>
      </c>
      <c r="D19" s="3">
        <v>-0.11236232470258981</v>
      </c>
      <c r="E19" s="6"/>
      <c r="F19" s="3">
        <v>-8.6411064688804412E-2</v>
      </c>
      <c r="G19" s="6"/>
      <c r="H19" s="3">
        <v>-2.5469050454513832E-4</v>
      </c>
      <c r="I19" s="6"/>
      <c r="K19" s="60">
        <f t="shared" ref="K19:K31" si="1">C19/1000</f>
        <v>0</v>
      </c>
      <c r="L19">
        <f t="shared" si="0"/>
        <v>0</v>
      </c>
    </row>
    <row r="20" spans="1:12" x14ac:dyDescent="0.25">
      <c r="A20" s="5" t="s">
        <v>7</v>
      </c>
      <c r="B20" s="3">
        <v>2.4116105280216658E-2</v>
      </c>
      <c r="C20" s="6">
        <v>0</v>
      </c>
      <c r="D20" s="3">
        <v>-0.57835668734819723</v>
      </c>
      <c r="E20" s="6"/>
      <c r="F20" s="3">
        <v>0.1334096874218719</v>
      </c>
      <c r="G20" s="6"/>
      <c r="H20" s="3">
        <v>-0.82073922162758339</v>
      </c>
      <c r="I20" s="6"/>
      <c r="K20" s="60">
        <f t="shared" si="1"/>
        <v>0</v>
      </c>
      <c r="L20">
        <f t="shared" si="0"/>
        <v>0</v>
      </c>
    </row>
    <row r="21" spans="1:12" x14ac:dyDescent="0.25">
      <c r="A21" s="5" t="s">
        <v>8</v>
      </c>
      <c r="B21" s="3">
        <v>2.0413555091588825E-3</v>
      </c>
      <c r="C21" s="6">
        <v>10.573912908948859</v>
      </c>
      <c r="D21" s="3">
        <v>-1.2915274077150945E-4</v>
      </c>
      <c r="E21" s="6">
        <v>17.853648216797989</v>
      </c>
      <c r="F21" s="3">
        <v>-1.0034288862552291E-4</v>
      </c>
      <c r="G21" s="6">
        <v>4.8166584973911775</v>
      </c>
      <c r="H21" s="3">
        <v>1.1061476073208543E-5</v>
      </c>
      <c r="I21" s="6">
        <v>24.870886701368512</v>
      </c>
      <c r="K21" s="60">
        <f t="shared" si="1"/>
        <v>1.0573912908948858E-2</v>
      </c>
      <c r="L21">
        <f t="shared" si="0"/>
        <v>1.1180763420603531E-4</v>
      </c>
    </row>
    <row r="22" spans="1:12" x14ac:dyDescent="0.25">
      <c r="A22" s="5" t="s">
        <v>17</v>
      </c>
      <c r="B22" s="3">
        <v>1.8622713600450286E-2</v>
      </c>
      <c r="C22" s="6">
        <v>11</v>
      </c>
      <c r="D22" s="3">
        <v>-0.65943106807740803</v>
      </c>
      <c r="E22" s="6">
        <v>18</v>
      </c>
      <c r="F22" s="3">
        <v>-0.55018876724855925</v>
      </c>
      <c r="G22" s="6">
        <v>18</v>
      </c>
      <c r="H22" s="3">
        <v>-0.18225391020061127</v>
      </c>
      <c r="I22" s="6">
        <v>29</v>
      </c>
      <c r="K22" s="60">
        <f t="shared" si="1"/>
        <v>1.0999999999999999E-2</v>
      </c>
      <c r="L22">
        <f t="shared" si="0"/>
        <v>1.2099999999999999E-4</v>
      </c>
    </row>
    <row r="23" spans="1:12" x14ac:dyDescent="0.25">
      <c r="A23" s="5" t="s">
        <v>18</v>
      </c>
      <c r="B23" s="3">
        <v>4.4808644128636198E-7</v>
      </c>
      <c r="C23" s="6">
        <v>0</v>
      </c>
      <c r="D23" s="3">
        <v>2.2807417237632848E-5</v>
      </c>
      <c r="E23" s="6"/>
      <c r="F23" s="3">
        <v>4.7075543363476325E-6</v>
      </c>
      <c r="G23" s="6"/>
      <c r="H23" s="3">
        <v>4.6355081921766699E-6</v>
      </c>
      <c r="I23" s="6"/>
      <c r="K23" s="60">
        <f t="shared" si="1"/>
        <v>0</v>
      </c>
      <c r="L23">
        <f t="shared" si="0"/>
        <v>0</v>
      </c>
    </row>
    <row r="24" spans="1:12" x14ac:dyDescent="0.25">
      <c r="A24" s="5" t="s">
        <v>19</v>
      </c>
      <c r="B24" s="3">
        <v>-6.5773020987787319E-3</v>
      </c>
      <c r="C24" s="6">
        <v>0</v>
      </c>
      <c r="D24" s="3">
        <v>-7.9488315137693152E-3</v>
      </c>
      <c r="E24" s="6"/>
      <c r="F24" s="3">
        <v>-7.7133138623472304E-3</v>
      </c>
      <c r="G24" s="6"/>
      <c r="H24" s="3">
        <v>-6.8041214968067648E-3</v>
      </c>
      <c r="I24" s="6"/>
      <c r="K24" s="60">
        <f t="shared" si="1"/>
        <v>0</v>
      </c>
      <c r="L24">
        <f t="shared" si="0"/>
        <v>0</v>
      </c>
    </row>
    <row r="25" spans="1:12" x14ac:dyDescent="0.25">
      <c r="A25" s="5" t="s">
        <v>9</v>
      </c>
      <c r="B25" s="3">
        <v>-6.2988432522288411</v>
      </c>
      <c r="C25" s="6">
        <v>2</v>
      </c>
      <c r="D25" s="3">
        <v>-6.0393618548547252</v>
      </c>
      <c r="E25" s="6">
        <v>2</v>
      </c>
      <c r="F25" s="3">
        <v>-5.1217182076401242</v>
      </c>
      <c r="G25" s="6">
        <v>2</v>
      </c>
      <c r="H25" s="3">
        <v>-1.4670365990599634</v>
      </c>
      <c r="I25" s="6">
        <v>2</v>
      </c>
      <c r="K25" s="60">
        <f t="shared" si="1"/>
        <v>2E-3</v>
      </c>
      <c r="L25">
        <f t="shared" si="0"/>
        <v>3.9999999999999998E-6</v>
      </c>
    </row>
    <row r="26" spans="1:12" x14ac:dyDescent="0.25">
      <c r="A26" s="5" t="s">
        <v>10</v>
      </c>
      <c r="B26" s="3">
        <v>1.1458175086495699</v>
      </c>
      <c r="C26" s="6">
        <v>0</v>
      </c>
      <c r="D26" s="3">
        <v>1.2847834665610538</v>
      </c>
      <c r="E26" s="6"/>
      <c r="F26" s="3">
        <v>1.1015193570067112</v>
      </c>
      <c r="G26" s="6"/>
      <c r="H26" s="3">
        <v>0.29972821148544238</v>
      </c>
      <c r="I26" s="6"/>
      <c r="K26" s="60">
        <f t="shared" si="1"/>
        <v>0</v>
      </c>
      <c r="L26">
        <f t="shared" si="0"/>
        <v>0</v>
      </c>
    </row>
    <row r="27" spans="1:12" x14ac:dyDescent="0.25">
      <c r="A27" s="5" t="s">
        <v>11</v>
      </c>
      <c r="B27" s="3">
        <v>-4.4399163134535659E-2</v>
      </c>
      <c r="C27" s="6">
        <v>4.4399163134535664</v>
      </c>
      <c r="D27" s="3">
        <v>-5.0949105646622098E-2</v>
      </c>
      <c r="E27" s="6">
        <v>5.0949105646622108</v>
      </c>
      <c r="F27" s="3">
        <v>-4.3862459529924978E-2</v>
      </c>
      <c r="G27" s="6">
        <v>4.386245952992498</v>
      </c>
      <c r="H27" s="3">
        <v>-1.3594768345622388E-2</v>
      </c>
      <c r="I27" s="6">
        <v>1.3594768345622388</v>
      </c>
      <c r="K27" s="60">
        <f t="shared" si="1"/>
        <v>4.4399163134535664E-3</v>
      </c>
      <c r="L27">
        <f t="shared" si="0"/>
        <v>1.9712856870471106E-5</v>
      </c>
    </row>
    <row r="28" spans="1:12" x14ac:dyDescent="0.25">
      <c r="A28" s="5" t="s">
        <v>12</v>
      </c>
      <c r="B28" s="3">
        <v>7.2758398269191851E-2</v>
      </c>
      <c r="C28" s="6">
        <v>0</v>
      </c>
      <c r="D28" s="3">
        <v>7.6405856803143768E-2</v>
      </c>
      <c r="E28" s="6"/>
      <c r="F28" s="3">
        <v>6.5728237859784849E-2</v>
      </c>
      <c r="G28" s="6"/>
      <c r="H28" s="3">
        <v>1.973124539410992E-2</v>
      </c>
      <c r="I28" s="6"/>
      <c r="K28" s="60">
        <f t="shared" si="1"/>
        <v>0</v>
      </c>
      <c r="L28">
        <f t="shared" si="0"/>
        <v>0</v>
      </c>
    </row>
    <row r="29" spans="1:12" x14ac:dyDescent="0.25">
      <c r="A29" s="5" t="s">
        <v>13</v>
      </c>
      <c r="B29" s="3">
        <v>-0.12437359342604414</v>
      </c>
      <c r="C29" s="6">
        <v>36.023061415922569</v>
      </c>
      <c r="D29" s="3">
        <v>-6.6838771165919186E-2</v>
      </c>
      <c r="E29" s="6">
        <v>25.37872667805733</v>
      </c>
      <c r="F29" s="3">
        <v>-4.135849597239586E-2</v>
      </c>
      <c r="G29" s="6">
        <v>19.41443799284945</v>
      </c>
      <c r="H29" s="3">
        <v>6.7024582513749736E-2</v>
      </c>
      <c r="I29" s="6">
        <v>17.467141841800117</v>
      </c>
      <c r="K29" s="60">
        <f t="shared" si="1"/>
        <v>3.6023061415922569E-2</v>
      </c>
      <c r="L29">
        <f t="shared" si="0"/>
        <v>1.2976609537753293E-3</v>
      </c>
    </row>
    <row r="30" spans="1:12" x14ac:dyDescent="0.25">
      <c r="A30" s="5" t="s">
        <v>14</v>
      </c>
      <c r="B30" s="3">
        <v>1.8491217181666533E-2</v>
      </c>
      <c r="C30" s="6">
        <v>5.5473651544999596</v>
      </c>
      <c r="D30" s="3">
        <v>1.7061917101884826E-2</v>
      </c>
      <c r="E30" s="6">
        <v>5.1185751305654472</v>
      </c>
      <c r="F30" s="3">
        <v>1.4608216549574235E-2</v>
      </c>
      <c r="G30" s="6">
        <v>4.3824649648722707</v>
      </c>
      <c r="H30" s="3">
        <v>4.0327349775713412E-3</v>
      </c>
      <c r="I30" s="6">
        <v>1.2098204932714023</v>
      </c>
      <c r="K30" s="60">
        <f t="shared" si="1"/>
        <v>5.54736515449996E-3</v>
      </c>
      <c r="L30">
        <f t="shared" si="0"/>
        <v>3.0773260157360368E-5</v>
      </c>
    </row>
    <row r="31" spans="1:12" x14ac:dyDescent="0.25">
      <c r="A31" s="5" t="s">
        <v>15</v>
      </c>
      <c r="B31" s="3">
        <v>4.8668988571341991E-2</v>
      </c>
      <c r="C31" s="6">
        <v>14.600696571402597</v>
      </c>
      <c r="D31" s="3">
        <v>2.9516528484886714E-2</v>
      </c>
      <c r="E31" s="6">
        <v>8.8549585454660136</v>
      </c>
      <c r="F31" s="3">
        <v>3.3886068627075036E-2</v>
      </c>
      <c r="G31" s="6">
        <v>10.165820588122509</v>
      </c>
      <c r="H31" s="3">
        <v>-3.5355541163107E-3</v>
      </c>
      <c r="I31" s="6">
        <v>1.0606662348932099</v>
      </c>
      <c r="K31" s="60">
        <f t="shared" si="1"/>
        <v>1.4600696571402597E-2</v>
      </c>
      <c r="L31">
        <f t="shared" si="0"/>
        <v>2.1318034037016756E-4</v>
      </c>
    </row>
    <row r="32" spans="1:12" x14ac:dyDescent="0.25">
      <c r="B32" s="3"/>
      <c r="C32" s="6"/>
      <c r="D32" s="3"/>
      <c r="E32" s="6"/>
      <c r="F32" s="3"/>
      <c r="G32" s="6"/>
      <c r="H32" s="3"/>
      <c r="I32" s="6"/>
    </row>
    <row r="33" spans="1:14" x14ac:dyDescent="0.25">
      <c r="A33" s="7" t="s">
        <v>16</v>
      </c>
      <c r="B33" s="8">
        <v>161.92448037648683</v>
      </c>
      <c r="C33" s="6">
        <v>42.416212058355278</v>
      </c>
      <c r="D33" s="8">
        <v>602.56907147978518</v>
      </c>
      <c r="E33" s="6">
        <v>37.71472840045098</v>
      </c>
      <c r="F33" s="8">
        <v>587.20426042331587</v>
      </c>
      <c r="G33" s="6">
        <v>29.511178604336667</v>
      </c>
      <c r="H33" s="8">
        <v>637.66575846407295</v>
      </c>
      <c r="I33" s="6">
        <v>42.12005348032416</v>
      </c>
      <c r="K33" s="59"/>
      <c r="L33" s="61">
        <f>SQRT(SUM(L17:L31))</f>
        <v>4.2478068285577882E-2</v>
      </c>
      <c r="M33" s="61" t="s">
        <v>41</v>
      </c>
      <c r="N33" t="s">
        <v>123</v>
      </c>
    </row>
    <row r="36" spans="1:14" x14ac:dyDescent="0.25">
      <c r="A36" s="10" t="s">
        <v>29</v>
      </c>
    </row>
    <row r="37" spans="1:14" x14ac:dyDescent="0.25">
      <c r="B37" s="1" t="s">
        <v>0</v>
      </c>
      <c r="D37" s="1" t="s">
        <v>1</v>
      </c>
      <c r="F37" s="2" t="s">
        <v>2</v>
      </c>
      <c r="G37" s="3"/>
      <c r="H37" s="2" t="s">
        <v>3</v>
      </c>
    </row>
    <row r="38" spans="1:14" x14ac:dyDescent="0.25">
      <c r="B38" s="4"/>
      <c r="C38" s="4"/>
      <c r="D38" s="4"/>
      <c r="E38" s="4"/>
      <c r="F38" s="4"/>
      <c r="G38" s="4"/>
      <c r="H38" s="4"/>
      <c r="I38" s="4"/>
    </row>
    <row r="39" spans="1:14" x14ac:dyDescent="0.25">
      <c r="A39" s="5" t="s">
        <v>4</v>
      </c>
      <c r="B39" s="3">
        <v>175.86627098604899</v>
      </c>
      <c r="C39" s="6">
        <v>47</v>
      </c>
      <c r="D39" s="3">
        <v>627.07116820373676</v>
      </c>
      <c r="E39" s="6">
        <v>51</v>
      </c>
      <c r="F39" s="3">
        <v>627.07116820373676</v>
      </c>
      <c r="G39" s="6">
        <v>51</v>
      </c>
      <c r="H39" s="3">
        <v>648.4977780015364</v>
      </c>
      <c r="I39" s="6">
        <v>50</v>
      </c>
      <c r="K39">
        <f>L13</f>
        <v>1.1078159095416354E-3</v>
      </c>
      <c r="L39">
        <f>K39^2</f>
        <v>1.227256089433561E-6</v>
      </c>
    </row>
    <row r="40" spans="1:14" x14ac:dyDescent="0.25">
      <c r="A40" s="5" t="s">
        <v>5</v>
      </c>
      <c r="B40" s="3">
        <v>-4.6815650584215378</v>
      </c>
      <c r="C40" s="6">
        <v>0</v>
      </c>
      <c r="D40" s="3">
        <v>12.673472922513723</v>
      </c>
      <c r="E40" s="6"/>
      <c r="F40" s="3">
        <v>-4.7481845427038607</v>
      </c>
      <c r="G40" s="6"/>
      <c r="H40" s="3">
        <v>22.254272983667786</v>
      </c>
      <c r="I40" s="6"/>
      <c r="K40">
        <f>C40/1000</f>
        <v>0</v>
      </c>
      <c r="L40">
        <f t="shared" ref="L40:L53" si="2">K40^2</f>
        <v>0</v>
      </c>
    </row>
    <row r="41" spans="1:14" x14ac:dyDescent="0.25">
      <c r="A41" s="5" t="s">
        <v>6</v>
      </c>
      <c r="B41" s="3">
        <v>-0.35319768808662183</v>
      </c>
      <c r="C41" s="6">
        <v>0</v>
      </c>
      <c r="D41" s="3">
        <v>-0.10771738261869326</v>
      </c>
      <c r="E41" s="6"/>
      <c r="F41" s="3">
        <v>-8.0674058827103767E-2</v>
      </c>
      <c r="G41" s="6"/>
      <c r="H41" s="3">
        <v>4.9366234610426565E-3</v>
      </c>
      <c r="I41" s="6"/>
      <c r="K41">
        <f t="shared" ref="K41:K53" si="3">C41/1000</f>
        <v>0</v>
      </c>
      <c r="L41">
        <f t="shared" si="2"/>
        <v>0</v>
      </c>
    </row>
    <row r="42" spans="1:14" x14ac:dyDescent="0.25">
      <c r="A42" s="5" t="s">
        <v>7</v>
      </c>
      <c r="B42" s="3">
        <v>2.1617696384983748E-2</v>
      </c>
      <c r="C42" s="6">
        <v>0</v>
      </c>
      <c r="D42" s="3">
        <v>-0.57536657668795255</v>
      </c>
      <c r="E42" s="6"/>
      <c r="F42" s="3">
        <v>0.14224690125264006</v>
      </c>
      <c r="G42" s="6"/>
      <c r="H42" s="3">
        <v>-0.83128102534167803</v>
      </c>
      <c r="I42" s="6"/>
      <c r="K42">
        <f t="shared" si="3"/>
        <v>0</v>
      </c>
      <c r="L42">
        <f t="shared" si="2"/>
        <v>0</v>
      </c>
    </row>
    <row r="43" spans="1:14" x14ac:dyDescent="0.25">
      <c r="A43" s="5" t="s">
        <v>8</v>
      </c>
      <c r="B43" s="3">
        <v>2.0573630377684368E-3</v>
      </c>
      <c r="C43" s="6">
        <v>10.562944248330666</v>
      </c>
      <c r="D43" s="3">
        <v>-1.8126134255264952E-4</v>
      </c>
      <c r="E43" s="6">
        <v>17.473519591448991</v>
      </c>
      <c r="F43" s="3">
        <v>-1.5527294760913203E-4</v>
      </c>
      <c r="G43" s="6">
        <v>4.8815312158651256</v>
      </c>
      <c r="H43" s="3">
        <v>-6.6889203640992079E-5</v>
      </c>
      <c r="I43" s="6">
        <v>24.814796521285228</v>
      </c>
      <c r="K43">
        <f t="shared" si="3"/>
        <v>1.0562944248330666E-2</v>
      </c>
      <c r="L43">
        <f t="shared" si="2"/>
        <v>1.1157579119334191E-4</v>
      </c>
    </row>
    <row r="44" spans="1:14" x14ac:dyDescent="0.25">
      <c r="A44" s="5" t="s">
        <v>17</v>
      </c>
      <c r="B44" s="3">
        <v>2.3357244057774527E-2</v>
      </c>
      <c r="C44" s="6">
        <v>11</v>
      </c>
      <c r="D44" s="3">
        <v>-0.70627790861423523</v>
      </c>
      <c r="E44" s="6">
        <v>19</v>
      </c>
      <c r="F44" s="3">
        <v>-0.58612875834286882</v>
      </c>
      <c r="G44" s="6">
        <v>19</v>
      </c>
      <c r="H44" s="3">
        <v>-0.20285769203273593</v>
      </c>
      <c r="I44" s="6">
        <v>31</v>
      </c>
      <c r="K44">
        <f t="shared" si="3"/>
        <v>1.0999999999999999E-2</v>
      </c>
      <c r="L44">
        <f t="shared" si="2"/>
        <v>1.2099999999999999E-4</v>
      </c>
    </row>
    <row r="45" spans="1:14" x14ac:dyDescent="0.25">
      <c r="A45" s="5" t="s">
        <v>18</v>
      </c>
      <c r="B45" s="3">
        <v>4.7285690989435628E-7</v>
      </c>
      <c r="C45" s="6">
        <v>0</v>
      </c>
      <c r="D45" s="3">
        <v>2.6019103140129785E-5</v>
      </c>
      <c r="E45" s="6"/>
      <c r="F45" s="3">
        <v>5.4013455458270555E-6</v>
      </c>
      <c r="G45" s="6"/>
      <c r="H45" s="3">
        <v>5.1998098097327064E-6</v>
      </c>
      <c r="I45" s="6"/>
      <c r="K45">
        <f t="shared" si="3"/>
        <v>0</v>
      </c>
      <c r="L45">
        <f t="shared" si="2"/>
        <v>0</v>
      </c>
    </row>
    <row r="46" spans="1:14" x14ac:dyDescent="0.25">
      <c r="A46" s="5" t="s">
        <v>19</v>
      </c>
      <c r="B46" s="3">
        <v>-6.5804052414968738E-3</v>
      </c>
      <c r="C46" s="6">
        <v>0</v>
      </c>
      <c r="D46" s="3">
        <v>-8.0585422398110982E-3</v>
      </c>
      <c r="E46" s="6"/>
      <c r="F46" s="3">
        <v>-7.8441337377942039E-3</v>
      </c>
      <c r="G46" s="6"/>
      <c r="H46" s="3">
        <v>-7.0510278277350642E-3</v>
      </c>
      <c r="I46" s="6"/>
      <c r="K46">
        <f t="shared" si="3"/>
        <v>0</v>
      </c>
      <c r="L46">
        <f t="shared" si="2"/>
        <v>0</v>
      </c>
    </row>
    <row r="47" spans="1:14" x14ac:dyDescent="0.25">
      <c r="A47" s="5" t="s">
        <v>9</v>
      </c>
      <c r="B47" s="3">
        <v>-6.6330888046225907</v>
      </c>
      <c r="C47" s="6">
        <v>2</v>
      </c>
      <c r="D47" s="3">
        <v>-6.3772243460247324</v>
      </c>
      <c r="E47" s="6">
        <v>2</v>
      </c>
      <c r="F47" s="3">
        <v>-5.3857650786374949</v>
      </c>
      <c r="G47" s="6">
        <v>2</v>
      </c>
      <c r="H47" s="3">
        <v>-1.6121429472908149</v>
      </c>
      <c r="I47" s="6">
        <v>2</v>
      </c>
      <c r="K47">
        <f t="shared" si="3"/>
        <v>2E-3</v>
      </c>
      <c r="L47">
        <f t="shared" si="2"/>
        <v>3.9999999999999998E-6</v>
      </c>
    </row>
    <row r="48" spans="1:14" x14ac:dyDescent="0.25">
      <c r="A48" s="5" t="s">
        <v>10</v>
      </c>
      <c r="B48" s="3">
        <v>1.227454766572267</v>
      </c>
      <c r="C48" s="6">
        <v>0</v>
      </c>
      <c r="D48" s="3">
        <v>1.3821502448168623</v>
      </c>
      <c r="E48" s="6"/>
      <c r="F48" s="3">
        <v>1.1807242943247938</v>
      </c>
      <c r="G48" s="6"/>
      <c r="H48" s="3">
        <v>0.33430336246064257</v>
      </c>
      <c r="I48" s="6"/>
      <c r="K48">
        <f t="shared" si="3"/>
        <v>0</v>
      </c>
      <c r="L48">
        <f t="shared" si="2"/>
        <v>0</v>
      </c>
    </row>
    <row r="49" spans="1:14" x14ac:dyDescent="0.25">
      <c r="A49" s="5" t="s">
        <v>11</v>
      </c>
      <c r="B49" s="3">
        <v>-4.8619459095566066E-2</v>
      </c>
      <c r="C49" s="6">
        <v>4.8619459095566064</v>
      </c>
      <c r="D49" s="3">
        <v>-5.5915087741479221E-2</v>
      </c>
      <c r="E49" s="6">
        <v>5.5915087741479219</v>
      </c>
      <c r="F49" s="3">
        <v>-4.7936170706754606E-2</v>
      </c>
      <c r="G49" s="6">
        <v>4.7936170706754613</v>
      </c>
      <c r="H49" s="3">
        <v>-1.5266337471834698E-2</v>
      </c>
      <c r="I49" s="6">
        <v>1.5266337471834699</v>
      </c>
      <c r="K49">
        <f t="shared" si="3"/>
        <v>4.8619459095566066E-3</v>
      </c>
      <c r="L49">
        <f t="shared" si="2"/>
        <v>2.3638518027454218E-5</v>
      </c>
    </row>
    <row r="50" spans="1:14" x14ac:dyDescent="0.25">
      <c r="A50" s="5" t="s">
        <v>12</v>
      </c>
      <c r="B50" s="3">
        <v>7.5844721626095041E-2</v>
      </c>
      <c r="C50" s="6">
        <v>0</v>
      </c>
      <c r="D50" s="3">
        <v>7.9672421917409475E-2</v>
      </c>
      <c r="E50" s="6"/>
      <c r="F50" s="3">
        <v>6.8251150073023015E-2</v>
      </c>
      <c r="G50" s="6"/>
      <c r="H50" s="3">
        <v>2.1116383826965839E-2</v>
      </c>
      <c r="I50" s="6"/>
      <c r="K50">
        <f t="shared" si="3"/>
        <v>0</v>
      </c>
      <c r="L50">
        <f t="shared" si="2"/>
        <v>0</v>
      </c>
    </row>
    <row r="51" spans="1:14" x14ac:dyDescent="0.25">
      <c r="A51" s="5" t="s">
        <v>13</v>
      </c>
      <c r="B51" s="3">
        <v>-0.12978605294144871</v>
      </c>
      <c r="C51" s="6">
        <v>37.580614464658147</v>
      </c>
      <c r="D51" s="3">
        <v>-6.8329694067297747E-2</v>
      </c>
      <c r="E51" s="6">
        <v>26.240048000999604</v>
      </c>
      <c r="F51" s="3">
        <v>-4.1127123185325583E-2</v>
      </c>
      <c r="G51" s="6">
        <v>19.92118807292761</v>
      </c>
      <c r="H51" s="3">
        <v>6.9843725060439829E-2</v>
      </c>
      <c r="I51" s="6">
        <v>18.241517885455103</v>
      </c>
      <c r="K51">
        <f t="shared" si="3"/>
        <v>3.7580614464658151E-2</v>
      </c>
      <c r="L51">
        <f t="shared" si="2"/>
        <v>1.4123025835412735E-3</v>
      </c>
    </row>
    <row r="52" spans="1:14" x14ac:dyDescent="0.25">
      <c r="A52" s="5" t="s">
        <v>14</v>
      </c>
      <c r="B52" s="3">
        <v>1.9765690327669987E-2</v>
      </c>
      <c r="C52" s="6">
        <v>5.9297070983009963</v>
      </c>
      <c r="D52" s="3">
        <v>1.8265035273179527E-2</v>
      </c>
      <c r="E52" s="6">
        <v>5.4795105819538579</v>
      </c>
      <c r="F52" s="3">
        <v>1.5582534820285168E-2</v>
      </c>
      <c r="G52" s="6">
        <v>4.6747604460855507</v>
      </c>
      <c r="H52" s="3">
        <v>4.4926442534683501E-3</v>
      </c>
      <c r="I52" s="6">
        <v>1.3477932760405051</v>
      </c>
      <c r="K52">
        <f t="shared" si="3"/>
        <v>5.929707098300996E-3</v>
      </c>
      <c r="L52">
        <f t="shared" si="2"/>
        <v>3.5161426271641219E-5</v>
      </c>
    </row>
    <row r="53" spans="1:14" x14ac:dyDescent="0.25">
      <c r="A53" s="5" t="s">
        <v>15</v>
      </c>
      <c r="B53" s="3">
        <v>5.0260029108129871E-2</v>
      </c>
      <c r="C53" s="6">
        <v>15.07800873243896</v>
      </c>
      <c r="D53" s="3">
        <v>3.0982699462223751E-2</v>
      </c>
      <c r="E53" s="6">
        <v>9.2948098386671241</v>
      </c>
      <c r="F53" s="3">
        <v>3.5040728412126784E-2</v>
      </c>
      <c r="G53" s="6">
        <v>10.512218523638035</v>
      </c>
      <c r="H53" s="3">
        <v>-3.1501144859485599E-3</v>
      </c>
      <c r="I53" s="6">
        <v>0.94503434578456791</v>
      </c>
      <c r="K53">
        <f t="shared" si="3"/>
        <v>1.5078008732438961E-2</v>
      </c>
      <c r="L53">
        <f t="shared" si="2"/>
        <v>2.2734634733550556E-4</v>
      </c>
    </row>
    <row r="54" spans="1:14" x14ac:dyDescent="0.25">
      <c r="B54" s="3"/>
      <c r="C54" s="6"/>
      <c r="D54" s="3"/>
      <c r="E54" s="6"/>
      <c r="F54" s="3"/>
      <c r="G54" s="6"/>
      <c r="H54" s="3"/>
      <c r="I54" s="6"/>
    </row>
    <row r="55" spans="1:14" x14ac:dyDescent="0.25">
      <c r="A55" s="7" t="s">
        <v>16</v>
      </c>
      <c r="B55" s="8">
        <v>165.4337915016113</v>
      </c>
      <c r="C55" s="6">
        <v>64.374099344140078</v>
      </c>
      <c r="D55" s="8">
        <v>633.35666674748666</v>
      </c>
      <c r="E55" s="6">
        <v>64.090151369251856</v>
      </c>
      <c r="F55" s="8">
        <v>617.61520407487649</v>
      </c>
      <c r="G55" s="6">
        <v>59.514888636253829</v>
      </c>
      <c r="H55" s="8">
        <v>668.51493289042219</v>
      </c>
      <c r="I55" s="6">
        <v>66.472305123155309</v>
      </c>
      <c r="L55" s="61">
        <f>SQRT(SUM(L39:L53))</f>
        <v>4.4002862662088818E-2</v>
      </c>
      <c r="M55" s="61" t="s">
        <v>41</v>
      </c>
      <c r="N55" t="s">
        <v>124</v>
      </c>
    </row>
    <row r="59" spans="1:14" x14ac:dyDescent="0.25">
      <c r="C59" s="125">
        <f>B55-B33</f>
        <v>3.5093111251244693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37AF-DED6-47E8-B986-3F2750EBA9E3}">
  <dimension ref="A1:X51"/>
  <sheetViews>
    <sheetView topLeftCell="H4" workbookViewId="0">
      <selection activeCell="R12" sqref="R12"/>
    </sheetView>
  </sheetViews>
  <sheetFormatPr defaultRowHeight="15" x14ac:dyDescent="0.25"/>
  <cols>
    <col min="1" max="1" width="11.125" style="12" bestFit="1" customWidth="1"/>
    <col min="2" max="2" width="11.375" style="12" bestFit="1" customWidth="1"/>
    <col min="3" max="3" width="9" style="12"/>
    <col min="4" max="4" width="10.5" style="12" bestFit="1" customWidth="1"/>
    <col min="5" max="7" width="9" style="12"/>
    <col min="8" max="8" width="12" style="12" bestFit="1" customWidth="1"/>
    <col min="9" max="9" width="11.625" style="12" bestFit="1" customWidth="1"/>
    <col min="10" max="10" width="16.5" style="12" bestFit="1" customWidth="1"/>
    <col min="11" max="11" width="9" style="12"/>
    <col min="12" max="12" width="13.25" style="12" bestFit="1" customWidth="1"/>
    <col min="13" max="13" width="9.25" style="12" bestFit="1" customWidth="1"/>
    <col min="14" max="15" width="15.125" style="12" bestFit="1" customWidth="1"/>
    <col min="16" max="16" width="9" style="12"/>
    <col min="17" max="17" width="10.5" style="12" bestFit="1" customWidth="1"/>
    <col min="18" max="18" width="14" style="12" bestFit="1" customWidth="1"/>
    <col min="19" max="19" width="12.375" style="12" bestFit="1" customWidth="1"/>
    <col min="20" max="20" width="14" style="12" bestFit="1" customWidth="1"/>
    <col min="21" max="21" width="10.5" style="12" bestFit="1" customWidth="1"/>
    <col min="22" max="22" width="9.75" style="12" bestFit="1" customWidth="1"/>
    <col min="23" max="23" width="6.25" style="12" bestFit="1" customWidth="1"/>
    <col min="24" max="24" width="15" style="12" bestFit="1" customWidth="1"/>
    <col min="25" max="16384" width="9" style="12"/>
  </cols>
  <sheetData>
    <row r="1" spans="1:20" x14ac:dyDescent="0.25">
      <c r="A1" s="107" t="s">
        <v>155</v>
      </c>
      <c r="B1" s="107" t="s">
        <v>171</v>
      </c>
    </row>
    <row r="2" spans="1:20" x14ac:dyDescent="0.25">
      <c r="A2" s="12">
        <v>7.4471954</v>
      </c>
      <c r="B2" s="12">
        <v>1.8029999999999999E-4</v>
      </c>
      <c r="D2" s="12">
        <f>SQRT(B2^2+B3^2)</f>
        <v>2.2590108454808268E-4</v>
      </c>
      <c r="E2" s="12">
        <v>1.60607012313905E-4</v>
      </c>
      <c r="G2" s="12" t="s">
        <v>45</v>
      </c>
      <c r="H2" s="13">
        <v>299792458</v>
      </c>
      <c r="J2" s="12" t="s">
        <v>44</v>
      </c>
      <c r="K2" s="13">
        <v>8065.5439370000004</v>
      </c>
    </row>
    <row r="3" spans="1:20" x14ac:dyDescent="0.25">
      <c r="A3" s="12">
        <v>7.2942549999999997</v>
      </c>
      <c r="B3" s="12">
        <v>1.361E-4</v>
      </c>
      <c r="G3" s="12" t="s">
        <v>43</v>
      </c>
      <c r="H3" s="13">
        <f>6.62607015*(10)^(-34)</f>
        <v>6.6260701500000015E-34</v>
      </c>
    </row>
    <row r="4" spans="1:20" x14ac:dyDescent="0.25">
      <c r="A4" s="12">
        <f>A2-A3</f>
        <v>0.15294040000000031</v>
      </c>
      <c r="D4" s="12">
        <f>10^(9)*H4*H2*H3/A2</f>
        <v>166.48441698360739</v>
      </c>
      <c r="E4" s="12">
        <f>D5-D4</f>
        <v>3.4907188365693003</v>
      </c>
      <c r="G4" s="12" t="s">
        <v>46</v>
      </c>
      <c r="H4" s="13">
        <f>1/(1.602176634*10^(-19))</f>
        <v>6.2415090744607621E+18</v>
      </c>
    </row>
    <row r="5" spans="1:20" x14ac:dyDescent="0.25">
      <c r="D5" s="12">
        <f>10^(9)*H4*H2*H3/A3</f>
        <v>169.97513582017669</v>
      </c>
    </row>
    <row r="6" spans="1:20" ht="15.75" x14ac:dyDescent="0.25">
      <c r="A6" s="12" t="s">
        <v>47</v>
      </c>
      <c r="G6" s="14" t="s">
        <v>48</v>
      </c>
      <c r="H6" s="14" t="s">
        <v>49</v>
      </c>
      <c r="I6" s="14" t="s">
        <v>50</v>
      </c>
      <c r="J6" s="14" t="s">
        <v>51</v>
      </c>
      <c r="K6" s="14" t="s">
        <v>52</v>
      </c>
      <c r="L6" s="14" t="s">
        <v>53</v>
      </c>
      <c r="M6" s="14" t="s">
        <v>54</v>
      </c>
      <c r="N6" s="12" t="s">
        <v>55</v>
      </c>
      <c r="Q6" s="12">
        <f t="shared" ref="Q6:Q12" si="0">(N7*M7/$N$14)^2</f>
        <v>1.1559999999999998E-13</v>
      </c>
      <c r="R6" s="12">
        <f t="shared" ref="R6:R11" si="1">(N7*L7/$N$14)^2</f>
        <v>1.9360000000000008E-13</v>
      </c>
    </row>
    <row r="7" spans="1:20" x14ac:dyDescent="0.25">
      <c r="A7" s="12">
        <v>3.504</v>
      </c>
      <c r="B7" s="12">
        <v>3.6600000000000001E-3</v>
      </c>
      <c r="C7" s="12" t="s">
        <v>41</v>
      </c>
      <c r="D7" s="12">
        <f>A7+3*B7</f>
        <v>3.51498</v>
      </c>
      <c r="E7" s="12">
        <v>76</v>
      </c>
      <c r="F7" s="445" t="s">
        <v>30</v>
      </c>
      <c r="G7" s="12">
        <v>184</v>
      </c>
      <c r="H7" s="12">
        <v>108</v>
      </c>
      <c r="I7" s="15">
        <v>-0.32</v>
      </c>
      <c r="J7" s="12">
        <v>1.7999999999999999E-2</v>
      </c>
      <c r="K7" s="12">
        <v>5.3822999999999999</v>
      </c>
      <c r="L7" s="12">
        <v>2.2000000000000001E-3</v>
      </c>
      <c r="M7" s="12">
        <v>1.6999999999999999E-3</v>
      </c>
      <c r="N7" s="12">
        <v>0.02</v>
      </c>
      <c r="O7" s="12">
        <f>N7*K7</f>
        <v>0.10764600000000001</v>
      </c>
      <c r="Q7" s="12">
        <f t="shared" si="0"/>
        <v>4.9550760000000004E-10</v>
      </c>
      <c r="R7" s="12">
        <f t="shared" si="1"/>
        <v>7.3062089999999998E-10</v>
      </c>
    </row>
    <row r="8" spans="1:20" x14ac:dyDescent="0.25">
      <c r="A8" s="12">
        <v>0.15287933036763501</v>
      </c>
      <c r="B8" s="12">
        <v>1.60607012313905E-4</v>
      </c>
      <c r="C8" s="12" t="s">
        <v>56</v>
      </c>
      <c r="D8" s="12">
        <f>0.005</f>
        <v>5.0000000000000001E-3</v>
      </c>
      <c r="F8" s="445"/>
      <c r="G8" s="12">
        <v>186</v>
      </c>
      <c r="H8" s="12">
        <v>110</v>
      </c>
      <c r="I8" s="12">
        <v>-0.23100000000000001</v>
      </c>
      <c r="J8" s="12">
        <v>1.4999999999999999E-2</v>
      </c>
      <c r="K8" s="12">
        <v>5.3909000000000002</v>
      </c>
      <c r="L8" s="12">
        <v>1.6999999999999999E-3</v>
      </c>
      <c r="M8" s="12">
        <v>1.4E-3</v>
      </c>
      <c r="N8" s="12">
        <v>1.59</v>
      </c>
      <c r="O8" s="12">
        <f t="shared" ref="O8:O13" si="2">N8*K8</f>
        <v>8.5715310000000002</v>
      </c>
      <c r="Q8" s="12">
        <f t="shared" si="0"/>
        <v>8.6436E-10</v>
      </c>
      <c r="R8" s="12">
        <f t="shared" si="1"/>
        <v>1.2446784E-9</v>
      </c>
    </row>
    <row r="9" spans="1:20" x14ac:dyDescent="0.25">
      <c r="A9" s="12" t="s">
        <v>57</v>
      </c>
      <c r="D9" s="12">
        <f>(D8*C21+A10*K2)/K2</f>
        <v>3.5188987892209855</v>
      </c>
      <c r="F9" s="445"/>
      <c r="G9" s="12">
        <v>187</v>
      </c>
      <c r="H9" s="12">
        <v>111</v>
      </c>
      <c r="I9" s="12">
        <v>-0.20499999999999999</v>
      </c>
      <c r="J9" s="12">
        <v>1.6E-2</v>
      </c>
      <c r="K9" s="12">
        <v>5.3933</v>
      </c>
      <c r="L9" s="12">
        <v>1.8E-3</v>
      </c>
      <c r="M9" s="12">
        <v>1.5E-3</v>
      </c>
      <c r="N9" s="12">
        <v>1.96</v>
      </c>
      <c r="O9" s="12">
        <f t="shared" si="2"/>
        <v>10.570867999999999</v>
      </c>
      <c r="Q9" s="12">
        <f t="shared" si="0"/>
        <v>1.7529759999999998E-8</v>
      </c>
      <c r="R9" s="12">
        <f t="shared" si="1"/>
        <v>2.1211009599999997E-8</v>
      </c>
    </row>
    <row r="10" spans="1:20" x14ac:dyDescent="0.25">
      <c r="A10" s="12">
        <v>3.5211924349000001</v>
      </c>
      <c r="B10" s="16">
        <v>9.8755195174941903E-8</v>
      </c>
      <c r="C10" s="12" t="s">
        <v>41</v>
      </c>
      <c r="F10" s="445"/>
      <c r="G10" s="12">
        <v>188</v>
      </c>
      <c r="H10" s="12">
        <v>112</v>
      </c>
      <c r="I10" s="12">
        <v>-0.14399999999999999</v>
      </c>
      <c r="J10" s="12">
        <v>1.0999999999999999E-2</v>
      </c>
      <c r="K10" s="12">
        <v>5.3993000000000002</v>
      </c>
      <c r="L10" s="12">
        <v>1.1000000000000001E-3</v>
      </c>
      <c r="M10" s="17">
        <v>1E-3</v>
      </c>
      <c r="N10" s="12">
        <v>13.24</v>
      </c>
      <c r="O10" s="12">
        <f t="shared" si="2"/>
        <v>71.486732000000003</v>
      </c>
      <c r="Q10" s="12">
        <f t="shared" si="0"/>
        <v>3.1559522500000001E-8</v>
      </c>
      <c r="R10" s="12">
        <f t="shared" si="1"/>
        <v>3.7558439999999986E-8</v>
      </c>
    </row>
    <row r="11" spans="1:20" x14ac:dyDescent="0.25">
      <c r="F11" s="445"/>
      <c r="G11" s="12">
        <v>189</v>
      </c>
      <c r="H11" s="12">
        <v>113</v>
      </c>
      <c r="I11" s="12">
        <v>-0.11899999999999999</v>
      </c>
      <c r="J11" s="12">
        <v>1.2E-2</v>
      </c>
      <c r="K11" s="12">
        <v>5.4016000000000002</v>
      </c>
      <c r="L11" s="12">
        <v>1.1999999999999999E-3</v>
      </c>
      <c r="M11" s="12">
        <v>1.1000000000000001E-3</v>
      </c>
      <c r="N11" s="12">
        <v>16.149999999999999</v>
      </c>
      <c r="O11" s="12">
        <f t="shared" si="2"/>
        <v>87.235839999999996</v>
      </c>
      <c r="Q11" s="12">
        <f t="shared" si="0"/>
        <v>2.4825153600000002E-8</v>
      </c>
      <c r="R11" s="12">
        <f t="shared" si="1"/>
        <v>1.1654030440000001E-7</v>
      </c>
    </row>
    <row r="12" spans="1:20" x14ac:dyDescent="0.25">
      <c r="B12" s="12" t="s">
        <v>58</v>
      </c>
      <c r="C12" s="12" t="s">
        <v>59</v>
      </c>
      <c r="F12" s="445"/>
      <c r="G12" s="12">
        <v>190</v>
      </c>
      <c r="H12" s="12">
        <v>114</v>
      </c>
      <c r="I12" s="12">
        <v>-6.8000000000000005E-2</v>
      </c>
      <c r="J12" s="12">
        <v>6.0000000000000001E-3</v>
      </c>
      <c r="K12" s="12">
        <v>5.4062000000000001</v>
      </c>
      <c r="L12" s="12">
        <v>1.2999999999999999E-3</v>
      </c>
      <c r="M12" s="12">
        <v>5.9999999999999995E-4</v>
      </c>
      <c r="N12" s="12">
        <v>26.26</v>
      </c>
      <c r="O12" s="12">
        <f t="shared" si="2"/>
        <v>141.966812</v>
      </c>
      <c r="Q12" s="12">
        <f t="shared" si="0"/>
        <v>0</v>
      </c>
      <c r="R12" s="12">
        <f>(N13*L13/$N$14)^2</f>
        <v>3.7417689000000008E-7</v>
      </c>
    </row>
    <row r="13" spans="1:20" x14ac:dyDescent="0.25">
      <c r="A13" s="12" t="s">
        <v>60</v>
      </c>
      <c r="B13" s="12">
        <v>3.9995781000000001E-2</v>
      </c>
      <c r="C13" s="12">
        <v>8.9289999999999994E-3</v>
      </c>
      <c r="D13" s="12" t="s">
        <v>61</v>
      </c>
      <c r="F13" s="445"/>
      <c r="G13" s="14">
        <v>192</v>
      </c>
      <c r="H13" s="14">
        <v>116</v>
      </c>
      <c r="I13" s="14">
        <v>0</v>
      </c>
      <c r="J13" s="14">
        <v>0</v>
      </c>
      <c r="K13" s="14">
        <v>5.4126000000000003</v>
      </c>
      <c r="L13" s="14">
        <v>1.5E-3</v>
      </c>
      <c r="M13" s="14">
        <v>0</v>
      </c>
      <c r="N13" s="12">
        <v>40.78</v>
      </c>
      <c r="O13" s="12">
        <f t="shared" si="2"/>
        <v>220.72582800000001</v>
      </c>
      <c r="P13" s="19">
        <f>O14/N14</f>
        <v>5.4066525700000003</v>
      </c>
      <c r="Q13" s="12">
        <f>SQRT(SUM(Q6:Q11))</f>
        <v>2.7436184009442717E-4</v>
      </c>
      <c r="R13" s="12">
        <f>SQRT(SUM(R6:R12))</f>
        <v>7.4260496692386867E-4</v>
      </c>
    </row>
    <row r="14" spans="1:20" x14ac:dyDescent="0.25">
      <c r="A14" s="12" t="s">
        <v>62</v>
      </c>
      <c r="B14" s="12">
        <v>3.9995781000000001E-2</v>
      </c>
      <c r="C14" s="12">
        <v>8.9289999999999994E-3</v>
      </c>
      <c r="D14" s="12" t="s">
        <v>61</v>
      </c>
      <c r="F14" s="18"/>
      <c r="N14" s="12">
        <f>SUM(N7:N13)</f>
        <v>100</v>
      </c>
      <c r="O14" s="12">
        <f>SUM(O7:O13)</f>
        <v>540.665257</v>
      </c>
      <c r="P14" s="19" t="s">
        <v>64</v>
      </c>
      <c r="Q14" s="12" t="s">
        <v>65</v>
      </c>
      <c r="R14" s="12" t="s">
        <v>66</v>
      </c>
    </row>
    <row r="15" spans="1:20" ht="15.75" x14ac:dyDescent="0.25">
      <c r="A15" s="12" t="s">
        <v>63</v>
      </c>
      <c r="B15" s="12">
        <v>5.1810000000000002E-2</v>
      </c>
      <c r="C15" s="12">
        <v>1.0120000000000001E-2</v>
      </c>
      <c r="D15" s="12" t="s">
        <v>61</v>
      </c>
      <c r="G15" s="14" t="s">
        <v>48</v>
      </c>
      <c r="H15" s="14" t="s">
        <v>49</v>
      </c>
      <c r="I15" s="14" t="s">
        <v>50</v>
      </c>
      <c r="J15" s="14" t="s">
        <v>51</v>
      </c>
      <c r="K15" s="14" t="s">
        <v>52</v>
      </c>
      <c r="L15" s="14" t="s">
        <v>53</v>
      </c>
      <c r="M15" s="14" t="s">
        <v>54</v>
      </c>
      <c r="N15" s="12" t="s">
        <v>55</v>
      </c>
      <c r="S15" s="12" t="s">
        <v>70</v>
      </c>
      <c r="T15" s="12" t="s">
        <v>71</v>
      </c>
    </row>
    <row r="16" spans="1:20" x14ac:dyDescent="0.25">
      <c r="E16" s="12">
        <v>77</v>
      </c>
      <c r="F16" s="445" t="s">
        <v>67</v>
      </c>
      <c r="G16" s="12">
        <v>182</v>
      </c>
      <c r="H16" s="12">
        <f>G16-$E$16</f>
        <v>105</v>
      </c>
      <c r="I16" s="12">
        <v>-0.28299999999999997</v>
      </c>
      <c r="J16" s="12">
        <v>6.0000000000000001E-3</v>
      </c>
      <c r="K16" s="12">
        <v>5.3704999999999998</v>
      </c>
      <c r="L16" s="12">
        <v>0.1061</v>
      </c>
      <c r="M16" s="12">
        <v>6.9999999999999999E-4</v>
      </c>
      <c r="N16" s="20">
        <v>0</v>
      </c>
      <c r="O16" s="12">
        <f>N16*K16</f>
        <v>0</v>
      </c>
      <c r="R16" s="22">
        <v>182</v>
      </c>
      <c r="S16" s="22">
        <f t="shared" ref="S16:S22" si="3">SQRT($S$24^2 +I16)</f>
        <v>5.4165747240307764</v>
      </c>
      <c r="T16" s="22">
        <f t="shared" ref="T16:T22" si="4">SQRT(((1/2)*($S$24^2+I16)^(-1/2)*2*$S$24*$T$24)^(2)+((1/2)*($S$24^2+I16)^(-1/2)*J16)^(2))</f>
        <v>8.9932656067755728E-3</v>
      </c>
    </row>
    <row r="17" spans="1:21" x14ac:dyDescent="0.25">
      <c r="A17" s="12" t="s">
        <v>68</v>
      </c>
      <c r="B17" s="12" t="s">
        <v>69</v>
      </c>
      <c r="F17" s="445"/>
      <c r="G17" s="12">
        <v>183</v>
      </c>
      <c r="H17" s="12">
        <f t="shared" ref="H17:H25" si="5">G17-$E$16</f>
        <v>106</v>
      </c>
      <c r="I17" s="12">
        <v>-0.20300000000000001</v>
      </c>
      <c r="J17" s="12">
        <v>5.0000000000000001E-3</v>
      </c>
      <c r="K17" s="17">
        <v>5.3780000000000001</v>
      </c>
      <c r="L17" s="12">
        <v>0.1061</v>
      </c>
      <c r="M17" s="12">
        <v>5.0000000000000001E-4</v>
      </c>
      <c r="N17" s="12">
        <v>0</v>
      </c>
      <c r="O17" s="12">
        <f t="shared" ref="O17:O25" si="6">N17*K17</f>
        <v>0</v>
      </c>
      <c r="R17" s="22">
        <v>183</v>
      </c>
      <c r="S17" s="22">
        <f t="shared" si="3"/>
        <v>5.42395443758602</v>
      </c>
      <c r="T17" s="22">
        <f t="shared" si="4"/>
        <v>8.9758239715193103E-3</v>
      </c>
    </row>
    <row r="18" spans="1:21" x14ac:dyDescent="0.25">
      <c r="A18" s="21">
        <f>A10-A7</f>
        <v>1.7192434900000109E-2</v>
      </c>
      <c r="B18" s="12">
        <f>SQRT(B10*B10 + B7*B7)</f>
        <v>3.660000001332321E-3</v>
      </c>
      <c r="C18" s="12" t="s">
        <v>41</v>
      </c>
      <c r="F18" s="445"/>
      <c r="G18" s="12">
        <v>184</v>
      </c>
      <c r="H18" s="12">
        <f t="shared" si="5"/>
        <v>107</v>
      </c>
      <c r="I18" s="12">
        <v>-0.17599999999999999</v>
      </c>
      <c r="J18" s="12">
        <v>3.0000000000000001E-3</v>
      </c>
      <c r="K18" s="12">
        <v>5.3804999999999996</v>
      </c>
      <c r="L18" s="12">
        <v>0.1061</v>
      </c>
      <c r="M18" s="12">
        <v>4.0000000000000002E-4</v>
      </c>
      <c r="N18" s="12">
        <v>0</v>
      </c>
      <c r="O18" s="12">
        <f t="shared" si="6"/>
        <v>0</v>
      </c>
      <c r="R18" s="22">
        <v>184</v>
      </c>
      <c r="S18" s="22">
        <f t="shared" si="3"/>
        <v>5.4264428257385227</v>
      </c>
      <c r="T18" s="22">
        <f t="shared" si="4"/>
        <v>8.9641342599596375E-3</v>
      </c>
    </row>
    <row r="19" spans="1:21" x14ac:dyDescent="0.25">
      <c r="F19" s="445"/>
      <c r="G19" s="12">
        <v>185</v>
      </c>
      <c r="H19" s="12">
        <f t="shared" si="5"/>
        <v>108</v>
      </c>
      <c r="I19" s="12">
        <v>-0.123</v>
      </c>
      <c r="J19" s="12">
        <v>3.0000000000000001E-3</v>
      </c>
      <c r="K19" s="12">
        <v>5.3853999999999997</v>
      </c>
      <c r="L19" s="12">
        <v>0.1061</v>
      </c>
      <c r="M19" s="12">
        <v>2.9999999999999997E-4</v>
      </c>
      <c r="N19" s="12">
        <v>0</v>
      </c>
      <c r="O19" s="12">
        <f t="shared" si="6"/>
        <v>0</v>
      </c>
      <c r="R19" s="22">
        <v>185</v>
      </c>
      <c r="S19" s="22">
        <f t="shared" si="3"/>
        <v>5.4313241240980155</v>
      </c>
      <c r="T19" s="22">
        <f t="shared" si="4"/>
        <v>8.9560779162656048E-3</v>
      </c>
    </row>
    <row r="20" spans="1:21" x14ac:dyDescent="0.25">
      <c r="F20" s="445"/>
      <c r="G20" s="12">
        <v>186</v>
      </c>
      <c r="H20" s="12">
        <f t="shared" si="5"/>
        <v>109</v>
      </c>
      <c r="I20" s="12">
        <v>-7.2999999999999995E-2</v>
      </c>
      <c r="J20" s="12">
        <v>4.0000000000000001E-3</v>
      </c>
      <c r="K20" s="17">
        <v>5.39</v>
      </c>
      <c r="L20" s="12">
        <v>0.1061</v>
      </c>
      <c r="M20" s="12">
        <v>4.0000000000000002E-4</v>
      </c>
      <c r="N20" s="12">
        <v>0</v>
      </c>
      <c r="O20" s="12">
        <f t="shared" si="6"/>
        <v>0</v>
      </c>
      <c r="R20" s="22">
        <v>186</v>
      </c>
      <c r="S20" s="22">
        <f t="shared" si="3"/>
        <v>5.4359251044333821</v>
      </c>
      <c r="T20" s="22">
        <f t="shared" si="4"/>
        <v>8.9518059668202907E-3</v>
      </c>
    </row>
    <row r="21" spans="1:21" x14ac:dyDescent="0.25">
      <c r="A21" s="12">
        <v>-0.11574376744002442</v>
      </c>
      <c r="C21" s="12">
        <v>-3699.9</v>
      </c>
      <c r="D21" s="12">
        <v>-3723</v>
      </c>
      <c r="F21" s="445"/>
      <c r="G21" s="12">
        <v>187</v>
      </c>
      <c r="H21" s="12">
        <f t="shared" si="5"/>
        <v>110</v>
      </c>
      <c r="I21" s="12">
        <v>-0.16800000000000001</v>
      </c>
      <c r="J21" s="12">
        <v>3.0000000000000001E-3</v>
      </c>
      <c r="K21" s="12">
        <v>5.3811999999999998</v>
      </c>
      <c r="L21" s="12">
        <v>0.1061</v>
      </c>
      <c r="M21" s="12">
        <v>4.0000000000000002E-4</v>
      </c>
      <c r="N21" s="12">
        <v>0</v>
      </c>
      <c r="O21" s="12">
        <f t="shared" si="6"/>
        <v>0</v>
      </c>
      <c r="R21" s="22">
        <v>187</v>
      </c>
      <c r="S21" s="22">
        <f t="shared" si="3"/>
        <v>5.4271799068216895</v>
      </c>
      <c r="T21" s="22">
        <f t="shared" si="4"/>
        <v>8.9629168148217513E-3</v>
      </c>
    </row>
    <row r="22" spans="1:21" x14ac:dyDescent="0.25">
      <c r="C22" s="12">
        <v>-3741.68</v>
      </c>
      <c r="F22" s="445"/>
      <c r="G22" s="12">
        <v>188</v>
      </c>
      <c r="H22" s="12">
        <f t="shared" si="5"/>
        <v>111</v>
      </c>
      <c r="I22" s="15">
        <v>-0.14000000000000001</v>
      </c>
      <c r="J22" s="12">
        <v>4.0000000000000001E-3</v>
      </c>
      <c r="K22" s="12">
        <v>5.3837999999999999</v>
      </c>
      <c r="L22" s="12">
        <v>0.1061</v>
      </c>
      <c r="M22" s="12">
        <v>4.0000000000000001E-3</v>
      </c>
      <c r="N22" s="12">
        <v>0</v>
      </c>
      <c r="O22" s="12">
        <f t="shared" si="6"/>
        <v>0</v>
      </c>
      <c r="R22" s="22">
        <v>188</v>
      </c>
      <c r="S22" s="22">
        <f t="shared" si="3"/>
        <v>5.4297589026594064</v>
      </c>
      <c r="T22" s="22">
        <f t="shared" si="4"/>
        <v>8.9619719139318373E-3</v>
      </c>
    </row>
    <row r="23" spans="1:21" x14ac:dyDescent="0.25">
      <c r="A23" s="12">
        <f>A21*(-1)</f>
        <v>0.11574376744002442</v>
      </c>
      <c r="F23" s="445"/>
      <c r="G23" s="12">
        <v>189</v>
      </c>
      <c r="H23" s="12">
        <f t="shared" si="5"/>
        <v>112</v>
      </c>
      <c r="I23" s="12">
        <v>-7.5999999999999998E-2</v>
      </c>
      <c r="J23" s="12">
        <v>2E-3</v>
      </c>
      <c r="K23" s="12">
        <v>5.3898000000000001</v>
      </c>
      <c r="L23" s="12">
        <v>0.1061</v>
      </c>
      <c r="M23" s="12">
        <v>2.0000000000000001E-4</v>
      </c>
      <c r="N23" s="12">
        <v>0</v>
      </c>
      <c r="O23" s="12">
        <f t="shared" si="6"/>
        <v>0</v>
      </c>
      <c r="R23" s="22">
        <v>189</v>
      </c>
      <c r="S23" s="22">
        <f>SQRT($S$24^2 +I23)</f>
        <v>5.4356491554375621</v>
      </c>
      <c r="T23" s="22">
        <f>SQRT(((1/2)*($S$24^2+I23)^(-1/2)*2*$S$24*$T$24)^(2)+((1/2)*($S$24^2+I23)^(-1/2)*J23)^(2))</f>
        <v>8.9465876728701318E-3</v>
      </c>
    </row>
    <row r="24" spans="1:21" x14ac:dyDescent="0.25">
      <c r="F24" s="445"/>
      <c r="G24" s="12">
        <v>191</v>
      </c>
      <c r="H24" s="12">
        <f t="shared" si="5"/>
        <v>114</v>
      </c>
      <c r="I24" s="12">
        <v>0</v>
      </c>
      <c r="J24" s="12">
        <v>0</v>
      </c>
      <c r="K24" s="12">
        <v>5.3967999999999998</v>
      </c>
      <c r="L24" s="12">
        <v>0.1061</v>
      </c>
      <c r="M24" s="12">
        <v>0</v>
      </c>
      <c r="N24" s="12">
        <v>37.299999999999997</v>
      </c>
      <c r="O24" s="12">
        <f t="shared" si="6"/>
        <v>201.30063999999999</v>
      </c>
      <c r="Q24" s="12">
        <f>K24-P26</f>
        <v>-4.0127999999999275E-3</v>
      </c>
      <c r="R24" s="22">
        <v>191</v>
      </c>
      <c r="S24" s="22">
        <f>Q24+R26</f>
        <v>5.4426355510000004</v>
      </c>
      <c r="T24" s="22">
        <f>SQRT(Q13^2 +C13^2)</f>
        <v>8.9332141706834726E-3</v>
      </c>
      <c r="U24" s="12">
        <f>SQRT(R13^2 + C13^2)</f>
        <v>8.9598271823121672E-3</v>
      </c>
    </row>
    <row r="25" spans="1:21" x14ac:dyDescent="0.25">
      <c r="F25" s="445"/>
      <c r="G25" s="14">
        <v>193</v>
      </c>
      <c r="H25" s="14">
        <f t="shared" si="5"/>
        <v>116</v>
      </c>
      <c r="I25" s="14">
        <v>6.9099999999999995E-2</v>
      </c>
      <c r="J25" s="14">
        <v>1E-3</v>
      </c>
      <c r="K25" s="14">
        <v>5.4032</v>
      </c>
      <c r="L25" s="14">
        <v>0.1061</v>
      </c>
      <c r="M25" s="14">
        <v>1E-4</v>
      </c>
      <c r="N25" s="12">
        <v>62.7</v>
      </c>
      <c r="O25" s="12">
        <f t="shared" si="6"/>
        <v>338.78064000000001</v>
      </c>
      <c r="Q25" s="12">
        <f>K25-P26</f>
        <v>2.3872000000002558E-3</v>
      </c>
      <c r="R25" s="22">
        <v>193</v>
      </c>
      <c r="S25" s="22">
        <f>SQRT(S24^2 +I25)</f>
        <v>5.4489798807675074</v>
      </c>
      <c r="T25" s="22">
        <f>SQRT(((1/2)*(S24^2+I25)^(-1/2)*2*S24*T24)^(2)+((1/2)*(S24^2+I25)^(-1/2)*J25)^(2))</f>
        <v>8.9232849032988039E-3</v>
      </c>
    </row>
    <row r="26" spans="1:21" x14ac:dyDescent="0.25">
      <c r="A26" s="12">
        <v>4.8013939999999998E-2</v>
      </c>
      <c r="D26" s="12">
        <f>L16/T24</f>
        <v>11.877024100484807</v>
      </c>
      <c r="N26" s="12">
        <f>SUM(N16:N25)</f>
        <v>100</v>
      </c>
      <c r="O26" s="12">
        <f>SUM(O16:O25)</f>
        <v>540.08127999999999</v>
      </c>
      <c r="P26" s="19">
        <f>O26/N26</f>
        <v>5.4008127999999997</v>
      </c>
      <c r="R26" s="12">
        <f>P13+B13</f>
        <v>5.4466483510000003</v>
      </c>
      <c r="T26" s="12">
        <f>(2*S24*T24+J25)/(2*S24)</f>
        <v>9.0250814278817117E-3</v>
      </c>
    </row>
    <row r="27" spans="1:21" ht="15.75" x14ac:dyDescent="0.25">
      <c r="A27" s="12">
        <v>4.7478205694617602E-2</v>
      </c>
      <c r="G27" s="14" t="s">
        <v>48</v>
      </c>
      <c r="H27" s="14" t="s">
        <v>49</v>
      </c>
      <c r="I27" s="14" t="s">
        <v>50</v>
      </c>
      <c r="J27" s="14" t="s">
        <v>51</v>
      </c>
      <c r="K27" s="14" t="s">
        <v>52</v>
      </c>
      <c r="L27" s="14" t="s">
        <v>53</v>
      </c>
      <c r="M27" s="14" t="s">
        <v>54</v>
      </c>
      <c r="P27" s="19" t="s">
        <v>64</v>
      </c>
      <c r="R27" s="12" t="s">
        <v>72</v>
      </c>
    </row>
    <row r="28" spans="1:21" x14ac:dyDescent="0.25">
      <c r="A28" s="12">
        <v>4.7716399999999999E-2</v>
      </c>
      <c r="E28" s="12">
        <v>74</v>
      </c>
      <c r="F28" s="445" t="s">
        <v>73</v>
      </c>
      <c r="G28" s="12">
        <v>180</v>
      </c>
      <c r="H28" s="12">
        <f>G28-$E$28</f>
        <v>106</v>
      </c>
      <c r="I28" s="12">
        <v>-0.16800000000000001</v>
      </c>
      <c r="J28" s="12">
        <v>6.0000000000000001E-3</v>
      </c>
      <c r="K28" s="12">
        <v>5.3491</v>
      </c>
      <c r="L28" s="12">
        <v>2.2000000000000001E-3</v>
      </c>
      <c r="M28" s="12">
        <v>1.6999999999999999E-3</v>
      </c>
      <c r="T28" s="12">
        <f>SQRT((1/(2*S25^2))*((2*S24*T24)^2 + (J25)^2))</f>
        <v>1.2619430531164261E-2</v>
      </c>
    </row>
    <row r="29" spans="1:21" x14ac:dyDescent="0.25">
      <c r="F29" s="445"/>
      <c r="G29" s="12">
        <v>182</v>
      </c>
      <c r="H29" s="12">
        <f t="shared" ref="H29:H32" si="7">G29-$E$28</f>
        <v>108</v>
      </c>
      <c r="I29" s="12">
        <v>-9.9000000000000005E-2</v>
      </c>
      <c r="J29" s="12">
        <v>5.0000000000000001E-3</v>
      </c>
      <c r="K29" s="12">
        <v>5.3559000000000001</v>
      </c>
      <c r="L29" s="12">
        <v>1.6999999999999999E-3</v>
      </c>
      <c r="M29" s="17">
        <v>1E-3</v>
      </c>
      <c r="O29" s="12">
        <f>K25-K24</f>
        <v>6.4000000000001833E-3</v>
      </c>
      <c r="P29" s="12">
        <f>K24^2 - K25^2</f>
        <v>-6.9120000000001625E-2</v>
      </c>
      <c r="S29" s="12">
        <f>Q25+R26</f>
        <v>5.4490355510000006</v>
      </c>
    </row>
    <row r="30" spans="1:21" x14ac:dyDescent="0.25">
      <c r="F30" s="445"/>
      <c r="G30" s="12">
        <v>183</v>
      </c>
      <c r="H30" s="12">
        <f t="shared" si="7"/>
        <v>109</v>
      </c>
      <c r="I30" s="12">
        <v>-4.7E-2</v>
      </c>
      <c r="J30" s="12">
        <v>6.0000000000000001E-3</v>
      </c>
      <c r="K30" s="12">
        <v>5.3611000000000004</v>
      </c>
      <c r="L30" s="17">
        <v>2E-3</v>
      </c>
      <c r="M30" s="12">
        <v>6.9999999999999999E-4</v>
      </c>
      <c r="O30" s="23">
        <v>6.9099999999999995E-2</v>
      </c>
    </row>
    <row r="31" spans="1:21" x14ac:dyDescent="0.25">
      <c r="F31" s="445"/>
      <c r="G31" s="12">
        <v>184</v>
      </c>
      <c r="H31" s="12">
        <f t="shared" si="7"/>
        <v>110</v>
      </c>
      <c r="I31" s="12">
        <v>0</v>
      </c>
      <c r="J31" s="12">
        <v>0</v>
      </c>
      <c r="K31" s="12">
        <v>5.3658000000000001</v>
      </c>
      <c r="L31" s="12">
        <v>2.3E-3</v>
      </c>
      <c r="M31" s="12">
        <v>0</v>
      </c>
    </row>
    <row r="32" spans="1:21" x14ac:dyDescent="0.25">
      <c r="F32" s="445"/>
      <c r="G32" s="14">
        <v>186</v>
      </c>
      <c r="H32" s="14">
        <f t="shared" si="7"/>
        <v>112</v>
      </c>
      <c r="I32" s="14">
        <v>8.5999999999999993E-2</v>
      </c>
      <c r="J32" s="14">
        <v>4.0000000000000001E-3</v>
      </c>
      <c r="K32" s="14">
        <v>5.3742999999999999</v>
      </c>
      <c r="L32" s="14">
        <v>2.5999999999999999E-3</v>
      </c>
      <c r="M32" s="14">
        <v>8.9999999999999998E-4</v>
      </c>
    </row>
    <row r="33" spans="5:24" x14ac:dyDescent="0.25">
      <c r="F33" s="18"/>
    </row>
    <row r="34" spans="5:24" ht="15.75" x14ac:dyDescent="0.25">
      <c r="G34" s="14" t="s">
        <v>48</v>
      </c>
      <c r="H34" s="14" t="s">
        <v>49</v>
      </c>
      <c r="I34" s="14" t="s">
        <v>50</v>
      </c>
      <c r="J34" s="14" t="s">
        <v>51</v>
      </c>
      <c r="K34" s="14" t="s">
        <v>52</v>
      </c>
      <c r="L34" s="14" t="s">
        <v>53</v>
      </c>
      <c r="M34" s="14" t="s">
        <v>54</v>
      </c>
    </row>
    <row r="35" spans="5:24" x14ac:dyDescent="0.25">
      <c r="E35" s="12">
        <v>75</v>
      </c>
      <c r="F35" s="445" t="s">
        <v>74</v>
      </c>
      <c r="G35" s="12">
        <v>185</v>
      </c>
      <c r="H35" s="12">
        <f>G35-$E$35</f>
        <v>110</v>
      </c>
      <c r="I35" s="12">
        <v>0</v>
      </c>
      <c r="J35" s="12">
        <v>0</v>
      </c>
      <c r="K35" s="12">
        <v>5.3596000000000004</v>
      </c>
      <c r="L35" s="12">
        <v>1.72E-2</v>
      </c>
      <c r="M35" s="12">
        <v>0</v>
      </c>
    </row>
    <row r="36" spans="5:24" x14ac:dyDescent="0.25">
      <c r="F36" s="445"/>
      <c r="G36" s="14">
        <v>187</v>
      </c>
      <c r="H36" s="14">
        <f>G36-$E$35</f>
        <v>112</v>
      </c>
      <c r="I36" s="24">
        <v>0.11</v>
      </c>
      <c r="J36" s="24">
        <v>0.01</v>
      </c>
      <c r="K36" s="14">
        <v>5.3697999999999997</v>
      </c>
      <c r="L36" s="14">
        <v>1.7299999999999999E-2</v>
      </c>
      <c r="M36" s="14">
        <v>8.9999999999999998E-4</v>
      </c>
    </row>
    <row r="37" spans="5:24" x14ac:dyDescent="0.25">
      <c r="F37" s="18"/>
      <c r="I37" s="15"/>
      <c r="J37" s="15"/>
      <c r="Q37" s="446"/>
      <c r="R37" s="447"/>
      <c r="S37" s="447"/>
      <c r="T37" s="447"/>
      <c r="U37" s="447"/>
      <c r="V37" s="447"/>
    </row>
    <row r="38" spans="5:24" ht="15.75" x14ac:dyDescent="0.25">
      <c r="G38" s="14" t="s">
        <v>48</v>
      </c>
      <c r="H38" s="14" t="s">
        <v>49</v>
      </c>
      <c r="I38" s="14" t="s">
        <v>50</v>
      </c>
      <c r="J38" s="14" t="s">
        <v>51</v>
      </c>
      <c r="K38" s="14" t="s">
        <v>52</v>
      </c>
      <c r="L38" s="14" t="s">
        <v>53</v>
      </c>
      <c r="M38" s="14" t="s">
        <v>54</v>
      </c>
      <c r="O38" s="102"/>
      <c r="P38" s="102"/>
      <c r="Q38" s="102"/>
      <c r="R38" s="102"/>
      <c r="S38" s="102"/>
      <c r="T38" s="102"/>
      <c r="U38" s="102"/>
      <c r="V38" s="102"/>
      <c r="W38" s="102"/>
      <c r="X38" s="102"/>
    </row>
    <row r="39" spans="5:24" ht="15.75" customHeight="1" x14ac:dyDescent="0.25">
      <c r="E39" s="12">
        <v>78</v>
      </c>
      <c r="F39" s="445" t="s">
        <v>75</v>
      </c>
      <c r="G39" s="12">
        <v>183</v>
      </c>
      <c r="H39" s="12">
        <f>G39-$E$39</f>
        <v>105</v>
      </c>
      <c r="I39" s="12">
        <v>-0.19600000000000001</v>
      </c>
      <c r="J39" s="15">
        <v>0.02</v>
      </c>
      <c r="K39" s="12">
        <v>5.4038000000000004</v>
      </c>
      <c r="L39" s="12">
        <v>3.5999999999999999E-3</v>
      </c>
      <c r="M39" s="12">
        <v>1.9E-3</v>
      </c>
      <c r="O39" s="102"/>
      <c r="P39" s="102"/>
      <c r="Q39" s="102"/>
      <c r="R39" s="102"/>
      <c r="S39" s="102"/>
      <c r="T39" s="102"/>
      <c r="U39" s="102"/>
      <c r="V39" s="102"/>
      <c r="W39" s="102"/>
      <c r="X39" s="102"/>
    </row>
    <row r="40" spans="5:24" ht="15.75" customHeight="1" x14ac:dyDescent="0.25">
      <c r="F40" s="445"/>
      <c r="G40" s="12">
        <v>184</v>
      </c>
      <c r="H40" s="12">
        <f t="shared" ref="H40:H50" si="8">G40-$E$39</f>
        <v>106</v>
      </c>
      <c r="I40" s="15">
        <v>-0.24</v>
      </c>
      <c r="J40" s="12">
        <v>1.7999999999999999E-2</v>
      </c>
      <c r="K40" s="12">
        <v>5.4015000000000004</v>
      </c>
      <c r="L40" s="12">
        <v>3.5999999999999999E-3</v>
      </c>
      <c r="M40" s="12">
        <v>1.6999999999999999E-3</v>
      </c>
      <c r="O40" s="102"/>
      <c r="P40" s="102"/>
      <c r="Q40" s="102"/>
      <c r="R40" s="102"/>
      <c r="S40" s="102"/>
      <c r="T40" s="102"/>
      <c r="U40" s="102"/>
      <c r="V40" s="102"/>
      <c r="W40" s="102"/>
      <c r="X40" s="102"/>
    </row>
    <row r="41" spans="5:24" ht="15.75" customHeight="1" x14ac:dyDescent="0.25">
      <c r="F41" s="445"/>
      <c r="G41" s="12">
        <v>185</v>
      </c>
      <c r="H41" s="12">
        <f t="shared" si="8"/>
        <v>107</v>
      </c>
      <c r="I41" s="15">
        <v>-0.09</v>
      </c>
      <c r="J41" s="12">
        <v>5.0000000000000001E-3</v>
      </c>
      <c r="K41" s="12">
        <v>5.4147999999999996</v>
      </c>
      <c r="L41" s="12">
        <v>2.8E-3</v>
      </c>
      <c r="M41" s="12">
        <v>5.0000000000000001E-4</v>
      </c>
      <c r="O41" s="102"/>
      <c r="P41" s="102"/>
      <c r="Q41" s="102"/>
      <c r="R41" s="102"/>
      <c r="S41" s="102"/>
      <c r="T41" s="102"/>
      <c r="U41" s="102"/>
      <c r="V41" s="102"/>
      <c r="W41" s="102"/>
      <c r="X41" s="102"/>
    </row>
    <row r="42" spans="5:24" ht="15.75" customHeight="1" x14ac:dyDescent="0.25">
      <c r="F42" s="445"/>
      <c r="G42" s="12">
        <v>186</v>
      </c>
      <c r="H42" s="12">
        <f t="shared" si="8"/>
        <v>108</v>
      </c>
      <c r="I42" s="12">
        <v>-0.21299999999999999</v>
      </c>
      <c r="J42" s="12">
        <v>4.0000000000000001E-3</v>
      </c>
      <c r="K42" s="12">
        <v>5.4036999999999997</v>
      </c>
      <c r="L42" s="12">
        <v>3.5999999999999999E-3</v>
      </c>
      <c r="M42" s="12">
        <v>4.0000000000000002E-4</v>
      </c>
      <c r="O42" s="102"/>
      <c r="P42" s="102"/>
      <c r="Q42" s="102"/>
      <c r="R42" s="102"/>
      <c r="S42" s="102"/>
      <c r="T42" s="102"/>
      <c r="U42" s="102"/>
      <c r="V42" s="102"/>
      <c r="W42" s="102"/>
      <c r="X42" s="102"/>
    </row>
    <row r="43" spans="5:24" ht="15.75" customHeight="1" x14ac:dyDescent="0.25">
      <c r="F43" s="445"/>
      <c r="G43" s="12">
        <v>187</v>
      </c>
      <c r="H43" s="12">
        <f t="shared" si="8"/>
        <v>109</v>
      </c>
      <c r="I43" s="12">
        <v>-0.188</v>
      </c>
      <c r="J43" s="12">
        <v>4.0000000000000001E-3</v>
      </c>
      <c r="K43" s="12">
        <v>5.4062999999999999</v>
      </c>
      <c r="L43" s="12">
        <v>3.7000000000000002E-3</v>
      </c>
      <c r="M43" s="12">
        <v>4.0000000000000002E-4</v>
      </c>
      <c r="O43" s="102"/>
      <c r="P43" s="102"/>
      <c r="Q43" s="102"/>
      <c r="R43" s="102"/>
      <c r="S43" s="102"/>
      <c r="T43" s="102"/>
      <c r="U43" s="102"/>
      <c r="V43" s="102"/>
      <c r="W43" s="102"/>
      <c r="X43" s="102"/>
    </row>
    <row r="44" spans="5:24" ht="15.75" customHeight="1" x14ac:dyDescent="0.25">
      <c r="F44" s="445"/>
      <c r="G44" s="12">
        <v>188</v>
      </c>
      <c r="H44" s="12">
        <f t="shared" si="8"/>
        <v>110</v>
      </c>
      <c r="I44" s="12">
        <v>-0.193</v>
      </c>
      <c r="J44" s="12">
        <v>3.0000000000000001E-3</v>
      </c>
      <c r="K44" s="12">
        <v>5.4053000000000004</v>
      </c>
      <c r="L44" s="12">
        <v>3.3999999999999998E-3</v>
      </c>
      <c r="M44" s="12">
        <v>2.9999999999999997E-4</v>
      </c>
      <c r="O44" s="102"/>
      <c r="P44" s="102"/>
      <c r="Q44" s="102"/>
      <c r="R44" s="102"/>
      <c r="S44" s="102"/>
      <c r="T44" s="102"/>
      <c r="U44" s="102"/>
      <c r="V44" s="102"/>
      <c r="W44" s="102"/>
      <c r="X44" s="102"/>
    </row>
    <row r="45" spans="5:24" ht="15.75" customHeight="1" x14ac:dyDescent="0.25">
      <c r="F45" s="445"/>
      <c r="G45" s="12">
        <v>189</v>
      </c>
      <c r="H45" s="12">
        <f t="shared" si="8"/>
        <v>111</v>
      </c>
      <c r="I45" s="12">
        <v>-0.187</v>
      </c>
      <c r="J45" s="12">
        <v>5.0000000000000001E-3</v>
      </c>
      <c r="K45" s="17">
        <v>5.4059999999999997</v>
      </c>
      <c r="L45" s="12">
        <v>3.5000000000000001E-3</v>
      </c>
      <c r="M45" s="12">
        <v>5.0000000000000001E-4</v>
      </c>
      <c r="O45" s="102"/>
      <c r="P45" s="102"/>
      <c r="Q45" s="102"/>
      <c r="R45" s="102"/>
      <c r="S45" s="102"/>
      <c r="T45" s="102"/>
      <c r="U45" s="102"/>
      <c r="V45" s="102"/>
      <c r="W45" s="102"/>
      <c r="X45" s="102"/>
    </row>
    <row r="46" spans="5:24" ht="15.75" customHeight="1" x14ac:dyDescent="0.25">
      <c r="F46" s="445"/>
      <c r="G46" s="12">
        <v>190</v>
      </c>
      <c r="H46" s="12">
        <f t="shared" si="8"/>
        <v>112</v>
      </c>
      <c r="I46" s="12">
        <v>-0.13700000000000001</v>
      </c>
      <c r="J46" s="12">
        <v>2E-3</v>
      </c>
      <c r="K46" s="12">
        <v>5.4108000000000001</v>
      </c>
      <c r="L46" s="17">
        <v>3.0000000000000001E-3</v>
      </c>
      <c r="M46" s="12">
        <v>2.0000000000000001E-4</v>
      </c>
      <c r="O46" s="102"/>
      <c r="P46" s="102"/>
      <c r="Q46" s="102"/>
      <c r="R46" s="102"/>
      <c r="S46" s="102"/>
      <c r="T46" s="102"/>
      <c r="U46" s="102"/>
      <c r="V46" s="102"/>
      <c r="W46" s="102"/>
      <c r="X46" s="102"/>
    </row>
    <row r="47" spans="5:24" ht="15.75" customHeight="1" x14ac:dyDescent="0.25">
      <c r="F47" s="445"/>
      <c r="G47" s="12">
        <v>191</v>
      </c>
      <c r="H47" s="12">
        <f t="shared" si="8"/>
        <v>113</v>
      </c>
      <c r="I47" s="12">
        <v>-0.14199999999999999</v>
      </c>
      <c r="J47" s="12">
        <v>4.0000000000000001E-3</v>
      </c>
      <c r="K47" s="12">
        <v>5.4101999999999997</v>
      </c>
      <c r="L47" s="12">
        <v>3.0999999999999999E-3</v>
      </c>
      <c r="M47" s="12">
        <v>4.0000000000000002E-4</v>
      </c>
      <c r="O47" s="102"/>
      <c r="P47" s="102"/>
      <c r="Q47" s="102"/>
      <c r="R47" s="102"/>
      <c r="S47" s="102"/>
      <c r="T47" s="102"/>
      <c r="U47" s="102"/>
      <c r="V47" s="102"/>
      <c r="W47" s="102"/>
      <c r="X47" s="102"/>
    </row>
    <row r="48" spans="5:24" ht="15.75" customHeight="1" x14ac:dyDescent="0.25">
      <c r="F48" s="445"/>
      <c r="G48" s="12">
        <v>192</v>
      </c>
      <c r="H48" s="12">
        <f t="shared" si="8"/>
        <v>114</v>
      </c>
      <c r="I48" s="12">
        <v>-7.2999999999999995E-2</v>
      </c>
      <c r="J48" s="12">
        <v>2E-3</v>
      </c>
      <c r="K48" s="12">
        <v>5.4169</v>
      </c>
      <c r="L48" s="12">
        <v>2.8E-3</v>
      </c>
      <c r="M48" s="12">
        <v>2.0000000000000001E-4</v>
      </c>
      <c r="O48" s="102"/>
      <c r="P48" s="102"/>
      <c r="Q48" s="102"/>
      <c r="R48" s="102"/>
      <c r="S48" s="102"/>
      <c r="T48" s="102"/>
      <c r="U48" s="102"/>
      <c r="V48" s="102"/>
      <c r="W48" s="102"/>
      <c r="X48" s="102"/>
    </row>
    <row r="49" spans="6:24" ht="15.75" customHeight="1" x14ac:dyDescent="0.25">
      <c r="F49" s="445"/>
      <c r="G49" s="12">
        <v>193</v>
      </c>
      <c r="H49" s="12">
        <f t="shared" si="8"/>
        <v>115</v>
      </c>
      <c r="I49" s="12">
        <v>-4.7E-2</v>
      </c>
      <c r="J49" s="12">
        <v>6.0000000000000001E-3</v>
      </c>
      <c r="K49" s="12">
        <v>5.4191000000000003</v>
      </c>
      <c r="L49" s="12">
        <v>2.7000000000000001E-3</v>
      </c>
      <c r="M49" s="12">
        <v>5.9999999999999995E-4</v>
      </c>
      <c r="O49" s="102"/>
      <c r="P49" s="102"/>
      <c r="Q49" s="102"/>
      <c r="R49" s="102"/>
      <c r="S49" s="102"/>
      <c r="T49" s="102"/>
      <c r="U49" s="102"/>
      <c r="V49" s="102"/>
      <c r="W49" s="102"/>
      <c r="X49" s="102"/>
    </row>
    <row r="50" spans="6:24" ht="15.75" customHeight="1" x14ac:dyDescent="0.25">
      <c r="F50" s="445"/>
      <c r="G50" s="14">
        <v>194</v>
      </c>
      <c r="H50" s="14">
        <f t="shared" si="8"/>
        <v>116</v>
      </c>
      <c r="I50" s="14">
        <v>0</v>
      </c>
      <c r="J50" s="14">
        <v>0</v>
      </c>
      <c r="K50" s="14">
        <v>5.4236000000000004</v>
      </c>
      <c r="L50" s="14">
        <v>2.5000000000000001E-3</v>
      </c>
      <c r="M50" s="14">
        <v>0</v>
      </c>
      <c r="O50" s="102"/>
      <c r="P50" s="102"/>
      <c r="Q50" s="102"/>
      <c r="R50" s="102"/>
      <c r="S50" s="102"/>
      <c r="T50" s="102"/>
      <c r="U50" s="102"/>
      <c r="V50" s="102"/>
      <c r="W50" s="102"/>
      <c r="X50" s="102"/>
    </row>
    <row r="51" spans="6:24" ht="15.75" customHeight="1" x14ac:dyDescent="0.25">
      <c r="O51" s="102"/>
      <c r="P51" s="102"/>
      <c r="Q51" s="102"/>
      <c r="R51" s="102"/>
      <c r="S51" s="102"/>
      <c r="T51" s="102"/>
      <c r="U51" s="102"/>
      <c r="V51" s="102"/>
      <c r="W51" s="102"/>
      <c r="X51" s="102"/>
    </row>
  </sheetData>
  <mergeCells count="6">
    <mergeCell ref="F39:F50"/>
    <mergeCell ref="Q37:V37"/>
    <mergeCell ref="F7:F13"/>
    <mergeCell ref="F16:F25"/>
    <mergeCell ref="F28:F32"/>
    <mergeCell ref="F35:F3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FD80-1E68-4439-B25B-3C4536960C21}">
  <dimension ref="A1:X93"/>
  <sheetViews>
    <sheetView topLeftCell="A10" workbookViewId="0">
      <selection activeCell="C34" sqref="C34"/>
    </sheetView>
  </sheetViews>
  <sheetFormatPr defaultRowHeight="15" x14ac:dyDescent="0.25"/>
  <cols>
    <col min="1" max="1" width="11" style="12" bestFit="1" customWidth="1"/>
    <col min="2" max="2" width="10.5" style="12" bestFit="1" customWidth="1"/>
    <col min="3" max="3" width="22.75" style="12" bestFit="1" customWidth="1"/>
    <col min="4" max="4" width="10.5" style="12" bestFit="1" customWidth="1"/>
    <col min="5" max="6" width="9" style="12"/>
    <col min="7" max="7" width="10.25" style="12" bestFit="1" customWidth="1"/>
    <col min="8" max="8" width="12" style="12" bestFit="1" customWidth="1"/>
    <col min="9" max="9" width="11.625" style="12" bestFit="1" customWidth="1"/>
    <col min="10" max="10" width="16.5" style="12" bestFit="1" customWidth="1"/>
    <col min="11" max="11" width="9" style="12"/>
    <col min="12" max="12" width="13.25" style="12" bestFit="1" customWidth="1"/>
    <col min="13" max="13" width="9.25" style="12" bestFit="1" customWidth="1"/>
    <col min="14" max="15" width="15.125" style="12" bestFit="1" customWidth="1"/>
    <col min="16" max="16" width="9" style="12"/>
    <col min="17" max="17" width="10.5" style="12" bestFit="1" customWidth="1"/>
    <col min="18" max="18" width="14" style="12" bestFit="1" customWidth="1"/>
    <col min="19" max="19" width="12.375" style="12" bestFit="1" customWidth="1"/>
    <col min="20" max="20" width="14" style="12" bestFit="1" customWidth="1"/>
    <col min="21" max="21" width="10.5" style="12" bestFit="1" customWidth="1"/>
    <col min="22" max="22" width="9.75" style="12" bestFit="1" customWidth="1"/>
    <col min="23" max="23" width="6.25" style="12" bestFit="1" customWidth="1"/>
    <col min="24" max="24" width="15" style="12" bestFit="1" customWidth="1"/>
    <col min="25" max="16384" width="9" style="12"/>
  </cols>
  <sheetData>
    <row r="1" spans="1:18" x14ac:dyDescent="0.25">
      <c r="A1" s="120" t="s">
        <v>155</v>
      </c>
      <c r="B1" s="120" t="s">
        <v>156</v>
      </c>
      <c r="E1" s="121" t="s">
        <v>167</v>
      </c>
      <c r="F1" s="108">
        <v>-3699.9</v>
      </c>
      <c r="G1" s="109">
        <v>-3723</v>
      </c>
      <c r="H1" s="12" t="s">
        <v>45</v>
      </c>
      <c r="I1" s="13">
        <v>299792458</v>
      </c>
    </row>
    <row r="2" spans="1:18" x14ac:dyDescent="0.25">
      <c r="E2" s="116"/>
      <c r="F2" s="14">
        <v>-3741.68</v>
      </c>
      <c r="G2" s="117"/>
      <c r="H2" s="12" t="s">
        <v>43</v>
      </c>
      <c r="I2" s="13">
        <f>6.62607015*(10)^(-34)</f>
        <v>6.6260701500000015E-34</v>
      </c>
    </row>
    <row r="3" spans="1:18" x14ac:dyDescent="0.25">
      <c r="E3" s="107" t="s">
        <v>168</v>
      </c>
      <c r="F3" s="12">
        <v>-4000</v>
      </c>
      <c r="H3" s="12" t="s">
        <v>46</v>
      </c>
      <c r="I3" s="13">
        <f>1/(1.602176634*10^(-19))</f>
        <v>6.2415090744607621E+18</v>
      </c>
    </row>
    <row r="4" spans="1:18" x14ac:dyDescent="0.25">
      <c r="H4" s="12" t="s">
        <v>44</v>
      </c>
      <c r="I4" s="13">
        <v>8065.5439370000004</v>
      </c>
    </row>
    <row r="6" spans="1:18" x14ac:dyDescent="0.25">
      <c r="A6" s="448" t="s">
        <v>157</v>
      </c>
      <c r="B6" s="449"/>
      <c r="C6" s="108"/>
      <c r="D6" s="108"/>
      <c r="E6" s="109"/>
      <c r="G6" s="448" t="s">
        <v>161</v>
      </c>
      <c r="H6" s="450"/>
      <c r="I6" s="108"/>
      <c r="J6" s="108"/>
      <c r="K6" s="109"/>
      <c r="L6" s="118"/>
      <c r="M6" s="108"/>
      <c r="N6" s="109"/>
    </row>
    <row r="7" spans="1:18" x14ac:dyDescent="0.25">
      <c r="A7" s="110" t="s">
        <v>159</v>
      </c>
      <c r="B7" s="111" t="s">
        <v>71</v>
      </c>
      <c r="C7" s="112" t="s">
        <v>160</v>
      </c>
      <c r="D7" s="112" t="s">
        <v>41</v>
      </c>
      <c r="E7" s="113" t="s">
        <v>158</v>
      </c>
      <c r="G7" s="110" t="s">
        <v>159</v>
      </c>
      <c r="H7" s="111" t="s">
        <v>71</v>
      </c>
      <c r="I7" s="112" t="s">
        <v>160</v>
      </c>
      <c r="J7" s="112" t="s">
        <v>41</v>
      </c>
      <c r="K7" s="113" t="s">
        <v>158</v>
      </c>
      <c r="L7" s="114" t="s">
        <v>47</v>
      </c>
      <c r="M7" s="101"/>
      <c r="N7" s="115"/>
    </row>
    <row r="8" spans="1:18" x14ac:dyDescent="0.25">
      <c r="A8" s="114">
        <v>7.4477000000000002</v>
      </c>
      <c r="B8" s="101">
        <v>2.0000000000000001E-4</v>
      </c>
      <c r="C8" s="101">
        <f>SQRT(B8^2+B9^2)</f>
        <v>2.8284271247461902E-4</v>
      </c>
      <c r="D8" s="101">
        <f>10^(9)*I3*I1*I2/A8</f>
        <v>166.4731372547233</v>
      </c>
      <c r="E8" s="115">
        <f>D9-D8</f>
        <v>3.5056105458282047</v>
      </c>
      <c r="G8" s="114">
        <v>7.6550000000000002</v>
      </c>
      <c r="H8" s="101">
        <v>2.0000000000000001E-4</v>
      </c>
      <c r="I8" s="101">
        <f>SQRT((H8*H8)+(H9*H9))</f>
        <v>2.8284271247461902E-4</v>
      </c>
      <c r="J8" s="101">
        <f>10^(9)*I3*I1*I2/G8</f>
        <v>161.96498815571559</v>
      </c>
      <c r="K8" s="115">
        <f>J9-J8</f>
        <v>3.5017120087049136</v>
      </c>
      <c r="L8" s="114">
        <v>3.504</v>
      </c>
      <c r="M8" s="101">
        <v>3.0000000000000001E-3</v>
      </c>
      <c r="N8" s="115" t="s">
        <v>41</v>
      </c>
    </row>
    <row r="9" spans="1:18" x14ac:dyDescent="0.25">
      <c r="A9" s="114">
        <v>7.2941000000000003</v>
      </c>
      <c r="B9" s="101">
        <v>2.0000000000000001E-4</v>
      </c>
      <c r="C9" s="101"/>
      <c r="D9" s="101">
        <f>10^(9)*I3*I1*I2/A9</f>
        <v>169.9787478005515</v>
      </c>
      <c r="E9" s="115"/>
      <c r="G9" s="114">
        <v>7.4930000000000003</v>
      </c>
      <c r="H9" s="101">
        <v>2.0000000000000001E-4</v>
      </c>
      <c r="I9" s="101"/>
      <c r="J9" s="101">
        <f>10^(9)*I3*I1*I2/G9</f>
        <v>165.4667001644205</v>
      </c>
      <c r="K9" s="115"/>
      <c r="L9" s="114">
        <v>0.16209999999999999</v>
      </c>
      <c r="M9" s="101">
        <v>2.0000000000000001E-4</v>
      </c>
      <c r="N9" s="115" t="s">
        <v>56</v>
      </c>
    </row>
    <row r="10" spans="1:18" x14ac:dyDescent="0.25">
      <c r="A10" s="116">
        <f>A8-A9</f>
        <v>0.15359999999999996</v>
      </c>
      <c r="B10" s="14"/>
      <c r="C10" s="14"/>
      <c r="D10" s="14"/>
      <c r="E10" s="117"/>
      <c r="G10" s="116">
        <f>G8-G9</f>
        <v>0.16199999999999992</v>
      </c>
      <c r="H10" s="14"/>
      <c r="I10" s="14"/>
      <c r="J10" s="14"/>
      <c r="K10" s="117"/>
      <c r="L10" s="116"/>
      <c r="M10" s="14"/>
      <c r="N10" s="117"/>
    </row>
    <row r="11" spans="1:18" x14ac:dyDescent="0.25">
      <c r="A11" s="118" t="s">
        <v>47</v>
      </c>
      <c r="B11" s="108"/>
      <c r="C11" s="108"/>
      <c r="D11" s="109"/>
    </row>
    <row r="12" spans="1:18" ht="15.75" x14ac:dyDescent="0.25">
      <c r="A12" s="114">
        <v>3.504</v>
      </c>
      <c r="B12" s="101">
        <v>3.0000000000000001E-3</v>
      </c>
      <c r="C12" s="101" t="s">
        <v>41</v>
      </c>
      <c r="D12" s="115"/>
      <c r="G12" s="14" t="s">
        <v>48</v>
      </c>
      <c r="H12" s="14" t="s">
        <v>49</v>
      </c>
      <c r="I12" s="14" t="s">
        <v>50</v>
      </c>
      <c r="J12" s="14" t="s">
        <v>51</v>
      </c>
      <c r="K12" s="14" t="s">
        <v>52</v>
      </c>
      <c r="L12" s="14" t="s">
        <v>53</v>
      </c>
      <c r="M12" s="14" t="s">
        <v>54</v>
      </c>
      <c r="N12" s="12" t="s">
        <v>55</v>
      </c>
      <c r="Q12" s="12">
        <f t="shared" ref="Q12:Q18" si="0">(N13*M13/$N$20)^2</f>
        <v>1.1559999999999998E-13</v>
      </c>
      <c r="R12" s="12">
        <f t="shared" ref="R12:R18" si="1">(N13*L13/$N$20)^2</f>
        <v>1.9360000000000008E-13</v>
      </c>
    </row>
    <row r="13" spans="1:18" x14ac:dyDescent="0.25">
      <c r="A13" s="114">
        <v>0.15340000000000001</v>
      </c>
      <c r="B13" s="101">
        <v>2.0000000000000001E-4</v>
      </c>
      <c r="C13" s="101" t="s">
        <v>56</v>
      </c>
      <c r="D13" s="115"/>
      <c r="E13" s="12">
        <v>76</v>
      </c>
      <c r="F13" s="445" t="s">
        <v>30</v>
      </c>
      <c r="G13" s="12">
        <v>184</v>
      </c>
      <c r="H13" s="12">
        <v>108</v>
      </c>
      <c r="I13" s="15">
        <v>-0.32</v>
      </c>
      <c r="J13" s="12">
        <v>1.7999999999999999E-2</v>
      </c>
      <c r="K13" s="12">
        <v>5.3822999999999999</v>
      </c>
      <c r="L13" s="12">
        <v>2.2000000000000001E-3</v>
      </c>
      <c r="M13" s="12">
        <v>1.6999999999999999E-3</v>
      </c>
      <c r="N13" s="12">
        <v>0.02</v>
      </c>
      <c r="O13" s="12">
        <f>N13*K13</f>
        <v>0.10764600000000001</v>
      </c>
      <c r="Q13" s="12">
        <f t="shared" si="0"/>
        <v>4.9550760000000004E-10</v>
      </c>
      <c r="R13" s="12">
        <f t="shared" si="1"/>
        <v>7.3062089999999998E-10</v>
      </c>
    </row>
    <row r="14" spans="1:18" x14ac:dyDescent="0.25">
      <c r="A14" s="116"/>
      <c r="B14" s="14"/>
      <c r="C14" s="14"/>
      <c r="D14" s="117"/>
      <c r="F14" s="445"/>
      <c r="G14" s="12">
        <v>186</v>
      </c>
      <c r="H14" s="12">
        <v>110</v>
      </c>
      <c r="I14" s="12">
        <v>-0.23100000000000001</v>
      </c>
      <c r="J14" s="12">
        <v>1.4999999999999999E-2</v>
      </c>
      <c r="K14" s="12">
        <v>5.3909000000000002</v>
      </c>
      <c r="L14" s="12">
        <v>1.6999999999999999E-3</v>
      </c>
      <c r="M14" s="12">
        <v>1.4E-3</v>
      </c>
      <c r="N14" s="12">
        <v>1.59</v>
      </c>
      <c r="O14" s="12">
        <f t="shared" ref="O14:O19" si="2">N14*K14</f>
        <v>8.5715310000000002</v>
      </c>
      <c r="Q14" s="12">
        <f t="shared" si="0"/>
        <v>8.6436E-10</v>
      </c>
      <c r="R14" s="12">
        <f t="shared" si="1"/>
        <v>1.2446784E-9</v>
      </c>
    </row>
    <row r="15" spans="1:18" x14ac:dyDescent="0.25">
      <c r="A15" s="119"/>
      <c r="B15" s="119"/>
      <c r="C15" s="119"/>
      <c r="D15" s="119"/>
      <c r="F15" s="445"/>
      <c r="G15" s="12">
        <v>187</v>
      </c>
      <c r="H15" s="12">
        <v>111</v>
      </c>
      <c r="I15" s="12">
        <v>-0.20499999999999999</v>
      </c>
      <c r="J15" s="12">
        <v>1.6E-2</v>
      </c>
      <c r="K15" s="12">
        <v>5.3933</v>
      </c>
      <c r="L15" s="12">
        <v>1.8E-3</v>
      </c>
      <c r="M15" s="12">
        <v>1.5E-3</v>
      </c>
      <c r="N15" s="12">
        <v>1.96</v>
      </c>
      <c r="O15" s="12">
        <f t="shared" si="2"/>
        <v>10.570867999999999</v>
      </c>
      <c r="Q15" s="12">
        <f t="shared" si="0"/>
        <v>1.7529759999999998E-8</v>
      </c>
      <c r="R15" s="12">
        <f t="shared" si="1"/>
        <v>2.1211009599999997E-8</v>
      </c>
    </row>
    <row r="16" spans="1:18" x14ac:dyDescent="0.25">
      <c r="A16" s="451" t="s">
        <v>162</v>
      </c>
      <c r="B16" s="452"/>
      <c r="C16" s="452"/>
      <c r="D16" s="452"/>
      <c r="F16" s="445"/>
      <c r="G16" s="12">
        <v>188</v>
      </c>
      <c r="H16" s="12">
        <v>112</v>
      </c>
      <c r="I16" s="12">
        <v>-0.14399999999999999</v>
      </c>
      <c r="J16" s="12">
        <v>1.0999999999999999E-2</v>
      </c>
      <c r="K16" s="12">
        <v>5.3993000000000002</v>
      </c>
      <c r="L16" s="12">
        <v>1.1000000000000001E-3</v>
      </c>
      <c r="M16" s="17">
        <v>1E-3</v>
      </c>
      <c r="N16" s="12">
        <v>13.24</v>
      </c>
      <c r="O16" s="12">
        <f t="shared" si="2"/>
        <v>71.486732000000003</v>
      </c>
      <c r="Q16" s="12">
        <f t="shared" si="0"/>
        <v>3.1559522500000001E-8</v>
      </c>
      <c r="R16" s="12">
        <f t="shared" si="1"/>
        <v>3.7558439999999986E-8</v>
      </c>
    </row>
    <row r="17" spans="1:21" x14ac:dyDescent="0.25">
      <c r="A17" s="17">
        <v>7.4489999999999998</v>
      </c>
      <c r="B17" s="12">
        <v>1.2999999999999999E-3</v>
      </c>
      <c r="C17" s="12">
        <v>166.44</v>
      </c>
      <c r="D17" s="12">
        <v>0.03</v>
      </c>
      <c r="F17" s="445"/>
      <c r="G17" s="12">
        <v>189</v>
      </c>
      <c r="H17" s="12">
        <v>113</v>
      </c>
      <c r="I17" s="12">
        <v>-0.11899999999999999</v>
      </c>
      <c r="J17" s="12">
        <v>1.2E-2</v>
      </c>
      <c r="K17" s="12">
        <v>5.4016000000000002</v>
      </c>
      <c r="L17" s="12">
        <v>1.1999999999999999E-3</v>
      </c>
      <c r="M17" s="12">
        <v>1.1000000000000001E-3</v>
      </c>
      <c r="N17" s="12">
        <v>16.149999999999999</v>
      </c>
      <c r="O17" s="12">
        <f t="shared" si="2"/>
        <v>87.235839999999996</v>
      </c>
      <c r="Q17" s="12">
        <f t="shared" si="0"/>
        <v>2.4825153600000002E-8</v>
      </c>
      <c r="R17" s="12">
        <f t="shared" si="1"/>
        <v>1.1654030440000001E-7</v>
      </c>
    </row>
    <row r="18" spans="1:21" x14ac:dyDescent="0.25">
      <c r="A18" s="12">
        <v>7.2948000000000004</v>
      </c>
      <c r="B18" s="12">
        <v>1.2999999999999999E-3</v>
      </c>
      <c r="C18" s="12">
        <v>169.96</v>
      </c>
      <c r="D18" s="12">
        <v>0.03</v>
      </c>
      <c r="F18" s="445"/>
      <c r="G18" s="12">
        <v>190</v>
      </c>
      <c r="H18" s="12">
        <v>114</v>
      </c>
      <c r="I18" s="12">
        <v>-6.8000000000000005E-2</v>
      </c>
      <c r="J18" s="12">
        <v>6.0000000000000001E-3</v>
      </c>
      <c r="K18" s="12">
        <v>5.4062000000000001</v>
      </c>
      <c r="L18" s="12">
        <v>1.2999999999999999E-3</v>
      </c>
      <c r="M18" s="12">
        <v>5.9999999999999995E-4</v>
      </c>
      <c r="N18" s="12">
        <v>26.26</v>
      </c>
      <c r="O18" s="12">
        <f t="shared" si="2"/>
        <v>141.966812</v>
      </c>
      <c r="Q18" s="12">
        <f t="shared" si="0"/>
        <v>0</v>
      </c>
      <c r="R18" s="12">
        <f t="shared" si="1"/>
        <v>3.7417689000000008E-7</v>
      </c>
    </row>
    <row r="19" spans="1:21" x14ac:dyDescent="0.25">
      <c r="A19" s="12">
        <f>A17-A18</f>
        <v>0.15419999999999945</v>
      </c>
      <c r="B19" s="12">
        <f>SQRT((B17*B17)+(B18*B18))</f>
        <v>1.8384776310850235E-3</v>
      </c>
      <c r="C19" s="12">
        <f>-C17+C18</f>
        <v>3.5200000000000102</v>
      </c>
      <c r="D19" s="12">
        <f>SQRT((D17*D17)+(D18*D18))</f>
        <v>4.2426406871192854E-2</v>
      </c>
      <c r="F19" s="445"/>
      <c r="G19" s="14">
        <v>192</v>
      </c>
      <c r="H19" s="14">
        <v>116</v>
      </c>
      <c r="I19" s="14">
        <v>0</v>
      </c>
      <c r="J19" s="14">
        <v>0</v>
      </c>
      <c r="K19" s="14">
        <v>5.4126000000000003</v>
      </c>
      <c r="L19" s="14">
        <v>1.5E-3</v>
      </c>
      <c r="M19" s="14">
        <v>0</v>
      </c>
      <c r="N19" s="12">
        <v>40.78</v>
      </c>
      <c r="O19" s="12">
        <f t="shared" si="2"/>
        <v>220.72582800000001</v>
      </c>
      <c r="P19" s="19">
        <f>O20/N20</f>
        <v>5.4066525700000003</v>
      </c>
      <c r="Q19" s="12">
        <f>SQRT(SUM(Q12:Q17))</f>
        <v>2.7436184009442717E-4</v>
      </c>
      <c r="R19" s="12">
        <f>SQRT(SUM(R12:R18))</f>
        <v>7.4260496692386867E-4</v>
      </c>
    </row>
    <row r="20" spans="1:21" x14ac:dyDescent="0.25">
      <c r="A20" s="451" t="s">
        <v>163</v>
      </c>
      <c r="B20" s="452"/>
      <c r="C20" s="452"/>
      <c r="D20" s="452"/>
      <c r="F20" s="93"/>
      <c r="N20" s="12">
        <f>SUM(N13:N19)</f>
        <v>100</v>
      </c>
      <c r="O20" s="12">
        <f>SUM(O13:O19)</f>
        <v>540.665257</v>
      </c>
      <c r="P20" s="19" t="s">
        <v>64</v>
      </c>
      <c r="Q20" s="12" t="s">
        <v>65</v>
      </c>
      <c r="R20" s="12" t="s">
        <v>66</v>
      </c>
      <c r="S20" s="451" t="s">
        <v>169</v>
      </c>
      <c r="T20" s="452"/>
    </row>
    <row r="21" spans="1:21" ht="15.75" x14ac:dyDescent="0.25">
      <c r="A21" s="17">
        <v>7.657</v>
      </c>
      <c r="B21" s="17">
        <v>2E-3</v>
      </c>
      <c r="C21" s="12">
        <v>161.922</v>
      </c>
      <c r="D21" s="12">
        <v>4.2000000000000003E-2</v>
      </c>
      <c r="G21" s="14" t="s">
        <v>48</v>
      </c>
      <c r="H21" s="14" t="s">
        <v>49</v>
      </c>
      <c r="I21" s="14" t="s">
        <v>50</v>
      </c>
      <c r="J21" s="14" t="s">
        <v>51</v>
      </c>
      <c r="K21" s="14" t="s">
        <v>52</v>
      </c>
      <c r="L21" s="14" t="s">
        <v>53</v>
      </c>
      <c r="M21" s="14" t="s">
        <v>54</v>
      </c>
      <c r="N21" s="12" t="s">
        <v>55</v>
      </c>
      <c r="S21" s="12" t="s">
        <v>70</v>
      </c>
      <c r="T21" s="12" t="s">
        <v>71</v>
      </c>
    </row>
    <row r="22" spans="1:21" x14ac:dyDescent="0.25">
      <c r="A22" s="12">
        <v>7.4945000000000004</v>
      </c>
      <c r="B22" s="17">
        <v>2E-3</v>
      </c>
      <c r="C22" s="12">
        <v>165.43299999999999</v>
      </c>
      <c r="D22" s="12">
        <v>4.3999999999999997E-2</v>
      </c>
      <c r="E22" s="12">
        <v>77</v>
      </c>
      <c r="F22" s="445" t="s">
        <v>67</v>
      </c>
      <c r="G22" s="12">
        <v>182</v>
      </c>
      <c r="H22" s="12">
        <f>G22-$E$22</f>
        <v>105</v>
      </c>
      <c r="I22" s="12">
        <v>-0.28299999999999997</v>
      </c>
      <c r="J22" s="12">
        <v>6.0000000000000001E-3</v>
      </c>
      <c r="K22" s="12">
        <v>5.3704999999999998</v>
      </c>
      <c r="L22" s="12">
        <v>0.1061</v>
      </c>
      <c r="M22" s="12">
        <v>6.9999999999999999E-4</v>
      </c>
      <c r="N22" s="20">
        <v>0</v>
      </c>
      <c r="O22" s="12">
        <f>N22*K22</f>
        <v>0</v>
      </c>
      <c r="R22" s="22">
        <v>182</v>
      </c>
      <c r="S22" s="22">
        <f t="shared" ref="S22:S28" si="3">SQRT($S$30^2 +I22)</f>
        <v>5.4166997769727159</v>
      </c>
      <c r="T22" s="22">
        <f>SQRT(((1/2)*($S$30^2+I22)^(-1/2)*2*$S$30*$T$30)^(2)+((1/2)*($S$30^2+I22)^(-1/2)*J22)^(2))</f>
        <v>5.0611793629159477E-2</v>
      </c>
    </row>
    <row r="23" spans="1:21" x14ac:dyDescent="0.25">
      <c r="A23" s="17">
        <f>A21-A22</f>
        <v>0.16249999999999964</v>
      </c>
      <c r="B23" s="12">
        <f>SQRT((B21*B21)+(B22*B22))</f>
        <v>2.8284271247461901E-3</v>
      </c>
      <c r="C23" s="17">
        <f>-C21+C22</f>
        <v>3.5109999999999957</v>
      </c>
      <c r="D23" s="12">
        <f>SQRT((D21*D21)+(D22*D22))</f>
        <v>6.0827625302982198E-2</v>
      </c>
      <c r="F23" s="445"/>
      <c r="G23" s="12">
        <v>183</v>
      </c>
      <c r="H23" s="12">
        <f t="shared" ref="H23:H31" si="4">G23-$E$22</f>
        <v>106</v>
      </c>
      <c r="I23" s="12">
        <v>-0.20300000000000001</v>
      </c>
      <c r="J23" s="12">
        <v>5.0000000000000001E-3</v>
      </c>
      <c r="K23" s="17">
        <v>5.3780000000000001</v>
      </c>
      <c r="L23" s="12">
        <v>0.1061</v>
      </c>
      <c r="M23" s="12">
        <v>5.0000000000000001E-4</v>
      </c>
      <c r="N23" s="12">
        <v>0</v>
      </c>
      <c r="O23" s="12">
        <f t="shared" ref="O23:O31" si="5">N23*K23</f>
        <v>0</v>
      </c>
      <c r="R23" s="22">
        <v>183</v>
      </c>
      <c r="S23" s="22">
        <f t="shared" si="3"/>
        <v>5.4240793203875874</v>
      </c>
      <c r="T23" s="22">
        <f t="shared" ref="T23:T28" si="6">SQRT(((1/2)*($S$30^2+I23)^(-1/2)*2*$S$30*$T$30)^(2)+((1/2)*($S$30^2+I23)^(-1/2)*J23)^(2))</f>
        <v>5.054201081908985E-2</v>
      </c>
    </row>
    <row r="24" spans="1:21" x14ac:dyDescent="0.25">
      <c r="F24" s="445"/>
      <c r="G24" s="12">
        <v>184</v>
      </c>
      <c r="H24" s="12">
        <f t="shared" si="4"/>
        <v>107</v>
      </c>
      <c r="I24" s="12">
        <v>-0.17599999999999999</v>
      </c>
      <c r="J24" s="12">
        <v>3.0000000000000001E-3</v>
      </c>
      <c r="K24" s="12">
        <v>5.3804999999999996</v>
      </c>
      <c r="L24" s="12">
        <v>0.1061</v>
      </c>
      <c r="M24" s="12">
        <v>4.0000000000000002E-4</v>
      </c>
      <c r="N24" s="12">
        <v>0</v>
      </c>
      <c r="O24" s="12">
        <f t="shared" si="5"/>
        <v>0</v>
      </c>
      <c r="R24" s="22">
        <v>184</v>
      </c>
      <c r="S24" s="22">
        <f t="shared" si="3"/>
        <v>5.4265676512742633</v>
      </c>
      <c r="T24" s="22">
        <f t="shared" si="6"/>
        <v>5.0517490571392841E-2</v>
      </c>
    </row>
    <row r="25" spans="1:21" x14ac:dyDescent="0.25">
      <c r="F25" s="445"/>
      <c r="G25" s="12">
        <v>185</v>
      </c>
      <c r="H25" s="12">
        <f t="shared" si="4"/>
        <v>108</v>
      </c>
      <c r="I25" s="12">
        <v>-0.123</v>
      </c>
      <c r="J25" s="12">
        <v>3.0000000000000001E-3</v>
      </c>
      <c r="K25" s="12">
        <v>5.3853999999999997</v>
      </c>
      <c r="L25" s="12">
        <v>0.1061</v>
      </c>
      <c r="M25" s="12">
        <v>2.9999999999999997E-4</v>
      </c>
      <c r="N25" s="12">
        <v>0</v>
      </c>
      <c r="O25" s="12">
        <f t="shared" si="5"/>
        <v>0</v>
      </c>
      <c r="R25" s="22">
        <v>185</v>
      </c>
      <c r="S25" s="22">
        <f t="shared" si="3"/>
        <v>5.4314488374517778</v>
      </c>
      <c r="T25" s="22">
        <f t="shared" si="6"/>
        <v>5.047209103177102E-2</v>
      </c>
    </row>
    <row r="26" spans="1:21" x14ac:dyDescent="0.25">
      <c r="B26" s="16"/>
      <c r="C26" s="12">
        <f>SQRT(0.000025)</f>
        <v>5.0000000000000001E-3</v>
      </c>
      <c r="F26" s="445"/>
      <c r="G26" s="12">
        <v>186</v>
      </c>
      <c r="H26" s="12">
        <f t="shared" si="4"/>
        <v>109</v>
      </c>
      <c r="I26" s="12">
        <v>-7.2999999999999995E-2</v>
      </c>
      <c r="J26" s="12">
        <v>4.0000000000000001E-3</v>
      </c>
      <c r="K26" s="17">
        <v>5.39</v>
      </c>
      <c r="L26" s="12">
        <v>0.1061</v>
      </c>
      <c r="M26" s="12">
        <v>4.0000000000000002E-4</v>
      </c>
      <c r="N26" s="12">
        <v>0</v>
      </c>
      <c r="O26" s="12">
        <f t="shared" si="5"/>
        <v>0</v>
      </c>
      <c r="R26" s="22">
        <v>186</v>
      </c>
      <c r="S26" s="22">
        <f t="shared" si="3"/>
        <v>5.4360497122318767</v>
      </c>
      <c r="T26" s="22">
        <f t="shared" si="6"/>
        <v>5.0429960447651238E-2</v>
      </c>
    </row>
    <row r="27" spans="1:21" x14ac:dyDescent="0.25">
      <c r="A27" s="107" t="s">
        <v>165</v>
      </c>
      <c r="F27" s="445"/>
      <c r="G27" s="12">
        <v>187</v>
      </c>
      <c r="H27" s="12">
        <f t="shared" si="4"/>
        <v>110</v>
      </c>
      <c r="I27" s="12">
        <v>-0.16800000000000001</v>
      </c>
      <c r="J27" s="12">
        <v>3.0000000000000001E-3</v>
      </c>
      <c r="K27" s="12">
        <v>5.3811999999999998</v>
      </c>
      <c r="L27" s="12">
        <v>0.1061</v>
      </c>
      <c r="M27" s="12">
        <v>4.0000000000000002E-4</v>
      </c>
      <c r="N27" s="12">
        <v>0</v>
      </c>
      <c r="O27" s="12">
        <f t="shared" si="5"/>
        <v>0</v>
      </c>
      <c r="R27" s="22">
        <v>187</v>
      </c>
      <c r="S27" s="22">
        <f t="shared" si="3"/>
        <v>5.427304715404901</v>
      </c>
      <c r="T27" s="22">
        <f t="shared" si="6"/>
        <v>5.0510629959685471E-2</v>
      </c>
    </row>
    <row r="28" spans="1:21" x14ac:dyDescent="0.25">
      <c r="B28" s="12" t="s">
        <v>58</v>
      </c>
      <c r="C28" s="12" t="s">
        <v>59</v>
      </c>
      <c r="F28" s="445"/>
      <c r="G28" s="12">
        <v>188</v>
      </c>
      <c r="H28" s="12">
        <f t="shared" si="4"/>
        <v>111</v>
      </c>
      <c r="I28" s="15">
        <v>-0.14000000000000001</v>
      </c>
      <c r="J28" s="12">
        <v>4.0000000000000001E-3</v>
      </c>
      <c r="K28" s="12">
        <v>5.3837999999999999</v>
      </c>
      <c r="L28" s="12">
        <v>0.1061</v>
      </c>
      <c r="M28" s="12">
        <v>4.0000000000000001E-3</v>
      </c>
      <c r="N28" s="12">
        <v>0</v>
      </c>
      <c r="O28" s="12">
        <f t="shared" si="5"/>
        <v>0</v>
      </c>
      <c r="R28" s="22">
        <v>188</v>
      </c>
      <c r="S28" s="22">
        <f t="shared" si="3"/>
        <v>5.4298836519631131</v>
      </c>
      <c r="T28" s="22">
        <f t="shared" si="6"/>
        <v>5.0487227637042893E-2</v>
      </c>
    </row>
    <row r="29" spans="1:21" x14ac:dyDescent="0.25">
      <c r="A29" s="107" t="s">
        <v>164</v>
      </c>
      <c r="B29" s="191">
        <v>4.0120235167990716E-2</v>
      </c>
      <c r="C29" s="191">
        <v>5.0365698440762323E-2</v>
      </c>
      <c r="D29" s="12" t="s">
        <v>61</v>
      </c>
      <c r="F29" s="445"/>
      <c r="G29" s="12">
        <v>189</v>
      </c>
      <c r="H29" s="12">
        <f t="shared" si="4"/>
        <v>112</v>
      </c>
      <c r="I29" s="12">
        <v>-7.5999999999999998E-2</v>
      </c>
      <c r="J29" s="12">
        <v>2E-3</v>
      </c>
      <c r="K29" s="12">
        <v>5.3898000000000001</v>
      </c>
      <c r="L29" s="12">
        <v>0.1061</v>
      </c>
      <c r="M29" s="12">
        <v>2.0000000000000001E-4</v>
      </c>
      <c r="N29" s="12">
        <v>0</v>
      </c>
      <c r="O29" s="12">
        <f t="shared" si="5"/>
        <v>0</v>
      </c>
      <c r="R29" s="22">
        <v>189</v>
      </c>
      <c r="S29" s="22">
        <f>SQRT($S$30^2 +I29)</f>
        <v>5.4357737695618153</v>
      </c>
      <c r="T29" s="22">
        <f>SQRT(((1/2)*($S$30^2+I29)^(-1/2)*2*$S$30*$T$30)^(2)+((1/2)*($S$30^2+I29)^(-1/2)*J29)^(2))</f>
        <v>5.0431513871748615E-2</v>
      </c>
    </row>
    <row r="30" spans="1:21" x14ac:dyDescent="0.25">
      <c r="B30" s="17"/>
      <c r="F30" s="445"/>
      <c r="G30" s="12">
        <v>191</v>
      </c>
      <c r="H30" s="12">
        <f t="shared" si="4"/>
        <v>114</v>
      </c>
      <c r="I30" s="12">
        <v>0</v>
      </c>
      <c r="J30" s="12">
        <v>0</v>
      </c>
      <c r="K30" s="12">
        <v>5.3967999999999998</v>
      </c>
      <c r="L30" s="12">
        <v>0.1061</v>
      </c>
      <c r="M30" s="12">
        <v>0</v>
      </c>
      <c r="N30" s="12">
        <v>37.299999999999997</v>
      </c>
      <c r="O30" s="12">
        <f t="shared" si="5"/>
        <v>201.30063999999999</v>
      </c>
      <c r="Q30" s="12">
        <f>K30-P32</f>
        <v>-4.0127999999999275E-3</v>
      </c>
      <c r="R30" s="22">
        <v>191</v>
      </c>
      <c r="S30" s="22">
        <f>Q30+R32</f>
        <v>5.4427600051679912</v>
      </c>
      <c r="T30" s="22">
        <f>SQRT(Q19^2 +C29^2)</f>
        <v>5.0366445713839171E-2</v>
      </c>
      <c r="U30" s="12">
        <f>SQRT(R19^2 + C29^2)</f>
        <v>5.037117272371875E-2</v>
      </c>
    </row>
    <row r="31" spans="1:21" x14ac:dyDescent="0.25">
      <c r="B31" s="17"/>
      <c r="F31" s="445"/>
      <c r="G31" s="14">
        <v>193</v>
      </c>
      <c r="H31" s="14">
        <f t="shared" si="4"/>
        <v>116</v>
      </c>
      <c r="I31" s="14">
        <v>6.9099999999999995E-2</v>
      </c>
      <c r="J31" s="14">
        <v>1E-3</v>
      </c>
      <c r="K31" s="14">
        <v>5.4032</v>
      </c>
      <c r="L31" s="14">
        <v>0.1061</v>
      </c>
      <c r="M31" s="14">
        <v>1E-4</v>
      </c>
      <c r="N31" s="12">
        <v>62.7</v>
      </c>
      <c r="O31" s="12">
        <f t="shared" si="5"/>
        <v>338.78064000000001</v>
      </c>
      <c r="Q31" s="12">
        <f>K31-P32</f>
        <v>2.3872000000002558E-3</v>
      </c>
      <c r="R31" s="22">
        <v>193</v>
      </c>
      <c r="S31" s="22">
        <f>SQRT(S30^2 +I31)</f>
        <v>5.4491041900349337</v>
      </c>
      <c r="T31" s="22">
        <f>SQRT(((1/2)*(S30^2+I31)^(-1/2)*2*S30*T30)^(2)+((1/2)*(S30^2+I31)^(-1/2)*J31)^(2))</f>
        <v>5.0307889656176261E-2</v>
      </c>
    </row>
    <row r="32" spans="1:21" x14ac:dyDescent="0.25">
      <c r="A32" s="107" t="s">
        <v>166</v>
      </c>
      <c r="B32" s="17"/>
      <c r="N32" s="12">
        <f>SUM(N22:N31)</f>
        <v>100</v>
      </c>
      <c r="O32" s="12">
        <f>SUM(O22:O31)</f>
        <v>540.08127999999999</v>
      </c>
      <c r="P32" s="19">
        <f>O32/N32</f>
        <v>5.4008127999999997</v>
      </c>
      <c r="R32" s="12">
        <f>P19+B29</f>
        <v>5.4467728051679911</v>
      </c>
      <c r="T32" s="12">
        <f>(2*S30*T30+J31)/(2*S30)</f>
        <v>5.0458310870400411E-2</v>
      </c>
    </row>
    <row r="33" spans="1:24" ht="15.75" x14ac:dyDescent="0.25">
      <c r="B33" s="17" t="s">
        <v>58</v>
      </c>
      <c r="C33" s="12" t="s">
        <v>59</v>
      </c>
      <c r="G33" s="14" t="s">
        <v>48</v>
      </c>
      <c r="H33" s="14" t="s">
        <v>49</v>
      </c>
      <c r="I33" s="14" t="s">
        <v>50</v>
      </c>
      <c r="J33" s="14" t="s">
        <v>51</v>
      </c>
      <c r="K33" s="14" t="s">
        <v>52</v>
      </c>
      <c r="L33" s="14" t="s">
        <v>53</v>
      </c>
      <c r="M33" s="14" t="s">
        <v>54</v>
      </c>
      <c r="P33" s="19" t="s">
        <v>64</v>
      </c>
      <c r="R33" s="12" t="s">
        <v>72</v>
      </c>
    </row>
    <row r="34" spans="1:24" x14ac:dyDescent="0.25">
      <c r="A34" s="107" t="s">
        <v>164</v>
      </c>
      <c r="B34" s="17">
        <f>I4*(L8-C23)/F3</f>
        <v>1.4114701889741281E-2</v>
      </c>
      <c r="C34" s="122">
        <f>SQRT(0.000025 + 7.21*(10^(-8))*(M8*I4)^2)</f>
        <v>8.1983468486574E-3</v>
      </c>
      <c r="D34" s="12" t="s">
        <v>61</v>
      </c>
      <c r="E34" s="12">
        <v>74</v>
      </c>
      <c r="F34" s="445" t="s">
        <v>73</v>
      </c>
      <c r="G34" s="12">
        <v>180</v>
      </c>
      <c r="H34" s="12">
        <f>G34-$E$34</f>
        <v>106</v>
      </c>
      <c r="I34" s="12">
        <v>-0.16800000000000001</v>
      </c>
      <c r="J34" s="12">
        <v>6.0000000000000001E-3</v>
      </c>
      <c r="K34" s="12">
        <v>5.3491</v>
      </c>
      <c r="L34" s="12">
        <v>2.2000000000000001E-3</v>
      </c>
      <c r="M34" s="12">
        <v>1.6999999999999999E-3</v>
      </c>
      <c r="T34" s="12">
        <f>SQRT((1/(2*S31^2))*((2*S30*T30)^2 + (J31)^2))</f>
        <v>7.1146099846133612E-2</v>
      </c>
    </row>
    <row r="35" spans="1:24" x14ac:dyDescent="0.25">
      <c r="F35" s="445"/>
      <c r="G35" s="12">
        <v>182</v>
      </c>
      <c r="H35" s="12">
        <f t="shared" ref="H35:H38" si="7">G35-$E$34</f>
        <v>108</v>
      </c>
      <c r="I35" s="12">
        <v>-9.9000000000000005E-2</v>
      </c>
      <c r="J35" s="12">
        <v>5.0000000000000001E-3</v>
      </c>
      <c r="K35" s="12">
        <v>5.3559000000000001</v>
      </c>
      <c r="L35" s="12">
        <v>1.6999999999999999E-3</v>
      </c>
      <c r="M35" s="17">
        <v>1E-3</v>
      </c>
      <c r="O35" s="12">
        <f>K31-K30</f>
        <v>6.4000000000001833E-3</v>
      </c>
      <c r="P35" s="12">
        <f>K30^2 - K31^2</f>
        <v>-6.9120000000001625E-2</v>
      </c>
      <c r="S35" s="12">
        <f>Q31+R32</f>
        <v>5.4491600051679914</v>
      </c>
    </row>
    <row r="36" spans="1:24" x14ac:dyDescent="0.25">
      <c r="F36" s="445"/>
      <c r="G36" s="12">
        <v>183</v>
      </c>
      <c r="H36" s="12">
        <f t="shared" si="7"/>
        <v>109</v>
      </c>
      <c r="I36" s="12">
        <v>-4.7E-2</v>
      </c>
      <c r="J36" s="12">
        <v>6.0000000000000001E-3</v>
      </c>
      <c r="K36" s="12">
        <v>5.3611000000000004</v>
      </c>
      <c r="L36" s="17">
        <v>2E-3</v>
      </c>
      <c r="M36" s="12">
        <v>6.9999999999999999E-4</v>
      </c>
      <c r="O36" s="23">
        <v>6.9099999999999995E-2</v>
      </c>
    </row>
    <row r="37" spans="1:24" x14ac:dyDescent="0.25">
      <c r="F37" s="445"/>
      <c r="G37" s="12">
        <v>184</v>
      </c>
      <c r="H37" s="12">
        <f t="shared" si="7"/>
        <v>110</v>
      </c>
      <c r="I37" s="12">
        <v>0</v>
      </c>
      <c r="J37" s="12">
        <v>0</v>
      </c>
      <c r="K37" s="12">
        <v>5.3658000000000001</v>
      </c>
      <c r="L37" s="12">
        <v>2.3E-3</v>
      </c>
      <c r="M37" s="12">
        <v>0</v>
      </c>
    </row>
    <row r="38" spans="1:24" x14ac:dyDescent="0.25">
      <c r="B38" s="191">
        <v>4.0120235167990716E-2</v>
      </c>
      <c r="C38" s="12">
        <v>8.7593103816570438E-3</v>
      </c>
      <c r="D38" s="191">
        <v>5.0365698440762323E-2</v>
      </c>
      <c r="F38" s="445"/>
      <c r="G38" s="14">
        <v>186</v>
      </c>
      <c r="H38" s="14">
        <f t="shared" si="7"/>
        <v>112</v>
      </c>
      <c r="I38" s="14">
        <v>8.5999999999999993E-2</v>
      </c>
      <c r="J38" s="14">
        <v>4.0000000000000001E-3</v>
      </c>
      <c r="K38" s="14">
        <v>5.3742999999999999</v>
      </c>
      <c r="L38" s="14">
        <v>2.5999999999999999E-3</v>
      </c>
      <c r="M38" s="14">
        <v>8.9999999999999998E-4</v>
      </c>
    </row>
    <row r="39" spans="1:24" x14ac:dyDescent="0.25">
      <c r="B39" s="12">
        <v>3.7057904575405198E-2</v>
      </c>
      <c r="C39" s="12">
        <v>5.0000000648899997E-3</v>
      </c>
      <c r="F39" s="93"/>
      <c r="S39" s="451" t="s">
        <v>170</v>
      </c>
      <c r="T39" s="452"/>
    </row>
    <row r="40" spans="1:24" ht="15.75" x14ac:dyDescent="0.25">
      <c r="G40" s="14" t="s">
        <v>48</v>
      </c>
      <c r="H40" s="14" t="s">
        <v>49</v>
      </c>
      <c r="I40" s="14" t="s">
        <v>50</v>
      </c>
      <c r="J40" s="14" t="s">
        <v>51</v>
      </c>
      <c r="K40" s="14" t="s">
        <v>52</v>
      </c>
      <c r="L40" s="14" t="s">
        <v>53</v>
      </c>
      <c r="M40" s="14" t="s">
        <v>54</v>
      </c>
      <c r="S40" s="12" t="s">
        <v>70</v>
      </c>
      <c r="T40" s="12" t="s">
        <v>71</v>
      </c>
    </row>
    <row r="41" spans="1:24" x14ac:dyDescent="0.25">
      <c r="B41" s="191">
        <v>4.0120235167990716E-2</v>
      </c>
      <c r="C41" s="191">
        <v>5.0365698440762323E-2</v>
      </c>
      <c r="E41" s="12">
        <v>75</v>
      </c>
      <c r="F41" s="445" t="s">
        <v>74</v>
      </c>
      <c r="G41" s="12">
        <v>185</v>
      </c>
      <c r="H41" s="12">
        <f>G41-$E$41</f>
        <v>110</v>
      </c>
      <c r="I41" s="12">
        <v>0</v>
      </c>
      <c r="J41" s="12">
        <v>0</v>
      </c>
      <c r="K41" s="12">
        <v>5.3596000000000004</v>
      </c>
      <c r="L41" s="12">
        <v>1.72E-2</v>
      </c>
      <c r="M41" s="12">
        <v>0</v>
      </c>
      <c r="R41" s="22">
        <v>182</v>
      </c>
      <c r="S41" s="22">
        <f>SQRT($S$49^2 +I22)</f>
        <v>5.3905685237029974</v>
      </c>
      <c r="T41" s="22">
        <f>SQRT(((1/2)*($S$49^2+I22)^(-1/2)*2*$S$49*$T$49)^(2)+((1/2)*($S$49^2+I22)^(-1/2)*J22)^(2))</f>
        <v>8.261550233889324E-3</v>
      </c>
    </row>
    <row r="42" spans="1:24" x14ac:dyDescent="0.25">
      <c r="F42" s="445"/>
      <c r="G42" s="14">
        <v>187</v>
      </c>
      <c r="H42" s="14">
        <f>G42-$E$41</f>
        <v>112</v>
      </c>
      <c r="I42" s="24">
        <v>0.11</v>
      </c>
      <c r="J42" s="24">
        <v>0.01</v>
      </c>
      <c r="K42" s="14">
        <v>5.3697999999999997</v>
      </c>
      <c r="L42" s="14">
        <v>1.7299999999999999E-2</v>
      </c>
      <c r="M42" s="14">
        <v>8.9999999999999998E-4</v>
      </c>
      <c r="R42" s="22">
        <v>183</v>
      </c>
      <c r="S42" s="22">
        <f>SQRT($S$49^2 +I23)</f>
        <v>5.397983791077694</v>
      </c>
      <c r="T42" s="22">
        <f t="shared" ref="T42:T48" si="8">SQRT(((1/2)*($S$49^2+I23)^(-1/2)*2*$S$49*$T$49)^(2)+((1/2)*($S$49^2+I23)^(-1/2)*J23)^(2))</f>
        <v>8.2444795478826514E-3</v>
      </c>
    </row>
    <row r="43" spans="1:24" x14ac:dyDescent="0.25">
      <c r="F43" s="93"/>
      <c r="I43" s="15"/>
      <c r="J43" s="15"/>
      <c r="R43" s="22">
        <v>184</v>
      </c>
      <c r="S43" s="22">
        <f t="shared" ref="S43:S48" si="9">SQRT($S$49^2 +I24)</f>
        <v>5.4004841457722579</v>
      </c>
      <c r="T43" s="22">
        <f t="shared" si="8"/>
        <v>8.2323367375598169E-3</v>
      </c>
      <c r="V43" s="102"/>
    </row>
    <row r="44" spans="1:24" ht="15.75" x14ac:dyDescent="0.25">
      <c r="G44" s="14" t="s">
        <v>48</v>
      </c>
      <c r="H44" s="14" t="s">
        <v>49</v>
      </c>
      <c r="I44" s="14" t="s">
        <v>50</v>
      </c>
      <c r="J44" s="14" t="s">
        <v>51</v>
      </c>
      <c r="K44" s="14" t="s">
        <v>52</v>
      </c>
      <c r="L44" s="14" t="s">
        <v>53</v>
      </c>
      <c r="M44" s="14" t="s">
        <v>54</v>
      </c>
      <c r="O44" s="102"/>
      <c r="P44" s="102"/>
      <c r="R44" s="22">
        <v>185</v>
      </c>
      <c r="S44" s="22">
        <f t="shared" si="9"/>
        <v>5.4053888859856798</v>
      </c>
      <c r="T44" s="22">
        <f t="shared" si="8"/>
        <v>8.2248668822175255E-3</v>
      </c>
      <c r="V44" s="102"/>
      <c r="W44" s="102"/>
      <c r="X44" s="102"/>
    </row>
    <row r="45" spans="1:24" ht="15.75" customHeight="1" x14ac:dyDescent="0.25">
      <c r="E45" s="12">
        <v>78</v>
      </c>
      <c r="F45" s="445" t="s">
        <v>75</v>
      </c>
      <c r="G45" s="12">
        <v>183</v>
      </c>
      <c r="H45" s="12">
        <f>G45-$E$45</f>
        <v>105</v>
      </c>
      <c r="I45" s="12">
        <v>-0.19600000000000001</v>
      </c>
      <c r="J45" s="15">
        <v>0.02</v>
      </c>
      <c r="K45" s="12">
        <v>5.4038000000000004</v>
      </c>
      <c r="L45" s="12">
        <v>3.5999999999999999E-3</v>
      </c>
      <c r="M45" s="12">
        <v>1.9E-3</v>
      </c>
      <c r="O45" s="102"/>
      <c r="P45" s="102"/>
      <c r="R45" s="22">
        <v>186</v>
      </c>
      <c r="S45" s="22">
        <f t="shared" si="9"/>
        <v>5.4100119231603836</v>
      </c>
      <c r="T45" s="22">
        <f t="shared" si="8"/>
        <v>8.2214755791569574E-3</v>
      </c>
      <c r="V45" s="102"/>
      <c r="W45" s="102"/>
      <c r="X45" s="102"/>
    </row>
    <row r="46" spans="1:24" ht="15.75" customHeight="1" x14ac:dyDescent="0.25">
      <c r="F46" s="445"/>
      <c r="G46" s="12">
        <v>184</v>
      </c>
      <c r="H46" s="12">
        <f t="shared" ref="H46:H56" si="10">G46-$E$45</f>
        <v>106</v>
      </c>
      <c r="I46" s="15">
        <v>-0.24</v>
      </c>
      <c r="J46" s="12">
        <v>1.7999999999999999E-2</v>
      </c>
      <c r="K46" s="12">
        <v>5.4015000000000004</v>
      </c>
      <c r="L46" s="12">
        <v>3.5999999999999999E-3</v>
      </c>
      <c r="M46" s="12">
        <v>1.6999999999999999E-3</v>
      </c>
      <c r="O46" s="102"/>
      <c r="P46" s="102"/>
      <c r="R46" s="22">
        <v>187</v>
      </c>
      <c r="S46" s="22">
        <f t="shared" si="9"/>
        <v>5.4012247693220017</v>
      </c>
      <c r="T46" s="22">
        <f t="shared" si="8"/>
        <v>8.2312079079484499E-3</v>
      </c>
      <c r="V46" s="102"/>
      <c r="W46" s="102"/>
      <c r="X46" s="102"/>
    </row>
    <row r="47" spans="1:24" ht="15.75" customHeight="1" x14ac:dyDescent="0.25">
      <c r="F47" s="445"/>
      <c r="G47" s="12">
        <v>185</v>
      </c>
      <c r="H47" s="12">
        <f t="shared" si="10"/>
        <v>107</v>
      </c>
      <c r="I47" s="15">
        <v>-0.09</v>
      </c>
      <c r="J47" s="12">
        <v>5.0000000000000001E-3</v>
      </c>
      <c r="K47" s="12">
        <v>5.4147999999999996</v>
      </c>
      <c r="L47" s="12">
        <v>2.8E-3</v>
      </c>
      <c r="M47" s="12">
        <v>5.0000000000000001E-4</v>
      </c>
      <c r="O47" s="102"/>
      <c r="P47" s="102"/>
      <c r="R47" s="22">
        <v>188</v>
      </c>
      <c r="S47" s="22">
        <f t="shared" si="9"/>
        <v>5.4038161523813439</v>
      </c>
      <c r="T47" s="22">
        <f t="shared" si="8"/>
        <v>8.2309019505799556E-3</v>
      </c>
      <c r="V47" s="102"/>
      <c r="W47" s="102"/>
      <c r="X47" s="102"/>
    </row>
    <row r="48" spans="1:24" ht="15.75" customHeight="1" x14ac:dyDescent="0.25">
      <c r="F48" s="445"/>
      <c r="G48" s="12">
        <v>186</v>
      </c>
      <c r="H48" s="12">
        <f t="shared" si="10"/>
        <v>108</v>
      </c>
      <c r="I48" s="12">
        <v>-0.21299999999999999</v>
      </c>
      <c r="J48" s="12">
        <v>4.0000000000000001E-3</v>
      </c>
      <c r="K48" s="12">
        <v>5.4036999999999997</v>
      </c>
      <c r="L48" s="12">
        <v>3.5999999999999999E-3</v>
      </c>
      <c r="M48" s="12">
        <v>4.0000000000000002E-4</v>
      </c>
      <c r="O48" s="102"/>
      <c r="P48" s="102"/>
      <c r="R48" s="22">
        <v>189</v>
      </c>
      <c r="S48" s="22">
        <f t="shared" si="9"/>
        <v>5.4097346523408625</v>
      </c>
      <c r="T48" s="22">
        <f t="shared" si="8"/>
        <v>8.2156605906843743E-3</v>
      </c>
      <c r="V48" s="102"/>
      <c r="W48" s="102"/>
      <c r="X48" s="102"/>
    </row>
    <row r="49" spans="5:24" ht="15.75" customHeight="1" x14ac:dyDescent="0.25">
      <c r="F49" s="445"/>
      <c r="G49" s="12">
        <v>187</v>
      </c>
      <c r="H49" s="12">
        <f t="shared" si="10"/>
        <v>109</v>
      </c>
      <c r="I49" s="12">
        <v>-0.188</v>
      </c>
      <c r="J49" s="12">
        <v>4.0000000000000001E-3</v>
      </c>
      <c r="K49" s="12">
        <v>5.4062999999999999</v>
      </c>
      <c r="L49" s="12">
        <v>3.7000000000000002E-3</v>
      </c>
      <c r="M49" s="12">
        <v>4.0000000000000002E-4</v>
      </c>
      <c r="O49" s="102"/>
      <c r="P49" s="102"/>
      <c r="Q49" s="12">
        <f>Q30</f>
        <v>-4.0127999999999275E-3</v>
      </c>
      <c r="R49" s="22">
        <v>191</v>
      </c>
      <c r="S49" s="277">
        <f>Q49+R51</f>
        <v>5.4167544718897416</v>
      </c>
      <c r="T49" s="22">
        <f>SQRT((Q19^2)+(C34^2))</f>
        <v>8.2029363931576792E-3</v>
      </c>
      <c r="U49" s="12">
        <f>SQRT(R19^2 +C34^2)</f>
        <v>8.2319106644685308E-3</v>
      </c>
      <c r="V49" s="102"/>
      <c r="W49" s="102"/>
      <c r="X49" s="102"/>
    </row>
    <row r="50" spans="5:24" ht="15.75" customHeight="1" x14ac:dyDescent="0.25">
      <c r="F50" s="445"/>
      <c r="G50" s="12">
        <v>188</v>
      </c>
      <c r="H50" s="12">
        <f t="shared" si="10"/>
        <v>110</v>
      </c>
      <c r="I50" s="12">
        <v>-0.193</v>
      </c>
      <c r="J50" s="12">
        <v>3.0000000000000001E-3</v>
      </c>
      <c r="K50" s="12">
        <v>5.4053000000000004</v>
      </c>
      <c r="L50" s="12">
        <v>3.3999999999999998E-3</v>
      </c>
      <c r="M50" s="12">
        <v>2.9999999999999997E-4</v>
      </c>
      <c r="O50" s="102"/>
      <c r="P50" s="102"/>
      <c r="Q50" s="12">
        <f>Q31</f>
        <v>2.3872000000002558E-3</v>
      </c>
      <c r="R50" s="22">
        <v>193</v>
      </c>
      <c r="S50" s="22">
        <f>SQRT(S49^2 +I31)</f>
        <v>5.4231290791145215</v>
      </c>
      <c r="T50" s="22">
        <f>SQRT(((1/2)*($S$49^2+I31)^(-1/2)*2*$S$49*$T$49)^(2)+((1/2)*($S$49^2+I31)^(-1/2)*J31)^(2))</f>
        <v>8.1938129922516662E-3</v>
      </c>
      <c r="V50" s="102"/>
      <c r="W50" s="102"/>
      <c r="X50" s="102"/>
    </row>
    <row r="51" spans="5:24" ht="15.75" customHeight="1" x14ac:dyDescent="0.25">
      <c r="F51" s="445"/>
      <c r="G51" s="12">
        <v>189</v>
      </c>
      <c r="H51" s="12">
        <f t="shared" si="10"/>
        <v>111</v>
      </c>
      <c r="I51" s="12">
        <v>-0.187</v>
      </c>
      <c r="J51" s="12">
        <v>5.0000000000000001E-3</v>
      </c>
      <c r="K51" s="17">
        <v>5.4059999999999997</v>
      </c>
      <c r="L51" s="12">
        <v>3.5000000000000001E-3</v>
      </c>
      <c r="M51" s="12">
        <v>5.0000000000000001E-4</v>
      </c>
      <c r="O51" s="102"/>
      <c r="P51" s="102"/>
      <c r="R51" s="17">
        <f>P19+B34</f>
        <v>5.4207672718897415</v>
      </c>
      <c r="T51" s="12">
        <f>(2*S49*T49+J50)/(2*S49)</f>
        <v>8.4798549811764372E-3</v>
      </c>
      <c r="V51" s="102"/>
      <c r="W51" s="102"/>
      <c r="X51" s="102"/>
    </row>
    <row r="52" spans="5:24" ht="15.75" customHeight="1" x14ac:dyDescent="0.25">
      <c r="F52" s="445"/>
      <c r="G52" s="12">
        <v>190</v>
      </c>
      <c r="H52" s="12">
        <f t="shared" si="10"/>
        <v>112</v>
      </c>
      <c r="I52" s="12">
        <v>-0.13700000000000001</v>
      </c>
      <c r="J52" s="12">
        <v>2E-3</v>
      </c>
      <c r="K52" s="12">
        <v>5.4108000000000001</v>
      </c>
      <c r="L52" s="17">
        <v>3.0000000000000001E-3</v>
      </c>
      <c r="M52" s="12">
        <v>2.0000000000000001E-4</v>
      </c>
      <c r="O52" s="102"/>
      <c r="P52" s="102"/>
      <c r="R52" s="12" t="s">
        <v>72</v>
      </c>
      <c r="V52" s="102"/>
      <c r="W52" s="102"/>
      <c r="X52" s="102"/>
    </row>
    <row r="53" spans="5:24" ht="15.75" customHeight="1" x14ac:dyDescent="0.25">
      <c r="F53" s="445"/>
      <c r="G53" s="12">
        <v>191</v>
      </c>
      <c r="H53" s="12">
        <f t="shared" si="10"/>
        <v>113</v>
      </c>
      <c r="I53" s="12">
        <v>-0.14199999999999999</v>
      </c>
      <c r="J53" s="12">
        <v>4.0000000000000001E-3</v>
      </c>
      <c r="K53" s="12">
        <v>5.4101999999999997</v>
      </c>
      <c r="L53" s="12">
        <v>3.0999999999999999E-3</v>
      </c>
      <c r="M53" s="12">
        <v>4.0000000000000002E-4</v>
      </c>
      <c r="O53" s="102"/>
      <c r="P53" s="102"/>
      <c r="T53" s="12">
        <f>SQRT((1/(2*S50^2))*((2*S49*T49)^2 + (J50)^2))</f>
        <v>1.1593668502375427E-2</v>
      </c>
      <c r="V53" s="102"/>
      <c r="W53" s="102"/>
      <c r="X53" s="102"/>
    </row>
    <row r="54" spans="5:24" ht="15.75" customHeight="1" x14ac:dyDescent="0.25">
      <c r="F54" s="445"/>
      <c r="G54" s="12">
        <v>192</v>
      </c>
      <c r="H54" s="12">
        <f t="shared" si="10"/>
        <v>114</v>
      </c>
      <c r="I54" s="12">
        <v>-7.2999999999999995E-2</v>
      </c>
      <c r="J54" s="12">
        <v>2E-3</v>
      </c>
      <c r="K54" s="12">
        <v>5.4169</v>
      </c>
      <c r="L54" s="12">
        <v>2.8E-3</v>
      </c>
      <c r="M54" s="12">
        <v>2.0000000000000001E-4</v>
      </c>
      <c r="O54" s="102"/>
      <c r="P54" s="102"/>
      <c r="S54" s="12">
        <f>Q50+R51</f>
        <v>5.4231544718897418</v>
      </c>
      <c r="V54" s="102"/>
      <c r="W54" s="102"/>
      <c r="X54" s="102"/>
    </row>
    <row r="55" spans="5:24" ht="15.75" customHeight="1" x14ac:dyDescent="0.25">
      <c r="F55" s="445"/>
      <c r="G55" s="12">
        <v>193</v>
      </c>
      <c r="H55" s="12">
        <f t="shared" si="10"/>
        <v>115</v>
      </c>
      <c r="I55" s="12">
        <v>-4.7E-2</v>
      </c>
      <c r="J55" s="12">
        <v>6.0000000000000001E-3</v>
      </c>
      <c r="K55" s="12">
        <v>5.4191000000000003</v>
      </c>
      <c r="L55" s="12">
        <v>2.7000000000000001E-3</v>
      </c>
      <c r="M55" s="12">
        <v>5.9999999999999995E-4</v>
      </c>
      <c r="O55" s="102"/>
      <c r="P55" s="102"/>
      <c r="V55" s="102"/>
      <c r="W55" s="102"/>
      <c r="X55" s="102"/>
    </row>
    <row r="56" spans="5:24" ht="15.75" customHeight="1" x14ac:dyDescent="0.25">
      <c r="F56" s="445"/>
      <c r="G56" s="14">
        <v>194</v>
      </c>
      <c r="H56" s="14">
        <f t="shared" si="10"/>
        <v>116</v>
      </c>
      <c r="I56" s="14">
        <v>0</v>
      </c>
      <c r="J56" s="14">
        <v>0</v>
      </c>
      <c r="K56" s="14">
        <v>5.4236000000000004</v>
      </c>
      <c r="L56" s="14">
        <v>2.5000000000000001E-3</v>
      </c>
      <c r="M56" s="14">
        <v>0</v>
      </c>
      <c r="O56" s="102"/>
      <c r="P56" s="102"/>
      <c r="Q56" s="102"/>
      <c r="R56" s="102"/>
      <c r="S56" s="102"/>
      <c r="T56" s="102"/>
      <c r="U56" s="102"/>
      <c r="V56" s="102"/>
      <c r="W56" s="102"/>
      <c r="X56" s="102"/>
    </row>
    <row r="57" spans="5:24" ht="15.75" customHeight="1" x14ac:dyDescent="0.25">
      <c r="O57" s="102"/>
      <c r="P57" s="102"/>
      <c r="Q57" s="102"/>
      <c r="R57" s="102"/>
      <c r="S57" s="102"/>
      <c r="T57" s="102"/>
      <c r="U57" s="102"/>
      <c r="V57" s="102"/>
      <c r="W57" s="102"/>
      <c r="X57" s="102"/>
    </row>
    <row r="59" spans="5:24" x14ac:dyDescent="0.25">
      <c r="F59" s="243" t="s">
        <v>246</v>
      </c>
    </row>
    <row r="60" spans="5:24" x14ac:dyDescent="0.25">
      <c r="F60" s="12" t="s">
        <v>70</v>
      </c>
      <c r="G60" s="12" t="s">
        <v>71</v>
      </c>
      <c r="L60" s="243" t="s">
        <v>247</v>
      </c>
    </row>
    <row r="61" spans="5:24" x14ac:dyDescent="0.25">
      <c r="E61" s="12">
        <v>182</v>
      </c>
      <c r="F61" s="12">
        <v>5.4136227048789687</v>
      </c>
      <c r="G61" s="12">
        <v>5.0620647862469293E-3</v>
      </c>
      <c r="L61" s="12" t="s">
        <v>70</v>
      </c>
      <c r="M61" s="12" t="s">
        <v>71</v>
      </c>
    </row>
    <row r="62" spans="5:24" x14ac:dyDescent="0.25">
      <c r="E62" s="12">
        <v>183</v>
      </c>
      <c r="F62" s="12">
        <v>5.4210064370724629</v>
      </c>
      <c r="G62" s="12">
        <v>5.0459058115237942E-3</v>
      </c>
      <c r="K62" s="12">
        <v>182</v>
      </c>
      <c r="L62" s="12">
        <v>5.4166997769727159</v>
      </c>
      <c r="M62" s="12">
        <v>8.8231685502992516E-3</v>
      </c>
    </row>
    <row r="63" spans="5:24" x14ac:dyDescent="0.25">
      <c r="E63" s="12">
        <v>184</v>
      </c>
      <c r="F63" s="12">
        <v>5.423496177815661</v>
      </c>
      <c r="G63" s="12">
        <v>5.0300900493071626E-3</v>
      </c>
      <c r="K63" s="12">
        <v>183</v>
      </c>
      <c r="L63" s="12">
        <v>5.4240793203875874</v>
      </c>
      <c r="M63" s="12">
        <v>8.8058587275287124E-3</v>
      </c>
    </row>
    <row r="64" spans="5:24" x14ac:dyDescent="0.25">
      <c r="E64" s="12">
        <v>185</v>
      </c>
      <c r="F64" s="12">
        <v>5.428380125855325</v>
      </c>
      <c r="G64" s="12">
        <v>5.0255644453763258E-3</v>
      </c>
      <c r="K64" s="12">
        <v>184</v>
      </c>
      <c r="L64" s="12">
        <v>5.4265676512742633</v>
      </c>
      <c r="M64" s="12">
        <v>8.7941011878553462E-3</v>
      </c>
    </row>
    <row r="65" spans="4:14" x14ac:dyDescent="0.25">
      <c r="E65" s="12">
        <v>186</v>
      </c>
      <c r="F65" s="12">
        <v>5.4329835993476987</v>
      </c>
      <c r="G65" s="12">
        <v>5.0272062876426772E-3</v>
      </c>
      <c r="K65" s="12">
        <v>185</v>
      </c>
      <c r="L65" s="12">
        <v>5.4314488374517778</v>
      </c>
      <c r="M65" s="12">
        <v>8.7861980212332429E-3</v>
      </c>
    </row>
    <row r="66" spans="4:14" x14ac:dyDescent="0.25">
      <c r="E66" s="12">
        <v>187</v>
      </c>
      <c r="F66" s="12">
        <v>5.4242336593090341</v>
      </c>
      <c r="G66" s="12">
        <v>5.0294061557741099E-3</v>
      </c>
      <c r="K66" s="12">
        <v>186</v>
      </c>
      <c r="L66" s="12">
        <v>5.4360497122318767</v>
      </c>
      <c r="M66" s="12">
        <v>8.7821339898988254E-3</v>
      </c>
    </row>
    <row r="67" spans="4:14" x14ac:dyDescent="0.25">
      <c r="E67" s="12">
        <v>188</v>
      </c>
      <c r="F67" s="12">
        <v>5.4268140552981059</v>
      </c>
      <c r="G67" s="12">
        <v>5.0329215324109635E-3</v>
      </c>
      <c r="K67" s="12">
        <v>187</v>
      </c>
      <c r="L67" s="12">
        <v>5.427304715404901</v>
      </c>
      <c r="M67" s="12">
        <v>8.7929068903381345E-3</v>
      </c>
    </row>
    <row r="68" spans="4:14" x14ac:dyDescent="0.25">
      <c r="E68" s="12">
        <v>189</v>
      </c>
      <c r="F68" s="12">
        <v>5.432707500941043</v>
      </c>
      <c r="G68" s="12">
        <v>5.0173425557853302E-3</v>
      </c>
      <c r="K68" s="12">
        <v>188</v>
      </c>
      <c r="L68" s="12">
        <v>5.4298836519631131</v>
      </c>
      <c r="M68" s="12">
        <v>8.7921067942793585E-3</v>
      </c>
    </row>
    <row r="69" spans="4:14" x14ac:dyDescent="0.25">
      <c r="D69" s="12">
        <v>-4.0127999999999275E-3</v>
      </c>
      <c r="E69" s="12">
        <v>191</v>
      </c>
      <c r="F69" s="12">
        <v>5.439697674575406</v>
      </c>
      <c r="G69" s="12">
        <v>5.0075218489987645E-3</v>
      </c>
      <c r="H69" s="12">
        <v>5.0548454759567086E-3</v>
      </c>
      <c r="K69" s="12">
        <v>189</v>
      </c>
      <c r="L69" s="12">
        <v>5.4357737695618153</v>
      </c>
      <c r="M69" s="12">
        <v>8.7767976573287654E-3</v>
      </c>
    </row>
    <row r="70" spans="4:14" x14ac:dyDescent="0.25">
      <c r="D70" s="12">
        <v>2.3872000000002558E-3</v>
      </c>
      <c r="E70" s="12">
        <v>193</v>
      </c>
      <c r="F70" s="12">
        <v>5.4460454268010912</v>
      </c>
      <c r="G70" s="12">
        <v>5.0025277749277831E-3</v>
      </c>
      <c r="J70" s="12">
        <v>-4.0127999999999275E-3</v>
      </c>
      <c r="K70" s="12">
        <v>191</v>
      </c>
      <c r="L70" s="12">
        <v>5.4427600051679912</v>
      </c>
      <c r="M70" s="12">
        <v>8.7636061516652413E-3</v>
      </c>
      <c r="N70" s="12">
        <v>8.7907326485967517E-3</v>
      </c>
    </row>
    <row r="71" spans="4:14" x14ac:dyDescent="0.25">
      <c r="E71" s="12">
        <v>5.4437104745754059</v>
      </c>
      <c r="G71" s="12">
        <v>5.0994387219413457E-3</v>
      </c>
      <c r="J71" s="12">
        <v>2.3872000000002558E-3</v>
      </c>
      <c r="K71" s="12">
        <v>193</v>
      </c>
      <c r="L71" s="12">
        <v>5.4491041900349337</v>
      </c>
      <c r="M71" s="12">
        <v>8.753883936053232E-3</v>
      </c>
    </row>
    <row r="72" spans="4:14" x14ac:dyDescent="0.25">
      <c r="E72" s="12" t="s">
        <v>72</v>
      </c>
      <c r="K72" s="12">
        <v>5.4467728051679911</v>
      </c>
      <c r="M72" s="12">
        <v>8.8554713082264792E-3</v>
      </c>
    </row>
    <row r="73" spans="4:14" x14ac:dyDescent="0.25">
      <c r="G73" s="12">
        <v>7.0746426254509713E-3</v>
      </c>
      <c r="K73" s="12" t="s">
        <v>72</v>
      </c>
    </row>
    <row r="74" spans="4:14" x14ac:dyDescent="0.25">
      <c r="F74" s="12">
        <v>5.4460976745754062</v>
      </c>
      <c r="M74" s="12">
        <v>1.2379861385806452E-2</v>
      </c>
    </row>
    <row r="75" spans="4:14" x14ac:dyDescent="0.25">
      <c r="L75" s="12">
        <v>5.4491600051679914</v>
      </c>
    </row>
    <row r="78" spans="4:14" x14ac:dyDescent="0.25">
      <c r="L78" s="243" t="s">
        <v>248</v>
      </c>
    </row>
    <row r="79" spans="4:14" x14ac:dyDescent="0.25">
      <c r="L79" s="12" t="s">
        <v>70</v>
      </c>
      <c r="M79" s="12" t="s">
        <v>71</v>
      </c>
    </row>
    <row r="80" spans="4:14" x14ac:dyDescent="0.25">
      <c r="K80" s="12">
        <v>182</v>
      </c>
      <c r="L80" s="12">
        <v>5.4166997769727159</v>
      </c>
      <c r="M80" s="12">
        <v>5.0611793629159477E-2</v>
      </c>
    </row>
    <row r="81" spans="10:14" x14ac:dyDescent="0.25">
      <c r="K81" s="12">
        <v>183</v>
      </c>
      <c r="L81" s="12">
        <v>5.4240793203875874</v>
      </c>
      <c r="M81" s="12">
        <v>5.054201081908985E-2</v>
      </c>
    </row>
    <row r="82" spans="10:14" x14ac:dyDescent="0.25">
      <c r="K82" s="12">
        <v>184</v>
      </c>
      <c r="L82" s="12">
        <v>5.4265676512742633</v>
      </c>
      <c r="M82" s="12">
        <v>5.0517490571392841E-2</v>
      </c>
    </row>
    <row r="83" spans="10:14" x14ac:dyDescent="0.25">
      <c r="K83" s="12">
        <v>185</v>
      </c>
      <c r="L83" s="12">
        <v>5.4314488374517778</v>
      </c>
      <c r="M83" s="12">
        <v>5.047209103177102E-2</v>
      </c>
    </row>
    <row r="84" spans="10:14" x14ac:dyDescent="0.25">
      <c r="K84" s="12">
        <v>186</v>
      </c>
      <c r="L84" s="12">
        <v>5.4360497122318767</v>
      </c>
      <c r="M84" s="12">
        <v>5.0429960447651238E-2</v>
      </c>
    </row>
    <row r="85" spans="10:14" x14ac:dyDescent="0.25">
      <c r="K85" s="12">
        <v>187</v>
      </c>
      <c r="L85" s="12">
        <v>5.427304715404901</v>
      </c>
      <c r="M85" s="12">
        <v>5.0510629959685471E-2</v>
      </c>
    </row>
    <row r="86" spans="10:14" x14ac:dyDescent="0.25">
      <c r="K86" s="12">
        <v>188</v>
      </c>
      <c r="L86" s="12">
        <v>5.4298836519631131</v>
      </c>
      <c r="M86" s="12">
        <v>5.0487227637042893E-2</v>
      </c>
    </row>
    <row r="87" spans="10:14" x14ac:dyDescent="0.25">
      <c r="K87" s="12">
        <v>189</v>
      </c>
      <c r="L87" s="12">
        <v>5.4357737695618153</v>
      </c>
      <c r="M87" s="12">
        <v>5.0431513871748615E-2</v>
      </c>
    </row>
    <row r="88" spans="10:14" x14ac:dyDescent="0.25">
      <c r="J88" s="12">
        <v>-4.0127999999999275E-3</v>
      </c>
      <c r="K88" s="12">
        <v>191</v>
      </c>
      <c r="L88" s="12">
        <v>5.4427600051679912</v>
      </c>
      <c r="M88" s="12">
        <v>5.0366445713839171E-2</v>
      </c>
      <c r="N88" s="12">
        <v>5.037117272371875E-2</v>
      </c>
    </row>
    <row r="89" spans="10:14" x14ac:dyDescent="0.25">
      <c r="J89" s="12">
        <v>2.3872000000002558E-3</v>
      </c>
      <c r="K89" s="12">
        <v>193</v>
      </c>
      <c r="L89" s="12">
        <v>5.4491041900349337</v>
      </c>
      <c r="M89" s="12">
        <v>5.0307889656176261E-2</v>
      </c>
    </row>
    <row r="90" spans="10:14" x14ac:dyDescent="0.25">
      <c r="K90" s="12">
        <v>5.4467728051679911</v>
      </c>
      <c r="M90" s="12">
        <v>5.0458310870400411E-2</v>
      </c>
    </row>
    <row r="91" spans="10:14" x14ac:dyDescent="0.25">
      <c r="K91" s="12" t="s">
        <v>72</v>
      </c>
    </row>
    <row r="92" spans="10:14" x14ac:dyDescent="0.25">
      <c r="M92" s="12">
        <v>7.1146099846133612E-2</v>
      </c>
    </row>
    <row r="93" spans="10:14" x14ac:dyDescent="0.25">
      <c r="L93" s="12">
        <v>5.4491600051679914</v>
      </c>
    </row>
  </sheetData>
  <mergeCells count="11">
    <mergeCell ref="F22:F31"/>
    <mergeCell ref="F34:F38"/>
    <mergeCell ref="F41:F42"/>
    <mergeCell ref="F45:F56"/>
    <mergeCell ref="S39:T39"/>
    <mergeCell ref="A6:B6"/>
    <mergeCell ref="G6:H6"/>
    <mergeCell ref="A16:D16"/>
    <mergeCell ref="A20:D20"/>
    <mergeCell ref="S20:T20"/>
    <mergeCell ref="F13:F1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8480F-D78D-46E1-92B3-6DC9D2FEBD5B}">
  <dimension ref="A7:N39"/>
  <sheetViews>
    <sheetView topLeftCell="A7" workbookViewId="0">
      <selection activeCell="C29" sqref="C29:D29"/>
    </sheetView>
  </sheetViews>
  <sheetFormatPr defaultRowHeight="15.75" x14ac:dyDescent="0.25"/>
  <cols>
    <col min="1" max="3" width="9" style="47"/>
    <col min="4" max="4" width="9.375" style="47" bestFit="1" customWidth="1"/>
    <col min="5" max="6" width="9" style="47"/>
    <col min="7" max="7" width="9.375" style="47" bestFit="1" customWidth="1"/>
    <col min="8" max="16384" width="9" style="47"/>
  </cols>
  <sheetData>
    <row r="7" spans="1:14" ht="16.5" thickBot="1" x14ac:dyDescent="0.3"/>
    <row r="8" spans="1:14" x14ac:dyDescent="0.25">
      <c r="B8" s="453" t="s">
        <v>114</v>
      </c>
      <c r="C8" s="454"/>
      <c r="D8" s="454"/>
      <c r="E8" s="454"/>
      <c r="F8" s="454"/>
      <c r="G8" s="48"/>
      <c r="I8" s="457" t="s">
        <v>117</v>
      </c>
      <c r="J8" s="457"/>
      <c r="K8" s="457"/>
    </row>
    <row r="9" spans="1:14" x14ac:dyDescent="0.25">
      <c r="B9" s="49"/>
      <c r="C9" s="50"/>
      <c r="D9" s="50"/>
      <c r="E9" s="50"/>
      <c r="F9" s="50"/>
      <c r="G9" s="51"/>
      <c r="K9" s="47" t="s">
        <v>56</v>
      </c>
      <c r="N9" s="13">
        <v>8065.5439370000004</v>
      </c>
    </row>
    <row r="10" spans="1:14" x14ac:dyDescent="0.25">
      <c r="B10" s="49" t="s">
        <v>110</v>
      </c>
      <c r="C10" s="50" t="s">
        <v>111</v>
      </c>
      <c r="D10" s="50" t="s">
        <v>71</v>
      </c>
      <c r="E10" s="50" t="s">
        <v>110</v>
      </c>
      <c r="F10" s="50" t="s">
        <v>112</v>
      </c>
      <c r="G10" s="51" t="s">
        <v>113</v>
      </c>
    </row>
    <row r="11" spans="1:14" x14ac:dyDescent="0.25">
      <c r="A11" s="47">
        <v>1</v>
      </c>
      <c r="B11" s="49" t="s">
        <v>30</v>
      </c>
      <c r="C11" s="52">
        <v>7.4476000000000004</v>
      </c>
      <c r="D11" s="52">
        <v>1.8015899320348899E-4</v>
      </c>
      <c r="E11" s="50" t="s">
        <v>110</v>
      </c>
      <c r="F11" s="52">
        <v>7.6550562627676104</v>
      </c>
      <c r="G11" s="53">
        <v>1.6830166728921099E-4</v>
      </c>
    </row>
    <row r="12" spans="1:14" x14ac:dyDescent="0.25">
      <c r="A12" s="47">
        <v>3</v>
      </c>
      <c r="B12" s="49" t="s">
        <v>32</v>
      </c>
      <c r="C12" s="52">
        <v>7.2941304892272498</v>
      </c>
      <c r="D12" s="52">
        <v>1.6830166728921099E-4</v>
      </c>
      <c r="E12" s="50" t="s">
        <v>110</v>
      </c>
      <c r="F12" s="52">
        <v>7.4929520911420102</v>
      </c>
      <c r="G12" s="53">
        <v>1.6813047593010501E-4</v>
      </c>
    </row>
    <row r="13" spans="1:14" x14ac:dyDescent="0.25">
      <c r="B13" s="49"/>
      <c r="C13" s="50"/>
      <c r="D13" s="50"/>
      <c r="E13" s="50"/>
      <c r="F13" s="50"/>
      <c r="G13" s="51"/>
    </row>
    <row r="14" spans="1:14" x14ac:dyDescent="0.25">
      <c r="B14" s="49"/>
      <c r="C14" s="50"/>
      <c r="D14" s="50"/>
      <c r="E14" s="50"/>
      <c r="F14" s="50"/>
      <c r="G14" s="51"/>
    </row>
    <row r="15" spans="1:14" x14ac:dyDescent="0.25">
      <c r="B15" s="49"/>
      <c r="C15" s="50"/>
      <c r="D15" s="50"/>
      <c r="E15" s="50"/>
      <c r="F15" s="50"/>
      <c r="G15" s="51"/>
    </row>
    <row r="16" spans="1:14" x14ac:dyDescent="0.25">
      <c r="B16" s="455" t="s">
        <v>115</v>
      </c>
      <c r="C16" s="456"/>
      <c r="D16" s="456"/>
      <c r="E16" s="456"/>
      <c r="F16" s="456"/>
      <c r="G16" s="51"/>
    </row>
    <row r="17" spans="1:12" x14ac:dyDescent="0.25">
      <c r="B17" s="49"/>
      <c r="C17" s="50"/>
      <c r="D17" s="50"/>
      <c r="E17" s="50"/>
      <c r="F17" s="50"/>
      <c r="G17" s="51"/>
    </row>
    <row r="18" spans="1:12" x14ac:dyDescent="0.2">
      <c r="B18" s="49" t="s">
        <v>110</v>
      </c>
      <c r="C18" s="50" t="s">
        <v>111</v>
      </c>
      <c r="D18" s="50" t="s">
        <v>71</v>
      </c>
      <c r="E18" s="50" t="s">
        <v>110</v>
      </c>
      <c r="F18" s="50" t="s">
        <v>112</v>
      </c>
      <c r="G18" s="51" t="s">
        <v>71</v>
      </c>
      <c r="L18" s="8"/>
    </row>
    <row r="19" spans="1:12" x14ac:dyDescent="0.25">
      <c r="B19" s="49" t="s">
        <v>116</v>
      </c>
      <c r="C19" s="52">
        <v>3.5042750486518002</v>
      </c>
      <c r="D19" s="52">
        <v>2.6660929235899199E-3</v>
      </c>
      <c r="E19" s="50" t="s">
        <v>110</v>
      </c>
      <c r="F19" s="52">
        <v>3.5049999999999999</v>
      </c>
      <c r="G19" s="53">
        <v>3.1605593403885202E-3</v>
      </c>
    </row>
    <row r="20" spans="1:12" x14ac:dyDescent="0.25">
      <c r="B20" s="49"/>
      <c r="C20" s="50"/>
      <c r="D20" s="50"/>
      <c r="E20" s="50"/>
      <c r="F20" s="50"/>
      <c r="G20" s="51"/>
    </row>
    <row r="21" spans="1:12" x14ac:dyDescent="0.25">
      <c r="B21" s="49"/>
      <c r="C21" s="50"/>
      <c r="D21" s="50"/>
      <c r="E21" s="50"/>
      <c r="F21" s="50"/>
      <c r="G21" s="51"/>
    </row>
    <row r="22" spans="1:12" ht="16.5" thickBot="1" x14ac:dyDescent="0.3">
      <c r="B22" s="54"/>
      <c r="C22" s="55"/>
      <c r="D22" s="55"/>
      <c r="E22" s="55"/>
      <c r="F22" s="55"/>
      <c r="G22" s="56"/>
    </row>
    <row r="24" spans="1:12" ht="16.5" thickBot="1" x14ac:dyDescent="0.3"/>
    <row r="25" spans="1:12" x14ac:dyDescent="0.25">
      <c r="B25" s="453" t="s">
        <v>118</v>
      </c>
      <c r="C25" s="454"/>
      <c r="D25" s="454"/>
      <c r="E25" s="454"/>
      <c r="F25" s="454"/>
      <c r="G25" s="458"/>
    </row>
    <row r="26" spans="1:12" x14ac:dyDescent="0.25">
      <c r="B26" s="49"/>
      <c r="C26" s="456" t="s">
        <v>120</v>
      </c>
      <c r="D26" s="456"/>
      <c r="E26" s="50"/>
      <c r="F26" s="456" t="s">
        <v>36</v>
      </c>
      <c r="G26" s="459"/>
    </row>
    <row r="27" spans="1:12" x14ac:dyDescent="0.25">
      <c r="B27" s="49" t="s">
        <v>110</v>
      </c>
      <c r="C27" s="50" t="s">
        <v>119</v>
      </c>
      <c r="D27" s="50" t="s">
        <v>113</v>
      </c>
      <c r="E27" s="50" t="s">
        <v>110</v>
      </c>
      <c r="F27" s="50" t="s">
        <v>112</v>
      </c>
      <c r="G27" s="51" t="s">
        <v>71</v>
      </c>
    </row>
    <row r="28" spans="1:12" x14ac:dyDescent="0.25">
      <c r="A28" s="47">
        <v>2</v>
      </c>
      <c r="B28" s="49" t="s">
        <v>30</v>
      </c>
      <c r="C28" s="50">
        <v>7.4462000000000002</v>
      </c>
      <c r="D28" s="123">
        <v>8.3169628318964604E-4</v>
      </c>
      <c r="E28" s="50" t="s">
        <v>110</v>
      </c>
      <c r="F28" s="50">
        <v>7.657</v>
      </c>
      <c r="G28" s="53">
        <v>1.9859999999999999E-3</v>
      </c>
    </row>
    <row r="29" spans="1:12" x14ac:dyDescent="0.25">
      <c r="A29" s="47">
        <v>4</v>
      </c>
      <c r="B29" s="49" t="s">
        <v>32</v>
      </c>
      <c r="C29" s="50">
        <v>7.2919999999999998</v>
      </c>
      <c r="D29" s="106">
        <v>2.46724871580652E-3</v>
      </c>
      <c r="E29" s="50" t="s">
        <v>110</v>
      </c>
      <c r="F29" s="50">
        <v>7.4944800000000003</v>
      </c>
      <c r="G29" s="53">
        <v>2.8993273722758652E-3</v>
      </c>
    </row>
    <row r="30" spans="1:12" x14ac:dyDescent="0.25">
      <c r="B30" s="49"/>
      <c r="C30" s="50"/>
      <c r="D30" s="50"/>
      <c r="E30" s="50"/>
      <c r="F30" s="50"/>
      <c r="G30" s="51"/>
    </row>
    <row r="31" spans="1:12" x14ac:dyDescent="0.25">
      <c r="B31" s="49"/>
      <c r="C31" s="50"/>
      <c r="D31" s="50"/>
      <c r="E31" s="50"/>
      <c r="F31" s="50"/>
      <c r="G31" s="51"/>
    </row>
    <row r="32" spans="1:12" x14ac:dyDescent="0.25">
      <c r="B32" s="49"/>
      <c r="C32" s="50"/>
      <c r="D32" s="50"/>
      <c r="E32" s="50"/>
      <c r="F32" s="50"/>
      <c r="G32" s="51"/>
    </row>
    <row r="33" spans="1:7" x14ac:dyDescent="0.25">
      <c r="B33" s="49"/>
      <c r="C33" s="50"/>
      <c r="D33" s="50"/>
      <c r="E33" s="50"/>
      <c r="F33" s="50"/>
      <c r="G33" s="51"/>
    </row>
    <row r="34" spans="1:7" x14ac:dyDescent="0.25">
      <c r="B34" s="49"/>
      <c r="C34" s="50"/>
      <c r="D34" s="50"/>
      <c r="E34" s="50"/>
      <c r="F34" s="50"/>
      <c r="G34" s="51"/>
    </row>
    <row r="35" spans="1:7" ht="16.5" thickBot="1" x14ac:dyDescent="0.3">
      <c r="B35" s="54"/>
      <c r="C35" s="55"/>
      <c r="D35" s="55"/>
      <c r="E35" s="55"/>
      <c r="F35" s="55"/>
      <c r="G35" s="56"/>
    </row>
    <row r="37" spans="1:7" x14ac:dyDescent="0.25">
      <c r="B37" s="47" t="s">
        <v>36</v>
      </c>
    </row>
    <row r="38" spans="1:7" x14ac:dyDescent="0.25">
      <c r="A38" s="47" t="s">
        <v>30</v>
      </c>
      <c r="B38">
        <v>7.4484000000000004</v>
      </c>
      <c r="C38">
        <v>1.2999999999999999E-3</v>
      </c>
      <c r="D38" s="47">
        <v>1.5</v>
      </c>
    </row>
    <row r="39" spans="1:7" x14ac:dyDescent="0.25">
      <c r="A39" s="47" t="s">
        <v>32</v>
      </c>
      <c r="B39">
        <v>7.2948000000000004</v>
      </c>
      <c r="C39">
        <v>1.2999999999999999E-3</v>
      </c>
      <c r="D39" s="47">
        <v>3.5</v>
      </c>
    </row>
  </sheetData>
  <mergeCells count="6">
    <mergeCell ref="B8:F8"/>
    <mergeCell ref="B16:F16"/>
    <mergeCell ref="I8:K8"/>
    <mergeCell ref="B25:G25"/>
    <mergeCell ref="F26:G26"/>
    <mergeCell ref="C26:D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DEC4-4DE3-45B5-B053-5968C8F2A06D}">
  <dimension ref="A1:V60"/>
  <sheetViews>
    <sheetView topLeftCell="A16" workbookViewId="0">
      <selection activeCell="F42" sqref="F42"/>
    </sheetView>
  </sheetViews>
  <sheetFormatPr defaultRowHeight="15" x14ac:dyDescent="0.25"/>
  <cols>
    <col min="1" max="1" width="26.25" style="23" customWidth="1"/>
    <col min="2" max="3" width="15" style="23" customWidth="1"/>
    <col min="4" max="4" width="16.75" style="23" customWidth="1"/>
    <col min="5" max="5" width="11.25" style="23" customWidth="1"/>
    <col min="6" max="6" width="12.75" style="23" customWidth="1"/>
    <col min="7" max="7" width="15.375" style="23" customWidth="1"/>
    <col min="8" max="8" width="9" style="23"/>
    <col min="9" max="9" width="10.125" style="23" bestFit="1" customWidth="1"/>
    <col min="10" max="10" width="9" style="23"/>
    <col min="11" max="11" width="11" style="23" bestFit="1" customWidth="1"/>
    <col min="12" max="17" width="9" style="23"/>
    <col min="18" max="18" width="11.125" style="23" bestFit="1" customWidth="1"/>
    <col min="19" max="16384" width="9" style="23"/>
  </cols>
  <sheetData>
    <row r="1" spans="1:20" x14ac:dyDescent="0.25">
      <c r="A1" s="25" t="s">
        <v>76</v>
      </c>
      <c r="B1" s="25" t="s">
        <v>77</v>
      </c>
      <c r="C1" s="25" t="s">
        <v>78</v>
      </c>
      <c r="D1" s="25" t="s">
        <v>79</v>
      </c>
      <c r="E1" s="25" t="s">
        <v>80</v>
      </c>
      <c r="F1" s="25" t="s">
        <v>81</v>
      </c>
      <c r="G1" s="26"/>
    </row>
    <row r="2" spans="1:20" x14ac:dyDescent="0.25">
      <c r="A2" s="23" t="s">
        <v>82</v>
      </c>
      <c r="B2" s="27">
        <v>166.52027941212401</v>
      </c>
      <c r="C2" s="23">
        <v>40.78</v>
      </c>
      <c r="E2" s="28">
        <v>40264424419.334991</v>
      </c>
      <c r="F2" s="29">
        <v>40.78</v>
      </c>
      <c r="G2" s="27">
        <f>B2*F2</f>
        <v>6790.6969944264174</v>
      </c>
      <c r="H2" s="12" t="s">
        <v>45</v>
      </c>
      <c r="I2" s="13">
        <v>299792458</v>
      </c>
      <c r="J2" s="30"/>
      <c r="K2" s="63" t="s">
        <v>126</v>
      </c>
    </row>
    <row r="3" spans="1:20" x14ac:dyDescent="0.25">
      <c r="A3" s="23" t="s">
        <v>83</v>
      </c>
      <c r="B3" s="27">
        <v>166.52288319936042</v>
      </c>
      <c r="C3" s="23">
        <v>26.26</v>
      </c>
      <c r="E3" s="28">
        <v>40265054012.287605</v>
      </c>
      <c r="F3" s="29">
        <v>26.26</v>
      </c>
      <c r="G3" s="27">
        <f t="shared" ref="G3:G14" si="0">B3*F3</f>
        <v>4372.8909128152045</v>
      </c>
      <c r="H3" s="12" t="s">
        <v>43</v>
      </c>
      <c r="I3" s="13">
        <f>6.62607015*(10)^(-34)</f>
        <v>6.6260701500000015E-34</v>
      </c>
      <c r="J3" s="30"/>
      <c r="K3" s="62" t="s">
        <v>125</v>
      </c>
      <c r="P3" s="64" t="s">
        <v>39</v>
      </c>
      <c r="Q3" s="23">
        <v>8065.5439370000004</v>
      </c>
    </row>
    <row r="4" spans="1:20" x14ac:dyDescent="0.25">
      <c r="A4" s="23" t="s">
        <v>84</v>
      </c>
      <c r="B4" s="27">
        <v>166.5356994503336</v>
      </c>
      <c r="C4" s="23">
        <v>16.149999999999999</v>
      </c>
      <c r="D4" s="31">
        <v>6.25E-2</v>
      </c>
      <c r="E4" s="28">
        <v>40268152967.985191</v>
      </c>
      <c r="F4" s="29">
        <v>1.0093749999999999</v>
      </c>
      <c r="G4" s="27">
        <f t="shared" si="0"/>
        <v>168.09697163268046</v>
      </c>
      <c r="H4" s="12" t="s">
        <v>46</v>
      </c>
      <c r="I4" s="13">
        <f>1/(1.602176634*10^(-19))</f>
        <v>6.2415090744607621E+18</v>
      </c>
      <c r="J4" s="62" t="s">
        <v>131</v>
      </c>
      <c r="K4" s="64" t="s">
        <v>128</v>
      </c>
      <c r="L4" s="64" t="s">
        <v>71</v>
      </c>
      <c r="M4" s="64" t="s">
        <v>31</v>
      </c>
      <c r="N4" s="64" t="s">
        <v>129</v>
      </c>
      <c r="P4" s="64" t="s">
        <v>38</v>
      </c>
      <c r="Q4" s="64" t="s">
        <v>41</v>
      </c>
      <c r="R4" s="64"/>
      <c r="S4" s="65" t="s">
        <v>130</v>
      </c>
    </row>
    <row r="5" spans="1:20" x14ac:dyDescent="0.25">
      <c r="B5" s="27">
        <v>166.5441447049493</v>
      </c>
      <c r="C5" s="32"/>
      <c r="D5" s="31">
        <v>0.3125</v>
      </c>
      <c r="E5" s="28">
        <v>40270195021.465866</v>
      </c>
      <c r="F5" s="29">
        <v>5.046875</v>
      </c>
      <c r="G5" s="27">
        <f t="shared" si="0"/>
        <v>840.52748030779105</v>
      </c>
      <c r="I5" s="30"/>
      <c r="J5" s="30">
        <v>166.45748</v>
      </c>
      <c r="K5" s="30">
        <v>7.4484000000000004</v>
      </c>
      <c r="L5" s="23">
        <v>1.2999999999999999E-3</v>
      </c>
      <c r="M5" s="23">
        <v>-3361</v>
      </c>
      <c r="N5" s="23">
        <v>5.3760000000000003</v>
      </c>
      <c r="P5" s="23">
        <f>M5*(N9-N5)</f>
        <v>-102.84659999999911</v>
      </c>
      <c r="Q5" s="23">
        <f>P5/Q3</f>
        <v>-1.2751353263131955E-2</v>
      </c>
      <c r="S5" s="66">
        <f>J5+Q5</f>
        <v>166.44472864673688</v>
      </c>
      <c r="T5" s="64" t="s">
        <v>41</v>
      </c>
    </row>
    <row r="6" spans="1:20" x14ac:dyDescent="0.25">
      <c r="B6" s="27">
        <v>166.50984843864254</v>
      </c>
      <c r="C6" s="32"/>
      <c r="D6" s="31">
        <v>0.3125</v>
      </c>
      <c r="E6" s="28">
        <v>40261902221.168816</v>
      </c>
      <c r="F6" s="29">
        <v>5.046875</v>
      </c>
      <c r="G6" s="27">
        <f t="shared" si="0"/>
        <v>840.35439133877401</v>
      </c>
    </row>
    <row r="7" spans="1:20" x14ac:dyDescent="0.25">
      <c r="B7" s="27">
        <v>166.51829369325824</v>
      </c>
      <c r="C7" s="32"/>
      <c r="D7" s="31">
        <v>0.3125</v>
      </c>
      <c r="E7" s="28">
        <v>40263944274.649483</v>
      </c>
      <c r="F7" s="29">
        <v>5.046875</v>
      </c>
      <c r="G7" s="27">
        <f t="shared" si="0"/>
        <v>840.39701348316271</v>
      </c>
      <c r="K7" s="64" t="s">
        <v>127</v>
      </c>
    </row>
    <row r="8" spans="1:20" x14ac:dyDescent="0.25">
      <c r="A8" s="23" t="s">
        <v>85</v>
      </c>
      <c r="B8" s="27">
        <v>166.52570226293201</v>
      </c>
      <c r="C8" s="23">
        <v>13.24</v>
      </c>
      <c r="E8" s="28">
        <v>40265735658.826462</v>
      </c>
      <c r="F8" s="29">
        <v>13.24</v>
      </c>
      <c r="G8" s="27">
        <f t="shared" si="0"/>
        <v>2204.8002979612197</v>
      </c>
      <c r="K8" s="64" t="s">
        <v>128</v>
      </c>
      <c r="L8" s="64" t="s">
        <v>71</v>
      </c>
      <c r="M8" s="64" t="s">
        <v>31</v>
      </c>
      <c r="N8" s="64" t="s">
        <v>129</v>
      </c>
      <c r="P8" s="64" t="s">
        <v>132</v>
      </c>
    </row>
    <row r="9" spans="1:20" x14ac:dyDescent="0.25">
      <c r="A9" s="23" t="s">
        <v>86</v>
      </c>
      <c r="B9" s="27">
        <v>166.53011559682918</v>
      </c>
      <c r="C9" s="23">
        <v>1.96</v>
      </c>
      <c r="D9" s="31">
        <v>0</v>
      </c>
      <c r="E9" s="28">
        <v>40267112072.78241</v>
      </c>
      <c r="F9" s="29">
        <f>C$9*D9</f>
        <v>0</v>
      </c>
      <c r="G9" s="27">
        <f t="shared" si="0"/>
        <v>0</v>
      </c>
      <c r="I9" s="30"/>
      <c r="J9" s="30"/>
      <c r="K9" s="30">
        <f>10^(9)*I4*I3*I2/S5</f>
        <v>7.4489711654578716</v>
      </c>
      <c r="L9" s="23">
        <v>1.2999999999999999E-3</v>
      </c>
      <c r="M9" s="23">
        <v>-3361</v>
      </c>
      <c r="N9" s="23">
        <v>5.4066000000000001</v>
      </c>
      <c r="P9" s="30">
        <f>'Na-like Ir'!T6 - 'Na-like Os'!S5</f>
        <v>3.5177936718972944</v>
      </c>
    </row>
    <row r="10" spans="1:20" x14ac:dyDescent="0.25">
      <c r="B10" s="27">
        <v>166.53135666118482</v>
      </c>
      <c r="D10" s="31">
        <v>0.25</v>
      </c>
      <c r="E10" s="28">
        <v>40267712248.834518</v>
      </c>
      <c r="F10" s="29">
        <f t="shared" ref="F10:F11" si="1">C$9*D10</f>
        <v>0.49</v>
      </c>
      <c r="G10" s="27">
        <f t="shared" si="0"/>
        <v>81.600364763980565</v>
      </c>
      <c r="I10" s="30"/>
      <c r="J10" s="30"/>
      <c r="K10" s="30"/>
    </row>
    <row r="11" spans="1:20" x14ac:dyDescent="0.25">
      <c r="B11" s="27">
        <v>166.52631641879714</v>
      </c>
      <c r="D11" s="31">
        <v>0.25</v>
      </c>
      <c r="E11" s="28">
        <v>40265274798.460426</v>
      </c>
      <c r="F11" s="29">
        <f t="shared" si="1"/>
        <v>0.49</v>
      </c>
      <c r="G11" s="27">
        <f t="shared" si="0"/>
        <v>81.597895045210592</v>
      </c>
      <c r="I11" s="31"/>
      <c r="J11" s="31"/>
    </row>
    <row r="12" spans="1:20" x14ac:dyDescent="0.25">
      <c r="B12" s="27">
        <v>166.52755748315278</v>
      </c>
      <c r="D12" s="31">
        <v>0.5</v>
      </c>
      <c r="E12" s="28">
        <v>40265874974.512535</v>
      </c>
      <c r="F12" s="29">
        <f>C$9*D12</f>
        <v>0.98</v>
      </c>
      <c r="G12" s="27">
        <f t="shared" si="0"/>
        <v>163.19700633348972</v>
      </c>
      <c r="I12" s="30"/>
      <c r="J12" s="30"/>
      <c r="K12" s="30"/>
    </row>
    <row r="13" spans="1:20" x14ac:dyDescent="0.25">
      <c r="A13" s="23" t="s">
        <v>87</v>
      </c>
      <c r="B13" s="27">
        <v>166.52915517132104</v>
      </c>
      <c r="C13" s="23">
        <v>1.59</v>
      </c>
      <c r="E13" s="28">
        <v>40266570568.360291</v>
      </c>
      <c r="F13" s="29">
        <v>1.59</v>
      </c>
      <c r="G13" s="27">
        <f t="shared" si="0"/>
        <v>264.78135672240046</v>
      </c>
    </row>
    <row r="14" spans="1:20" x14ac:dyDescent="0.25">
      <c r="A14" s="23" t="s">
        <v>88</v>
      </c>
      <c r="B14" s="27">
        <v>166.5326682944208</v>
      </c>
      <c r="C14" s="23">
        <v>0.02</v>
      </c>
      <c r="E14" s="28">
        <v>40267420037.746399</v>
      </c>
      <c r="F14" s="29">
        <v>0.02</v>
      </c>
      <c r="G14" s="27">
        <f t="shared" si="0"/>
        <v>3.3306533658884163</v>
      </c>
    </row>
    <row r="15" spans="1:20" x14ac:dyDescent="0.25">
      <c r="G15" s="33">
        <f>SUM(G2:G14)/100</f>
        <v>166.52271338196218</v>
      </c>
      <c r="H15" s="23" t="s">
        <v>89</v>
      </c>
    </row>
    <row r="16" spans="1:20" x14ac:dyDescent="0.25">
      <c r="A16" s="25" t="s">
        <v>90</v>
      </c>
      <c r="B16" s="25" t="s">
        <v>77</v>
      </c>
      <c r="C16" s="25" t="s">
        <v>78</v>
      </c>
      <c r="D16" s="25" t="s">
        <v>79</v>
      </c>
      <c r="E16" s="25" t="s">
        <v>80</v>
      </c>
      <c r="F16" s="25" t="s">
        <v>81</v>
      </c>
      <c r="G16" s="26"/>
      <c r="I16" s="30"/>
      <c r="J16" s="30"/>
    </row>
    <row r="17" spans="1:22" x14ac:dyDescent="0.25">
      <c r="A17" s="23" t="s">
        <v>82</v>
      </c>
      <c r="B17" s="27">
        <v>590.49289015112333</v>
      </c>
      <c r="C17" s="23">
        <v>40.78</v>
      </c>
      <c r="E17" s="23">
        <v>142780545586.29041</v>
      </c>
      <c r="F17" s="29">
        <v>40.78</v>
      </c>
      <c r="G17" s="27">
        <v>24080.30006036281</v>
      </c>
      <c r="L17" s="463" t="s">
        <v>135</v>
      </c>
      <c r="M17" s="464"/>
      <c r="N17" s="464"/>
      <c r="O17" s="464"/>
      <c r="P17" s="464"/>
      <c r="R17" s="463" t="s">
        <v>136</v>
      </c>
      <c r="S17" s="464"/>
      <c r="T17" s="464"/>
      <c r="U17" s="464"/>
      <c r="V17" s="464"/>
    </row>
    <row r="18" spans="1:22" x14ac:dyDescent="0.25">
      <c r="A18" s="23" t="s">
        <v>83</v>
      </c>
      <c r="B18" s="27">
        <v>590.49566978080577</v>
      </c>
      <c r="C18" s="23">
        <v>26.26</v>
      </c>
      <c r="E18" s="23">
        <v>142781217697.75726</v>
      </c>
      <c r="F18" s="29">
        <v>26.26</v>
      </c>
      <c r="G18" s="27">
        <v>15506.416288443961</v>
      </c>
      <c r="L18" s="460" t="s">
        <v>133</v>
      </c>
      <c r="M18" s="461"/>
      <c r="N18" s="461"/>
      <c r="O18" s="461"/>
      <c r="P18" s="462"/>
      <c r="R18" s="460" t="s">
        <v>133</v>
      </c>
      <c r="S18" s="461"/>
      <c r="T18" s="461"/>
      <c r="U18" s="461"/>
      <c r="V18" s="462"/>
    </row>
    <row r="19" spans="1:22" x14ac:dyDescent="0.25">
      <c r="A19" s="23" t="s">
        <v>84</v>
      </c>
      <c r="B19" s="27">
        <v>590.51448136173872</v>
      </c>
      <c r="C19" s="23">
        <v>16.149999999999999</v>
      </c>
      <c r="D19" s="31">
        <v>6.25E-2</v>
      </c>
      <c r="E19" s="23">
        <v>142785766317.78937</v>
      </c>
      <c r="F19" s="29">
        <v>1.0093749999999999</v>
      </c>
      <c r="G19" s="27">
        <v>596.05055462450491</v>
      </c>
      <c r="L19" s="94"/>
      <c r="M19" s="95"/>
      <c r="N19" s="95"/>
      <c r="O19" s="95"/>
      <c r="P19" s="96"/>
      <c r="R19" s="94"/>
      <c r="S19" s="95"/>
      <c r="T19" s="95"/>
      <c r="U19" s="95"/>
      <c r="V19" s="96"/>
    </row>
    <row r="20" spans="1:22" x14ac:dyDescent="0.25">
      <c r="B20" s="27">
        <v>590.48863035004763</v>
      </c>
      <c r="D20" s="31">
        <v>0</v>
      </c>
      <c r="E20" s="23">
        <v>142779515570.97299</v>
      </c>
      <c r="F20" s="29">
        <v>0</v>
      </c>
      <c r="G20" s="27">
        <v>0</v>
      </c>
      <c r="L20" s="94">
        <v>7.4477000000000002</v>
      </c>
      <c r="M20" s="95">
        <v>2.0000000000000001E-4</v>
      </c>
      <c r="N20" s="95"/>
      <c r="O20" s="95"/>
      <c r="P20" s="96"/>
      <c r="R20" s="94">
        <v>7.4476000000000004</v>
      </c>
      <c r="S20" s="95">
        <v>2.0000000000000001E-4</v>
      </c>
      <c r="T20" s="95"/>
      <c r="U20" s="95"/>
      <c r="V20" s="96"/>
    </row>
    <row r="21" spans="1:22" x14ac:dyDescent="0.25">
      <c r="B21" s="27">
        <v>590.51314024813723</v>
      </c>
      <c r="D21" s="31">
        <v>0.15625</v>
      </c>
      <c r="E21" s="23">
        <v>142785442037.96329</v>
      </c>
      <c r="F21" s="29">
        <v>2.5234375</v>
      </c>
      <c r="G21" s="27">
        <v>1490.1230023449089</v>
      </c>
      <c r="L21" s="94">
        <v>166.47313</v>
      </c>
      <c r="M21" s="95">
        <f>L21*(M20/L20)</f>
        <v>4.4704574566644742E-3</v>
      </c>
      <c r="N21" s="95"/>
      <c r="O21" s="95"/>
      <c r="P21" s="96"/>
      <c r="R21" s="94">
        <v>166.47537</v>
      </c>
      <c r="S21" s="95">
        <f>R21*(S20/R20)</f>
        <v>4.4705776357484286E-3</v>
      </c>
      <c r="T21" s="95"/>
      <c r="U21" s="95"/>
      <c r="V21" s="96"/>
    </row>
    <row r="22" spans="1:22" x14ac:dyDescent="0.25">
      <c r="B22" s="27">
        <v>590.48728923644614</v>
      </c>
      <c r="D22" s="31">
        <v>3.125E-2</v>
      </c>
      <c r="E22" s="23">
        <v>142779191291.14691</v>
      </c>
      <c r="F22" s="29">
        <v>0.50468749999999996</v>
      </c>
      <c r="G22" s="27">
        <v>298.0115537865189</v>
      </c>
      <c r="L22" s="94"/>
      <c r="M22" s="95"/>
      <c r="N22" s="95"/>
      <c r="O22" s="95"/>
      <c r="P22" s="96"/>
      <c r="R22" s="94"/>
      <c r="S22" s="95"/>
      <c r="T22" s="95"/>
      <c r="U22" s="95"/>
      <c r="V22" s="96"/>
    </row>
    <row r="23" spans="1:22" x14ac:dyDescent="0.25">
      <c r="B23" s="27">
        <v>590.51223603888457</v>
      </c>
      <c r="D23" s="31">
        <v>0.15625</v>
      </c>
      <c r="E23" s="23">
        <v>142785223401.13876</v>
      </c>
      <c r="F23" s="29">
        <v>2.5234375</v>
      </c>
      <c r="G23" s="27">
        <v>1490.1207206293727</v>
      </c>
      <c r="L23" s="94"/>
      <c r="M23" s="95"/>
      <c r="N23" s="95"/>
      <c r="O23" s="95">
        <f>L25-L21</f>
        <v>3.5056099999999901</v>
      </c>
      <c r="P23" s="96">
        <f>SQRT((M21^2)+(M25^2))</f>
        <v>6.4581180174841987E-3</v>
      </c>
      <c r="R23" s="94"/>
      <c r="S23" s="95"/>
      <c r="T23" s="95"/>
      <c r="U23" s="95">
        <f>R25-R21</f>
        <v>3.5033699999999897</v>
      </c>
      <c r="V23" s="96">
        <f>SQRT((S21^2)+(S25^2))</f>
        <v>6.4582012087856982E-3</v>
      </c>
    </row>
    <row r="24" spans="1:22" x14ac:dyDescent="0.25">
      <c r="B24" s="27">
        <v>590.48638502719348</v>
      </c>
      <c r="D24" s="31">
        <v>0.15625</v>
      </c>
      <c r="E24" s="23">
        <v>142778972654.32236</v>
      </c>
      <c r="F24" s="29">
        <v>2.5234375</v>
      </c>
      <c r="G24" s="27">
        <v>1490.0554872170585</v>
      </c>
      <c r="L24" s="94">
        <v>7.2941000000000003</v>
      </c>
      <c r="M24" s="95">
        <v>2.0000000000000001E-4</v>
      </c>
      <c r="N24" s="95"/>
      <c r="O24" s="95"/>
      <c r="P24" s="96"/>
      <c r="R24" s="94">
        <v>7.2941000000000003</v>
      </c>
      <c r="S24" s="95">
        <v>2.0000000000000001E-4</v>
      </c>
      <c r="T24" s="95"/>
      <c r="U24" s="95"/>
      <c r="V24" s="96"/>
    </row>
    <row r="25" spans="1:22" x14ac:dyDescent="0.25">
      <c r="B25" s="27">
        <v>590.515324769882</v>
      </c>
      <c r="D25" s="31">
        <v>0</v>
      </c>
      <c r="E25" s="23">
        <v>142785970252.97107</v>
      </c>
      <c r="F25" s="29">
        <v>0</v>
      </c>
      <c r="G25" s="27">
        <v>0</v>
      </c>
      <c r="L25" s="94">
        <v>169.97873999999999</v>
      </c>
      <c r="M25" s="95">
        <f>L25*(M24/L24)</f>
        <v>4.6607186630290226E-3</v>
      </c>
      <c r="N25" s="95"/>
      <c r="O25" s="95"/>
      <c r="P25" s="96"/>
      <c r="R25" s="94">
        <v>169.97873999999999</v>
      </c>
      <c r="S25" s="95">
        <f>R25*(S24/R24)</f>
        <v>4.6607186630290226E-3</v>
      </c>
      <c r="T25" s="95"/>
      <c r="U25" s="95"/>
      <c r="V25" s="96"/>
    </row>
    <row r="26" spans="1:22" x14ac:dyDescent="0.25">
      <c r="B26" s="27">
        <v>590.48947375819091</v>
      </c>
      <c r="D26" s="31">
        <v>0.4375</v>
      </c>
      <c r="E26" s="23">
        <v>142779719506.15469</v>
      </c>
      <c r="F26" s="29">
        <v>7.0656249999999989</v>
      </c>
      <c r="G26" s="27">
        <v>4172.177188022717</v>
      </c>
      <c r="L26" s="97"/>
      <c r="M26" s="98"/>
      <c r="N26" s="98"/>
      <c r="O26" s="98"/>
      <c r="P26" s="99"/>
      <c r="R26" s="97"/>
      <c r="S26" s="98"/>
      <c r="T26" s="98"/>
      <c r="U26" s="98"/>
      <c r="V26" s="99"/>
    </row>
    <row r="27" spans="1:22" x14ac:dyDescent="0.25">
      <c r="A27" s="23" t="s">
        <v>85</v>
      </c>
      <c r="B27" s="27">
        <v>590.49867979806845</v>
      </c>
      <c r="C27" s="23">
        <v>13.24</v>
      </c>
      <c r="E27" s="23">
        <v>142781945516.69321</v>
      </c>
      <c r="F27" s="29">
        <v>13.24</v>
      </c>
      <c r="G27" s="27">
        <v>7818.2025205264263</v>
      </c>
    </row>
    <row r="28" spans="1:22" x14ac:dyDescent="0.25">
      <c r="A28" s="23" t="s">
        <v>86</v>
      </c>
      <c r="B28" s="27">
        <v>590.50422869349507</v>
      </c>
      <c r="C28" s="23">
        <v>1.96</v>
      </c>
      <c r="D28" s="31">
        <v>0.25</v>
      </c>
      <c r="E28" s="23">
        <f t="shared" ref="E28:E31" si="2">B28*241798924.2</f>
        <v>142783287233.63788</v>
      </c>
      <c r="F28" s="29">
        <f>C$28*D28</f>
        <v>0.49</v>
      </c>
      <c r="G28" s="27">
        <f t="shared" ref="G28:G31" si="3">B28*F28</f>
        <v>289.3470720598126</v>
      </c>
    </row>
    <row r="29" spans="1:22" x14ac:dyDescent="0.25">
      <c r="B29" s="27">
        <v>590.50042951546311</v>
      </c>
      <c r="D29" s="31">
        <v>0.125</v>
      </c>
      <c r="E29" s="23">
        <f t="shared" si="2"/>
        <v>142782368596.4769</v>
      </c>
      <c r="F29" s="29">
        <f t="shared" ref="F29:F31" si="4">C$28*D29</f>
        <v>0.245</v>
      </c>
      <c r="G29" s="27">
        <f t="shared" si="3"/>
        <v>144.67260523128846</v>
      </c>
    </row>
    <row r="30" spans="1:22" x14ac:dyDescent="0.25">
      <c r="B30" s="27">
        <v>590.504485506891</v>
      </c>
      <c r="D30" s="31">
        <v>0</v>
      </c>
      <c r="E30" s="23">
        <f t="shared" si="2"/>
        <v>142783349330.84073</v>
      </c>
      <c r="F30" s="29">
        <f t="shared" si="4"/>
        <v>0</v>
      </c>
      <c r="G30" s="27">
        <f t="shared" si="3"/>
        <v>0</v>
      </c>
      <c r="L30" s="460" t="s">
        <v>134</v>
      </c>
      <c r="M30" s="461"/>
      <c r="N30" s="461"/>
      <c r="O30" s="461"/>
      <c r="P30" s="462"/>
      <c r="R30" s="460" t="s">
        <v>134</v>
      </c>
      <c r="S30" s="461"/>
      <c r="T30" s="461"/>
      <c r="U30" s="461"/>
      <c r="V30" s="462"/>
    </row>
    <row r="31" spans="1:22" x14ac:dyDescent="0.25">
      <c r="B31" s="27">
        <v>590.50068632885905</v>
      </c>
      <c r="D31" s="31">
        <v>0.625</v>
      </c>
      <c r="E31" s="23">
        <f t="shared" si="2"/>
        <v>142782430693.67975</v>
      </c>
      <c r="F31" s="29">
        <f t="shared" si="4"/>
        <v>1.2250000000000001</v>
      </c>
      <c r="G31" s="27">
        <f t="shared" si="3"/>
        <v>723.36334075285242</v>
      </c>
      <c r="L31" s="94"/>
      <c r="M31" s="95"/>
      <c r="N31" s="95"/>
      <c r="O31" s="95"/>
      <c r="P31" s="96"/>
      <c r="R31" s="94"/>
      <c r="S31" s="95"/>
      <c r="T31" s="95"/>
      <c r="U31" s="95"/>
      <c r="V31" s="96"/>
    </row>
    <row r="32" spans="1:22" x14ac:dyDescent="0.25">
      <c r="A32" s="23" t="s">
        <v>87</v>
      </c>
      <c r="B32" s="27">
        <v>590.50236863117379</v>
      </c>
      <c r="C32" s="23">
        <v>1.59</v>
      </c>
      <c r="E32" s="23">
        <v>142782837472.56964</v>
      </c>
      <c r="F32" s="29">
        <v>1.59</v>
      </c>
      <c r="G32" s="27">
        <v>938.89876612356636</v>
      </c>
      <c r="L32" s="100">
        <v>7.6550000000000002</v>
      </c>
      <c r="M32" s="95">
        <v>2.0000000000000001E-4</v>
      </c>
      <c r="N32" s="95"/>
      <c r="O32" s="95"/>
      <c r="P32" s="96"/>
      <c r="R32" s="100">
        <v>7.6551</v>
      </c>
      <c r="S32" s="95">
        <v>2.0000000000000001E-4</v>
      </c>
      <c r="T32" s="95"/>
      <c r="U32" s="95"/>
      <c r="V32" s="96"/>
    </row>
    <row r="33" spans="1:22" x14ac:dyDescent="0.25">
      <c r="A33" s="23" t="s">
        <v>88</v>
      </c>
      <c r="B33" s="27">
        <v>590.50612181418228</v>
      </c>
      <c r="C33" s="23">
        <v>0.02</v>
      </c>
      <c r="E33" s="23">
        <v>142783744988.18341</v>
      </c>
      <c r="F33" s="29">
        <v>0.02</v>
      </c>
      <c r="G33" s="27">
        <v>11.810122436283645</v>
      </c>
      <c r="L33" s="94">
        <v>161.96498</v>
      </c>
      <c r="M33" s="95">
        <f>L33*(M32/L32)</f>
        <v>4.2316128020901374E-3</v>
      </c>
      <c r="N33" s="95"/>
      <c r="O33" s="95"/>
      <c r="P33" s="96"/>
      <c r="R33" s="94">
        <v>161.96287000000001</v>
      </c>
      <c r="S33" s="95">
        <f>R33*(S32/R32)</f>
        <v>4.2315023970947484E-3</v>
      </c>
      <c r="T33" s="95"/>
      <c r="U33" s="95"/>
      <c r="V33" s="96"/>
    </row>
    <row r="34" spans="1:22" x14ac:dyDescent="0.25">
      <c r="F34" s="29"/>
      <c r="G34" s="33">
        <f>SUM(G17:G33)/100</f>
        <v>590.49549282562089</v>
      </c>
      <c r="L34" s="94"/>
      <c r="M34" s="95"/>
      <c r="N34" s="95"/>
      <c r="O34" s="95"/>
      <c r="P34" s="96"/>
      <c r="R34" s="94"/>
      <c r="S34" s="95"/>
      <c r="T34" s="95"/>
      <c r="U34" s="95"/>
      <c r="V34" s="96"/>
    </row>
    <row r="35" spans="1:22" x14ac:dyDescent="0.25">
      <c r="A35" s="34" t="s">
        <v>91</v>
      </c>
      <c r="G35" s="27"/>
      <c r="L35" s="94"/>
      <c r="M35" s="95"/>
      <c r="N35" s="95"/>
      <c r="O35" s="95">
        <f>L37-L33</f>
        <v>3.5017100000000028</v>
      </c>
      <c r="P35" s="96">
        <f>SQRT((M33^2)+(M37^2))</f>
        <v>6.1165850524647312E-3</v>
      </c>
      <c r="R35" s="94"/>
      <c r="S35" s="95"/>
      <c r="T35" s="95"/>
      <c r="U35" s="95">
        <f>R37-R33</f>
        <v>3.5038199999999904</v>
      </c>
      <c r="V35" s="96">
        <f>SQRT((S33^2)+(S37^2))</f>
        <v>6.1165086719337227E-3</v>
      </c>
    </row>
    <row r="36" spans="1:22" x14ac:dyDescent="0.25">
      <c r="A36" s="23" t="s">
        <v>92</v>
      </c>
      <c r="B36" s="23" t="s">
        <v>93</v>
      </c>
      <c r="C36" s="35" t="s">
        <v>94</v>
      </c>
      <c r="D36" s="35" t="s">
        <v>95</v>
      </c>
      <c r="G36" s="27"/>
      <c r="L36" s="100">
        <v>7.4930000000000003</v>
      </c>
      <c r="M36" s="95">
        <v>2.0000000000000001E-4</v>
      </c>
      <c r="N36" s="95"/>
      <c r="O36" s="95"/>
      <c r="P36" s="96"/>
      <c r="R36" s="100">
        <v>7.4930000000000003</v>
      </c>
      <c r="S36" s="95">
        <v>2.0000000000000001E-4</v>
      </c>
      <c r="T36" s="95"/>
      <c r="U36" s="95"/>
      <c r="V36" s="96"/>
    </row>
    <row r="37" spans="1:22" x14ac:dyDescent="0.25">
      <c r="A37" s="27">
        <v>5.0695219160000002</v>
      </c>
      <c r="B37" s="23">
        <v>166.50983543640001</v>
      </c>
      <c r="C37" s="35">
        <f>1000000000/806554.3937/B37</f>
        <v>7.4460585534555577</v>
      </c>
      <c r="D37" s="35"/>
      <c r="G37" s="27"/>
      <c r="L37" s="94">
        <v>165.46669</v>
      </c>
      <c r="M37" s="95">
        <f>L37*(M36/L36)</f>
        <v>4.4165671960496467E-3</v>
      </c>
      <c r="N37" s="95"/>
      <c r="O37" s="95"/>
      <c r="P37" s="96"/>
      <c r="R37" s="94">
        <v>165.46669</v>
      </c>
      <c r="S37" s="95">
        <f>R37*(S36/R36)</f>
        <v>4.4165671960496467E-3</v>
      </c>
      <c r="T37" s="95"/>
      <c r="U37" s="95"/>
      <c r="V37" s="96"/>
    </row>
    <row r="38" spans="1:22" x14ac:dyDescent="0.25">
      <c r="A38" s="27">
        <v>61.394155890999997</v>
      </c>
      <c r="B38" s="23">
        <v>166.52069558260001</v>
      </c>
      <c r="C38" s="35">
        <f t="shared" ref="C38" si="5">1000000000/806554.3937/B38</f>
        <v>7.4455729364322725</v>
      </c>
      <c r="D38" s="35"/>
      <c r="G38" s="27"/>
      <c r="H38" s="23" t="s">
        <v>89</v>
      </c>
      <c r="L38" s="97"/>
      <c r="M38" s="98"/>
      <c r="N38" s="98"/>
      <c r="O38" s="98"/>
      <c r="P38" s="99"/>
      <c r="R38" s="97"/>
      <c r="S38" s="98"/>
      <c r="T38" s="98"/>
      <c r="U38" s="98"/>
      <c r="V38" s="99"/>
    </row>
    <row r="39" spans="1:22" x14ac:dyDescent="0.25">
      <c r="A39" s="27">
        <v>5.0929633236000003</v>
      </c>
      <c r="B39" s="23">
        <v>166.5441530933</v>
      </c>
      <c r="C39" s="23">
        <f>1000000000/806554.3937/B39</f>
        <v>7.4445242379125105</v>
      </c>
      <c r="D39" s="35"/>
      <c r="G39" s="27"/>
    </row>
    <row r="40" spans="1:22" x14ac:dyDescent="0.25">
      <c r="A40" s="27">
        <v>26.494614988199999</v>
      </c>
      <c r="B40" s="23">
        <v>166.52491047340001</v>
      </c>
      <c r="C40" s="23">
        <f>1000000000/806554.3937/B40</f>
        <v>7.4453844824839628</v>
      </c>
      <c r="G40" s="27"/>
    </row>
    <row r="41" spans="1:22" x14ac:dyDescent="0.25">
      <c r="A41" s="23">
        <v>1.9487438811</v>
      </c>
      <c r="B41" s="23">
        <v>166.53352990409999</v>
      </c>
      <c r="C41" s="35">
        <f>1000000000/806554.3937/B41</f>
        <v>7.4449991247988265</v>
      </c>
      <c r="D41" s="23">
        <v>1.0652384413623039E-3</v>
      </c>
      <c r="G41" s="27"/>
    </row>
    <row r="42" spans="1:22" x14ac:dyDescent="0.25">
      <c r="B42" s="36" t="s">
        <v>96</v>
      </c>
      <c r="F42" s="23">
        <f>'Na-like Ir'!B38-'Na-like Os'!B43</f>
        <v>3.5211754632450436</v>
      </c>
      <c r="G42" s="27"/>
    </row>
    <row r="43" spans="1:22" x14ac:dyDescent="0.25">
      <c r="B43" s="37">
        <f>(A37*B37+A38*B38+A41*B41+A39*B39+A40*B40)/100</f>
        <v>166.5227065345029</v>
      </c>
      <c r="C43" s="37">
        <f>1000000000/806554.3937/B43</f>
        <v>7.4454830226338702</v>
      </c>
      <c r="G43" s="27"/>
    </row>
    <row r="44" spans="1:22" x14ac:dyDescent="0.25">
      <c r="A44" s="34" t="s">
        <v>97</v>
      </c>
      <c r="G44" s="27"/>
      <c r="I44" s="27"/>
    </row>
    <row r="45" spans="1:22" x14ac:dyDescent="0.25">
      <c r="A45" s="27">
        <v>6.3967210629000002</v>
      </c>
      <c r="B45" s="27">
        <v>590.4876964929</v>
      </c>
      <c r="C45" s="23">
        <f t="shared" ref="C45:C47" si="6">1000000000/806554.3937/B45</f>
        <v>2.0996914783314056</v>
      </c>
      <c r="G45" s="27"/>
      <c r="I45" s="27"/>
      <c r="J45" s="27"/>
    </row>
    <row r="46" spans="1:22" x14ac:dyDescent="0.25">
      <c r="A46" s="27">
        <v>71.223552480899997</v>
      </c>
      <c r="B46" s="27">
        <v>590.49280140370001</v>
      </c>
      <c r="C46" s="23">
        <f t="shared" si="6"/>
        <v>2.0996733261411014</v>
      </c>
      <c r="G46" s="27"/>
    </row>
    <row r="47" spans="1:22" x14ac:dyDescent="0.25">
      <c r="A47" s="27">
        <v>14.640329101500001</v>
      </c>
      <c r="B47" s="27">
        <v>590.49904151099997</v>
      </c>
      <c r="C47" s="23">
        <f t="shared" si="6"/>
        <v>2.0996511378123679</v>
      </c>
      <c r="G47" s="27"/>
    </row>
    <row r="48" spans="1:22" x14ac:dyDescent="0.25">
      <c r="A48" s="27">
        <v>6.1205221522000004</v>
      </c>
      <c r="B48" s="27">
        <v>590.51358091830002</v>
      </c>
      <c r="C48" s="23">
        <f>1000000000/806554.3937/B48</f>
        <v>2.0995994409774985</v>
      </c>
      <c r="G48" s="27"/>
    </row>
    <row r="49" spans="1:7" x14ac:dyDescent="0.25">
      <c r="A49" s="27">
        <v>1.6188752024999999</v>
      </c>
      <c r="B49" s="27">
        <v>590.50350922220002</v>
      </c>
      <c r="C49" s="23">
        <f>1000000000/806554.3937/B49</f>
        <v>2.0996352519882224</v>
      </c>
      <c r="G49" s="27"/>
    </row>
    <row r="50" spans="1:7" x14ac:dyDescent="0.25">
      <c r="B50" s="36" t="s">
        <v>98</v>
      </c>
      <c r="G50" s="27"/>
    </row>
    <row r="51" spans="1:7" x14ac:dyDescent="0.25">
      <c r="B51" s="37">
        <f>(A45*B45+A46*B46+A47*B47+A48*B48+A49*B49)/100</f>
        <v>590.4948335900533</v>
      </c>
      <c r="C51" s="37">
        <f t="shared" ref="C51" si="7">1000000000/806554.3937/B51</f>
        <v>2.0996661001210977</v>
      </c>
      <c r="G51" s="27"/>
    </row>
    <row r="52" spans="1:7" x14ac:dyDescent="0.25">
      <c r="G52" s="27"/>
    </row>
    <row r="54" spans="1:7" x14ac:dyDescent="0.25">
      <c r="A54" s="38" t="s">
        <v>99</v>
      </c>
      <c r="B54" s="39" t="s">
        <v>100</v>
      </c>
      <c r="C54" s="38"/>
      <c r="D54" s="38" t="s">
        <v>101</v>
      </c>
    </row>
    <row r="55" spans="1:7" x14ac:dyDescent="0.25">
      <c r="A55" s="23" t="s">
        <v>33</v>
      </c>
      <c r="B55" s="29">
        <v>-3353.262335791298</v>
      </c>
      <c r="C55" s="23" t="s">
        <v>102</v>
      </c>
      <c r="D55" s="23">
        <v>-3361</v>
      </c>
    </row>
    <row r="56" spans="1:7" x14ac:dyDescent="0.25">
      <c r="B56" s="40">
        <v>-3381.8030175772587</v>
      </c>
      <c r="C56" s="41" t="s">
        <v>103</v>
      </c>
      <c r="G56" s="27"/>
    </row>
    <row r="57" spans="1:7" x14ac:dyDescent="0.25">
      <c r="G57" s="27"/>
    </row>
    <row r="58" spans="1:7" x14ac:dyDescent="0.25">
      <c r="G58" s="27"/>
    </row>
    <row r="59" spans="1:7" x14ac:dyDescent="0.25">
      <c r="A59" s="23" t="s">
        <v>34</v>
      </c>
      <c r="B59" s="29">
        <v>-3592.6836739766459</v>
      </c>
      <c r="C59" s="23" t="s">
        <v>102</v>
      </c>
      <c r="D59" s="23">
        <v>-3602</v>
      </c>
    </row>
    <row r="60" spans="1:7" x14ac:dyDescent="0.25">
      <c r="B60" s="40">
        <v>-3623.1506475696242</v>
      </c>
      <c r="C60" s="41" t="s">
        <v>103</v>
      </c>
    </row>
  </sheetData>
  <mergeCells count="6">
    <mergeCell ref="L18:P18"/>
    <mergeCell ref="L30:P30"/>
    <mergeCell ref="L17:P17"/>
    <mergeCell ref="R17:V17"/>
    <mergeCell ref="R18:V18"/>
    <mergeCell ref="R30:V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8456-B118-48AF-BEDE-7FF41A32D2D0}">
  <dimension ref="A1:U50"/>
  <sheetViews>
    <sheetView topLeftCell="A16" workbookViewId="0">
      <selection activeCell="D45" sqref="D45"/>
    </sheetView>
  </sheetViews>
  <sheetFormatPr defaultRowHeight="15" x14ac:dyDescent="0.25"/>
  <cols>
    <col min="1" max="1" width="26.125" style="23" customWidth="1"/>
    <col min="2" max="2" width="12.625" style="27" customWidth="1"/>
    <col min="3" max="3" width="15.875" style="23" customWidth="1"/>
    <col min="4" max="4" width="22.5" style="23" customWidth="1"/>
    <col min="5" max="5" width="11.5" style="23" customWidth="1"/>
    <col min="6" max="6" width="18" style="23" customWidth="1"/>
    <col min="7" max="7" width="27.375" style="23" customWidth="1"/>
    <col min="8" max="8" width="25.625" style="23" customWidth="1"/>
    <col min="9" max="9" width="19.25" style="23" customWidth="1"/>
    <col min="10" max="16384" width="9" style="23"/>
  </cols>
  <sheetData>
    <row r="1" spans="1:21" x14ac:dyDescent="0.25">
      <c r="A1" s="25" t="s">
        <v>76</v>
      </c>
      <c r="B1" s="26" t="s">
        <v>77</v>
      </c>
      <c r="C1" s="25" t="s">
        <v>78</v>
      </c>
      <c r="D1" s="25" t="s">
        <v>104</v>
      </c>
      <c r="E1" s="25" t="s">
        <v>80</v>
      </c>
      <c r="F1" s="25" t="s">
        <v>81</v>
      </c>
    </row>
    <row r="2" spans="1:21" x14ac:dyDescent="0.25">
      <c r="A2" s="42" t="s">
        <v>105</v>
      </c>
      <c r="B2" s="27">
        <v>170.04561641992055</v>
      </c>
      <c r="C2" s="23">
        <v>62.7</v>
      </c>
      <c r="D2" s="23">
        <v>6.25E-2</v>
      </c>
      <c r="E2" s="28">
        <f>B2*241798924.2</f>
        <v>41116847115.262642</v>
      </c>
      <c r="F2" s="29">
        <f>D2*C$2</f>
        <v>3.9187500000000002</v>
      </c>
      <c r="G2" s="23">
        <f>B2*F2</f>
        <v>666.36625934556366</v>
      </c>
    </row>
    <row r="3" spans="1:21" x14ac:dyDescent="0.25">
      <c r="B3" s="27">
        <v>170.04779434304862</v>
      </c>
      <c r="D3" s="23">
        <v>0.3125</v>
      </c>
      <c r="E3" s="28">
        <f t="shared" ref="E3:E10" si="0">B3*241798924.2</f>
        <v>41117373734.732002</v>
      </c>
      <c r="F3" s="29">
        <f t="shared" ref="F3:F5" si="1">D3*C$2</f>
        <v>19.59375</v>
      </c>
      <c r="G3" s="23">
        <f t="shared" ref="G3:G10" si="2">B3*F3</f>
        <v>3331.873970409109</v>
      </c>
      <c r="I3" s="12" t="s">
        <v>45</v>
      </c>
      <c r="J3" s="13">
        <v>299792458</v>
      </c>
      <c r="K3" s="30"/>
      <c r="L3" s="63" t="s">
        <v>126</v>
      </c>
    </row>
    <row r="4" spans="1:21" x14ac:dyDescent="0.25">
      <c r="B4" s="27">
        <v>170.0389649716175</v>
      </c>
      <c r="D4" s="23">
        <v>0.3125</v>
      </c>
      <c r="E4" s="28">
        <f t="shared" si="0"/>
        <v>41115238802.218597</v>
      </c>
      <c r="F4" s="29">
        <f t="shared" si="1"/>
        <v>19.59375</v>
      </c>
      <c r="G4" s="23">
        <f t="shared" si="2"/>
        <v>3331.7009699126306</v>
      </c>
      <c r="I4" s="12" t="s">
        <v>43</v>
      </c>
      <c r="J4" s="13">
        <f>6.62607015*(10)^(-34)</f>
        <v>6.6260701500000015E-34</v>
      </c>
      <c r="K4" s="30"/>
      <c r="L4" s="62" t="s">
        <v>125</v>
      </c>
      <c r="Q4" s="64" t="s">
        <v>39</v>
      </c>
      <c r="R4" s="23">
        <v>8065.5439370000004</v>
      </c>
    </row>
    <row r="5" spans="1:21" x14ac:dyDescent="0.25">
      <c r="B5" s="27">
        <v>170.04114289474558</v>
      </c>
      <c r="D5" s="23">
        <v>0.3125</v>
      </c>
      <c r="E5" s="28">
        <f t="shared" si="0"/>
        <v>41115765421.68795</v>
      </c>
      <c r="F5" s="29">
        <f t="shared" si="1"/>
        <v>19.59375</v>
      </c>
      <c r="G5" s="23">
        <f t="shared" si="2"/>
        <v>3331.7436435939212</v>
      </c>
      <c r="I5" s="12" t="s">
        <v>46</v>
      </c>
      <c r="J5" s="13">
        <f>1/(1.602176634*10^(-19))</f>
        <v>6.2415090744607621E+18</v>
      </c>
      <c r="K5" s="62" t="s">
        <v>131</v>
      </c>
      <c r="L5" s="64" t="s">
        <v>128</v>
      </c>
      <c r="M5" s="64" t="s">
        <v>71</v>
      </c>
      <c r="N5" s="64" t="s">
        <v>31</v>
      </c>
      <c r="O5" s="64" t="s">
        <v>129</v>
      </c>
      <c r="Q5" s="64" t="s">
        <v>38</v>
      </c>
      <c r="R5" s="64" t="s">
        <v>41</v>
      </c>
      <c r="S5" s="64"/>
      <c r="T5" s="65" t="s">
        <v>130</v>
      </c>
    </row>
    <row r="6" spans="1:21" x14ac:dyDescent="0.25">
      <c r="E6" s="28"/>
      <c r="F6" s="29"/>
      <c r="J6" s="30"/>
      <c r="K6" s="30">
        <v>169.96243000000001</v>
      </c>
      <c r="L6" s="30">
        <v>7.2948000000000004</v>
      </c>
      <c r="M6" s="23">
        <v>1.2999999999999999E-3</v>
      </c>
      <c r="N6" s="23">
        <v>-3723</v>
      </c>
      <c r="O6" s="23">
        <v>5.4009999999999998</v>
      </c>
      <c r="Q6" s="23">
        <f>N6*(O10-O6)</f>
        <v>0.74459999999826465</v>
      </c>
      <c r="R6" s="23">
        <f>Q6/R4</f>
        <v>9.2318634157142847E-5</v>
      </c>
      <c r="T6" s="66">
        <f>K6+R6</f>
        <v>169.96252231863417</v>
      </c>
      <c r="U6" s="64" t="s">
        <v>41</v>
      </c>
    </row>
    <row r="7" spans="1:21" x14ac:dyDescent="0.25">
      <c r="A7" s="42" t="s">
        <v>106</v>
      </c>
      <c r="B7" s="27">
        <v>170.04828838661157</v>
      </c>
      <c r="C7" s="23">
        <v>37.299999999999997</v>
      </c>
      <c r="D7" s="23">
        <v>6.25E-2</v>
      </c>
      <c r="E7" s="28">
        <f t="shared" si="0"/>
        <v>41117493193.934029</v>
      </c>
      <c r="F7" s="29">
        <f>C$7*D7</f>
        <v>2.3312499999999998</v>
      </c>
      <c r="G7" s="23">
        <f t="shared" si="2"/>
        <v>396.4250723012882</v>
      </c>
    </row>
    <row r="8" spans="1:21" x14ac:dyDescent="0.25">
      <c r="B8" s="27">
        <v>170.05028849936838</v>
      </c>
      <c r="D8" s="23">
        <v>0.3125</v>
      </c>
      <c r="E8" s="28">
        <f t="shared" si="0"/>
        <v>41117976819.046906</v>
      </c>
      <c r="F8" s="29">
        <f t="shared" ref="F8:F10" si="3">C$7*D8</f>
        <v>11.65625</v>
      </c>
      <c r="G8" s="23">
        <f t="shared" si="2"/>
        <v>1982.1486753207625</v>
      </c>
      <c r="L8" s="64" t="s">
        <v>127</v>
      </c>
    </row>
    <row r="9" spans="1:21" x14ac:dyDescent="0.25">
      <c r="B9" s="27">
        <v>170.04217963385702</v>
      </c>
      <c r="D9" s="23">
        <v>0.3125</v>
      </c>
      <c r="E9" s="28">
        <f t="shared" si="0"/>
        <v>41116016104.089775</v>
      </c>
      <c r="F9" s="29">
        <f t="shared" si="3"/>
        <v>11.65625</v>
      </c>
      <c r="G9" s="23">
        <f t="shared" si="2"/>
        <v>1982.0541563571458</v>
      </c>
      <c r="L9" s="64" t="s">
        <v>128</v>
      </c>
      <c r="M9" s="64" t="s">
        <v>71</v>
      </c>
      <c r="N9" s="64" t="s">
        <v>31</v>
      </c>
      <c r="O9" s="64" t="s">
        <v>129</v>
      </c>
    </row>
    <row r="10" spans="1:21" x14ac:dyDescent="0.25">
      <c r="B10" s="27">
        <v>170.04417974661382</v>
      </c>
      <c r="D10" s="23">
        <v>0.3125</v>
      </c>
      <c r="E10" s="28">
        <f t="shared" si="0"/>
        <v>41116499729.202652</v>
      </c>
      <c r="F10" s="29">
        <f t="shared" si="3"/>
        <v>11.65625</v>
      </c>
      <c r="G10" s="23">
        <f t="shared" si="2"/>
        <v>1982.0774701714674</v>
      </c>
      <c r="J10" s="30"/>
      <c r="K10" s="30"/>
      <c r="L10" s="30">
        <f>10^(9)*J5*J4*J3/T6</f>
        <v>7.2947963316738225</v>
      </c>
      <c r="M10" s="23">
        <v>1.2999999999999999E-3</v>
      </c>
      <c r="N10" s="23">
        <v>-3361</v>
      </c>
      <c r="O10" s="23">
        <v>5.4008000000000003</v>
      </c>
    </row>
    <row r="11" spans="1:21" x14ac:dyDescent="0.25">
      <c r="F11" s="29"/>
      <c r="G11" s="37">
        <f>SUM(G2:G10)/100</f>
        <v>170.0439021741189</v>
      </c>
      <c r="H11" s="23" t="s">
        <v>107</v>
      </c>
      <c r="J11" s="30"/>
      <c r="K11" s="30"/>
      <c r="L11" s="30"/>
    </row>
    <row r="12" spans="1:21" x14ac:dyDescent="0.25">
      <c r="A12" s="25" t="s">
        <v>90</v>
      </c>
      <c r="B12" s="26" t="s">
        <v>77</v>
      </c>
      <c r="C12" s="25" t="s">
        <v>78</v>
      </c>
      <c r="D12" s="25" t="s">
        <v>104</v>
      </c>
      <c r="E12" s="25" t="s">
        <v>80</v>
      </c>
      <c r="F12" s="25" t="s">
        <v>81</v>
      </c>
      <c r="J12" s="31"/>
      <c r="K12" s="31"/>
    </row>
    <row r="13" spans="1:21" x14ac:dyDescent="0.25">
      <c r="A13" s="42" t="s">
        <v>105</v>
      </c>
      <c r="B13" s="27">
        <v>621.27427101113358</v>
      </c>
      <c r="C13" s="23">
        <v>62.7</v>
      </c>
      <c r="D13" s="23">
        <v>6.25E-2</v>
      </c>
      <c r="E13" s="23">
        <f>B13*241798924.2</f>
        <v>150223450363.63135</v>
      </c>
      <c r="F13" s="29">
        <f t="shared" ref="F13:F20" si="4">D13*C$13</f>
        <v>3.9187500000000002</v>
      </c>
      <c r="G13" s="23">
        <f>B13*F13</f>
        <v>2434.6185495248797</v>
      </c>
      <c r="J13" s="30"/>
      <c r="K13" s="30"/>
      <c r="L13" s="30"/>
    </row>
    <row r="14" spans="1:21" x14ac:dyDescent="0.25">
      <c r="B14" s="27">
        <v>621.26761956283053</v>
      </c>
      <c r="D14" s="23">
        <v>0</v>
      </c>
      <c r="E14" s="23">
        <f t="shared" ref="E14:E29" si="5">B14*241798924.2</f>
        <v>150221842050.58728</v>
      </c>
      <c r="F14" s="29">
        <f t="shared" si="4"/>
        <v>0</v>
      </c>
      <c r="G14" s="23">
        <f t="shared" ref="G14:G29" si="6">B14*F14</f>
        <v>0</v>
      </c>
    </row>
    <row r="15" spans="1:21" x14ac:dyDescent="0.25">
      <c r="B15" s="27">
        <v>621.27274382136363</v>
      </c>
      <c r="D15" s="23">
        <v>0.15625</v>
      </c>
      <c r="E15" s="23">
        <f t="shared" si="5"/>
        <v>150223081090.7879</v>
      </c>
      <c r="F15" s="29">
        <f t="shared" si="4"/>
        <v>9.796875</v>
      </c>
      <c r="G15" s="23">
        <f t="shared" si="6"/>
        <v>6086.5314121249221</v>
      </c>
    </row>
    <row r="16" spans="1:21" x14ac:dyDescent="0.25">
      <c r="B16" s="27">
        <v>621.26609237306059</v>
      </c>
      <c r="D16" s="23">
        <v>3.125E-2</v>
      </c>
      <c r="E16" s="23">
        <f t="shared" si="5"/>
        <v>150221472777.74387</v>
      </c>
      <c r="F16" s="29">
        <f t="shared" si="4"/>
        <v>1.9593750000000001</v>
      </c>
      <c r="G16" s="23">
        <f t="shared" si="6"/>
        <v>1217.2932497434656</v>
      </c>
      <c r="K16" s="23">
        <f>7.65703</f>
        <v>7.6570299999999998</v>
      </c>
      <c r="L16" s="23">
        <f>K16*(0.042/161.922)</f>
        <v>1.9861122021714163E-3</v>
      </c>
      <c r="N16" s="23">
        <v>7.4489999999999998</v>
      </c>
      <c r="O16" s="23">
        <v>1.2999999999999999E-3</v>
      </c>
    </row>
    <row r="17" spans="1:19" x14ac:dyDescent="0.25">
      <c r="B17" s="27">
        <v>621.27132701099526</v>
      </c>
      <c r="D17" s="23">
        <v>0.15625</v>
      </c>
      <c r="E17" s="23">
        <f t="shared" si="5"/>
        <v>150222738507.56506</v>
      </c>
      <c r="F17" s="29">
        <f t="shared" si="4"/>
        <v>9.796875</v>
      </c>
      <c r="G17" s="23">
        <f t="shared" si="6"/>
        <v>6086.517531810844</v>
      </c>
      <c r="K17" s="23">
        <f>7.49453</f>
        <v>7.4945300000000001</v>
      </c>
      <c r="L17" s="23">
        <f>K17*(0.044/165.433)</f>
        <v>1.9933104036075028E-3</v>
      </c>
      <c r="N17" s="23">
        <v>7.2948000000000004</v>
      </c>
      <c r="O17" s="23">
        <v>1.2999999999999999E-3</v>
      </c>
    </row>
    <row r="18" spans="1:19" x14ac:dyDescent="0.25">
      <c r="B18" s="27">
        <v>621.26467556269222</v>
      </c>
      <c r="D18" s="23">
        <v>0.15625</v>
      </c>
      <c r="E18" s="23">
        <f t="shared" si="5"/>
        <v>150221130194.521</v>
      </c>
      <c r="F18" s="29">
        <f t="shared" si="4"/>
        <v>9.796875</v>
      </c>
      <c r="G18" s="23">
        <f t="shared" si="6"/>
        <v>6086.4523684032501</v>
      </c>
      <c r="K18" s="23">
        <f>K16-K17</f>
        <v>0.16249999999999964</v>
      </c>
      <c r="L18" s="23">
        <f>SQRT((L17^2)+(L16^2))</f>
        <v>2.8138813131943037E-3</v>
      </c>
    </row>
    <row r="19" spans="1:19" x14ac:dyDescent="0.25">
      <c r="B19" s="27">
        <v>621.27329571837095</v>
      </c>
      <c r="D19" s="23">
        <v>0</v>
      </c>
      <c r="E19" s="23">
        <f t="shared" si="5"/>
        <v>150223214538.89056</v>
      </c>
      <c r="F19" s="29">
        <f t="shared" si="4"/>
        <v>0</v>
      </c>
      <c r="G19" s="23">
        <f t="shared" si="6"/>
        <v>0</v>
      </c>
      <c r="N19" s="23">
        <v>166.44399999999999</v>
      </c>
      <c r="O19" s="23">
        <f>N19*(O16/N16)</f>
        <v>2.9047818499127399E-2</v>
      </c>
    </row>
    <row r="20" spans="1:19" x14ac:dyDescent="0.25">
      <c r="B20" s="27">
        <v>621.2666442700679</v>
      </c>
      <c r="D20" s="23">
        <v>0.4375</v>
      </c>
      <c r="E20" s="23">
        <f t="shared" si="5"/>
        <v>150221606225.8465</v>
      </c>
      <c r="F20" s="29">
        <f t="shared" si="4"/>
        <v>27.431250000000002</v>
      </c>
      <c r="G20" s="23">
        <f t="shared" si="6"/>
        <v>17042.120635633302</v>
      </c>
      <c r="N20" s="23">
        <f>169.962</f>
        <v>169.96199999999999</v>
      </c>
      <c r="O20" s="23">
        <f>N20*(O17/N17)</f>
        <v>3.0288781049514716E-2</v>
      </c>
    </row>
    <row r="21" spans="1:19" x14ac:dyDescent="0.25">
      <c r="F21" s="29"/>
      <c r="G21" s="23">
        <f t="shared" si="6"/>
        <v>0</v>
      </c>
      <c r="K21" s="23">
        <f>SQRT((0.042^2)+(0.044^2))</f>
        <v>6.0827625302982198E-2</v>
      </c>
    </row>
    <row r="22" spans="1:19" x14ac:dyDescent="0.25">
      <c r="A22" s="42" t="s">
        <v>106</v>
      </c>
      <c r="B22" s="27">
        <v>621.2772468747221</v>
      </c>
      <c r="C22" s="23">
        <v>37.299999999999997</v>
      </c>
      <c r="D22" s="23">
        <v>6.25E-2</v>
      </c>
      <c r="E22" s="23">
        <f t="shared" si="5"/>
        <v>150224169924.24561</v>
      </c>
      <c r="F22" s="29">
        <f>D22*C$22</f>
        <v>2.3312499999999998</v>
      </c>
      <c r="G22" s="23">
        <f t="shared" si="6"/>
        <v>1448.3525817766958</v>
      </c>
    </row>
    <row r="23" spans="1:19" x14ac:dyDescent="0.25">
      <c r="B23" s="27">
        <v>621.27113812196751</v>
      </c>
      <c r="D23" s="23">
        <v>0</v>
      </c>
      <c r="E23" s="23">
        <f t="shared" si="5"/>
        <v>150222692834.40134</v>
      </c>
      <c r="F23" s="29">
        <f t="shared" ref="F23:F29" si="7">D23*C$22</f>
        <v>0</v>
      </c>
      <c r="G23" s="23">
        <f t="shared" si="6"/>
        <v>0</v>
      </c>
      <c r="K23" s="104" t="s">
        <v>142</v>
      </c>
    </row>
    <row r="24" spans="1:19" x14ac:dyDescent="0.25">
      <c r="B24" s="27">
        <v>621.27556893770566</v>
      </c>
      <c r="D24" s="23">
        <v>0.15625</v>
      </c>
      <c r="E24" s="23">
        <f t="shared" si="5"/>
        <v>150223764200.88016</v>
      </c>
      <c r="F24" s="29">
        <f t="shared" si="7"/>
        <v>5.828125</v>
      </c>
      <c r="G24" s="23">
        <f t="shared" si="6"/>
        <v>3620.8716752150658</v>
      </c>
      <c r="K24" s="104" t="s">
        <v>126</v>
      </c>
      <c r="P24" s="64" t="s">
        <v>38</v>
      </c>
      <c r="Q24" s="64" t="s">
        <v>41</v>
      </c>
      <c r="S24" s="104" t="s">
        <v>143</v>
      </c>
    </row>
    <row r="25" spans="1:19" x14ac:dyDescent="0.25">
      <c r="B25" s="27">
        <v>621.26946018495107</v>
      </c>
      <c r="D25" s="23">
        <v>3.125E-2</v>
      </c>
      <c r="E25" s="23">
        <f t="shared" si="5"/>
        <v>150222287111.03589</v>
      </c>
      <c r="F25" s="29">
        <f t="shared" si="7"/>
        <v>1.1656249999999999</v>
      </c>
      <c r="G25" s="23">
        <f t="shared" si="6"/>
        <v>724.16721452808349</v>
      </c>
      <c r="J25" s="23">
        <v>166.42</v>
      </c>
      <c r="K25" s="23">
        <v>7.4500799999999998</v>
      </c>
      <c r="L25" s="23">
        <f>-3353</f>
        <v>-3353</v>
      </c>
      <c r="M25" s="23">
        <v>5.3760000000000003</v>
      </c>
      <c r="P25" s="104">
        <f>(M28-M25)*L25</f>
        <v>-102.60179999999912</v>
      </c>
      <c r="Q25" s="23">
        <f>P25/R4</f>
        <v>-1.2721001931354194E-2</v>
      </c>
      <c r="S25" s="37">
        <f>J25+Q25</f>
        <v>166.40727899806862</v>
      </c>
    </row>
    <row r="26" spans="1:19" x14ac:dyDescent="0.25">
      <c r="B26" s="27">
        <v>621.27399236650353</v>
      </c>
      <c r="D26" s="23">
        <v>0.15625</v>
      </c>
      <c r="E26" s="23">
        <f t="shared" si="5"/>
        <v>150223382987.65955</v>
      </c>
      <c r="F26" s="29">
        <f t="shared" si="7"/>
        <v>5.828125</v>
      </c>
      <c r="G26" s="23">
        <f t="shared" si="6"/>
        <v>3620.8624867610283</v>
      </c>
    </row>
    <row r="27" spans="1:19" x14ac:dyDescent="0.25">
      <c r="B27" s="27">
        <v>621.26788361374895</v>
      </c>
      <c r="D27" s="23">
        <v>0.15625</v>
      </c>
      <c r="E27" s="23">
        <f t="shared" si="5"/>
        <v>150221905897.81531</v>
      </c>
      <c r="F27" s="29">
        <f t="shared" si="7"/>
        <v>5.828125</v>
      </c>
      <c r="G27" s="23">
        <f t="shared" si="6"/>
        <v>3620.8268841863805</v>
      </c>
      <c r="K27" s="104" t="s">
        <v>127</v>
      </c>
    </row>
    <row r="28" spans="1:19" x14ac:dyDescent="0.25">
      <c r="B28" s="27">
        <v>621.27607576677644</v>
      </c>
      <c r="D28" s="23">
        <v>0</v>
      </c>
      <c r="E28" s="23">
        <f t="shared" si="5"/>
        <v>150223886751.60422</v>
      </c>
      <c r="F28" s="29">
        <f t="shared" si="7"/>
        <v>0</v>
      </c>
      <c r="G28" s="23">
        <f t="shared" si="6"/>
        <v>0</v>
      </c>
      <c r="K28" s="23">
        <v>7.4506600000000001</v>
      </c>
      <c r="L28" s="23">
        <v>-3353</v>
      </c>
      <c r="M28" s="23">
        <v>5.4066000000000001</v>
      </c>
    </row>
    <row r="29" spans="1:19" x14ac:dyDescent="0.25">
      <c r="B29" s="27">
        <v>621.26996701402186</v>
      </c>
      <c r="D29" s="23">
        <v>0.4375</v>
      </c>
      <c r="E29" s="23">
        <f t="shared" si="5"/>
        <v>150222409661.75998</v>
      </c>
      <c r="F29" s="29">
        <f t="shared" si="7"/>
        <v>16.318749999999998</v>
      </c>
      <c r="G29" s="23">
        <f t="shared" si="6"/>
        <v>10138.349274210068</v>
      </c>
    </row>
    <row r="30" spans="1:19" x14ac:dyDescent="0.25">
      <c r="F30" s="29"/>
      <c r="G30" s="37">
        <f>SUM(G13:G29)/100</f>
        <v>621.2696386391799</v>
      </c>
      <c r="H30" s="23" t="s">
        <v>108</v>
      </c>
      <c r="P30" s="23">
        <f>7.45006-7.29662</f>
        <v>0.1534399999999998</v>
      </c>
    </row>
    <row r="31" spans="1:19" x14ac:dyDescent="0.25">
      <c r="F31" s="29"/>
      <c r="P31" s="23">
        <f>169.92-166.41</f>
        <v>3.5099999999999909</v>
      </c>
    </row>
    <row r="32" spans="1:19" x14ac:dyDescent="0.25">
      <c r="F32" s="29"/>
      <c r="K32" s="23">
        <f>7.4463-7.2919</f>
        <v>0.15439999999999987</v>
      </c>
    </row>
    <row r="33" spans="1:4" x14ac:dyDescent="0.25">
      <c r="A33" s="38" t="s">
        <v>91</v>
      </c>
    </row>
    <row r="34" spans="1:4" x14ac:dyDescent="0.25">
      <c r="A34" s="23" t="s">
        <v>92</v>
      </c>
      <c r="B34" s="27" t="s">
        <v>93</v>
      </c>
      <c r="C34" s="35" t="s">
        <v>94</v>
      </c>
      <c r="D34" s="35" t="s">
        <v>95</v>
      </c>
    </row>
    <row r="35" spans="1:4" x14ac:dyDescent="0.25">
      <c r="A35" s="23">
        <v>59.830383133300003</v>
      </c>
      <c r="B35" s="27">
        <v>170.04100940550001</v>
      </c>
      <c r="C35" s="23">
        <f>1000000000/806554.3937/B35</f>
        <v>7.2914292188716017</v>
      </c>
    </row>
    <row r="36" spans="1:4" x14ac:dyDescent="0.25">
      <c r="A36" s="23">
        <v>40.169616866699997</v>
      </c>
      <c r="B36" s="27">
        <v>170.0481605622</v>
      </c>
      <c r="C36" s="23">
        <f>1000000000/806554.3937/B36</f>
        <v>7.2911225871930316</v>
      </c>
      <c r="D36" s="23">
        <f>C35-C36</f>
        <v>3.0663167857003515E-4</v>
      </c>
    </row>
    <row r="37" spans="1:4" x14ac:dyDescent="0.25">
      <c r="B37" s="43" t="s">
        <v>96</v>
      </c>
    </row>
    <row r="38" spans="1:4" x14ac:dyDescent="0.25">
      <c r="B38" s="44">
        <f>(A35*B35+A36*B36)/100</f>
        <v>170.04388199774795</v>
      </c>
      <c r="C38" s="37">
        <f>1000000000/806554.3937/B38</f>
        <v>7.2913060430019119</v>
      </c>
    </row>
    <row r="39" spans="1:4" x14ac:dyDescent="0.25">
      <c r="A39" s="38" t="s">
        <v>97</v>
      </c>
    </row>
    <row r="40" spans="1:4" x14ac:dyDescent="0.25">
      <c r="A40" s="23">
        <v>59.034120342199998</v>
      </c>
      <c r="B40" s="27">
        <v>621.26707881669995</v>
      </c>
      <c r="C40" s="23">
        <f t="shared" ref="C40:C43" si="8">1000000000/806554.3937/B40</f>
        <v>1.9956666410638659</v>
      </c>
    </row>
    <row r="41" spans="1:4" x14ac:dyDescent="0.25">
      <c r="A41" s="23">
        <v>40.965879657800002</v>
      </c>
      <c r="B41" s="27">
        <v>621.27305633109995</v>
      </c>
      <c r="C41" s="23">
        <f t="shared" si="8"/>
        <v>1.9956474399638617</v>
      </c>
    </row>
    <row r="42" spans="1:4" x14ac:dyDescent="0.25">
      <c r="B42" s="43" t="s">
        <v>98</v>
      </c>
    </row>
    <row r="43" spans="1:4" x14ac:dyDescent="0.25">
      <c r="B43" s="44">
        <f>(A40*B40+A41*B41)/100</f>
        <v>621.26952755805553</v>
      </c>
      <c r="C43" s="37">
        <f t="shared" si="8"/>
        <v>1.9956587751196675</v>
      </c>
    </row>
    <row r="45" spans="1:4" x14ac:dyDescent="0.25">
      <c r="A45" s="38" t="s">
        <v>99</v>
      </c>
      <c r="B45" s="39" t="s">
        <v>100</v>
      </c>
      <c r="C45" s="38"/>
      <c r="D45" s="38" t="s">
        <v>101</v>
      </c>
    </row>
    <row r="46" spans="1:4" x14ac:dyDescent="0.25">
      <c r="A46" s="23" t="s">
        <v>33</v>
      </c>
      <c r="B46" s="45">
        <v>-3699.9256231250724</v>
      </c>
      <c r="C46" s="23" t="s">
        <v>102</v>
      </c>
      <c r="D46" s="23">
        <v>-3723</v>
      </c>
    </row>
    <row r="47" spans="1:4" x14ac:dyDescent="0.25">
      <c r="B47" s="45">
        <v>-3741.6805144156797</v>
      </c>
      <c r="C47" s="23" t="s">
        <v>103</v>
      </c>
    </row>
    <row r="48" spans="1:4" x14ac:dyDescent="0.25">
      <c r="B48" s="46"/>
    </row>
    <row r="49" spans="1:4" x14ac:dyDescent="0.25">
      <c r="A49" s="23" t="s">
        <v>34</v>
      </c>
      <c r="B49" s="29">
        <v>-3974.3819017331334</v>
      </c>
      <c r="C49" s="23" t="s">
        <v>102</v>
      </c>
    </row>
    <row r="50" spans="1:4" x14ac:dyDescent="0.25">
      <c r="B50" s="29">
        <v>-4019.0672102135723</v>
      </c>
      <c r="C50" s="23" t="s">
        <v>103</v>
      </c>
      <c r="D50" s="23">
        <v>-4000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5D597-46D5-4E68-96AC-7A65AF639212}">
  <dimension ref="A1:N49"/>
  <sheetViews>
    <sheetView topLeftCell="A52" workbookViewId="0">
      <selection activeCell="C35" sqref="C35:D39"/>
    </sheetView>
  </sheetViews>
  <sheetFormatPr defaultRowHeight="15.75" x14ac:dyDescent="0.25"/>
  <cols>
    <col min="2" max="2" width="11.75" bestFit="1" customWidth="1"/>
    <col min="4" max="4" width="16.5" bestFit="1" customWidth="1"/>
    <col min="5" max="5" width="10.5" bestFit="1" customWidth="1"/>
    <col min="6" max="6" width="14.625" bestFit="1" customWidth="1"/>
    <col min="8" max="8" width="11.875" bestFit="1" customWidth="1"/>
    <col min="10" max="10" width="9.375" bestFit="1" customWidth="1"/>
    <col min="11" max="11" width="11.375" bestFit="1" customWidth="1"/>
  </cols>
  <sheetData>
    <row r="1" spans="1:14" x14ac:dyDescent="0.25">
      <c r="A1" s="25" t="s">
        <v>76</v>
      </c>
      <c r="B1" s="25" t="s">
        <v>77</v>
      </c>
      <c r="C1" s="25" t="s">
        <v>78</v>
      </c>
      <c r="D1" s="25" t="s">
        <v>79</v>
      </c>
      <c r="E1" s="25" t="s">
        <v>80</v>
      </c>
      <c r="F1" s="25" t="s">
        <v>81</v>
      </c>
    </row>
    <row r="2" spans="1:14" x14ac:dyDescent="0.25">
      <c r="A2" s="23" t="s">
        <v>82</v>
      </c>
      <c r="B2" s="27">
        <v>166.52027941212401</v>
      </c>
      <c r="C2" s="23">
        <v>40.78</v>
      </c>
      <c r="D2" s="23"/>
      <c r="E2" s="28">
        <v>40264424419.334991</v>
      </c>
      <c r="F2" s="29">
        <v>40.78</v>
      </c>
      <c r="J2" t="str">
        <f t="shared" ref="J2:L3" si="0">A2</f>
        <v>Os192</v>
      </c>
      <c r="K2" s="92">
        <f t="shared" si="0"/>
        <v>166.52027941212401</v>
      </c>
      <c r="L2">
        <f t="shared" si="0"/>
        <v>40.78</v>
      </c>
      <c r="N2">
        <f>K2*L2/100</f>
        <v>67.906969944264176</v>
      </c>
    </row>
    <row r="3" spans="1:14" x14ac:dyDescent="0.25">
      <c r="A3" s="23" t="s">
        <v>83</v>
      </c>
      <c r="B3" s="27">
        <v>166.52288319936042</v>
      </c>
      <c r="C3" s="23">
        <v>26.26</v>
      </c>
      <c r="D3" s="23"/>
      <c r="E3" s="28">
        <v>40265054012.287605</v>
      </c>
      <c r="F3" s="29">
        <v>26.26</v>
      </c>
      <c r="J3" t="str">
        <f t="shared" si="0"/>
        <v>Os190</v>
      </c>
      <c r="K3" s="92">
        <f t="shared" si="0"/>
        <v>166.52288319936042</v>
      </c>
      <c r="L3">
        <f t="shared" si="0"/>
        <v>26.26</v>
      </c>
      <c r="N3">
        <f t="shared" ref="N3:N8" si="1">K3*L3/100</f>
        <v>43.728909128152047</v>
      </c>
    </row>
    <row r="4" spans="1:14" x14ac:dyDescent="0.25">
      <c r="A4" s="85" t="s">
        <v>84</v>
      </c>
      <c r="B4" s="86">
        <v>166.5356994503336</v>
      </c>
      <c r="C4" s="85">
        <v>16.149999999999999</v>
      </c>
      <c r="D4" s="87">
        <v>6.25E-2</v>
      </c>
      <c r="E4" s="88">
        <v>40268152967.985191</v>
      </c>
      <c r="F4" s="89">
        <v>1.0093749999999999</v>
      </c>
      <c r="G4">
        <f>F4/$I$7</f>
        <v>6.25E-2</v>
      </c>
      <c r="H4">
        <f>G4*B4</f>
        <v>10.40848121564585</v>
      </c>
      <c r="J4" t="str">
        <f>A4</f>
        <v>Os189</v>
      </c>
      <c r="K4">
        <f>SUM(H4:H7)</f>
        <v>166.5248208521615</v>
      </c>
      <c r="L4">
        <f>C4</f>
        <v>16.149999999999999</v>
      </c>
      <c r="N4">
        <f t="shared" si="1"/>
        <v>26.893758567624083</v>
      </c>
    </row>
    <row r="5" spans="1:14" x14ac:dyDescent="0.25">
      <c r="A5" s="85"/>
      <c r="B5" s="86">
        <v>166.5441447049493</v>
      </c>
      <c r="C5" s="90"/>
      <c r="D5" s="87">
        <v>0.3125</v>
      </c>
      <c r="E5" s="88">
        <v>40270195021.465866</v>
      </c>
      <c r="F5" s="89">
        <v>5.046875</v>
      </c>
      <c r="G5">
        <f>F5/$I$7</f>
        <v>0.3125</v>
      </c>
      <c r="H5">
        <f t="shared" ref="H5:H7" si="2">G5*B5</f>
        <v>52.045045220296657</v>
      </c>
      <c r="J5" t="s">
        <v>85</v>
      </c>
      <c r="K5" s="92">
        <f>B8</f>
        <v>166.52570226293201</v>
      </c>
      <c r="L5">
        <f>C8</f>
        <v>13.24</v>
      </c>
      <c r="N5">
        <f t="shared" si="1"/>
        <v>22.048002979612196</v>
      </c>
    </row>
    <row r="6" spans="1:14" x14ac:dyDescent="0.25">
      <c r="A6" s="85"/>
      <c r="B6" s="86">
        <v>166.50984843864254</v>
      </c>
      <c r="C6" s="90"/>
      <c r="D6" s="87">
        <v>0.3125</v>
      </c>
      <c r="E6" s="88">
        <v>40261902221.168816</v>
      </c>
      <c r="F6" s="89">
        <v>5.046875</v>
      </c>
      <c r="G6">
        <f>F6/$I$7</f>
        <v>0.3125</v>
      </c>
      <c r="H6">
        <f t="shared" si="2"/>
        <v>52.034327637075791</v>
      </c>
      <c r="J6" t="s">
        <v>86</v>
      </c>
      <c r="K6">
        <f>SUM(H9:H12)</f>
        <v>166.52819701157188</v>
      </c>
      <c r="L6">
        <f>1.96</f>
        <v>1.96</v>
      </c>
      <c r="N6">
        <f t="shared" si="1"/>
        <v>3.2639526614268091</v>
      </c>
    </row>
    <row r="7" spans="1:14" x14ac:dyDescent="0.25">
      <c r="A7" s="85"/>
      <c r="B7" s="86">
        <v>166.51829369325824</v>
      </c>
      <c r="C7" s="90"/>
      <c r="D7" s="87">
        <v>0.3125</v>
      </c>
      <c r="E7" s="88">
        <v>40263944274.649483</v>
      </c>
      <c r="F7" s="89">
        <v>5.046875</v>
      </c>
      <c r="G7">
        <f>F7/$I$7</f>
        <v>0.3125</v>
      </c>
      <c r="H7">
        <f t="shared" si="2"/>
        <v>52.036966779143199</v>
      </c>
      <c r="I7" s="91">
        <f>SUM(F4:F7)</f>
        <v>16.149999999999999</v>
      </c>
      <c r="J7" s="23" t="s">
        <v>87</v>
      </c>
      <c r="K7" s="27">
        <v>166.52915517132104</v>
      </c>
      <c r="L7" s="23">
        <v>1.59</v>
      </c>
      <c r="N7">
        <f t="shared" si="1"/>
        <v>2.6478135672240044</v>
      </c>
    </row>
    <row r="8" spans="1:14" x14ac:dyDescent="0.25">
      <c r="A8" s="23" t="s">
        <v>85</v>
      </c>
      <c r="B8" s="27">
        <v>166.52570226293201</v>
      </c>
      <c r="C8" s="23">
        <v>13.24</v>
      </c>
      <c r="D8" s="23"/>
      <c r="E8" s="28">
        <v>40265735658.826462</v>
      </c>
      <c r="F8" s="29">
        <v>13.24</v>
      </c>
      <c r="J8" s="23" t="s">
        <v>88</v>
      </c>
      <c r="K8" s="27">
        <v>166.5326682944208</v>
      </c>
      <c r="L8" s="23">
        <v>0.02</v>
      </c>
      <c r="N8">
        <f t="shared" si="1"/>
        <v>3.3306533658884162E-2</v>
      </c>
    </row>
    <row r="9" spans="1:14" x14ac:dyDescent="0.25">
      <c r="A9" s="67" t="s">
        <v>86</v>
      </c>
      <c r="B9" s="68">
        <v>166.53011559682918</v>
      </c>
      <c r="C9" s="69">
        <v>1.96</v>
      </c>
      <c r="D9" s="70">
        <v>0</v>
      </c>
      <c r="E9" s="71">
        <v>40267112072.78241</v>
      </c>
      <c r="F9" s="72">
        <f>C$9*D9</f>
        <v>0</v>
      </c>
      <c r="G9">
        <f>F9/$I$12</f>
        <v>0</v>
      </c>
      <c r="H9">
        <f>G9*B9</f>
        <v>0</v>
      </c>
    </row>
    <row r="10" spans="1:14" x14ac:dyDescent="0.25">
      <c r="A10" s="73"/>
      <c r="B10" s="74">
        <v>166.53135666118482</v>
      </c>
      <c r="C10" s="75"/>
      <c r="D10" s="76">
        <v>0.25</v>
      </c>
      <c r="E10" s="77">
        <v>40267712248.834518</v>
      </c>
      <c r="F10" s="78">
        <f t="shared" ref="F10:F11" si="3">C$9*D10</f>
        <v>0.49</v>
      </c>
      <c r="G10">
        <f>F10/$I$12</f>
        <v>0.25</v>
      </c>
      <c r="H10">
        <f t="shared" ref="H10:H12" si="4">G10*B10</f>
        <v>41.632839165296204</v>
      </c>
      <c r="L10">
        <f>SUM(L2:L8)</f>
        <v>99.999999999999986</v>
      </c>
      <c r="N10">
        <f>SUM(N2:N8)</f>
        <v>166.52271338196218</v>
      </c>
    </row>
    <row r="11" spans="1:14" x14ac:dyDescent="0.25">
      <c r="A11" s="73"/>
      <c r="B11" s="74">
        <v>166.52631641879714</v>
      </c>
      <c r="C11" s="75"/>
      <c r="D11" s="76">
        <v>0.25</v>
      </c>
      <c r="E11" s="77">
        <v>40265274798.460426</v>
      </c>
      <c r="F11" s="78">
        <f t="shared" si="3"/>
        <v>0.49</v>
      </c>
      <c r="G11">
        <f>F11/$I$12</f>
        <v>0.25</v>
      </c>
      <c r="H11">
        <f t="shared" si="4"/>
        <v>41.631579104699284</v>
      </c>
    </row>
    <row r="12" spans="1:14" x14ac:dyDescent="0.25">
      <c r="A12" s="79"/>
      <c r="B12" s="80">
        <v>166.52755748315278</v>
      </c>
      <c r="C12" s="81"/>
      <c r="D12" s="82">
        <v>0.5</v>
      </c>
      <c r="E12" s="83">
        <v>40265874974.512535</v>
      </c>
      <c r="F12" s="84">
        <f>C$9*D12</f>
        <v>0.98</v>
      </c>
      <c r="G12">
        <f>F12/$I$12</f>
        <v>0.5</v>
      </c>
      <c r="H12">
        <f t="shared" si="4"/>
        <v>83.263778741576388</v>
      </c>
      <c r="I12" s="91">
        <f>SUM(F9:F12)</f>
        <v>1.96</v>
      </c>
    </row>
    <row r="13" spans="1:14" x14ac:dyDescent="0.25">
      <c r="A13" s="23" t="s">
        <v>87</v>
      </c>
      <c r="B13" s="27">
        <v>166.52915517132104</v>
      </c>
      <c r="C13" s="23">
        <v>1.59</v>
      </c>
      <c r="D13" s="23"/>
      <c r="E13" s="28">
        <v>40266570568.360291</v>
      </c>
      <c r="F13" s="29">
        <v>1.59</v>
      </c>
    </row>
    <row r="14" spans="1:14" x14ac:dyDescent="0.25">
      <c r="A14" s="23" t="s">
        <v>88</v>
      </c>
      <c r="B14" s="27">
        <v>166.5326682944208</v>
      </c>
      <c r="C14" s="23">
        <v>0.02</v>
      </c>
      <c r="D14" s="23"/>
      <c r="E14" s="28">
        <v>40267420037.746399</v>
      </c>
      <c r="F14" s="29">
        <v>0.02</v>
      </c>
    </row>
    <row r="17" spans="2:10" x14ac:dyDescent="0.25">
      <c r="B17">
        <f>7.4455-7.2913</f>
        <v>0.15420000000000034</v>
      </c>
    </row>
    <row r="19" spans="2:10" x14ac:dyDescent="0.25">
      <c r="B19" s="465" t="s">
        <v>137</v>
      </c>
      <c r="C19" s="465"/>
      <c r="G19" s="103" t="s">
        <v>139</v>
      </c>
      <c r="H19" s="103"/>
    </row>
    <row r="20" spans="2:10" x14ac:dyDescent="0.25">
      <c r="B20">
        <f>7.4476-7.2941</f>
        <v>0.15350000000000019</v>
      </c>
      <c r="C20">
        <f>SQRT(0.0002^2 + 0.0002^2)</f>
        <v>2.8284271247461902E-4</v>
      </c>
      <c r="G20">
        <v>7.4489999999999998</v>
      </c>
    </row>
    <row r="21" spans="2:10" x14ac:dyDescent="0.25">
      <c r="B21">
        <f>7.6551-7.493</f>
        <v>0.16209999999999969</v>
      </c>
      <c r="G21">
        <v>7.2948000000000004</v>
      </c>
    </row>
    <row r="22" spans="2:10" x14ac:dyDescent="0.25">
      <c r="C22" t="s">
        <v>140</v>
      </c>
      <c r="D22" t="s">
        <v>141</v>
      </c>
      <c r="G22">
        <f>G20-G21</f>
        <v>0.15419999999999945</v>
      </c>
      <c r="H22">
        <f>SQRT(0.0013^2 + 0.0013^2)</f>
        <v>1.8384776310850235E-3</v>
      </c>
    </row>
    <row r="23" spans="2:10" x14ac:dyDescent="0.25">
      <c r="C23">
        <f>SQRT((0.0000792959814011651)^2 + (0.000123760796635439)^2)</f>
        <v>1.4698499056098351E-4</v>
      </c>
      <c r="D23">
        <f>SQRT((0.0000875916105002976)^2 + (0.000116735125901694)^2)</f>
        <v>1.4594307057657857E-4</v>
      </c>
    </row>
    <row r="27" spans="2:10" x14ac:dyDescent="0.25">
      <c r="B27" s="465" t="s">
        <v>138</v>
      </c>
      <c r="C27" s="465"/>
      <c r="F27">
        <v>161.922</v>
      </c>
      <c r="G27">
        <v>4.2000000000000003E-2</v>
      </c>
      <c r="I27">
        <v>7.6570299999999998</v>
      </c>
      <c r="J27">
        <f>I27*(G27/F27)</f>
        <v>1.9861122021714163E-3</v>
      </c>
    </row>
    <row r="28" spans="2:10" x14ac:dyDescent="0.25">
      <c r="B28">
        <f>7.4477-7.2941</f>
        <v>0.15359999999999996</v>
      </c>
      <c r="F28">
        <v>165.43299999999999</v>
      </c>
      <c r="G28">
        <v>4.3999999999999997E-2</v>
      </c>
      <c r="I28">
        <v>7.4945300000000001</v>
      </c>
      <c r="J28">
        <f>I28*(G28/F28)</f>
        <v>1.9933104036075028E-3</v>
      </c>
    </row>
    <row r="29" spans="2:10" x14ac:dyDescent="0.25">
      <c r="B29" s="4">
        <f>7.655-7.493</f>
        <v>0.16199999999999992</v>
      </c>
      <c r="C29" t="s">
        <v>140</v>
      </c>
      <c r="D29" t="s">
        <v>141</v>
      </c>
      <c r="I29">
        <f>I27-I28</f>
        <v>0.16249999999999964</v>
      </c>
    </row>
    <row r="30" spans="2:10" x14ac:dyDescent="0.25">
      <c r="C30">
        <f>SQRT((0.00010666699269255)^2 +(0.000104231910352482)^2)</f>
        <v>1.4913798465112889E-4</v>
      </c>
      <c r="D30">
        <f>SQRT((0.0000832441827762913)^2 +(0.000130122591838497)^2)</f>
        <v>1.5447162481459396E-4</v>
      </c>
    </row>
    <row r="33" spans="3:10" ht="16.5" thickBot="1" x14ac:dyDescent="0.3"/>
    <row r="34" spans="3:10" ht="16.5" thickBot="1" x14ac:dyDescent="0.3">
      <c r="E34" s="105" t="s">
        <v>144</v>
      </c>
      <c r="I34" s="105" t="s">
        <v>151</v>
      </c>
    </row>
    <row r="35" spans="3:10" x14ac:dyDescent="0.25">
      <c r="C35" s="106" t="s">
        <v>154</v>
      </c>
      <c r="D35" s="106" t="s">
        <v>185</v>
      </c>
      <c r="E35" s="106" t="s">
        <v>146</v>
      </c>
      <c r="F35" s="106" t="s">
        <v>71</v>
      </c>
      <c r="G35" s="106"/>
      <c r="H35" s="106" t="s">
        <v>145</v>
      </c>
      <c r="I35" s="106" t="s">
        <v>146</v>
      </c>
      <c r="J35" s="106" t="s">
        <v>71</v>
      </c>
    </row>
    <row r="36" spans="3:10" x14ac:dyDescent="0.25">
      <c r="C36" s="106">
        <v>1</v>
      </c>
      <c r="D36" s="106" t="s">
        <v>184</v>
      </c>
      <c r="E36" s="52">
        <v>7.4476000000000004</v>
      </c>
      <c r="F36" s="52">
        <v>1.8015899320348899E-4</v>
      </c>
      <c r="G36" s="106"/>
      <c r="H36" s="126" t="s">
        <v>184</v>
      </c>
      <c r="I36" s="52">
        <v>7.2941304892272498</v>
      </c>
      <c r="J36" s="52">
        <v>1.6830166728921099E-4</v>
      </c>
    </row>
    <row r="37" spans="3:10" x14ac:dyDescent="0.25">
      <c r="C37" s="106">
        <v>2</v>
      </c>
      <c r="D37" s="106" t="s">
        <v>120</v>
      </c>
      <c r="E37" s="106">
        <v>7.4462000000000002</v>
      </c>
      <c r="F37" s="52">
        <v>8.3169628318964604E-4</v>
      </c>
      <c r="G37" s="106"/>
      <c r="H37" s="106" t="s">
        <v>120</v>
      </c>
      <c r="I37" s="106">
        <v>7.2919999999999998</v>
      </c>
      <c r="J37" s="52">
        <v>2.46724871580652E-3</v>
      </c>
    </row>
    <row r="38" spans="3:10" x14ac:dyDescent="0.25">
      <c r="C38" s="106">
        <v>3</v>
      </c>
      <c r="D38" s="106" t="s">
        <v>149</v>
      </c>
      <c r="E38" s="106">
        <v>7.4489999999999998</v>
      </c>
      <c r="F38" s="106">
        <v>1.2999999999999999E-3</v>
      </c>
      <c r="G38" s="106"/>
      <c r="H38" s="106" t="s">
        <v>149</v>
      </c>
      <c r="I38" s="106">
        <v>7.2948000000000004</v>
      </c>
      <c r="J38" s="106">
        <v>1.2999999999999999E-3</v>
      </c>
    </row>
    <row r="39" spans="3:10" x14ac:dyDescent="0.25">
      <c r="C39" s="106">
        <v>4</v>
      </c>
      <c r="D39" s="106" t="s">
        <v>150</v>
      </c>
      <c r="E39" s="106">
        <v>7.4506600000000001</v>
      </c>
      <c r="F39" s="52">
        <v>2.2386400000000001E-3</v>
      </c>
      <c r="G39" s="106"/>
      <c r="H39" s="106" t="s">
        <v>150</v>
      </c>
      <c r="I39" s="106">
        <v>7.2966199999999999</v>
      </c>
      <c r="J39" s="52">
        <v>2.14707509416195E-3</v>
      </c>
    </row>
    <row r="40" spans="3:10" x14ac:dyDescent="0.25">
      <c r="C40" s="106"/>
      <c r="G40" s="106"/>
    </row>
    <row r="41" spans="3:10" x14ac:dyDescent="0.25">
      <c r="C41" s="106"/>
      <c r="D41" s="106"/>
      <c r="E41" s="106"/>
      <c r="F41" s="123"/>
      <c r="G41" s="106"/>
      <c r="H41" s="106"/>
      <c r="I41" s="106"/>
      <c r="J41" s="106"/>
    </row>
    <row r="42" spans="3:10" ht="16.5" thickBot="1" x14ac:dyDescent="0.3">
      <c r="C42" s="106"/>
      <c r="D42" s="106"/>
      <c r="E42" s="106"/>
      <c r="F42" s="106"/>
      <c r="G42" s="106"/>
      <c r="H42" s="106"/>
      <c r="I42" s="106"/>
      <c r="J42" s="106"/>
    </row>
    <row r="43" spans="3:10" ht="16.5" thickBot="1" x14ac:dyDescent="0.3">
      <c r="C43" s="106"/>
      <c r="D43" s="106"/>
      <c r="E43" s="124" t="s">
        <v>152</v>
      </c>
      <c r="F43" s="106"/>
      <c r="G43" s="106"/>
      <c r="H43" s="106"/>
      <c r="I43" s="124" t="s">
        <v>153</v>
      </c>
      <c r="J43" s="106"/>
    </row>
    <row r="44" spans="3:10" x14ac:dyDescent="0.25">
      <c r="C44" s="106"/>
      <c r="D44" s="106" t="s">
        <v>145</v>
      </c>
      <c r="E44" s="106" t="s">
        <v>146</v>
      </c>
      <c r="F44" s="106" t="s">
        <v>71</v>
      </c>
      <c r="G44" s="106"/>
      <c r="H44" s="106" t="s">
        <v>145</v>
      </c>
      <c r="I44" s="106" t="s">
        <v>146</v>
      </c>
      <c r="J44" s="106" t="s">
        <v>71</v>
      </c>
    </row>
    <row r="45" spans="3:10" x14ac:dyDescent="0.25">
      <c r="C45" s="106"/>
      <c r="D45" s="126" t="s">
        <v>184</v>
      </c>
      <c r="E45" s="52">
        <v>7.6550562627676104</v>
      </c>
      <c r="F45" s="52">
        <v>1.6830166728921099E-4</v>
      </c>
      <c r="G45" s="106"/>
      <c r="H45" s="126" t="s">
        <v>184</v>
      </c>
      <c r="I45" s="52">
        <v>7.4929520911420102</v>
      </c>
      <c r="J45" s="52">
        <v>1.6813047593010501E-4</v>
      </c>
    </row>
    <row r="46" spans="3:10" x14ac:dyDescent="0.25">
      <c r="C46" s="106"/>
      <c r="D46" s="106" t="s">
        <v>120</v>
      </c>
      <c r="E46" s="106"/>
      <c r="F46" s="106"/>
      <c r="G46" s="106"/>
      <c r="H46" s="106" t="s">
        <v>120</v>
      </c>
      <c r="I46" s="106"/>
      <c r="J46" s="106"/>
    </row>
    <row r="47" spans="3:10" x14ac:dyDescent="0.25">
      <c r="C47" s="106"/>
      <c r="D47" s="106" t="s">
        <v>36</v>
      </c>
      <c r="E47" s="106">
        <v>7.657</v>
      </c>
      <c r="F47" s="106">
        <v>2E-3</v>
      </c>
      <c r="G47" s="106"/>
      <c r="H47" s="106" t="s">
        <v>36</v>
      </c>
      <c r="I47" s="106">
        <v>7.4945000000000004</v>
      </c>
      <c r="J47" s="106">
        <v>2E-3</v>
      </c>
    </row>
    <row r="48" spans="3:10" x14ac:dyDescent="0.25">
      <c r="C48" s="106"/>
      <c r="D48" s="106" t="s">
        <v>150</v>
      </c>
      <c r="E48" s="106"/>
      <c r="F48" s="106"/>
      <c r="G48" s="106"/>
      <c r="H48" s="106" t="s">
        <v>150</v>
      </c>
      <c r="I48" s="106"/>
      <c r="J48" s="106"/>
    </row>
    <row r="49" spans="3:7" x14ac:dyDescent="0.25">
      <c r="C49" s="106"/>
      <c r="G49" s="106"/>
    </row>
  </sheetData>
  <mergeCells count="2">
    <mergeCell ref="B19:C19"/>
    <mergeCell ref="B27:C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Uncertainty Budget</vt:lpstr>
      <vt:lpstr>Nuclear Radius Table (3)</vt:lpstr>
      <vt:lpstr>Steve Mg-like</vt:lpstr>
      <vt:lpstr>Nuclear Radius Table</vt:lpstr>
      <vt:lpstr>Nuclear Radius Table (2)</vt:lpstr>
      <vt:lpstr>Exp Results (Adam Calibration)</vt:lpstr>
      <vt:lpstr>Na-like Os</vt:lpstr>
      <vt:lpstr>Na-like Ir</vt:lpstr>
      <vt:lpstr>Comparison (no Sam)</vt:lpstr>
      <vt:lpstr>Sheet1</vt:lpstr>
      <vt:lpstr>GRASP Mg-like Ir</vt:lpstr>
      <vt:lpstr>GRASP Mg-like 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Adam Hosier</cp:lastModifiedBy>
  <dcterms:created xsi:type="dcterms:W3CDTF">2021-08-16T16:03:39Z</dcterms:created>
  <dcterms:modified xsi:type="dcterms:W3CDTF">2023-07-07T19:43:46Z</dcterms:modified>
</cp:coreProperties>
</file>