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esktop/"/>
    </mc:Choice>
  </mc:AlternateContent>
  <xr:revisionPtr revIDLastSave="0" documentId="13_ncr:1_{C6C077C3-73F9-8B44-9064-877132E8699C}" xr6:coauthVersionLast="44" xr6:coauthVersionMax="44" xr10:uidLastSave="{00000000-0000-0000-0000-000000000000}"/>
  <bookViews>
    <workbookView xWindow="400" yWindow="620" windowWidth="28400" windowHeight="15920" tabRatio="500" activeTab="3" xr2:uid="{00000000-000D-0000-FFFF-FFFF00000000}"/>
  </bookViews>
  <sheets>
    <sheet name="numbers" sheetId="4" r:id="rId1"/>
    <sheet name="stats_raw" sheetId="5" r:id="rId2"/>
    <sheet name="Sheet2" sheetId="13" r:id="rId3"/>
    <sheet name="speedup" sheetId="6" r:id="rId4"/>
    <sheet name="energy" sheetId="7" r:id="rId5"/>
    <sheet name="endurance" sheetId="10" r:id="rId6"/>
    <sheet name="scalability_analysis" sheetId="11" r:id="rId7"/>
    <sheet name="Sheet1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94" i="6" l="1"/>
  <c r="H89" i="6"/>
  <c r="J82" i="6" l="1"/>
  <c r="J83" i="6"/>
  <c r="J84" i="6"/>
  <c r="J85" i="6"/>
  <c r="J96" i="6"/>
  <c r="J81" i="6"/>
  <c r="I96" i="6"/>
  <c r="H96" i="6"/>
  <c r="I95" i="6"/>
  <c r="H95" i="6"/>
  <c r="J95" i="6" s="1"/>
  <c r="I94" i="6"/>
  <c r="I92" i="6"/>
  <c r="I93" i="6"/>
  <c r="I89" i="6"/>
  <c r="H88" i="6"/>
  <c r="H87" i="6"/>
  <c r="J87" i="6" s="1"/>
  <c r="I87" i="6"/>
  <c r="I88" i="6" s="1"/>
  <c r="J88" i="6" s="1"/>
  <c r="I86" i="6"/>
  <c r="H86" i="6"/>
  <c r="J86" i="6" s="1"/>
  <c r="M87" i="6"/>
  <c r="M85" i="6"/>
  <c r="M86" i="6"/>
  <c r="H91" i="6"/>
  <c r="J91" i="6" s="1"/>
  <c r="H90" i="6"/>
  <c r="J90" i="6" s="1"/>
  <c r="M84" i="6"/>
  <c r="M83" i="6"/>
  <c r="M82" i="6"/>
  <c r="G41" i="5" l="1"/>
  <c r="G42" i="5"/>
  <c r="G43" i="5"/>
  <c r="G40" i="5"/>
  <c r="G39" i="5"/>
  <c r="G38" i="5"/>
  <c r="L40" i="5"/>
  <c r="G64" i="6"/>
  <c r="G87" i="6" s="1"/>
  <c r="F64" i="6"/>
  <c r="F87" i="6" s="1"/>
  <c r="E64" i="6"/>
  <c r="E87" i="6" s="1"/>
  <c r="D64" i="6"/>
  <c r="D87" i="6" s="1"/>
  <c r="K87" i="6" s="1"/>
  <c r="C64" i="6"/>
  <c r="C87" i="6" s="1"/>
  <c r="G8" i="6"/>
  <c r="F8" i="6"/>
  <c r="E8" i="6"/>
  <c r="D8" i="6"/>
  <c r="C8" i="6"/>
  <c r="B8" i="6"/>
  <c r="B7" i="6"/>
  <c r="G63" i="6"/>
  <c r="G86" i="6" s="1"/>
  <c r="F63" i="6"/>
  <c r="F86" i="6" s="1"/>
  <c r="E63" i="6"/>
  <c r="E86" i="6" s="1"/>
  <c r="D63" i="6"/>
  <c r="D86" i="6" s="1"/>
  <c r="K86" i="6" s="1"/>
  <c r="C63" i="6"/>
  <c r="C86" i="6" s="1"/>
  <c r="G37" i="5"/>
  <c r="G36" i="5"/>
  <c r="G35" i="5"/>
  <c r="G34" i="5"/>
  <c r="G33" i="5"/>
  <c r="G32" i="5"/>
  <c r="G66" i="6"/>
  <c r="F66" i="6"/>
  <c r="F89" i="6" s="1"/>
  <c r="K165" i="7"/>
  <c r="K176" i="7"/>
  <c r="M175" i="7"/>
  <c r="K174" i="7"/>
  <c r="M173" i="7"/>
  <c r="M171" i="7"/>
  <c r="K170" i="7"/>
  <c r="N169" i="7"/>
  <c r="M169" i="7"/>
  <c r="M167" i="7"/>
  <c r="K166" i="7"/>
  <c r="J165" i="7"/>
  <c r="L174" i="7"/>
  <c r="N173" i="7"/>
  <c r="J173" i="7"/>
  <c r="L170" i="7"/>
  <c r="J169" i="7"/>
  <c r="K168" i="7"/>
  <c r="L166" i="7"/>
  <c r="N165" i="7"/>
  <c r="M165" i="7"/>
  <c r="C7" i="6"/>
  <c r="D7" i="6"/>
  <c r="E7" i="6"/>
  <c r="F7" i="6"/>
  <c r="G7" i="6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L38" i="5"/>
  <c r="M38" i="5" s="1"/>
  <c r="L39" i="5"/>
  <c r="M39" i="5" s="1"/>
  <c r="M40" i="5"/>
  <c r="L41" i="5"/>
  <c r="M41" i="5" s="1"/>
  <c r="L42" i="5"/>
  <c r="M42" i="5" s="1"/>
  <c r="L43" i="5"/>
  <c r="M43" i="5" s="1"/>
  <c r="L44" i="5"/>
  <c r="L45" i="5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L53" i="5"/>
  <c r="L54" i="5"/>
  <c r="M54" i="5" s="1"/>
  <c r="L55" i="5"/>
  <c r="M55" i="5" s="1"/>
  <c r="L56" i="5"/>
  <c r="M56" i="5" s="1"/>
  <c r="L57" i="5"/>
  <c r="M57" i="5" s="1"/>
  <c r="L58" i="5"/>
  <c r="M58" i="5" s="1"/>
  <c r="L59" i="5"/>
  <c r="M59" i="5" s="1"/>
  <c r="L60" i="5"/>
  <c r="L61" i="5"/>
  <c r="L62" i="5"/>
  <c r="M62" i="5" s="1"/>
  <c r="L63" i="5"/>
  <c r="M63" i="5" s="1"/>
  <c r="L64" i="5"/>
  <c r="M64" i="5" s="1"/>
  <c r="L65" i="5"/>
  <c r="M65" i="5" s="1"/>
  <c r="L66" i="5"/>
  <c r="M66" i="5" s="1"/>
  <c r="L67" i="5"/>
  <c r="M67" i="5" s="1"/>
  <c r="L68" i="5"/>
  <c r="L69" i="5"/>
  <c r="L70" i="5"/>
  <c r="M70" i="5" s="1"/>
  <c r="L71" i="5"/>
  <c r="M71" i="5" s="1"/>
  <c r="L72" i="5"/>
  <c r="M72" i="5" s="1"/>
  <c r="L73" i="5"/>
  <c r="M73" i="5" s="1"/>
  <c r="L74" i="5"/>
  <c r="M74" i="5" s="1"/>
  <c r="L75" i="5"/>
  <c r="M75" i="5" s="1"/>
  <c r="L76" i="5"/>
  <c r="L77" i="5"/>
  <c r="L78" i="5"/>
  <c r="M78" i="5" s="1"/>
  <c r="L79" i="5"/>
  <c r="M79" i="5" s="1"/>
  <c r="L80" i="5"/>
  <c r="M80" i="5" s="1"/>
  <c r="L81" i="5"/>
  <c r="M81" i="5" s="1"/>
  <c r="L82" i="5"/>
  <c r="M82" i="5" s="1"/>
  <c r="L83" i="5"/>
  <c r="M83" i="5" s="1"/>
  <c r="L84" i="5"/>
  <c r="L85" i="5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L93" i="5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L101" i="5"/>
  <c r="M44" i="5"/>
  <c r="M45" i="5"/>
  <c r="M52" i="5"/>
  <c r="M53" i="5"/>
  <c r="M60" i="5"/>
  <c r="M61" i="5"/>
  <c r="M68" i="5"/>
  <c r="M69" i="5"/>
  <c r="M76" i="5"/>
  <c r="M77" i="5"/>
  <c r="M84" i="5"/>
  <c r="M85" i="5"/>
  <c r="M92" i="5"/>
  <c r="M93" i="5"/>
  <c r="M100" i="5"/>
  <c r="M101" i="5"/>
  <c r="F10" i="13"/>
  <c r="F9" i="13"/>
  <c r="F6" i="13"/>
  <c r="F5" i="13"/>
  <c r="F4" i="13"/>
  <c r="F3" i="13"/>
  <c r="F7" i="13"/>
  <c r="F2" i="13"/>
  <c r="F14" i="13"/>
  <c r="L165" i="7"/>
  <c r="J166" i="7"/>
  <c r="M166" i="7"/>
  <c r="N166" i="7"/>
  <c r="J167" i="7"/>
  <c r="K167" i="7"/>
  <c r="L167" i="7"/>
  <c r="N167" i="7"/>
  <c r="J168" i="7"/>
  <c r="L168" i="7"/>
  <c r="M168" i="7"/>
  <c r="N168" i="7"/>
  <c r="K169" i="7"/>
  <c r="L169" i="7"/>
  <c r="J170" i="7"/>
  <c r="M170" i="7"/>
  <c r="N170" i="7"/>
  <c r="J171" i="7"/>
  <c r="K171" i="7"/>
  <c r="L171" i="7"/>
  <c r="N171" i="7"/>
  <c r="K173" i="7"/>
  <c r="L173" i="7"/>
  <c r="J174" i="7"/>
  <c r="M174" i="7"/>
  <c r="N174" i="7"/>
  <c r="J175" i="7"/>
  <c r="K175" i="7"/>
  <c r="L175" i="7"/>
  <c r="N175" i="7"/>
  <c r="J176" i="7"/>
  <c r="L176" i="7"/>
  <c r="M176" i="7"/>
  <c r="N176" i="7"/>
  <c r="G71" i="6"/>
  <c r="F71" i="6"/>
  <c r="F94" i="6" s="1"/>
  <c r="E71" i="6"/>
  <c r="D71" i="6"/>
  <c r="D94" i="6" s="1"/>
  <c r="C71" i="6"/>
  <c r="C84" i="7"/>
  <c r="C85" i="7"/>
  <c r="C86" i="7"/>
  <c r="C87" i="7"/>
  <c r="D84" i="7"/>
  <c r="D85" i="7"/>
  <c r="D86" i="7"/>
  <c r="D87" i="7"/>
  <c r="E84" i="7"/>
  <c r="E85" i="7"/>
  <c r="E86" i="7"/>
  <c r="E87" i="7"/>
  <c r="F84" i="7"/>
  <c r="F85" i="7"/>
  <c r="F86" i="7"/>
  <c r="F87" i="7"/>
  <c r="G84" i="7"/>
  <c r="G85" i="7"/>
  <c r="G86" i="7"/>
  <c r="G87" i="7"/>
  <c r="C93" i="7"/>
  <c r="D93" i="7"/>
  <c r="E93" i="7"/>
  <c r="F93" i="7"/>
  <c r="G93" i="7"/>
  <c r="D69" i="6"/>
  <c r="G72" i="6"/>
  <c r="F72" i="6"/>
  <c r="F95" i="6" s="1"/>
  <c r="E72" i="6"/>
  <c r="D72" i="6"/>
  <c r="D95" i="6" s="1"/>
  <c r="K95" i="6" s="1"/>
  <c r="C72" i="6"/>
  <c r="C66" i="6"/>
  <c r="D66" i="6"/>
  <c r="D89" i="6" s="1"/>
  <c r="E66" i="6"/>
  <c r="T6" i="4"/>
  <c r="O8" i="4"/>
  <c r="L95" i="6" l="1"/>
  <c r="L87" i="6"/>
  <c r="L86" i="6"/>
  <c r="E30" i="11"/>
  <c r="E31" i="11"/>
  <c r="E32" i="11"/>
  <c r="E33" i="11"/>
  <c r="E34" i="11"/>
  <c r="E35" i="11"/>
  <c r="E29" i="11"/>
  <c r="H16" i="11"/>
  <c r="B32" i="10" l="1"/>
  <c r="C32" i="10" s="1"/>
  <c r="B33" i="10"/>
  <c r="C33" i="10" s="1"/>
  <c r="B34" i="10"/>
  <c r="C34" i="10" s="1"/>
  <c r="B31" i="10"/>
  <c r="C31" i="10" s="1"/>
  <c r="C28" i="10"/>
  <c r="B28" i="10"/>
  <c r="N28" i="10"/>
  <c r="M28" i="10"/>
  <c r="B51" i="10"/>
  <c r="M29" i="10" s="1"/>
  <c r="N29" i="10" s="1"/>
  <c r="C7" i="10"/>
  <c r="B7" i="10"/>
  <c r="C17" i="10"/>
  <c r="C16" i="10"/>
  <c r="C10" i="10"/>
  <c r="C11" i="10"/>
  <c r="C13" i="10"/>
  <c r="C14" i="10"/>
  <c r="C15" i="10"/>
  <c r="C35" i="10" s="1"/>
  <c r="C8" i="10"/>
  <c r="C9" i="10"/>
  <c r="B10" i="10"/>
  <c r="B11" i="10"/>
  <c r="B12" i="10"/>
  <c r="B13" i="10"/>
  <c r="B14" i="10"/>
  <c r="B15" i="10"/>
  <c r="B16" i="10"/>
  <c r="B17" i="10"/>
  <c r="B8" i="10"/>
  <c r="B9" i="10"/>
  <c r="B125" i="7"/>
  <c r="C125" i="7"/>
  <c r="D125" i="7"/>
  <c r="E125" i="7"/>
  <c r="F125" i="7"/>
  <c r="G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25" i="7"/>
  <c r="B8" i="7"/>
  <c r="G34" i="6"/>
  <c r="G9" i="6"/>
  <c r="G35" i="6" s="1"/>
  <c r="G10" i="6"/>
  <c r="G36" i="6" s="1"/>
  <c r="F34" i="6"/>
  <c r="F9" i="6"/>
  <c r="F35" i="6" s="1"/>
  <c r="F10" i="6"/>
  <c r="F36" i="6" s="1"/>
  <c r="E34" i="6"/>
  <c r="E9" i="6"/>
  <c r="E35" i="6" s="1"/>
  <c r="E10" i="6"/>
  <c r="E36" i="6" s="1"/>
  <c r="D34" i="6"/>
  <c r="D9" i="6"/>
  <c r="D35" i="6" s="1"/>
  <c r="D10" i="6"/>
  <c r="D36" i="6" s="1"/>
  <c r="C9" i="6"/>
  <c r="C10" i="6"/>
  <c r="O12" i="7"/>
  <c r="O13" i="7"/>
  <c r="O14" i="7"/>
  <c r="O15" i="7"/>
  <c r="O16" i="7"/>
  <c r="O17" i="7"/>
  <c r="O18" i="7"/>
  <c r="N12" i="7"/>
  <c r="N13" i="7"/>
  <c r="N14" i="7"/>
  <c r="N15" i="7"/>
  <c r="N16" i="7"/>
  <c r="N17" i="7"/>
  <c r="N18" i="7"/>
  <c r="M12" i="7"/>
  <c r="M13" i="7"/>
  <c r="M14" i="7"/>
  <c r="M15" i="7"/>
  <c r="M16" i="7"/>
  <c r="M17" i="7"/>
  <c r="M18" i="7"/>
  <c r="L12" i="7"/>
  <c r="L13" i="7"/>
  <c r="L14" i="7"/>
  <c r="L15" i="7"/>
  <c r="L16" i="7"/>
  <c r="L17" i="7"/>
  <c r="L18" i="7"/>
  <c r="K12" i="7"/>
  <c r="K13" i="7"/>
  <c r="K14" i="7"/>
  <c r="K15" i="7"/>
  <c r="K16" i="7"/>
  <c r="K17" i="7"/>
  <c r="K18" i="7"/>
  <c r="J20" i="7"/>
  <c r="K20" i="7" s="1"/>
  <c r="L20" i="7" s="1"/>
  <c r="M20" i="7" s="1"/>
  <c r="N20" i="7" s="1"/>
  <c r="O20" i="7" s="1"/>
  <c r="J21" i="7"/>
  <c r="K21" i="7" s="1"/>
  <c r="L21" i="7" s="1"/>
  <c r="M21" i="7" s="1"/>
  <c r="N21" i="7" s="1"/>
  <c r="O21" i="7" s="1"/>
  <c r="J22" i="7"/>
  <c r="K22" i="7" s="1"/>
  <c r="L22" i="7" s="1"/>
  <c r="M22" i="7" s="1"/>
  <c r="N22" i="7" s="1"/>
  <c r="O22" i="7" s="1"/>
  <c r="J19" i="7"/>
  <c r="K19" i="7" s="1"/>
  <c r="L19" i="7" s="1"/>
  <c r="M19" i="7" s="1"/>
  <c r="N19" i="7" s="1"/>
  <c r="O19" i="7" s="1"/>
  <c r="G12" i="7"/>
  <c r="G38" i="7" s="1"/>
  <c r="O38" i="7" s="1"/>
  <c r="G13" i="7"/>
  <c r="G39" i="7" s="1"/>
  <c r="O39" i="7" s="1"/>
  <c r="G14" i="7"/>
  <c r="G40" i="7" s="1"/>
  <c r="O40" i="7" s="1"/>
  <c r="G15" i="7"/>
  <c r="G41" i="7" s="1"/>
  <c r="O41" i="7" s="1"/>
  <c r="G16" i="7"/>
  <c r="G42" i="7" s="1"/>
  <c r="O42" i="7" s="1"/>
  <c r="G17" i="7"/>
  <c r="G43" i="7" s="1"/>
  <c r="O43" i="7" s="1"/>
  <c r="G18" i="7"/>
  <c r="G44" i="7" s="1"/>
  <c r="O44" i="7" s="1"/>
  <c r="F12" i="7"/>
  <c r="F38" i="7" s="1"/>
  <c r="N38" i="7" s="1"/>
  <c r="F13" i="7"/>
  <c r="F39" i="7" s="1"/>
  <c r="N39" i="7" s="1"/>
  <c r="F14" i="7"/>
  <c r="F40" i="7" s="1"/>
  <c r="N40" i="7" s="1"/>
  <c r="F15" i="7"/>
  <c r="F41" i="7" s="1"/>
  <c r="N41" i="7" s="1"/>
  <c r="F16" i="7"/>
  <c r="F42" i="7" s="1"/>
  <c r="N42" i="7" s="1"/>
  <c r="F17" i="7"/>
  <c r="F43" i="7" s="1"/>
  <c r="N43" i="7" s="1"/>
  <c r="F18" i="7"/>
  <c r="F44" i="7" s="1"/>
  <c r="N44" i="7" s="1"/>
  <c r="E12" i="7"/>
  <c r="E38" i="7" s="1"/>
  <c r="M38" i="7" s="1"/>
  <c r="E13" i="7"/>
  <c r="E39" i="7" s="1"/>
  <c r="M39" i="7" s="1"/>
  <c r="E14" i="7"/>
  <c r="E40" i="7" s="1"/>
  <c r="M40" i="7" s="1"/>
  <c r="E15" i="7"/>
  <c r="E41" i="7" s="1"/>
  <c r="M41" i="7" s="1"/>
  <c r="E16" i="7"/>
  <c r="E42" i="7" s="1"/>
  <c r="M42" i="7" s="1"/>
  <c r="E17" i="7"/>
  <c r="E43" i="7" s="1"/>
  <c r="M43" i="7" s="1"/>
  <c r="E18" i="7"/>
  <c r="E44" i="7" s="1"/>
  <c r="M44" i="7" s="1"/>
  <c r="D12" i="7"/>
  <c r="D38" i="7" s="1"/>
  <c r="L38" i="7" s="1"/>
  <c r="D13" i="7"/>
  <c r="D39" i="7" s="1"/>
  <c r="L39" i="7" s="1"/>
  <c r="D14" i="7"/>
  <c r="D40" i="7" s="1"/>
  <c r="L40" i="7" s="1"/>
  <c r="D15" i="7"/>
  <c r="D41" i="7" s="1"/>
  <c r="L41" i="7" s="1"/>
  <c r="D16" i="7"/>
  <c r="D42" i="7" s="1"/>
  <c r="L42" i="7" s="1"/>
  <c r="D17" i="7"/>
  <c r="D43" i="7" s="1"/>
  <c r="L43" i="7" s="1"/>
  <c r="D18" i="7"/>
  <c r="D44" i="7" s="1"/>
  <c r="L44" i="7" s="1"/>
  <c r="C12" i="7"/>
  <c r="C38" i="7" s="1"/>
  <c r="K38" i="7" s="1"/>
  <c r="C13" i="7"/>
  <c r="C39" i="7" s="1"/>
  <c r="K39" i="7" s="1"/>
  <c r="C14" i="7"/>
  <c r="C40" i="7" s="1"/>
  <c r="K40" i="7" s="1"/>
  <c r="C15" i="7"/>
  <c r="C41" i="7" s="1"/>
  <c r="K41" i="7" s="1"/>
  <c r="C16" i="7"/>
  <c r="C42" i="7" s="1"/>
  <c r="K42" i="7" s="1"/>
  <c r="C17" i="7"/>
  <c r="C43" i="7" s="1"/>
  <c r="K43" i="7" s="1"/>
  <c r="C18" i="7"/>
  <c r="C44" i="7" s="1"/>
  <c r="K44" i="7" s="1"/>
  <c r="G87" i="5"/>
  <c r="C42" i="6" s="1"/>
  <c r="G88" i="5"/>
  <c r="G89" i="5"/>
  <c r="G90" i="5"/>
  <c r="G91" i="5"/>
  <c r="G86" i="5"/>
  <c r="B17" i="7" s="1"/>
  <c r="B43" i="7" s="1"/>
  <c r="C17" i="6"/>
  <c r="G11" i="6"/>
  <c r="G37" i="6" s="1"/>
  <c r="G12" i="6"/>
  <c r="G38" i="6" s="1"/>
  <c r="G13" i="6"/>
  <c r="G39" i="6" s="1"/>
  <c r="G14" i="6"/>
  <c r="G40" i="6" s="1"/>
  <c r="G15" i="6"/>
  <c r="G41" i="6" s="1"/>
  <c r="G16" i="6"/>
  <c r="G42" i="6" s="1"/>
  <c r="G17" i="6"/>
  <c r="G43" i="6" s="1"/>
  <c r="F11" i="6"/>
  <c r="F37" i="6" s="1"/>
  <c r="F12" i="6"/>
  <c r="F38" i="6" s="1"/>
  <c r="F13" i="6"/>
  <c r="F39" i="6" s="1"/>
  <c r="F14" i="6"/>
  <c r="F40" i="6" s="1"/>
  <c r="F15" i="6"/>
  <c r="F41" i="6" s="1"/>
  <c r="F16" i="6"/>
  <c r="F42" i="6" s="1"/>
  <c r="F17" i="6"/>
  <c r="F43" i="6" s="1"/>
  <c r="E11" i="6"/>
  <c r="E37" i="6" s="1"/>
  <c r="E12" i="6"/>
  <c r="E38" i="6" s="1"/>
  <c r="E13" i="6"/>
  <c r="E39" i="6" s="1"/>
  <c r="E14" i="6"/>
  <c r="E40" i="6" s="1"/>
  <c r="E15" i="6"/>
  <c r="E41" i="6" s="1"/>
  <c r="E16" i="6"/>
  <c r="E42" i="6" s="1"/>
  <c r="E17" i="6"/>
  <c r="E43" i="6" s="1"/>
  <c r="D11" i="6"/>
  <c r="D37" i="6" s="1"/>
  <c r="D12" i="6"/>
  <c r="D38" i="6" s="1"/>
  <c r="D13" i="6"/>
  <c r="D39" i="6" s="1"/>
  <c r="D14" i="6"/>
  <c r="D40" i="6" s="1"/>
  <c r="D15" i="6"/>
  <c r="D41" i="6" s="1"/>
  <c r="D16" i="6"/>
  <c r="D42" i="6" s="1"/>
  <c r="D17" i="6"/>
  <c r="D43" i="6" s="1"/>
  <c r="C11" i="6"/>
  <c r="C12" i="6"/>
  <c r="C13" i="6"/>
  <c r="C14" i="6"/>
  <c r="C15" i="6"/>
  <c r="C16" i="6"/>
  <c r="D33" i="11"/>
  <c r="C33" i="11"/>
  <c r="D32" i="11"/>
  <c r="C32" i="11"/>
  <c r="C31" i="11"/>
  <c r="C30" i="11"/>
  <c r="D35" i="11"/>
  <c r="D34" i="11"/>
  <c r="D31" i="11"/>
  <c r="C29" i="11"/>
  <c r="C15" i="11"/>
  <c r="H15" i="11" s="1"/>
  <c r="G98" i="5"/>
  <c r="C44" i="6" s="1"/>
  <c r="G99" i="5"/>
  <c r="F143" i="5" s="1"/>
  <c r="G56" i="5"/>
  <c r="B11" i="6" s="1"/>
  <c r="B37" i="6" s="1"/>
  <c r="L37" i="6" s="1"/>
  <c r="G57" i="5"/>
  <c r="C37" i="6" s="1"/>
  <c r="G58" i="5"/>
  <c r="G59" i="5"/>
  <c r="G60" i="5"/>
  <c r="G61" i="5"/>
  <c r="G100" i="5"/>
  <c r="F144" i="5" s="1"/>
  <c r="G62" i="5"/>
  <c r="B12" i="6" s="1"/>
  <c r="M12" i="6" s="1"/>
  <c r="G63" i="5"/>
  <c r="C38" i="6" s="1"/>
  <c r="G64" i="5"/>
  <c r="G65" i="5"/>
  <c r="G66" i="5"/>
  <c r="G67" i="5"/>
  <c r="G101" i="5"/>
  <c r="F145" i="5" s="1"/>
  <c r="G68" i="5"/>
  <c r="B13" i="6" s="1"/>
  <c r="B39" i="6" s="1"/>
  <c r="L39" i="6" s="1"/>
  <c r="G69" i="5"/>
  <c r="C39" i="6" s="1"/>
  <c r="G70" i="5"/>
  <c r="G71" i="5"/>
  <c r="G72" i="5"/>
  <c r="G73" i="5"/>
  <c r="G74" i="5"/>
  <c r="B14" i="6" s="1"/>
  <c r="M14" i="6" s="1"/>
  <c r="G75" i="5"/>
  <c r="C40" i="6" s="1"/>
  <c r="G76" i="5"/>
  <c r="G77" i="5"/>
  <c r="G78" i="5"/>
  <c r="G79" i="5"/>
  <c r="G80" i="5"/>
  <c r="B15" i="6" s="1"/>
  <c r="B41" i="6" s="1"/>
  <c r="G81" i="5"/>
  <c r="C41" i="6" s="1"/>
  <c r="G82" i="5"/>
  <c r="G83" i="5"/>
  <c r="G84" i="5"/>
  <c r="G85" i="5"/>
  <c r="G92" i="5"/>
  <c r="B17" i="6" s="1"/>
  <c r="B43" i="6" s="1"/>
  <c r="L43" i="6" s="1"/>
  <c r="G93" i="5"/>
  <c r="C43" i="6" s="1"/>
  <c r="G94" i="5"/>
  <c r="G95" i="5"/>
  <c r="G96" i="5"/>
  <c r="G97" i="5"/>
  <c r="O9" i="7"/>
  <c r="O10" i="7"/>
  <c r="O11" i="7"/>
  <c r="N9" i="7"/>
  <c r="N10" i="7"/>
  <c r="N11" i="7"/>
  <c r="M9" i="7"/>
  <c r="M10" i="7"/>
  <c r="M11" i="7"/>
  <c r="L9" i="7"/>
  <c r="L10" i="7"/>
  <c r="L11" i="7"/>
  <c r="K9" i="7"/>
  <c r="K10" i="7"/>
  <c r="K11" i="7"/>
  <c r="G9" i="7"/>
  <c r="G35" i="7" s="1"/>
  <c r="O35" i="7" s="1"/>
  <c r="G10" i="7"/>
  <c r="G36" i="7" s="1"/>
  <c r="O36" i="7" s="1"/>
  <c r="G11" i="7"/>
  <c r="G37" i="7" s="1"/>
  <c r="O37" i="7" s="1"/>
  <c r="F9" i="7"/>
  <c r="F35" i="7" s="1"/>
  <c r="N35" i="7" s="1"/>
  <c r="F10" i="7"/>
  <c r="F36" i="7" s="1"/>
  <c r="N36" i="7" s="1"/>
  <c r="F11" i="7"/>
  <c r="F37" i="7" s="1"/>
  <c r="N37" i="7" s="1"/>
  <c r="E9" i="7"/>
  <c r="E35" i="7" s="1"/>
  <c r="M35" i="7" s="1"/>
  <c r="E10" i="7"/>
  <c r="E36" i="7" s="1"/>
  <c r="M36" i="7" s="1"/>
  <c r="E11" i="7"/>
  <c r="E37" i="7" s="1"/>
  <c r="M37" i="7" s="1"/>
  <c r="D9" i="7"/>
  <c r="D35" i="7" s="1"/>
  <c r="L35" i="7" s="1"/>
  <c r="D10" i="7"/>
  <c r="D36" i="7" s="1"/>
  <c r="L36" i="7" s="1"/>
  <c r="D11" i="7"/>
  <c r="D37" i="7" s="1"/>
  <c r="L37" i="7" s="1"/>
  <c r="C9" i="7"/>
  <c r="C35" i="7" s="1"/>
  <c r="K35" i="7" s="1"/>
  <c r="C10" i="7"/>
  <c r="C36" i="7" s="1"/>
  <c r="K36" i="7" s="1"/>
  <c r="C11" i="7"/>
  <c r="C37" i="7" s="1"/>
  <c r="K37" i="7" s="1"/>
  <c r="G54" i="5"/>
  <c r="G55" i="5"/>
  <c r="G52" i="5"/>
  <c r="G50" i="5"/>
  <c r="B11" i="7" s="1"/>
  <c r="G51" i="5"/>
  <c r="C36" i="6" s="1"/>
  <c r="C34" i="6"/>
  <c r="B9" i="7"/>
  <c r="C33" i="6"/>
  <c r="F131" i="5"/>
  <c r="J8" i="7" s="1"/>
  <c r="G46" i="5"/>
  <c r="G49" i="5"/>
  <c r="G44" i="5"/>
  <c r="B10" i="7" s="1"/>
  <c r="G48" i="5"/>
  <c r="G47" i="5"/>
  <c r="G45" i="5"/>
  <c r="C35" i="6" s="1"/>
  <c r="G53" i="5"/>
  <c r="M60" i="6"/>
  <c r="K68" i="7" l="1"/>
  <c r="K64" i="7"/>
  <c r="L63" i="7"/>
  <c r="M62" i="7"/>
  <c r="N65" i="7"/>
  <c r="O68" i="7"/>
  <c r="O64" i="7"/>
  <c r="F135" i="5"/>
  <c r="J12" i="7" s="1"/>
  <c r="J62" i="7" s="1"/>
  <c r="U51" i="7" s="1"/>
  <c r="B12" i="7"/>
  <c r="B38" i="7" s="1"/>
  <c r="B16" i="6"/>
  <c r="B42" i="6" s="1"/>
  <c r="B21" i="6"/>
  <c r="B47" i="6" s="1"/>
  <c r="L47" i="6" s="1"/>
  <c r="B16" i="7"/>
  <c r="B42" i="7" s="1"/>
  <c r="F138" i="5"/>
  <c r="J15" i="7" s="1"/>
  <c r="J65" i="7" s="1"/>
  <c r="R54" i="7" s="1"/>
  <c r="C47" i="6"/>
  <c r="B15" i="7"/>
  <c r="B41" i="7" s="1"/>
  <c r="K67" i="7"/>
  <c r="K63" i="7"/>
  <c r="L66" i="7"/>
  <c r="L62" i="7"/>
  <c r="M65" i="7"/>
  <c r="N64" i="7"/>
  <c r="O67" i="7"/>
  <c r="K65" i="7"/>
  <c r="L68" i="7"/>
  <c r="N66" i="7"/>
  <c r="B19" i="7"/>
  <c r="B45" i="7" s="1"/>
  <c r="F142" i="5"/>
  <c r="C46" i="6"/>
  <c r="M46" i="6" s="1"/>
  <c r="B22" i="7"/>
  <c r="C22" i="7" s="1"/>
  <c r="F139" i="5"/>
  <c r="J16" i="7" s="1"/>
  <c r="J66" i="7" s="1"/>
  <c r="R55" i="7" s="1"/>
  <c r="B19" i="6"/>
  <c r="C19" i="6" s="1"/>
  <c r="D19" i="6" s="1"/>
  <c r="D45" i="6" s="1"/>
  <c r="B18" i="6"/>
  <c r="M18" i="6" s="1"/>
  <c r="B20" i="6"/>
  <c r="B46" i="6" s="1"/>
  <c r="C45" i="6"/>
  <c r="B18" i="7"/>
  <c r="B44" i="7" s="1"/>
  <c r="B14" i="7"/>
  <c r="B40" i="7" s="1"/>
  <c r="B21" i="7"/>
  <c r="C21" i="7" s="1"/>
  <c r="C47" i="7" s="1"/>
  <c r="K47" i="7" s="1"/>
  <c r="K71" i="7" s="1"/>
  <c r="F136" i="5"/>
  <c r="J13" i="7" s="1"/>
  <c r="J63" i="7" s="1"/>
  <c r="F140" i="5"/>
  <c r="J17" i="7" s="1"/>
  <c r="J67" i="7" s="1"/>
  <c r="R30" i="7" s="1"/>
  <c r="B13" i="7"/>
  <c r="B39" i="7" s="1"/>
  <c r="B20" i="7"/>
  <c r="C20" i="7" s="1"/>
  <c r="C46" i="7" s="1"/>
  <c r="K46" i="7" s="1"/>
  <c r="K70" i="7" s="1"/>
  <c r="S33" i="7" s="1"/>
  <c r="F137" i="5"/>
  <c r="J14" i="7" s="1"/>
  <c r="J64" i="7" s="1"/>
  <c r="F141" i="5"/>
  <c r="J18" i="7" s="1"/>
  <c r="J68" i="7" s="1"/>
  <c r="R57" i="7" s="1"/>
  <c r="F132" i="5"/>
  <c r="J9" i="7" s="1"/>
  <c r="J59" i="7" s="1"/>
  <c r="F134" i="5"/>
  <c r="J11" i="7" s="1"/>
  <c r="J61" i="7" s="1"/>
  <c r="K66" i="7"/>
  <c r="M68" i="7"/>
  <c r="M64" i="7"/>
  <c r="N67" i="7"/>
  <c r="N63" i="7"/>
  <c r="F133" i="5"/>
  <c r="J10" i="7" s="1"/>
  <c r="J60" i="7" s="1"/>
  <c r="M66" i="7"/>
  <c r="N68" i="7"/>
  <c r="O66" i="7"/>
  <c r="L67" i="7"/>
  <c r="B10" i="6"/>
  <c r="B34" i="6"/>
  <c r="B64" i="6" s="1"/>
  <c r="B9" i="6"/>
  <c r="N62" i="7"/>
  <c r="O65" i="7"/>
  <c r="L65" i="7"/>
  <c r="C51" i="10"/>
  <c r="C12" i="10"/>
  <c r="B30" i="10"/>
  <c r="C30" i="10" s="1"/>
  <c r="B35" i="10"/>
  <c r="K62" i="7"/>
  <c r="B37" i="7"/>
  <c r="O63" i="7"/>
  <c r="M63" i="7"/>
  <c r="L64" i="7"/>
  <c r="M67" i="7"/>
  <c r="J70" i="7"/>
  <c r="R33" i="7" s="1"/>
  <c r="J69" i="7"/>
  <c r="R58" i="7" s="1"/>
  <c r="J72" i="7"/>
  <c r="R35" i="7" s="1"/>
  <c r="J71" i="7"/>
  <c r="R34" i="7" s="1"/>
  <c r="O62" i="7"/>
  <c r="B48" i="7"/>
  <c r="B47" i="7"/>
  <c r="D22" i="7"/>
  <c r="C48" i="7"/>
  <c r="K48" i="7" s="1"/>
  <c r="K72" i="7" s="1"/>
  <c r="D20" i="7"/>
  <c r="C19" i="7"/>
  <c r="M43" i="6"/>
  <c r="M20" i="6"/>
  <c r="B45" i="6"/>
  <c r="M45" i="6" s="1"/>
  <c r="L46" i="6"/>
  <c r="C20" i="6"/>
  <c r="D20" i="6" s="1"/>
  <c r="Q41" i="6"/>
  <c r="Q37" i="6"/>
  <c r="L41" i="6"/>
  <c r="M41" i="6"/>
  <c r="N41" i="6"/>
  <c r="O41" i="6"/>
  <c r="P41" i="6"/>
  <c r="P37" i="6"/>
  <c r="Q43" i="6"/>
  <c r="Q39" i="6"/>
  <c r="O37" i="6"/>
  <c r="P43" i="6"/>
  <c r="P39" i="6"/>
  <c r="N37" i="6"/>
  <c r="O43" i="6"/>
  <c r="O39" i="6"/>
  <c r="M37" i="6"/>
  <c r="N43" i="6"/>
  <c r="N39" i="6"/>
  <c r="M39" i="6"/>
  <c r="B40" i="6"/>
  <c r="B38" i="6"/>
  <c r="O17" i="6"/>
  <c r="O13" i="6"/>
  <c r="O15" i="6"/>
  <c r="O11" i="6"/>
  <c r="N13" i="6"/>
  <c r="R17" i="6"/>
  <c r="R13" i="6"/>
  <c r="N17" i="6"/>
  <c r="P14" i="6"/>
  <c r="P12" i="6"/>
  <c r="N11" i="6"/>
  <c r="Q17" i="6"/>
  <c r="M17" i="6"/>
  <c r="Q15" i="6"/>
  <c r="M15" i="6"/>
  <c r="O14" i="6"/>
  <c r="Q13" i="6"/>
  <c r="M13" i="6"/>
  <c r="O12" i="6"/>
  <c r="Q11" i="6"/>
  <c r="M11" i="6"/>
  <c r="P17" i="6"/>
  <c r="P15" i="6"/>
  <c r="R14" i="6"/>
  <c r="N14" i="6"/>
  <c r="P13" i="6"/>
  <c r="R12" i="6"/>
  <c r="N12" i="6"/>
  <c r="P11" i="6"/>
  <c r="R15" i="6"/>
  <c r="N15" i="6"/>
  <c r="R11" i="6"/>
  <c r="Q14" i="6"/>
  <c r="Q12" i="6"/>
  <c r="C34" i="11"/>
  <c r="B36" i="7"/>
  <c r="B35" i="7"/>
  <c r="K60" i="7"/>
  <c r="L59" i="7"/>
  <c r="N61" i="7"/>
  <c r="O60" i="7"/>
  <c r="K59" i="7"/>
  <c r="M61" i="7"/>
  <c r="N60" i="7"/>
  <c r="O59" i="7"/>
  <c r="K61" i="7"/>
  <c r="L60" i="7"/>
  <c r="M59" i="7"/>
  <c r="O61" i="7"/>
  <c r="N59" i="7"/>
  <c r="M60" i="7"/>
  <c r="L61" i="7"/>
  <c r="C8" i="7"/>
  <c r="D8" i="7"/>
  <c r="E8" i="7"/>
  <c r="F8" i="7"/>
  <c r="G8" i="7"/>
  <c r="O20" i="4"/>
  <c r="L86" i="7" s="1"/>
  <c r="K190" i="7" s="1"/>
  <c r="P9" i="10"/>
  <c r="A22" i="10"/>
  <c r="A44" i="10" s="1"/>
  <c r="A23" i="10"/>
  <c r="A45" i="10" s="1"/>
  <c r="A24" i="10"/>
  <c r="A46" i="10" s="1"/>
  <c r="A25" i="10"/>
  <c r="A47" i="10" s="1"/>
  <c r="A26" i="10"/>
  <c r="A30" i="10"/>
  <c r="B21" i="10"/>
  <c r="C21" i="10"/>
  <c r="F21" i="10"/>
  <c r="G21" i="10"/>
  <c r="A21" i="10"/>
  <c r="A43" i="10" s="1"/>
  <c r="P8" i="10"/>
  <c r="P7" i="10"/>
  <c r="D12" i="10" s="1"/>
  <c r="E11" i="10" l="1"/>
  <c r="D32" i="10"/>
  <c r="F32" i="10" s="1"/>
  <c r="E28" i="10"/>
  <c r="G28" i="10" s="1"/>
  <c r="D7" i="10"/>
  <c r="E9" i="10"/>
  <c r="D10" i="10"/>
  <c r="E10" i="10"/>
  <c r="E31" i="10"/>
  <c r="G31" i="10" s="1"/>
  <c r="E15" i="10"/>
  <c r="O29" i="10"/>
  <c r="Q29" i="10" s="1"/>
  <c r="E33" i="10"/>
  <c r="G33" i="10" s="1"/>
  <c r="E12" i="10"/>
  <c r="E35" i="10"/>
  <c r="G35" i="10" s="1"/>
  <c r="D13" i="10"/>
  <c r="D14" i="10"/>
  <c r="D11" i="10"/>
  <c r="E8" i="10"/>
  <c r="D33" i="10"/>
  <c r="F33" i="10" s="1"/>
  <c r="E34" i="10"/>
  <c r="G34" i="10" s="1"/>
  <c r="E17" i="10"/>
  <c r="E16" i="10"/>
  <c r="D8" i="10"/>
  <c r="D15" i="10"/>
  <c r="E45" i="10"/>
  <c r="G45" i="10" s="1"/>
  <c r="E49" i="10"/>
  <c r="G49" i="10" s="1"/>
  <c r="E55" i="10"/>
  <c r="G55" i="10" s="1"/>
  <c r="D45" i="10"/>
  <c r="F45" i="10" s="1"/>
  <c r="D49" i="10"/>
  <c r="F49" i="10" s="1"/>
  <c r="D54" i="10"/>
  <c r="F54" i="10" s="1"/>
  <c r="D58" i="10"/>
  <c r="F58" i="10" s="1"/>
  <c r="E46" i="10"/>
  <c r="G46" i="10" s="1"/>
  <c r="E50" i="10"/>
  <c r="G50" i="10" s="1"/>
  <c r="E56" i="10"/>
  <c r="G56" i="10" s="1"/>
  <c r="D46" i="10"/>
  <c r="F46" i="10" s="1"/>
  <c r="D50" i="10"/>
  <c r="F50" i="10" s="1"/>
  <c r="D55" i="10"/>
  <c r="F55" i="10" s="1"/>
  <c r="P28" i="10"/>
  <c r="R28" i="10" s="1"/>
  <c r="E47" i="10"/>
  <c r="G47" i="10" s="1"/>
  <c r="E53" i="10"/>
  <c r="G53" i="10" s="1"/>
  <c r="E57" i="10"/>
  <c r="G57" i="10" s="1"/>
  <c r="D47" i="10"/>
  <c r="F47" i="10" s="1"/>
  <c r="D51" i="10"/>
  <c r="F51" i="10" s="1"/>
  <c r="D56" i="10"/>
  <c r="F56" i="10" s="1"/>
  <c r="O28" i="10"/>
  <c r="Q28" i="10" s="1"/>
  <c r="E48" i="10"/>
  <c r="G48" i="10" s="1"/>
  <c r="E54" i="10"/>
  <c r="G54" i="10" s="1"/>
  <c r="E58" i="10"/>
  <c r="G58" i="10" s="1"/>
  <c r="D48" i="10"/>
  <c r="F48" i="10" s="1"/>
  <c r="D53" i="10"/>
  <c r="F53" i="10" s="1"/>
  <c r="D57" i="10"/>
  <c r="F57" i="10" s="1"/>
  <c r="D17" i="10"/>
  <c r="D28" i="10"/>
  <c r="F28" i="10" s="1"/>
  <c r="D34" i="10"/>
  <c r="F34" i="10" s="1"/>
  <c r="E13" i="10"/>
  <c r="E14" i="10"/>
  <c r="E7" i="10"/>
  <c r="D9" i="10"/>
  <c r="D16" i="10"/>
  <c r="R28" i="7"/>
  <c r="U28" i="7"/>
  <c r="S28" i="7"/>
  <c r="U25" i="7"/>
  <c r="S25" i="7"/>
  <c r="V51" i="7"/>
  <c r="W27" i="7"/>
  <c r="R51" i="7"/>
  <c r="R25" i="7"/>
  <c r="W25" i="7"/>
  <c r="T51" i="7"/>
  <c r="U54" i="7"/>
  <c r="T54" i="7"/>
  <c r="V54" i="7"/>
  <c r="V28" i="7"/>
  <c r="W54" i="7"/>
  <c r="V53" i="7"/>
  <c r="R16" i="6"/>
  <c r="Q16" i="6"/>
  <c r="O16" i="6"/>
  <c r="P16" i="6"/>
  <c r="N16" i="6"/>
  <c r="S52" i="7"/>
  <c r="S54" i="7"/>
  <c r="T25" i="7"/>
  <c r="R26" i="7"/>
  <c r="S35" i="7"/>
  <c r="M21" i="6"/>
  <c r="O19" i="6"/>
  <c r="B46" i="7"/>
  <c r="B96" i="7" s="1"/>
  <c r="S26" i="7"/>
  <c r="W52" i="7"/>
  <c r="U27" i="7"/>
  <c r="M47" i="6"/>
  <c r="V52" i="7"/>
  <c r="S53" i="7"/>
  <c r="C21" i="6"/>
  <c r="D21" i="6" s="1"/>
  <c r="O21" i="6" s="1"/>
  <c r="E19" i="6"/>
  <c r="P19" i="6" s="1"/>
  <c r="D21" i="7"/>
  <c r="V26" i="7"/>
  <c r="S27" i="7"/>
  <c r="U53" i="7"/>
  <c r="R52" i="7"/>
  <c r="T29" i="7"/>
  <c r="U29" i="7"/>
  <c r="R29" i="7"/>
  <c r="R27" i="7"/>
  <c r="V29" i="7"/>
  <c r="W29" i="7"/>
  <c r="S29" i="7"/>
  <c r="U31" i="7"/>
  <c r="B44" i="6"/>
  <c r="B74" i="6" s="1"/>
  <c r="B97" i="6" s="1"/>
  <c r="C18" i="6"/>
  <c r="D18" i="6" s="1"/>
  <c r="O18" i="6" s="1"/>
  <c r="T26" i="7"/>
  <c r="U26" i="7"/>
  <c r="T52" i="7"/>
  <c r="W53" i="7"/>
  <c r="R53" i="7"/>
  <c r="R31" i="7"/>
  <c r="W31" i="7"/>
  <c r="S31" i="7"/>
  <c r="W30" i="7"/>
  <c r="U30" i="7"/>
  <c r="R56" i="7"/>
  <c r="M19" i="6"/>
  <c r="N19" i="6"/>
  <c r="S30" i="7"/>
  <c r="V30" i="7"/>
  <c r="T31" i="7"/>
  <c r="V27" i="7"/>
  <c r="T27" i="7"/>
  <c r="T48" i="7"/>
  <c r="S48" i="7"/>
  <c r="W48" i="7"/>
  <c r="U48" i="7"/>
  <c r="R48" i="7"/>
  <c r="V48" i="7"/>
  <c r="S51" i="7"/>
  <c r="T50" i="7"/>
  <c r="S50" i="7"/>
  <c r="W50" i="7"/>
  <c r="U50" i="7"/>
  <c r="R50" i="7"/>
  <c r="V50" i="7"/>
  <c r="R49" i="7"/>
  <c r="V49" i="7"/>
  <c r="U49" i="7"/>
  <c r="S49" i="7"/>
  <c r="W49" i="7"/>
  <c r="T49" i="7"/>
  <c r="T53" i="7"/>
  <c r="W51" i="7"/>
  <c r="U52" i="7"/>
  <c r="V31" i="7"/>
  <c r="B68" i="6"/>
  <c r="B91" i="6" s="1"/>
  <c r="B67" i="6"/>
  <c r="B90" i="6" s="1"/>
  <c r="B76" i="6"/>
  <c r="J88" i="7"/>
  <c r="J91" i="7"/>
  <c r="N95" i="7"/>
  <c r="J95" i="7"/>
  <c r="K96" i="7"/>
  <c r="L97" i="7"/>
  <c r="N89" i="7"/>
  <c r="M193" i="7" s="1"/>
  <c r="F193" i="7" s="1"/>
  <c r="L91" i="7"/>
  <c r="K195" i="7" s="1"/>
  <c r="D195" i="7" s="1"/>
  <c r="B89" i="7"/>
  <c r="B112" i="7" s="1"/>
  <c r="L87" i="7"/>
  <c r="K191" i="7" s="1"/>
  <c r="D191" i="7" s="1"/>
  <c r="N94" i="7"/>
  <c r="M198" i="7" s="1"/>
  <c r="K89" i="7"/>
  <c r="J193" i="7" s="1"/>
  <c r="C193" i="7" s="1"/>
  <c r="B71" i="6"/>
  <c r="B94" i="6" s="1"/>
  <c r="K85" i="7"/>
  <c r="J189" i="7" s="1"/>
  <c r="M88" i="7"/>
  <c r="L192" i="7" s="1"/>
  <c r="E192" i="7" s="1"/>
  <c r="K90" i="7"/>
  <c r="J194" i="7" s="1"/>
  <c r="C194" i="7" s="1"/>
  <c r="O86" i="7"/>
  <c r="N190" i="7" s="1"/>
  <c r="O91" i="7"/>
  <c r="N195" i="7" s="1"/>
  <c r="G195" i="7" s="1"/>
  <c r="M93" i="7"/>
  <c r="L197" i="7" s="1"/>
  <c r="E197" i="7" s="1"/>
  <c r="O96" i="7"/>
  <c r="O87" i="7"/>
  <c r="N191" i="7" s="1"/>
  <c r="G191" i="7" s="1"/>
  <c r="J86" i="7"/>
  <c r="I190" i="7" s="1"/>
  <c r="B85" i="7"/>
  <c r="B108" i="7" s="1"/>
  <c r="B72" i="6"/>
  <c r="B95" i="6" s="1"/>
  <c r="B77" i="6"/>
  <c r="B100" i="6" s="1"/>
  <c r="B97" i="7"/>
  <c r="J92" i="7"/>
  <c r="J90" i="7"/>
  <c r="M95" i="7"/>
  <c r="N96" i="7"/>
  <c r="J96" i="7"/>
  <c r="K97" i="7"/>
  <c r="N93" i="7"/>
  <c r="M197" i="7" s="1"/>
  <c r="F197" i="7" s="1"/>
  <c r="K88" i="7"/>
  <c r="J192" i="7" s="1"/>
  <c r="C192" i="7" s="1"/>
  <c r="B93" i="7"/>
  <c r="B116" i="7" s="1"/>
  <c r="O89" i="7"/>
  <c r="N193" i="7" s="1"/>
  <c r="G193" i="7" s="1"/>
  <c r="M91" i="7"/>
  <c r="L195" i="7" s="1"/>
  <c r="E195" i="7" s="1"/>
  <c r="K93" i="7"/>
  <c r="J197" i="7" s="1"/>
  <c r="C197" i="7" s="1"/>
  <c r="O85" i="7"/>
  <c r="N189" i="7" s="1"/>
  <c r="O90" i="7"/>
  <c r="N194" i="7" s="1"/>
  <c r="G194" i="7" s="1"/>
  <c r="M92" i="7"/>
  <c r="L196" i="7" s="1"/>
  <c r="E196" i="7" s="1"/>
  <c r="K94" i="7"/>
  <c r="J198" i="7" s="1"/>
  <c r="N87" i="7"/>
  <c r="M191" i="7" s="1"/>
  <c r="F191" i="7" s="1"/>
  <c r="N88" i="7"/>
  <c r="M192" i="7" s="1"/>
  <c r="F192" i="7" s="1"/>
  <c r="L90" i="7"/>
  <c r="K194" i="7" s="1"/>
  <c r="D194" i="7" s="1"/>
  <c r="J87" i="7"/>
  <c r="I191" i="7" s="1"/>
  <c r="M85" i="7"/>
  <c r="L189" i="7" s="1"/>
  <c r="B86" i="7"/>
  <c r="B109" i="7" s="1"/>
  <c r="B70" i="6"/>
  <c r="B93" i="6" s="1"/>
  <c r="B69" i="6"/>
  <c r="B92" i="6" s="1"/>
  <c r="B98" i="7"/>
  <c r="J89" i="7"/>
  <c r="J94" i="7"/>
  <c r="B87" i="7"/>
  <c r="B110" i="7" s="1"/>
  <c r="L95" i="7"/>
  <c r="M96" i="7"/>
  <c r="N97" i="7"/>
  <c r="J97" i="7"/>
  <c r="O88" i="7"/>
  <c r="N192" i="7" s="1"/>
  <c r="G192" i="7" s="1"/>
  <c r="M90" i="7"/>
  <c r="L194" i="7" s="1"/>
  <c r="E194" i="7" s="1"/>
  <c r="K92" i="7"/>
  <c r="J196" i="7" s="1"/>
  <c r="C196" i="7" s="1"/>
  <c r="N85" i="7"/>
  <c r="M189" i="7" s="1"/>
  <c r="O93" i="7"/>
  <c r="N197" i="7" s="1"/>
  <c r="G197" i="7" s="1"/>
  <c r="L88" i="7"/>
  <c r="K192" i="7" s="1"/>
  <c r="D192" i="7" s="1"/>
  <c r="B90" i="7"/>
  <c r="B113" i="7" s="1"/>
  <c r="N86" i="7"/>
  <c r="M190" i="7" s="1"/>
  <c r="O94" i="7"/>
  <c r="N198" i="7" s="1"/>
  <c r="L89" i="7"/>
  <c r="K193" i="7" s="1"/>
  <c r="D193" i="7" s="1"/>
  <c r="O95" i="7"/>
  <c r="L85" i="7"/>
  <c r="K189" i="7" s="1"/>
  <c r="N92" i="7"/>
  <c r="M196" i="7" s="1"/>
  <c r="F196" i="7" s="1"/>
  <c r="L94" i="7"/>
  <c r="K198" i="7" s="1"/>
  <c r="B88" i="7"/>
  <c r="B111" i="7" s="1"/>
  <c r="C110" i="7"/>
  <c r="K111" i="7" s="1"/>
  <c r="G110" i="7"/>
  <c r="O111" i="7" s="1"/>
  <c r="C107" i="7"/>
  <c r="K108" i="7" s="1"/>
  <c r="D108" i="7"/>
  <c r="L109" i="7" s="1"/>
  <c r="E109" i="7"/>
  <c r="M110" i="7" s="1"/>
  <c r="G107" i="7"/>
  <c r="O108" i="7" s="1"/>
  <c r="G89" i="6"/>
  <c r="E89" i="6"/>
  <c r="C89" i="6"/>
  <c r="M98" i="7"/>
  <c r="C116" i="7"/>
  <c r="K117" i="7" s="1"/>
  <c r="G90" i="7"/>
  <c r="G113" i="7" s="1"/>
  <c r="O114" i="7" s="1"/>
  <c r="G94" i="7"/>
  <c r="G117" i="7" s="1"/>
  <c r="O118" i="7" s="1"/>
  <c r="F91" i="7"/>
  <c r="F114" i="7" s="1"/>
  <c r="N115" i="7" s="1"/>
  <c r="E88" i="7"/>
  <c r="E111" i="7" s="1"/>
  <c r="M112" i="7" s="1"/>
  <c r="E92" i="7"/>
  <c r="E115" i="7" s="1"/>
  <c r="M116" i="7" s="1"/>
  <c r="D89" i="7"/>
  <c r="D112" i="7" s="1"/>
  <c r="L113" i="7" s="1"/>
  <c r="D116" i="7"/>
  <c r="L117" i="7" s="1"/>
  <c r="C90" i="7"/>
  <c r="C113" i="7" s="1"/>
  <c r="K114" i="7" s="1"/>
  <c r="G70" i="6"/>
  <c r="G93" i="6" s="1"/>
  <c r="F67" i="6"/>
  <c r="F90" i="6" s="1"/>
  <c r="E68" i="6"/>
  <c r="E91" i="6" s="1"/>
  <c r="E95" i="6"/>
  <c r="D92" i="6"/>
  <c r="D73" i="6"/>
  <c r="D96" i="6" s="1"/>
  <c r="K96" i="6" s="1"/>
  <c r="C70" i="6"/>
  <c r="C93" i="6" s="1"/>
  <c r="D110" i="7"/>
  <c r="L111" i="7" s="1"/>
  <c r="C108" i="7"/>
  <c r="K109" i="7" s="1"/>
  <c r="D109" i="7"/>
  <c r="L110" i="7" s="1"/>
  <c r="L133" i="7" s="1"/>
  <c r="D133" i="7" s="1"/>
  <c r="F133" i="7" s="1"/>
  <c r="F107" i="7"/>
  <c r="N108" i="7" s="1"/>
  <c r="G108" i="7"/>
  <c r="O109" i="7" s="1"/>
  <c r="L98" i="7"/>
  <c r="C94" i="7"/>
  <c r="C117" i="7" s="1"/>
  <c r="K118" i="7" s="1"/>
  <c r="G91" i="7"/>
  <c r="G114" i="7" s="1"/>
  <c r="O115" i="7" s="1"/>
  <c r="F88" i="7"/>
  <c r="F111" i="7" s="1"/>
  <c r="N112" i="7" s="1"/>
  <c r="N135" i="7" s="1"/>
  <c r="F135" i="7" s="1"/>
  <c r="F92" i="7"/>
  <c r="F115" i="7" s="1"/>
  <c r="N116" i="7" s="1"/>
  <c r="E89" i="7"/>
  <c r="E112" i="7" s="1"/>
  <c r="M113" i="7" s="1"/>
  <c r="E116" i="7"/>
  <c r="M117" i="7" s="1"/>
  <c r="D90" i="7"/>
  <c r="D113" i="7" s="1"/>
  <c r="L114" i="7" s="1"/>
  <c r="D94" i="7"/>
  <c r="D117" i="7" s="1"/>
  <c r="L118" i="7" s="1"/>
  <c r="C91" i="7"/>
  <c r="C114" i="7" s="1"/>
  <c r="K115" i="7" s="1"/>
  <c r="G67" i="6"/>
  <c r="G94" i="6"/>
  <c r="F68" i="6"/>
  <c r="F91" i="6" s="1"/>
  <c r="E69" i="6"/>
  <c r="E92" i="6" s="1"/>
  <c r="E73" i="6"/>
  <c r="E96" i="6" s="1"/>
  <c r="D70" i="6"/>
  <c r="D93" i="6" s="1"/>
  <c r="C67" i="6"/>
  <c r="C90" i="6" s="1"/>
  <c r="C94" i="6"/>
  <c r="E110" i="7"/>
  <c r="M111" i="7" s="1"/>
  <c r="C109" i="7"/>
  <c r="K110" i="7" s="1"/>
  <c r="E107" i="7"/>
  <c r="M108" i="7" s="1"/>
  <c r="F108" i="7"/>
  <c r="N109" i="7" s="1"/>
  <c r="G109" i="7"/>
  <c r="O110" i="7" s="1"/>
  <c r="O98" i="7"/>
  <c r="K98" i="7"/>
  <c r="G88" i="7"/>
  <c r="G111" i="7" s="1"/>
  <c r="O112" i="7" s="1"/>
  <c r="G92" i="7"/>
  <c r="G115" i="7" s="1"/>
  <c r="O116" i="7" s="1"/>
  <c r="F89" i="7"/>
  <c r="F112" i="7" s="1"/>
  <c r="N113" i="7" s="1"/>
  <c r="F116" i="7"/>
  <c r="N117" i="7" s="1"/>
  <c r="E90" i="7"/>
  <c r="E113" i="7" s="1"/>
  <c r="M114" i="7" s="1"/>
  <c r="E94" i="7"/>
  <c r="E117" i="7" s="1"/>
  <c r="M118" i="7" s="1"/>
  <c r="D91" i="7"/>
  <c r="D114" i="7" s="1"/>
  <c r="L115" i="7" s="1"/>
  <c r="C88" i="7"/>
  <c r="C111" i="7" s="1"/>
  <c r="K112" i="7" s="1"/>
  <c r="C92" i="7"/>
  <c r="C115" i="7" s="1"/>
  <c r="K116" i="7" s="1"/>
  <c r="G68" i="6"/>
  <c r="G91" i="6" s="1"/>
  <c r="G95" i="6"/>
  <c r="F69" i="6"/>
  <c r="F92" i="6" s="1"/>
  <c r="F73" i="6"/>
  <c r="F96" i="6" s="1"/>
  <c r="E70" i="6"/>
  <c r="E93" i="6" s="1"/>
  <c r="D67" i="6"/>
  <c r="D90" i="6" s="1"/>
  <c r="K90" i="6" s="1"/>
  <c r="C68" i="6"/>
  <c r="C91" i="6" s="1"/>
  <c r="C95" i="6"/>
  <c r="F110" i="7"/>
  <c r="N111" i="7" s="1"/>
  <c r="D107" i="7"/>
  <c r="L108" i="7" s="1"/>
  <c r="E108" i="7"/>
  <c r="M109" i="7" s="1"/>
  <c r="F109" i="7"/>
  <c r="N110" i="7" s="1"/>
  <c r="G65" i="6"/>
  <c r="G88" i="6" s="1"/>
  <c r="F65" i="6"/>
  <c r="F88" i="6" s="1"/>
  <c r="E65" i="6"/>
  <c r="E88" i="6" s="1"/>
  <c r="D65" i="6"/>
  <c r="D88" i="6" s="1"/>
  <c r="K88" i="6" s="1"/>
  <c r="C65" i="6"/>
  <c r="C88" i="6" s="1"/>
  <c r="N98" i="7"/>
  <c r="J98" i="7"/>
  <c r="G89" i="7"/>
  <c r="G112" i="7" s="1"/>
  <c r="O113" i="7" s="1"/>
  <c r="G116" i="7"/>
  <c r="O117" i="7" s="1"/>
  <c r="F90" i="7"/>
  <c r="F113" i="7" s="1"/>
  <c r="N114" i="7" s="1"/>
  <c r="F94" i="7"/>
  <c r="F117" i="7" s="1"/>
  <c r="N118" i="7" s="1"/>
  <c r="E91" i="7"/>
  <c r="E114" i="7" s="1"/>
  <c r="M115" i="7" s="1"/>
  <c r="D88" i="7"/>
  <c r="D111" i="7" s="1"/>
  <c r="L112" i="7" s="1"/>
  <c r="D92" i="7"/>
  <c r="D115" i="7" s="1"/>
  <c r="L116" i="7" s="1"/>
  <c r="C89" i="7"/>
  <c r="C112" i="7" s="1"/>
  <c r="K113" i="7" s="1"/>
  <c r="B95" i="7"/>
  <c r="G69" i="6"/>
  <c r="G92" i="6" s="1"/>
  <c r="G73" i="6"/>
  <c r="G96" i="6" s="1"/>
  <c r="F70" i="6"/>
  <c r="F93" i="6" s="1"/>
  <c r="E67" i="6"/>
  <c r="E90" i="6" s="1"/>
  <c r="E94" i="6"/>
  <c r="D68" i="6"/>
  <c r="D91" i="6" s="1"/>
  <c r="K91" i="6" s="1"/>
  <c r="C69" i="6"/>
  <c r="C92" i="6" s="1"/>
  <c r="C73" i="6"/>
  <c r="C96" i="6" s="1"/>
  <c r="B73" i="6"/>
  <c r="B96" i="6" s="1"/>
  <c r="J93" i="7"/>
  <c r="K95" i="7"/>
  <c r="L96" i="7"/>
  <c r="M97" i="7"/>
  <c r="O92" i="7"/>
  <c r="N196" i="7" s="1"/>
  <c r="G196" i="7" s="1"/>
  <c r="M94" i="7"/>
  <c r="L198" i="7" s="1"/>
  <c r="O97" i="7"/>
  <c r="M86" i="7"/>
  <c r="L190" i="7" s="1"/>
  <c r="N90" i="7"/>
  <c r="M194" i="7" s="1"/>
  <c r="F194" i="7" s="1"/>
  <c r="L92" i="7"/>
  <c r="K196" i="7" s="1"/>
  <c r="D196" i="7" s="1"/>
  <c r="B94" i="7"/>
  <c r="B117" i="7" s="1"/>
  <c r="M87" i="7"/>
  <c r="L191" i="7" s="1"/>
  <c r="E191" i="7" s="1"/>
  <c r="N91" i="7"/>
  <c r="M195" i="7" s="1"/>
  <c r="F195" i="7" s="1"/>
  <c r="L93" i="7"/>
  <c r="K197" i="7" s="1"/>
  <c r="D197" i="7" s="1"/>
  <c r="B91" i="7"/>
  <c r="B114" i="7" s="1"/>
  <c r="K86" i="7"/>
  <c r="J190" i="7" s="1"/>
  <c r="M89" i="7"/>
  <c r="L193" i="7" s="1"/>
  <c r="E193" i="7" s="1"/>
  <c r="K91" i="7"/>
  <c r="J195" i="7" s="1"/>
  <c r="C195" i="7" s="1"/>
  <c r="B92" i="7"/>
  <c r="B115" i="7" s="1"/>
  <c r="K87" i="7"/>
  <c r="J191" i="7" s="1"/>
  <c r="C191" i="7" s="1"/>
  <c r="B87" i="6"/>
  <c r="T30" i="7"/>
  <c r="V25" i="7"/>
  <c r="R8" i="6"/>
  <c r="M8" i="6"/>
  <c r="N8" i="6"/>
  <c r="P8" i="6"/>
  <c r="O8" i="6"/>
  <c r="Q8" i="6"/>
  <c r="W28" i="7"/>
  <c r="T28" i="7"/>
  <c r="E51" i="10"/>
  <c r="G51" i="10" s="1"/>
  <c r="P29" i="10"/>
  <c r="R29" i="10" s="1"/>
  <c r="C52" i="10"/>
  <c r="E52" i="10" s="1"/>
  <c r="G52" i="10" s="1"/>
  <c r="E30" i="10"/>
  <c r="G30" i="10" s="1"/>
  <c r="B52" i="10"/>
  <c r="D52" i="10" s="1"/>
  <c r="F52" i="10" s="1"/>
  <c r="D30" i="10"/>
  <c r="F30" i="10" s="1"/>
  <c r="D31" i="10"/>
  <c r="F31" i="10" s="1"/>
  <c r="D35" i="10"/>
  <c r="F35" i="10" s="1"/>
  <c r="W26" i="7"/>
  <c r="N34" i="6"/>
  <c r="O34" i="6"/>
  <c r="P34" i="6"/>
  <c r="Q34" i="6"/>
  <c r="C97" i="7"/>
  <c r="D97" i="7" s="1"/>
  <c r="E97" i="7" s="1"/>
  <c r="F97" i="7" s="1"/>
  <c r="G97" i="7" s="1"/>
  <c r="B120" i="7"/>
  <c r="C120" i="7" s="1"/>
  <c r="D120" i="7" s="1"/>
  <c r="E120" i="7" s="1"/>
  <c r="F120" i="7" s="1"/>
  <c r="G120" i="7" s="1"/>
  <c r="C98" i="7"/>
  <c r="D98" i="7" s="1"/>
  <c r="E98" i="7" s="1"/>
  <c r="F98" i="7" s="1"/>
  <c r="G98" i="7" s="1"/>
  <c r="B121" i="7"/>
  <c r="C121" i="7" s="1"/>
  <c r="D121" i="7" s="1"/>
  <c r="E121" i="7" s="1"/>
  <c r="F121" i="7" s="1"/>
  <c r="G121" i="7" s="1"/>
  <c r="L34" i="6"/>
  <c r="M34" i="6"/>
  <c r="W24" i="7"/>
  <c r="V23" i="7"/>
  <c r="S23" i="7"/>
  <c r="R32" i="7"/>
  <c r="S34" i="7"/>
  <c r="R24" i="7"/>
  <c r="R22" i="7"/>
  <c r="R23" i="7"/>
  <c r="T24" i="7"/>
  <c r="U24" i="7"/>
  <c r="S24" i="7"/>
  <c r="V24" i="7"/>
  <c r="U23" i="7"/>
  <c r="T23" i="7"/>
  <c r="W23" i="7"/>
  <c r="C45" i="7"/>
  <c r="K45" i="7" s="1"/>
  <c r="K69" i="7" s="1"/>
  <c r="D19" i="7"/>
  <c r="D48" i="7"/>
  <c r="L48" i="7" s="1"/>
  <c r="L72" i="7" s="1"/>
  <c r="T35" i="7" s="1"/>
  <c r="E22" i="7"/>
  <c r="D46" i="7"/>
  <c r="L46" i="7" s="1"/>
  <c r="L70" i="7" s="1"/>
  <c r="T33" i="7" s="1"/>
  <c r="E20" i="7"/>
  <c r="E21" i="7"/>
  <c r="D47" i="7"/>
  <c r="L47" i="7" s="1"/>
  <c r="L71" i="7" s="1"/>
  <c r="T34" i="7" s="1"/>
  <c r="D76" i="6"/>
  <c r="D99" i="6" s="1"/>
  <c r="E76" i="6"/>
  <c r="E99" i="6" s="1"/>
  <c r="C76" i="6"/>
  <c r="C99" i="6" s="1"/>
  <c r="G76" i="6"/>
  <c r="G99" i="6" s="1"/>
  <c r="B99" i="6"/>
  <c r="F76" i="6"/>
  <c r="F99" i="6" s="1"/>
  <c r="L45" i="6"/>
  <c r="B75" i="6"/>
  <c r="N45" i="6"/>
  <c r="N21" i="6"/>
  <c r="E21" i="6"/>
  <c r="D47" i="6"/>
  <c r="N47" i="6" s="1"/>
  <c r="E45" i="6"/>
  <c r="O45" i="6" s="1"/>
  <c r="E20" i="6"/>
  <c r="D46" i="6"/>
  <c r="N46" i="6" s="1"/>
  <c r="O20" i="6"/>
  <c r="N20" i="6"/>
  <c r="F77" i="6"/>
  <c r="F100" i="6" s="1"/>
  <c r="P38" i="6"/>
  <c r="Q38" i="6"/>
  <c r="P40" i="6"/>
  <c r="Q40" i="6"/>
  <c r="N40" i="6"/>
  <c r="O40" i="6"/>
  <c r="N38" i="6"/>
  <c r="O38" i="6"/>
  <c r="L38" i="6"/>
  <c r="M38" i="6"/>
  <c r="L40" i="6"/>
  <c r="M40" i="6"/>
  <c r="O9" i="6"/>
  <c r="N9" i="6"/>
  <c r="R9" i="6"/>
  <c r="P9" i="6"/>
  <c r="M9" i="6"/>
  <c r="Q9" i="6"/>
  <c r="M10" i="6"/>
  <c r="Q10" i="6"/>
  <c r="N10" i="6"/>
  <c r="R10" i="6"/>
  <c r="P10" i="6"/>
  <c r="O10" i="6"/>
  <c r="B35" i="6"/>
  <c r="B65" i="6" s="1"/>
  <c r="B36" i="6"/>
  <c r="B66" i="6" s="1"/>
  <c r="U22" i="7"/>
  <c r="C35" i="11"/>
  <c r="D30" i="11"/>
  <c r="T22" i="7"/>
  <c r="V22" i="7"/>
  <c r="S22" i="7"/>
  <c r="W22" i="7"/>
  <c r="J85" i="7"/>
  <c r="I189" i="7" s="1"/>
  <c r="E44" i="10"/>
  <c r="G44" i="10" s="1"/>
  <c r="D44" i="10"/>
  <c r="F44" i="10" s="1"/>
  <c r="O17" i="4"/>
  <c r="E77" i="6" l="1"/>
  <c r="E100" i="6" s="1"/>
  <c r="G77" i="6"/>
  <c r="G100" i="6" s="1"/>
  <c r="C77" i="6"/>
  <c r="C100" i="6" s="1"/>
  <c r="D77" i="6"/>
  <c r="D100" i="6" s="1"/>
  <c r="D123" i="6" s="1"/>
  <c r="L91" i="6"/>
  <c r="L90" i="6"/>
  <c r="B120" i="6"/>
  <c r="L96" i="6"/>
  <c r="L88" i="6"/>
  <c r="E18" i="6"/>
  <c r="F18" i="6" s="1"/>
  <c r="Q18" i="6" s="1"/>
  <c r="G116" i="6"/>
  <c r="M158" i="7"/>
  <c r="D44" i="6"/>
  <c r="N44" i="6" s="1"/>
  <c r="N18" i="6"/>
  <c r="M44" i="6"/>
  <c r="L44" i="6"/>
  <c r="C96" i="7"/>
  <c r="D96" i="7" s="1"/>
  <c r="E96" i="7" s="1"/>
  <c r="F96" i="7" s="1"/>
  <c r="G96" i="7" s="1"/>
  <c r="B119" i="7"/>
  <c r="C119" i="7" s="1"/>
  <c r="D119" i="7" s="1"/>
  <c r="E119" i="7" s="1"/>
  <c r="F119" i="7" s="1"/>
  <c r="G119" i="7" s="1"/>
  <c r="F19" i="6"/>
  <c r="M144" i="7"/>
  <c r="E144" i="7" s="1"/>
  <c r="L201" i="7"/>
  <c r="E201" i="7" s="1"/>
  <c r="O142" i="7"/>
  <c r="G142" i="7" s="1"/>
  <c r="N199" i="7"/>
  <c r="G199" i="7" s="1"/>
  <c r="N144" i="7"/>
  <c r="F144" i="7" s="1"/>
  <c r="M201" i="7"/>
  <c r="F201" i="7" s="1"/>
  <c r="M142" i="7"/>
  <c r="E142" i="7" s="1"/>
  <c r="L199" i="7"/>
  <c r="E199" i="7" s="1"/>
  <c r="L144" i="7"/>
  <c r="D144" i="7" s="1"/>
  <c r="K201" i="7"/>
  <c r="D201" i="7" s="1"/>
  <c r="O144" i="7"/>
  <c r="G144" i="7" s="1"/>
  <c r="N201" i="7"/>
  <c r="G201" i="7" s="1"/>
  <c r="L143" i="7"/>
  <c r="D143" i="7" s="1"/>
  <c r="K200" i="7"/>
  <c r="D200" i="7" s="1"/>
  <c r="M143" i="7"/>
  <c r="E143" i="7" s="1"/>
  <c r="L200" i="7"/>
  <c r="E200" i="7" s="1"/>
  <c r="K144" i="7"/>
  <c r="C144" i="7" s="1"/>
  <c r="J201" i="7"/>
  <c r="C201" i="7" s="1"/>
  <c r="K143" i="7"/>
  <c r="C143" i="7" s="1"/>
  <c r="J200" i="7"/>
  <c r="C200" i="7" s="1"/>
  <c r="K142" i="7"/>
  <c r="C142" i="7" s="1"/>
  <c r="J199" i="7"/>
  <c r="C199" i="7" s="1"/>
  <c r="J145" i="7"/>
  <c r="I202" i="7"/>
  <c r="B202" i="7" s="1"/>
  <c r="R189" i="7" s="1"/>
  <c r="K145" i="7"/>
  <c r="C145" i="7" s="1"/>
  <c r="J202" i="7"/>
  <c r="C202" i="7" s="1"/>
  <c r="M145" i="7"/>
  <c r="E145" i="7" s="1"/>
  <c r="L202" i="7"/>
  <c r="E202" i="7" s="1"/>
  <c r="L142" i="7"/>
  <c r="D142" i="7" s="1"/>
  <c r="K199" i="7"/>
  <c r="D199" i="7" s="1"/>
  <c r="J143" i="7"/>
  <c r="I200" i="7"/>
  <c r="B200" i="7" s="1"/>
  <c r="R187" i="7" s="1"/>
  <c r="O143" i="7"/>
  <c r="G143" i="7" s="1"/>
  <c r="N200" i="7"/>
  <c r="G200" i="7" s="1"/>
  <c r="J142" i="7"/>
  <c r="I199" i="7"/>
  <c r="B199" i="7" s="1"/>
  <c r="R186" i="7" s="1"/>
  <c r="N145" i="7"/>
  <c r="F145" i="7" s="1"/>
  <c r="M202" i="7"/>
  <c r="F202" i="7" s="1"/>
  <c r="O145" i="7"/>
  <c r="G145" i="7" s="1"/>
  <c r="N202" i="7"/>
  <c r="G202" i="7" s="1"/>
  <c r="L145" i="7"/>
  <c r="D145" i="7" s="1"/>
  <c r="K202" i="7"/>
  <c r="D202" i="7" s="1"/>
  <c r="J144" i="7"/>
  <c r="I201" i="7"/>
  <c r="B201" i="7" s="1"/>
  <c r="R188" i="7" s="1"/>
  <c r="N143" i="7"/>
  <c r="F143" i="7" s="1"/>
  <c r="M200" i="7"/>
  <c r="F200" i="7" s="1"/>
  <c r="N142" i="7"/>
  <c r="F142" i="7" s="1"/>
  <c r="M199" i="7"/>
  <c r="F199" i="7" s="1"/>
  <c r="O132" i="7"/>
  <c r="L136" i="7"/>
  <c r="D136" i="7" s="1"/>
  <c r="M135" i="7"/>
  <c r="E135" i="7" s="1"/>
  <c r="K140" i="7"/>
  <c r="C140" i="7" s="1"/>
  <c r="K141" i="7"/>
  <c r="C141" i="7" s="1"/>
  <c r="B117" i="6"/>
  <c r="F117" i="6"/>
  <c r="D117" i="6"/>
  <c r="E117" i="6"/>
  <c r="G117" i="6"/>
  <c r="D115" i="6"/>
  <c r="F115" i="6"/>
  <c r="E115" i="6"/>
  <c r="B115" i="6"/>
  <c r="G115" i="6"/>
  <c r="D113" i="6"/>
  <c r="B113" i="6"/>
  <c r="G113" i="6"/>
  <c r="E113" i="6"/>
  <c r="F113" i="6"/>
  <c r="B116" i="6"/>
  <c r="F116" i="6"/>
  <c r="E116" i="6"/>
  <c r="D116" i="6"/>
  <c r="D110" i="6"/>
  <c r="F110" i="6" s="1"/>
  <c r="B110" i="6"/>
  <c r="E110" i="6"/>
  <c r="G110" i="6" s="1"/>
  <c r="B114" i="6"/>
  <c r="F114" i="6"/>
  <c r="D114" i="6"/>
  <c r="G114" i="6"/>
  <c r="E114" i="6"/>
  <c r="B112" i="6"/>
  <c r="E112" i="6"/>
  <c r="G112" i="6" s="1"/>
  <c r="D112" i="6"/>
  <c r="F112" i="6" s="1"/>
  <c r="M138" i="7"/>
  <c r="E138" i="7" s="1"/>
  <c r="J139" i="7"/>
  <c r="B139" i="7" s="1"/>
  <c r="I196" i="7"/>
  <c r="B196" i="7" s="1"/>
  <c r="J140" i="7"/>
  <c r="B140" i="7" s="1"/>
  <c r="I197" i="7"/>
  <c r="B197" i="7" s="1"/>
  <c r="J134" i="7"/>
  <c r="B134" i="7" s="1"/>
  <c r="B191" i="7"/>
  <c r="J132" i="7"/>
  <c r="B132" i="7" s="1"/>
  <c r="B189" i="7"/>
  <c r="J141" i="7"/>
  <c r="B141" i="7" s="1"/>
  <c r="I198" i="7"/>
  <c r="B198" i="7" s="1"/>
  <c r="J133" i="7"/>
  <c r="B190" i="7"/>
  <c r="J138" i="7"/>
  <c r="B138" i="7" s="1"/>
  <c r="I195" i="7"/>
  <c r="B195" i="7" s="1"/>
  <c r="J136" i="7"/>
  <c r="B136" i="7" s="1"/>
  <c r="I193" i="7"/>
  <c r="B193" i="7" s="1"/>
  <c r="J137" i="7"/>
  <c r="B137" i="7" s="1"/>
  <c r="I194" i="7"/>
  <c r="B194" i="7" s="1"/>
  <c r="J135" i="7"/>
  <c r="B135" i="7" s="1"/>
  <c r="I192" i="7"/>
  <c r="B192" i="7" s="1"/>
  <c r="U180" i="7" s="1"/>
  <c r="M137" i="7"/>
  <c r="E137" i="7" s="1"/>
  <c r="O133" i="7"/>
  <c r="N136" i="7"/>
  <c r="F136" i="7" s="1"/>
  <c r="K139" i="7"/>
  <c r="C139" i="7" s="1"/>
  <c r="L137" i="7"/>
  <c r="D137" i="7" s="1"/>
  <c r="K132" i="7"/>
  <c r="C132" i="7" s="1"/>
  <c r="N140" i="7"/>
  <c r="F140" i="7" s="1"/>
  <c r="O138" i="7"/>
  <c r="G138" i="7" s="1"/>
  <c r="L134" i="7"/>
  <c r="D134" i="7" s="1"/>
  <c r="M139" i="7"/>
  <c r="L135" i="7"/>
  <c r="D135" i="7" s="1"/>
  <c r="G90" i="6"/>
  <c r="O137" i="7"/>
  <c r="G137" i="7" s="1"/>
  <c r="O136" i="7"/>
  <c r="G136" i="7" s="1"/>
  <c r="L141" i="7"/>
  <c r="K136" i="7"/>
  <c r="C136" i="7" s="1"/>
  <c r="N141" i="7"/>
  <c r="M132" i="7"/>
  <c r="E132" i="7" s="1"/>
  <c r="G132" i="7" s="1"/>
  <c r="O135" i="7"/>
  <c r="O141" i="7"/>
  <c r="L138" i="7"/>
  <c r="N139" i="7"/>
  <c r="O140" i="7"/>
  <c r="G140" i="7" s="1"/>
  <c r="N134" i="7"/>
  <c r="F134" i="7" s="1"/>
  <c r="K137" i="7"/>
  <c r="N133" i="7"/>
  <c r="K135" i="7"/>
  <c r="N132" i="7"/>
  <c r="M140" i="7"/>
  <c r="E140" i="7" s="1"/>
  <c r="L132" i="7"/>
  <c r="D132" i="7" s="1"/>
  <c r="F132" i="7" s="1"/>
  <c r="O139" i="7"/>
  <c r="O134" i="7"/>
  <c r="G134" i="7" s="1"/>
  <c r="B145" i="7"/>
  <c r="W134" i="7"/>
  <c r="T134" i="7"/>
  <c r="U134" i="7"/>
  <c r="M134" i="7"/>
  <c r="E134" i="7" s="1"/>
  <c r="L139" i="7"/>
  <c r="D139" i="7" s="1"/>
  <c r="N137" i="7"/>
  <c r="K138" i="7"/>
  <c r="M136" i="7"/>
  <c r="M133" i="7"/>
  <c r="K134" i="7"/>
  <c r="C134" i="7" s="1"/>
  <c r="B118" i="7"/>
  <c r="C118" i="7" s="1"/>
  <c r="D118" i="7" s="1"/>
  <c r="E118" i="7" s="1"/>
  <c r="F118" i="7" s="1"/>
  <c r="G118" i="7" s="1"/>
  <c r="C95" i="7"/>
  <c r="D95" i="7" s="1"/>
  <c r="E95" i="7" s="1"/>
  <c r="F95" i="7" s="1"/>
  <c r="G95" i="7" s="1"/>
  <c r="M141" i="7"/>
  <c r="K133" i="7"/>
  <c r="L140" i="7"/>
  <c r="D140" i="7" s="1"/>
  <c r="N138" i="7"/>
  <c r="Q35" i="6"/>
  <c r="Q36" i="6"/>
  <c r="F59" i="10"/>
  <c r="G59" i="10"/>
  <c r="E32" i="10"/>
  <c r="G32" i="10" s="1"/>
  <c r="S32" i="7"/>
  <c r="D45" i="7"/>
  <c r="L45" i="7" s="1"/>
  <c r="L69" i="7" s="1"/>
  <c r="E19" i="7"/>
  <c r="F22" i="7"/>
  <c r="E48" i="7"/>
  <c r="M48" i="7" s="1"/>
  <c r="M72" i="7" s="1"/>
  <c r="U35" i="7" s="1"/>
  <c r="E46" i="7"/>
  <c r="M46" i="7" s="1"/>
  <c r="M70" i="7" s="1"/>
  <c r="U33" i="7" s="1"/>
  <c r="F20" i="7"/>
  <c r="E47" i="7"/>
  <c r="M47" i="7" s="1"/>
  <c r="M71" i="7" s="1"/>
  <c r="U34" i="7" s="1"/>
  <c r="F21" i="7"/>
  <c r="G74" i="6"/>
  <c r="G97" i="6" s="1"/>
  <c r="G120" i="6" s="1"/>
  <c r="C74" i="6"/>
  <c r="C97" i="6" s="1"/>
  <c r="F74" i="6"/>
  <c r="F97" i="6" s="1"/>
  <c r="F120" i="6" s="1"/>
  <c r="E74" i="6"/>
  <c r="E97" i="6" s="1"/>
  <c r="E120" i="6" s="1"/>
  <c r="D74" i="6"/>
  <c r="D97" i="6" s="1"/>
  <c r="D120" i="6" s="1"/>
  <c r="D75" i="6"/>
  <c r="D98" i="6" s="1"/>
  <c r="C75" i="6"/>
  <c r="C98" i="6" s="1"/>
  <c r="G75" i="6"/>
  <c r="G98" i="6" s="1"/>
  <c r="B98" i="6"/>
  <c r="E75" i="6"/>
  <c r="E98" i="6" s="1"/>
  <c r="F75" i="6"/>
  <c r="F98" i="6" s="1"/>
  <c r="F20" i="6"/>
  <c r="E46" i="6"/>
  <c r="O46" i="6" s="1"/>
  <c r="P20" i="6"/>
  <c r="E47" i="6"/>
  <c r="O47" i="6" s="1"/>
  <c r="F21" i="6"/>
  <c r="P21" i="6"/>
  <c r="E123" i="6"/>
  <c r="F123" i="6"/>
  <c r="B123" i="6"/>
  <c r="G123" i="6"/>
  <c r="F45" i="6"/>
  <c r="P45" i="6" s="1"/>
  <c r="G19" i="6"/>
  <c r="Q19" i="6"/>
  <c r="F122" i="6"/>
  <c r="B122" i="6"/>
  <c r="E122" i="6"/>
  <c r="G122" i="6"/>
  <c r="D122" i="6"/>
  <c r="O35" i="6"/>
  <c r="P35" i="6"/>
  <c r="O36" i="6"/>
  <c r="P36" i="6"/>
  <c r="M35" i="6"/>
  <c r="N35" i="6"/>
  <c r="M36" i="6"/>
  <c r="N36" i="6"/>
  <c r="B89" i="6"/>
  <c r="G111" i="6" s="1"/>
  <c r="L36" i="6"/>
  <c r="B88" i="6"/>
  <c r="L35" i="6"/>
  <c r="D29" i="11"/>
  <c r="J84" i="7"/>
  <c r="I188" i="7" s="1"/>
  <c r="K26" i="5"/>
  <c r="J26" i="5"/>
  <c r="I26" i="5"/>
  <c r="H26" i="5"/>
  <c r="G26" i="5"/>
  <c r="B7" i="7" s="1"/>
  <c r="F26" i="5"/>
  <c r="E26" i="5"/>
  <c r="D26" i="5"/>
  <c r="C26" i="5"/>
  <c r="B26" i="5"/>
  <c r="K30" i="5"/>
  <c r="J30" i="5"/>
  <c r="I30" i="5"/>
  <c r="H30" i="5"/>
  <c r="G30" i="5"/>
  <c r="F30" i="5"/>
  <c r="E30" i="5"/>
  <c r="D30" i="5"/>
  <c r="C30" i="5"/>
  <c r="B30" i="5"/>
  <c r="K31" i="5"/>
  <c r="J31" i="5"/>
  <c r="I31" i="5"/>
  <c r="H31" i="5"/>
  <c r="B6" i="10" s="1"/>
  <c r="B26" i="10" s="1"/>
  <c r="D26" i="10" s="1"/>
  <c r="F26" i="10" s="1"/>
  <c r="G31" i="5"/>
  <c r="F31" i="5"/>
  <c r="E31" i="5"/>
  <c r="D31" i="5"/>
  <c r="C31" i="5"/>
  <c r="B31" i="5"/>
  <c r="K27" i="5"/>
  <c r="J27" i="5"/>
  <c r="I27" i="5"/>
  <c r="H27" i="5"/>
  <c r="G27" i="5"/>
  <c r="C32" i="6" s="1"/>
  <c r="F27" i="5"/>
  <c r="E27" i="5"/>
  <c r="D27" i="5"/>
  <c r="C27" i="5"/>
  <c r="B27" i="5"/>
  <c r="K29" i="5"/>
  <c r="J29" i="5"/>
  <c r="I29" i="5"/>
  <c r="H29" i="5"/>
  <c r="C6" i="10" s="1"/>
  <c r="C26" i="10" s="1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A26" i="5"/>
  <c r="K20" i="5"/>
  <c r="J20" i="5"/>
  <c r="I20" i="5"/>
  <c r="H20" i="5"/>
  <c r="G20" i="5"/>
  <c r="B6" i="7" s="1"/>
  <c r="F20" i="5"/>
  <c r="E20" i="5"/>
  <c r="D20" i="5"/>
  <c r="C20" i="5"/>
  <c r="B20" i="5"/>
  <c r="K21" i="5"/>
  <c r="J21" i="5"/>
  <c r="I21" i="5"/>
  <c r="H21" i="5"/>
  <c r="G21" i="5"/>
  <c r="C31" i="6" s="1"/>
  <c r="F21" i="5"/>
  <c r="E21" i="5"/>
  <c r="D21" i="5"/>
  <c r="C21" i="5"/>
  <c r="B21" i="5"/>
  <c r="K25" i="5"/>
  <c r="J25" i="5"/>
  <c r="I25" i="5"/>
  <c r="H25" i="5"/>
  <c r="B5" i="10" s="1"/>
  <c r="B25" i="10" s="1"/>
  <c r="D25" i="10" s="1"/>
  <c r="F25" i="10" s="1"/>
  <c r="G25" i="5"/>
  <c r="F25" i="5"/>
  <c r="E25" i="5"/>
  <c r="D25" i="5"/>
  <c r="C25" i="5"/>
  <c r="B25" i="5"/>
  <c r="K23" i="5"/>
  <c r="J23" i="5"/>
  <c r="I23" i="5"/>
  <c r="H23" i="5"/>
  <c r="C5" i="10" s="1"/>
  <c r="C25" i="10" s="1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4" i="5"/>
  <c r="J24" i="5"/>
  <c r="I24" i="5"/>
  <c r="H24" i="5"/>
  <c r="G24" i="5"/>
  <c r="F24" i="5"/>
  <c r="E24" i="5"/>
  <c r="D24" i="5"/>
  <c r="C24" i="5"/>
  <c r="B24" i="5"/>
  <c r="A20" i="5"/>
  <c r="K10" i="5"/>
  <c r="J10" i="5"/>
  <c r="I10" i="5"/>
  <c r="H10" i="5"/>
  <c r="G10" i="5"/>
  <c r="F10" i="5"/>
  <c r="E10" i="5"/>
  <c r="D10" i="5"/>
  <c r="C10" i="5"/>
  <c r="B10" i="5"/>
  <c r="K11" i="5"/>
  <c r="J11" i="5"/>
  <c r="I11" i="5"/>
  <c r="H11" i="5"/>
  <c r="G11" i="5"/>
  <c r="F11" i="5"/>
  <c r="E11" i="5"/>
  <c r="D11" i="5"/>
  <c r="C11" i="5"/>
  <c r="B11" i="5"/>
  <c r="K9" i="5"/>
  <c r="J9" i="5"/>
  <c r="I9" i="5"/>
  <c r="H9" i="5"/>
  <c r="G9" i="5"/>
  <c r="C29" i="6" s="1"/>
  <c r="F9" i="5"/>
  <c r="E9" i="5"/>
  <c r="D9" i="5"/>
  <c r="C9" i="5"/>
  <c r="B9" i="5"/>
  <c r="K13" i="5"/>
  <c r="J13" i="5"/>
  <c r="I13" i="5"/>
  <c r="H13" i="5"/>
  <c r="G13" i="5"/>
  <c r="F13" i="5"/>
  <c r="E13" i="5"/>
  <c r="D13" i="5"/>
  <c r="C13" i="5"/>
  <c r="B13" i="5"/>
  <c r="K8" i="5"/>
  <c r="J8" i="5"/>
  <c r="I8" i="5"/>
  <c r="H8" i="5"/>
  <c r="G8" i="5"/>
  <c r="F8" i="5"/>
  <c r="E8" i="5"/>
  <c r="D8" i="5"/>
  <c r="C8" i="5"/>
  <c r="B8" i="5"/>
  <c r="K12" i="5"/>
  <c r="J12" i="5"/>
  <c r="I12" i="5"/>
  <c r="H12" i="5"/>
  <c r="G12" i="5"/>
  <c r="F12" i="5"/>
  <c r="E12" i="5"/>
  <c r="D12" i="5"/>
  <c r="C12" i="5"/>
  <c r="B12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5" i="5"/>
  <c r="J15" i="5"/>
  <c r="I15" i="5"/>
  <c r="H15" i="5"/>
  <c r="G15" i="5"/>
  <c r="C30" i="6" s="1"/>
  <c r="F15" i="5"/>
  <c r="E15" i="5"/>
  <c r="D15" i="5"/>
  <c r="C15" i="5"/>
  <c r="B15" i="5"/>
  <c r="K14" i="5"/>
  <c r="J14" i="5"/>
  <c r="I14" i="5"/>
  <c r="H14" i="5"/>
  <c r="G14" i="5"/>
  <c r="B5" i="7" s="1"/>
  <c r="F14" i="5"/>
  <c r="E14" i="5"/>
  <c r="D14" i="5"/>
  <c r="C14" i="5"/>
  <c r="B14" i="5"/>
  <c r="K19" i="5"/>
  <c r="J19" i="5"/>
  <c r="I19" i="5"/>
  <c r="H19" i="5"/>
  <c r="B4" i="10" s="1"/>
  <c r="B24" i="10" s="1"/>
  <c r="D24" i="10" s="1"/>
  <c r="F24" i="10" s="1"/>
  <c r="G19" i="5"/>
  <c r="F19" i="5"/>
  <c r="E19" i="5"/>
  <c r="D19" i="5"/>
  <c r="C19" i="5"/>
  <c r="B19" i="5"/>
  <c r="K16" i="5"/>
  <c r="J16" i="5"/>
  <c r="I16" i="5"/>
  <c r="H16" i="5"/>
  <c r="G16" i="5"/>
  <c r="F16" i="5"/>
  <c r="E16" i="5"/>
  <c r="D16" i="5"/>
  <c r="C16" i="5"/>
  <c r="B16" i="5"/>
  <c r="K7" i="5"/>
  <c r="J7" i="5"/>
  <c r="I7" i="5"/>
  <c r="H7" i="5"/>
  <c r="G7" i="5"/>
  <c r="F7" i="5"/>
  <c r="E7" i="5"/>
  <c r="D7" i="5"/>
  <c r="C7" i="5"/>
  <c r="B7" i="5"/>
  <c r="K5" i="5"/>
  <c r="J5" i="5"/>
  <c r="I5" i="5"/>
  <c r="H5" i="5"/>
  <c r="G5" i="5"/>
  <c r="F5" i="5"/>
  <c r="E5" i="5"/>
  <c r="D5" i="5"/>
  <c r="C5" i="5"/>
  <c r="B5" i="5"/>
  <c r="K3" i="5"/>
  <c r="J3" i="5"/>
  <c r="I3" i="5"/>
  <c r="H3" i="5"/>
  <c r="G3" i="5"/>
  <c r="C28" i="6" s="1"/>
  <c r="F3" i="5"/>
  <c r="E3" i="5"/>
  <c r="D3" i="5"/>
  <c r="C3" i="5"/>
  <c r="B3" i="5"/>
  <c r="K2" i="5"/>
  <c r="J2" i="5"/>
  <c r="I2" i="5"/>
  <c r="H2" i="5"/>
  <c r="G2" i="5"/>
  <c r="B3" i="7" s="1"/>
  <c r="F2" i="5"/>
  <c r="E2" i="5"/>
  <c r="D2" i="5"/>
  <c r="C2" i="5"/>
  <c r="B2" i="5"/>
  <c r="K4" i="5"/>
  <c r="J4" i="5"/>
  <c r="I4" i="5"/>
  <c r="H4" i="5"/>
  <c r="G4" i="5"/>
  <c r="F4" i="5"/>
  <c r="E4" i="5"/>
  <c r="D4" i="5"/>
  <c r="C4" i="5"/>
  <c r="B4" i="5"/>
  <c r="K6" i="5"/>
  <c r="J6" i="5"/>
  <c r="I6" i="5"/>
  <c r="H6" i="5"/>
  <c r="G6" i="5"/>
  <c r="F6" i="5"/>
  <c r="E6" i="5"/>
  <c r="D6" i="5"/>
  <c r="C6" i="5"/>
  <c r="B6" i="5"/>
  <c r="A2" i="5"/>
  <c r="K1" i="5"/>
  <c r="J1" i="5"/>
  <c r="I1" i="5"/>
  <c r="H1" i="5"/>
  <c r="G1" i="5"/>
  <c r="F1" i="5"/>
  <c r="E1" i="5"/>
  <c r="D1" i="5"/>
  <c r="C1" i="5"/>
  <c r="B1" i="5"/>
  <c r="A1" i="5"/>
  <c r="O11" i="4"/>
  <c r="R8" i="4"/>
  <c r="R7" i="4"/>
  <c r="R6" i="4"/>
  <c r="O6" i="4"/>
  <c r="R5" i="4"/>
  <c r="O5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P18" i="6" l="1"/>
  <c r="E44" i="6"/>
  <c r="O44" i="6" s="1"/>
  <c r="E26" i="10"/>
  <c r="G26" i="10" s="1"/>
  <c r="E25" i="10"/>
  <c r="G25" i="10" s="1"/>
  <c r="I111" i="6"/>
  <c r="K162" i="7"/>
  <c r="N159" i="7"/>
  <c r="L158" i="7"/>
  <c r="L157" i="7"/>
  <c r="L163" i="7"/>
  <c r="E189" i="7" s="1"/>
  <c r="U177" i="7" s="1"/>
  <c r="W177" i="7" s="1"/>
  <c r="N160" i="7"/>
  <c r="K157" i="7"/>
  <c r="K160" i="7"/>
  <c r="L160" i="7"/>
  <c r="K159" i="7"/>
  <c r="K163" i="7"/>
  <c r="D189" i="7" s="1"/>
  <c r="T177" i="7" s="1"/>
  <c r="V177" i="7" s="1"/>
  <c r="N157" i="7"/>
  <c r="M157" i="7"/>
  <c r="J159" i="7"/>
  <c r="N161" i="7"/>
  <c r="J162" i="7"/>
  <c r="L161" i="7"/>
  <c r="J164" i="7"/>
  <c r="C190" i="7" s="1"/>
  <c r="J157" i="7"/>
  <c r="N163" i="7"/>
  <c r="G189" i="7" s="1"/>
  <c r="K158" i="7"/>
  <c r="M163" i="7"/>
  <c r="F189" i="7" s="1"/>
  <c r="M159" i="7"/>
  <c r="J163" i="7"/>
  <c r="C189" i="7" s="1"/>
  <c r="T154" i="7"/>
  <c r="U153" i="7"/>
  <c r="I3" i="6"/>
  <c r="I14" i="6"/>
  <c r="I8" i="6"/>
  <c r="I9" i="6"/>
  <c r="S134" i="7"/>
  <c r="V134" i="7"/>
  <c r="B2" i="10"/>
  <c r="D2" i="10" s="1"/>
  <c r="I6" i="6"/>
  <c r="I5" i="6"/>
  <c r="C2" i="10"/>
  <c r="E2" i="10" s="1"/>
  <c r="I4" i="6"/>
  <c r="I15" i="6"/>
  <c r="C4" i="10"/>
  <c r="C24" i="10" s="1"/>
  <c r="I16" i="6"/>
  <c r="I11" i="6"/>
  <c r="B3" i="10"/>
  <c r="B23" i="10" s="1"/>
  <c r="D23" i="10" s="1"/>
  <c r="F23" i="10" s="1"/>
  <c r="I12" i="6"/>
  <c r="C3" i="10"/>
  <c r="C23" i="10" s="1"/>
  <c r="I10" i="6"/>
  <c r="B144" i="7"/>
  <c r="T133" i="7"/>
  <c r="W133" i="7"/>
  <c r="S133" i="7"/>
  <c r="V133" i="7"/>
  <c r="U133" i="7"/>
  <c r="B142" i="7"/>
  <c r="W131" i="7"/>
  <c r="S131" i="7"/>
  <c r="V131" i="7"/>
  <c r="U131" i="7"/>
  <c r="T131" i="7"/>
  <c r="B143" i="7"/>
  <c r="W132" i="7"/>
  <c r="S132" i="7"/>
  <c r="V132" i="7"/>
  <c r="U132" i="7"/>
  <c r="T132" i="7"/>
  <c r="L112" i="6"/>
  <c r="D111" i="6"/>
  <c r="B111" i="6"/>
  <c r="F111" i="6"/>
  <c r="E111" i="6"/>
  <c r="W128" i="7"/>
  <c r="R182" i="7"/>
  <c r="V182" i="7"/>
  <c r="T182" i="7"/>
  <c r="U182" i="7"/>
  <c r="W182" i="7"/>
  <c r="T183" i="7"/>
  <c r="R183" i="7"/>
  <c r="W183" i="7"/>
  <c r="U183" i="7"/>
  <c r="V183" i="7"/>
  <c r="R185" i="7"/>
  <c r="T179" i="7"/>
  <c r="R179" i="7"/>
  <c r="U179" i="7"/>
  <c r="V179" i="7"/>
  <c r="W179" i="7" s="1"/>
  <c r="R184" i="7"/>
  <c r="V184" i="7"/>
  <c r="T184" i="7"/>
  <c r="W184" i="7"/>
  <c r="U184" i="7"/>
  <c r="R180" i="7"/>
  <c r="T180" i="7"/>
  <c r="V180" i="7" s="1"/>
  <c r="W180" i="7"/>
  <c r="T181" i="7"/>
  <c r="R181" i="7"/>
  <c r="U181" i="7"/>
  <c r="V181" i="7"/>
  <c r="W181" i="7"/>
  <c r="Z178" i="7"/>
  <c r="R177" i="7"/>
  <c r="U127" i="7"/>
  <c r="S130" i="7"/>
  <c r="W122" i="7"/>
  <c r="V153" i="7"/>
  <c r="V121" i="7"/>
  <c r="V122" i="7"/>
  <c r="W150" i="7"/>
  <c r="U124" i="7"/>
  <c r="U156" i="7"/>
  <c r="T125" i="7"/>
  <c r="W121" i="7"/>
  <c r="V124" i="7"/>
  <c r="T155" i="7"/>
  <c r="U126" i="7"/>
  <c r="V150" i="7"/>
  <c r="J131" i="7"/>
  <c r="B131" i="7" s="1"/>
  <c r="B188" i="7"/>
  <c r="B133" i="7"/>
  <c r="T122" i="7"/>
  <c r="W152" i="7"/>
  <c r="T153" i="7"/>
  <c r="T152" i="7"/>
  <c r="U152" i="7"/>
  <c r="U155" i="7"/>
  <c r="W156" i="7"/>
  <c r="V152" i="7"/>
  <c r="W154" i="7"/>
  <c r="W155" i="7"/>
  <c r="V154" i="7"/>
  <c r="V125" i="7"/>
  <c r="G139" i="7"/>
  <c r="F139" i="7"/>
  <c r="E139" i="7"/>
  <c r="U128" i="7"/>
  <c r="W127" i="7"/>
  <c r="S121" i="7"/>
  <c r="T123" i="7"/>
  <c r="S128" i="7"/>
  <c r="T126" i="7"/>
  <c r="V123" i="7"/>
  <c r="T124" i="7"/>
  <c r="T150" i="7"/>
  <c r="T121" i="7"/>
  <c r="V128" i="7"/>
  <c r="W126" i="7"/>
  <c r="U121" i="7"/>
  <c r="S125" i="7"/>
  <c r="U150" i="7"/>
  <c r="D141" i="7"/>
  <c r="T130" i="7"/>
  <c r="W125" i="7"/>
  <c r="S123" i="7"/>
  <c r="C137" i="7"/>
  <c r="S126" i="7"/>
  <c r="D138" i="7"/>
  <c r="T127" i="7"/>
  <c r="F141" i="7"/>
  <c r="V130" i="7"/>
  <c r="G141" i="7"/>
  <c r="W130" i="7"/>
  <c r="G135" i="7"/>
  <c r="W124" i="7"/>
  <c r="U123" i="7"/>
  <c r="W123" i="7"/>
  <c r="C135" i="7"/>
  <c r="S124" i="7"/>
  <c r="F138" i="7"/>
  <c r="V127" i="7"/>
  <c r="E133" i="7"/>
  <c r="U122" i="7"/>
  <c r="E136" i="7"/>
  <c r="U125" i="7"/>
  <c r="F137" i="7"/>
  <c r="V126" i="7"/>
  <c r="C133" i="7"/>
  <c r="S122" i="7"/>
  <c r="C138" i="7"/>
  <c r="S127" i="7"/>
  <c r="T157" i="7"/>
  <c r="T128" i="7"/>
  <c r="E141" i="7"/>
  <c r="U130" i="7"/>
  <c r="T163" i="7"/>
  <c r="U163" i="7"/>
  <c r="V163" i="7"/>
  <c r="W163" i="7"/>
  <c r="T32" i="7"/>
  <c r="G21" i="7"/>
  <c r="G47" i="7" s="1"/>
  <c r="O47" i="7" s="1"/>
  <c r="O71" i="7" s="1"/>
  <c r="W34" i="7" s="1"/>
  <c r="F47" i="7"/>
  <c r="N47" i="7" s="1"/>
  <c r="N71" i="7" s="1"/>
  <c r="V34" i="7" s="1"/>
  <c r="F48" i="7"/>
  <c r="N48" i="7" s="1"/>
  <c r="N72" i="7" s="1"/>
  <c r="V35" i="7" s="1"/>
  <c r="G22" i="7"/>
  <c r="G48" i="7" s="1"/>
  <c r="O48" i="7" s="1"/>
  <c r="O72" i="7" s="1"/>
  <c r="W35" i="7" s="1"/>
  <c r="F46" i="7"/>
  <c r="N46" i="7" s="1"/>
  <c r="N70" i="7" s="1"/>
  <c r="V33" i="7" s="1"/>
  <c r="G20" i="7"/>
  <c r="G46" i="7" s="1"/>
  <c r="O46" i="7" s="1"/>
  <c r="O70" i="7" s="1"/>
  <c r="W33" i="7" s="1"/>
  <c r="E45" i="7"/>
  <c r="M45" i="7" s="1"/>
  <c r="M69" i="7" s="1"/>
  <c r="F19" i="7"/>
  <c r="G45" i="6"/>
  <c r="Q45" i="6" s="1"/>
  <c r="R19" i="6"/>
  <c r="G121" i="6"/>
  <c r="D121" i="6"/>
  <c r="F121" i="6"/>
  <c r="B121" i="6"/>
  <c r="E121" i="6"/>
  <c r="F47" i="6"/>
  <c r="P47" i="6" s="1"/>
  <c r="G21" i="6"/>
  <c r="Q21" i="6"/>
  <c r="F46" i="6"/>
  <c r="P46" i="6" s="1"/>
  <c r="Q20" i="6"/>
  <c r="G20" i="6"/>
  <c r="G18" i="6"/>
  <c r="F44" i="6"/>
  <c r="P44" i="6" s="1"/>
  <c r="F127" i="5"/>
  <c r="B4" i="7"/>
  <c r="B30" i="7" s="1"/>
  <c r="C6" i="7"/>
  <c r="C32" i="7" s="1"/>
  <c r="G6" i="7"/>
  <c r="G32" i="7" s="1"/>
  <c r="G82" i="7"/>
  <c r="G105" i="7" s="1"/>
  <c r="O106" i="7" s="1"/>
  <c r="E82" i="7"/>
  <c r="E105" i="7" s="1"/>
  <c r="M106" i="7" s="1"/>
  <c r="C82" i="7"/>
  <c r="C105" i="7" s="1"/>
  <c r="K106" i="7" s="1"/>
  <c r="D6" i="7"/>
  <c r="D32" i="7" s="1"/>
  <c r="E6" i="7"/>
  <c r="E32" i="7" s="1"/>
  <c r="F82" i="7"/>
  <c r="F105" i="7" s="1"/>
  <c r="N106" i="7" s="1"/>
  <c r="D82" i="7"/>
  <c r="D105" i="7" s="1"/>
  <c r="L106" i="7" s="1"/>
  <c r="F6" i="7"/>
  <c r="F32" i="7" s="1"/>
  <c r="D79" i="7"/>
  <c r="D102" i="7" s="1"/>
  <c r="L103" i="7" s="1"/>
  <c r="E3" i="7"/>
  <c r="E29" i="7" s="1"/>
  <c r="F3" i="7"/>
  <c r="F29" i="7" s="1"/>
  <c r="C3" i="7"/>
  <c r="C29" i="7" s="1"/>
  <c r="G3" i="7"/>
  <c r="G29" i="7" s="1"/>
  <c r="E79" i="7"/>
  <c r="E102" i="7" s="1"/>
  <c r="M103" i="7" s="1"/>
  <c r="D3" i="7"/>
  <c r="D29" i="7" s="1"/>
  <c r="F79" i="7"/>
  <c r="F102" i="7" s="1"/>
  <c r="N103" i="7" s="1"/>
  <c r="C79" i="7"/>
  <c r="C102" i="7" s="1"/>
  <c r="K103" i="7" s="1"/>
  <c r="G79" i="7"/>
  <c r="G102" i="7" s="1"/>
  <c r="O103" i="7" s="1"/>
  <c r="E5" i="7"/>
  <c r="E31" i="7" s="1"/>
  <c r="F5" i="7"/>
  <c r="F31" i="7" s="1"/>
  <c r="C5" i="7"/>
  <c r="C31" i="7" s="1"/>
  <c r="G5" i="7"/>
  <c r="G31" i="7" s="1"/>
  <c r="D5" i="7"/>
  <c r="D31" i="7" s="1"/>
  <c r="F81" i="7"/>
  <c r="F104" i="7" s="1"/>
  <c r="N105" i="7" s="1"/>
  <c r="D81" i="7"/>
  <c r="D104" i="7" s="1"/>
  <c r="L105" i="7" s="1"/>
  <c r="E81" i="7"/>
  <c r="E104" i="7" s="1"/>
  <c r="M105" i="7" s="1"/>
  <c r="C81" i="7"/>
  <c r="C104" i="7" s="1"/>
  <c r="K105" i="7" s="1"/>
  <c r="G81" i="7"/>
  <c r="G104" i="7" s="1"/>
  <c r="O105" i="7" s="1"/>
  <c r="C4" i="7"/>
  <c r="C30" i="7" s="1"/>
  <c r="G4" i="7"/>
  <c r="G30" i="7" s="1"/>
  <c r="D4" i="7"/>
  <c r="D30" i="7" s="1"/>
  <c r="E4" i="7"/>
  <c r="E30" i="7" s="1"/>
  <c r="F4" i="7"/>
  <c r="F30" i="7" s="1"/>
  <c r="G80" i="7"/>
  <c r="G103" i="7" s="1"/>
  <c r="O104" i="7" s="1"/>
  <c r="C80" i="7"/>
  <c r="C103" i="7" s="1"/>
  <c r="K104" i="7" s="1"/>
  <c r="E80" i="7"/>
  <c r="E103" i="7" s="1"/>
  <c r="M104" i="7" s="1"/>
  <c r="F80" i="7"/>
  <c r="F103" i="7" s="1"/>
  <c r="N104" i="7" s="1"/>
  <c r="D80" i="7"/>
  <c r="D103" i="7" s="1"/>
  <c r="L104" i="7" s="1"/>
  <c r="F83" i="7"/>
  <c r="F106" i="7" s="1"/>
  <c r="N107" i="7" s="1"/>
  <c r="D83" i="7"/>
  <c r="D106" i="7" s="1"/>
  <c r="L107" i="7" s="1"/>
  <c r="E7" i="7"/>
  <c r="E33" i="7" s="1"/>
  <c r="G7" i="7"/>
  <c r="G33" i="7" s="1"/>
  <c r="F7" i="7"/>
  <c r="F33" i="7" s="1"/>
  <c r="C7" i="7"/>
  <c r="C33" i="7" s="1"/>
  <c r="G83" i="7"/>
  <c r="G106" i="7" s="1"/>
  <c r="O107" i="7" s="1"/>
  <c r="E83" i="7"/>
  <c r="E106" i="7" s="1"/>
  <c r="M107" i="7" s="1"/>
  <c r="C83" i="7"/>
  <c r="C106" i="7" s="1"/>
  <c r="K107" i="7" s="1"/>
  <c r="D7" i="7"/>
  <c r="D33" i="7" s="1"/>
  <c r="D6" i="10"/>
  <c r="D4" i="10"/>
  <c r="F129" i="5"/>
  <c r="L30" i="5"/>
  <c r="M30" i="5" s="1"/>
  <c r="E6" i="10"/>
  <c r="E5" i="10"/>
  <c r="F126" i="5"/>
  <c r="J3" i="7" s="1"/>
  <c r="J79" i="7" s="1"/>
  <c r="I183" i="7" s="1"/>
  <c r="B183" i="7" s="1"/>
  <c r="F128" i="5"/>
  <c r="D5" i="10"/>
  <c r="F130" i="5"/>
  <c r="G4" i="6"/>
  <c r="G30" i="6" s="1"/>
  <c r="L8" i="5"/>
  <c r="M8" i="5" s="1"/>
  <c r="L10" i="5"/>
  <c r="M10" i="5" s="1"/>
  <c r="L28" i="5"/>
  <c r="M28" i="5" s="1"/>
  <c r="B6" i="6"/>
  <c r="B32" i="6" s="1"/>
  <c r="I32" i="6" s="1"/>
  <c r="B33" i="7"/>
  <c r="G2" i="6"/>
  <c r="G28" i="6" s="1"/>
  <c r="L3" i="7"/>
  <c r="L79" i="7" s="1"/>
  <c r="K183" i="7" s="1"/>
  <c r="D58" i="6"/>
  <c r="C58" i="6"/>
  <c r="C81" i="6" s="1"/>
  <c r="O3" i="7"/>
  <c r="O79" i="7" s="1"/>
  <c r="N183" i="7" s="1"/>
  <c r="K3" i="7"/>
  <c r="K79" i="7" s="1"/>
  <c r="J183" i="7" s="1"/>
  <c r="F58" i="6"/>
  <c r="F2" i="6"/>
  <c r="F28" i="6" s="1"/>
  <c r="N3" i="7"/>
  <c r="N79" i="7" s="1"/>
  <c r="M183" i="7" s="1"/>
  <c r="M3" i="7"/>
  <c r="M79" i="7" s="1"/>
  <c r="L183" i="7" s="1"/>
  <c r="G58" i="6"/>
  <c r="G81" i="6" s="1"/>
  <c r="E58" i="6"/>
  <c r="E81" i="6" s="1"/>
  <c r="N5" i="7"/>
  <c r="N81" i="7" s="1"/>
  <c r="M185" i="7" s="1"/>
  <c r="C60" i="6"/>
  <c r="C83" i="6" s="1"/>
  <c r="O5" i="7"/>
  <c r="O81" i="7" s="1"/>
  <c r="F60" i="6"/>
  <c r="F83" i="6" s="1"/>
  <c r="L5" i="7"/>
  <c r="L81" i="7" s="1"/>
  <c r="K185" i="7" s="1"/>
  <c r="M5" i="7"/>
  <c r="M81" i="7" s="1"/>
  <c r="L185" i="7" s="1"/>
  <c r="E60" i="6"/>
  <c r="E83" i="6" s="1"/>
  <c r="D60" i="6"/>
  <c r="D83" i="6" s="1"/>
  <c r="K83" i="6" s="1"/>
  <c r="K5" i="7"/>
  <c r="K81" i="7" s="1"/>
  <c r="J185" i="7" s="1"/>
  <c r="G60" i="6"/>
  <c r="G83" i="6" s="1"/>
  <c r="B2" i="6"/>
  <c r="B28" i="6" s="1"/>
  <c r="B29" i="7"/>
  <c r="B4" i="6"/>
  <c r="B30" i="6" s="1"/>
  <c r="I30" i="6" s="1"/>
  <c r="B31" i="7"/>
  <c r="B3" i="6"/>
  <c r="M3" i="6" s="1"/>
  <c r="G5" i="6"/>
  <c r="G31" i="6" s="1"/>
  <c r="M6" i="7"/>
  <c r="M82" i="7" s="1"/>
  <c r="L186" i="7" s="1"/>
  <c r="G61" i="6"/>
  <c r="G84" i="6" s="1"/>
  <c r="E61" i="6"/>
  <c r="E84" i="6" s="1"/>
  <c r="D61" i="6"/>
  <c r="D84" i="6" s="1"/>
  <c r="K84" i="6" s="1"/>
  <c r="N6" i="7"/>
  <c r="N82" i="7" s="1"/>
  <c r="M186" i="7" s="1"/>
  <c r="C61" i="6"/>
  <c r="C84" i="6" s="1"/>
  <c r="K6" i="7"/>
  <c r="K82" i="7" s="1"/>
  <c r="F61" i="6"/>
  <c r="F84" i="6" s="1"/>
  <c r="O6" i="7"/>
  <c r="O82" i="7" s="1"/>
  <c r="N186" i="7" s="1"/>
  <c r="L6" i="7"/>
  <c r="L82" i="7" s="1"/>
  <c r="K186" i="7" s="1"/>
  <c r="K8" i="7"/>
  <c r="K84" i="7" s="1"/>
  <c r="J188" i="7" s="1"/>
  <c r="O8" i="7"/>
  <c r="O84" i="7" s="1"/>
  <c r="N188" i="7" s="1"/>
  <c r="F34" i="7"/>
  <c r="D34" i="7"/>
  <c r="L8" i="7"/>
  <c r="L84" i="7" s="1"/>
  <c r="K188" i="7" s="1"/>
  <c r="M8" i="7"/>
  <c r="M84" i="7" s="1"/>
  <c r="L188" i="7" s="1"/>
  <c r="E34" i="7"/>
  <c r="N8" i="7"/>
  <c r="N84" i="7" s="1"/>
  <c r="M188" i="7" s="1"/>
  <c r="G34" i="7"/>
  <c r="C34" i="7"/>
  <c r="L3" i="5"/>
  <c r="K4" i="7"/>
  <c r="K80" i="7" s="1"/>
  <c r="O4" i="7"/>
  <c r="O80" i="7" s="1"/>
  <c r="N184" i="7" s="1"/>
  <c r="F59" i="6"/>
  <c r="F82" i="6" s="1"/>
  <c r="L4" i="7"/>
  <c r="L80" i="7" s="1"/>
  <c r="K184" i="7" s="1"/>
  <c r="M4" i="7"/>
  <c r="M80" i="7" s="1"/>
  <c r="E59" i="6"/>
  <c r="E82" i="6" s="1"/>
  <c r="D59" i="6"/>
  <c r="D82" i="6" s="1"/>
  <c r="K82" i="6" s="1"/>
  <c r="N4" i="7"/>
  <c r="N80" i="7" s="1"/>
  <c r="M184" i="7" s="1"/>
  <c r="F184" i="7" s="1"/>
  <c r="C59" i="6"/>
  <c r="C82" i="6" s="1"/>
  <c r="G59" i="6"/>
  <c r="G82" i="6" s="1"/>
  <c r="B5" i="6"/>
  <c r="M5" i="6" s="1"/>
  <c r="B32" i="7"/>
  <c r="L7" i="7"/>
  <c r="L83" i="7" s="1"/>
  <c r="M7" i="7"/>
  <c r="M83" i="7" s="1"/>
  <c r="L187" i="7" s="1"/>
  <c r="G62" i="6"/>
  <c r="G85" i="6" s="1"/>
  <c r="E62" i="6"/>
  <c r="E85" i="6" s="1"/>
  <c r="N7" i="7"/>
  <c r="N83" i="7" s="1"/>
  <c r="K7" i="7"/>
  <c r="K83" i="7" s="1"/>
  <c r="J187" i="7" s="1"/>
  <c r="D62" i="6"/>
  <c r="D85" i="6" s="1"/>
  <c r="K85" i="6" s="1"/>
  <c r="C62" i="6"/>
  <c r="C85" i="6" s="1"/>
  <c r="O7" i="7"/>
  <c r="O83" i="7" s="1"/>
  <c r="F62" i="6"/>
  <c r="F85" i="6" s="1"/>
  <c r="B34" i="7"/>
  <c r="B84" i="7" s="1"/>
  <c r="L27" i="5"/>
  <c r="M27" i="5" s="1"/>
  <c r="G6" i="6"/>
  <c r="G32" i="6" s="1"/>
  <c r="D6" i="6"/>
  <c r="D32" i="6" s="1"/>
  <c r="C6" i="6"/>
  <c r="E6" i="6"/>
  <c r="E32" i="6" s="1"/>
  <c r="F6" i="6"/>
  <c r="F32" i="6" s="1"/>
  <c r="C2" i="6"/>
  <c r="E2" i="6"/>
  <c r="E28" i="6" s="1"/>
  <c r="D2" i="6"/>
  <c r="D28" i="6" s="1"/>
  <c r="C4" i="6"/>
  <c r="E4" i="6"/>
  <c r="E30" i="6" s="1"/>
  <c r="F4" i="6"/>
  <c r="F30" i="6" s="1"/>
  <c r="D4" i="6"/>
  <c r="L9" i="5"/>
  <c r="M9" i="5" s="1"/>
  <c r="D3" i="6"/>
  <c r="D29" i="6" s="1"/>
  <c r="F3" i="6"/>
  <c r="F29" i="6" s="1"/>
  <c r="C3" i="6"/>
  <c r="E3" i="6"/>
  <c r="E29" i="6" s="1"/>
  <c r="L22" i="5"/>
  <c r="M22" i="5" s="1"/>
  <c r="L25" i="5"/>
  <c r="M25" i="5" s="1"/>
  <c r="L20" i="5"/>
  <c r="M20" i="5" s="1"/>
  <c r="I2" i="6"/>
  <c r="C5" i="6"/>
  <c r="E5" i="6"/>
  <c r="E31" i="6" s="1"/>
  <c r="D5" i="6"/>
  <c r="F5" i="6"/>
  <c r="F31" i="6" s="1"/>
  <c r="D33" i="6"/>
  <c r="F33" i="6"/>
  <c r="E33" i="6"/>
  <c r="L6" i="5"/>
  <c r="M6" i="5" s="1"/>
  <c r="L2" i="5"/>
  <c r="M2" i="5" s="1"/>
  <c r="L5" i="5"/>
  <c r="M5" i="5" s="1"/>
  <c r="L16" i="5"/>
  <c r="M16" i="5" s="1"/>
  <c r="L14" i="5"/>
  <c r="M14" i="5" s="1"/>
  <c r="L17" i="5"/>
  <c r="M17" i="5" s="1"/>
  <c r="G33" i="6"/>
  <c r="G3" i="6"/>
  <c r="G29" i="6" s="1"/>
  <c r="L4" i="5"/>
  <c r="M4" i="5" s="1"/>
  <c r="M3" i="5"/>
  <c r="L7" i="5"/>
  <c r="M7" i="5" s="1"/>
  <c r="L12" i="5"/>
  <c r="M12" i="5" s="1"/>
  <c r="L13" i="5"/>
  <c r="M13" i="5" s="1"/>
  <c r="L11" i="5"/>
  <c r="M11" i="5" s="1"/>
  <c r="L29" i="5"/>
  <c r="M29" i="5" s="1"/>
  <c r="L31" i="5"/>
  <c r="M31" i="5" s="1"/>
  <c r="L19" i="5"/>
  <c r="M19" i="5" s="1"/>
  <c r="L15" i="5"/>
  <c r="M15" i="5" s="1"/>
  <c r="L18" i="5"/>
  <c r="M18" i="5" s="1"/>
  <c r="L24" i="5"/>
  <c r="M24" i="5" s="1"/>
  <c r="L23" i="5"/>
  <c r="M23" i="5" s="1"/>
  <c r="L21" i="5"/>
  <c r="M21" i="5" s="1"/>
  <c r="L26" i="5"/>
  <c r="M26" i="5" s="1"/>
  <c r="I75" i="6" l="1"/>
  <c r="J89" i="6" s="1"/>
  <c r="K89" i="6" s="1"/>
  <c r="L89" i="6" s="1"/>
  <c r="I76" i="6"/>
  <c r="L85" i="6"/>
  <c r="L82" i="6"/>
  <c r="L84" i="6"/>
  <c r="L83" i="6"/>
  <c r="E24" i="10"/>
  <c r="G24" i="10" s="1"/>
  <c r="E23" i="10"/>
  <c r="G23" i="10" s="1"/>
  <c r="I113" i="6"/>
  <c r="I112" i="6"/>
  <c r="G186" i="7"/>
  <c r="F185" i="7"/>
  <c r="E187" i="7"/>
  <c r="D188" i="7"/>
  <c r="AB176" i="7" s="1"/>
  <c r="AD176" i="7" s="1"/>
  <c r="C185" i="7"/>
  <c r="G183" i="7"/>
  <c r="W171" i="7" s="1"/>
  <c r="K161" i="7"/>
  <c r="C188" i="7"/>
  <c r="L164" i="7"/>
  <c r="E190" i="7" s="1"/>
  <c r="AC178" i="7" s="1"/>
  <c r="AE178" i="7" s="1"/>
  <c r="J161" i="7"/>
  <c r="C187" i="7" s="1"/>
  <c r="M160" i="7"/>
  <c r="F186" i="7" s="1"/>
  <c r="J158" i="7"/>
  <c r="N158" i="7"/>
  <c r="G184" i="7" s="1"/>
  <c r="M164" i="7"/>
  <c r="F190" i="7" s="1"/>
  <c r="J160" i="7"/>
  <c r="K164" i="7"/>
  <c r="D190" i="7" s="1"/>
  <c r="AB178" i="7" s="1"/>
  <c r="AD178" i="7" s="1"/>
  <c r="L162" i="7"/>
  <c r="E188" i="7" s="1"/>
  <c r="AC176" i="7" s="1"/>
  <c r="AE176" i="7" s="1"/>
  <c r="E186" i="7"/>
  <c r="D185" i="7"/>
  <c r="F183" i="7"/>
  <c r="V171" i="7" s="1"/>
  <c r="L159" i="7"/>
  <c r="E185" i="7" s="1"/>
  <c r="M161" i="7"/>
  <c r="N164" i="7"/>
  <c r="G190" i="7" s="1"/>
  <c r="N162" i="7"/>
  <c r="G188" i="7" s="1"/>
  <c r="D184" i="7"/>
  <c r="D186" i="7"/>
  <c r="E183" i="7"/>
  <c r="U171" i="7" s="1"/>
  <c r="C183" i="7"/>
  <c r="D183" i="7"/>
  <c r="T171" i="7" s="1"/>
  <c r="M162" i="7"/>
  <c r="F188" i="7" s="1"/>
  <c r="C22" i="10"/>
  <c r="E3" i="10"/>
  <c r="E4" i="10"/>
  <c r="D3" i="10"/>
  <c r="B22" i="10"/>
  <c r="B38" i="10" s="1"/>
  <c r="J5" i="7"/>
  <c r="J81" i="7" s="1"/>
  <c r="J6" i="7"/>
  <c r="J82" i="7" s="1"/>
  <c r="J7" i="7"/>
  <c r="J83" i="7" s="1"/>
  <c r="J4" i="7"/>
  <c r="J80" i="7" s="1"/>
  <c r="V160" i="7"/>
  <c r="W160" i="7"/>
  <c r="T160" i="7"/>
  <c r="U160" i="7"/>
  <c r="V161" i="7"/>
  <c r="W161" i="7"/>
  <c r="T161" i="7"/>
  <c r="U161" i="7"/>
  <c r="V162" i="7"/>
  <c r="W162" i="7"/>
  <c r="T162" i="7"/>
  <c r="U162" i="7"/>
  <c r="Z176" i="7"/>
  <c r="R171" i="7"/>
  <c r="U83" i="7"/>
  <c r="N187" i="7"/>
  <c r="G187" i="7" s="1"/>
  <c r="U81" i="7"/>
  <c r="N185" i="7"/>
  <c r="G185" i="7" s="1"/>
  <c r="T151" i="7"/>
  <c r="V151" i="7"/>
  <c r="T83" i="7"/>
  <c r="M187" i="7"/>
  <c r="R83" i="7"/>
  <c r="K187" i="7"/>
  <c r="S80" i="7"/>
  <c r="L184" i="7"/>
  <c r="E184" i="7" s="1"/>
  <c r="Q80" i="7"/>
  <c r="J184" i="7"/>
  <c r="Q84" i="7"/>
  <c r="Q82" i="7"/>
  <c r="J186" i="7"/>
  <c r="T84" i="7"/>
  <c r="S84" i="7"/>
  <c r="U82" i="7"/>
  <c r="T82" i="7"/>
  <c r="S82" i="7"/>
  <c r="Q81" i="7"/>
  <c r="R81" i="7"/>
  <c r="T81" i="7"/>
  <c r="Q83" i="7"/>
  <c r="S83" i="7"/>
  <c r="T79" i="7"/>
  <c r="U79" i="7"/>
  <c r="T80" i="7"/>
  <c r="R80" i="7"/>
  <c r="R82" i="7"/>
  <c r="S81" i="7"/>
  <c r="S79" i="7"/>
  <c r="U80" i="7"/>
  <c r="R84" i="7"/>
  <c r="U84" i="7"/>
  <c r="V157" i="7"/>
  <c r="U154" i="7"/>
  <c r="V156" i="7"/>
  <c r="W159" i="7"/>
  <c r="T156" i="7"/>
  <c r="W157" i="7"/>
  <c r="U159" i="7"/>
  <c r="V155" i="7"/>
  <c r="W153" i="7"/>
  <c r="V159" i="7"/>
  <c r="T159" i="7"/>
  <c r="U157" i="7"/>
  <c r="Q79" i="7"/>
  <c r="R95" i="7"/>
  <c r="Q96" i="7"/>
  <c r="U96" i="7"/>
  <c r="T97" i="7"/>
  <c r="S98" i="7"/>
  <c r="U95" i="7"/>
  <c r="S97" i="7"/>
  <c r="S95" i="7"/>
  <c r="R96" i="7"/>
  <c r="Q97" i="7"/>
  <c r="U97" i="7"/>
  <c r="T98" i="7"/>
  <c r="T95" i="7"/>
  <c r="S96" i="7"/>
  <c r="R97" i="7"/>
  <c r="Q98" i="7"/>
  <c r="U98" i="7"/>
  <c r="Q95" i="7"/>
  <c r="T96" i="7"/>
  <c r="R98" i="7"/>
  <c r="R86" i="7"/>
  <c r="Q91" i="7"/>
  <c r="T92" i="7"/>
  <c r="S85" i="7"/>
  <c r="Q89" i="7"/>
  <c r="T90" i="7"/>
  <c r="T85" i="7"/>
  <c r="S93" i="7"/>
  <c r="Q87" i="7"/>
  <c r="Q92" i="7"/>
  <c r="T93" i="7"/>
  <c r="R94" i="7"/>
  <c r="T88" i="7"/>
  <c r="U86" i="7"/>
  <c r="R93" i="7"/>
  <c r="U94" i="7"/>
  <c r="T87" i="7"/>
  <c r="R91" i="7"/>
  <c r="U92" i="7"/>
  <c r="Q94" i="7"/>
  <c r="S88" i="7"/>
  <c r="Q86" i="7"/>
  <c r="R90" i="7"/>
  <c r="U91" i="7"/>
  <c r="R89" i="7"/>
  <c r="U90" i="7"/>
  <c r="R92" i="7"/>
  <c r="U93" i="7"/>
  <c r="U85" i="7"/>
  <c r="S89" i="7"/>
  <c r="R85" i="7"/>
  <c r="Q93" i="7"/>
  <c r="T94" i="7"/>
  <c r="S87" i="7"/>
  <c r="S92" i="7"/>
  <c r="Q85" i="7"/>
  <c r="R88" i="7"/>
  <c r="U89" i="7"/>
  <c r="S94" i="7"/>
  <c r="U88" i="7"/>
  <c r="Q90" i="7"/>
  <c r="T91" i="7"/>
  <c r="T86" i="7"/>
  <c r="Q88" i="7"/>
  <c r="T89" i="7"/>
  <c r="S86" i="7"/>
  <c r="S91" i="7"/>
  <c r="R87" i="7"/>
  <c r="S90" i="7"/>
  <c r="U87" i="7"/>
  <c r="R79" i="7"/>
  <c r="J126" i="7"/>
  <c r="B126" i="7" s="1"/>
  <c r="F81" i="6"/>
  <c r="D81" i="6"/>
  <c r="I77" i="6" s="1"/>
  <c r="G133" i="7"/>
  <c r="W151" i="7" s="1"/>
  <c r="U151" i="7"/>
  <c r="B58" i="6"/>
  <c r="B81" i="6" s="1"/>
  <c r="I28" i="6"/>
  <c r="O131" i="7"/>
  <c r="N131" i="7"/>
  <c r="M131" i="7"/>
  <c r="E131" i="7" s="1"/>
  <c r="L131" i="7"/>
  <c r="D131" i="7" s="1"/>
  <c r="K131" i="7"/>
  <c r="C131" i="7" s="1"/>
  <c r="U32" i="7"/>
  <c r="F45" i="7"/>
  <c r="N45" i="7" s="1"/>
  <c r="N69" i="7" s="1"/>
  <c r="G19" i="7"/>
  <c r="G45" i="7" s="1"/>
  <c r="O45" i="7" s="1"/>
  <c r="O69" i="7" s="1"/>
  <c r="G46" i="6"/>
  <c r="Q46" i="6" s="1"/>
  <c r="R20" i="6"/>
  <c r="G47" i="6"/>
  <c r="Q47" i="6" s="1"/>
  <c r="R21" i="6"/>
  <c r="B62" i="6"/>
  <c r="B85" i="6" s="1"/>
  <c r="L32" i="6"/>
  <c r="B60" i="6"/>
  <c r="B83" i="6" s="1"/>
  <c r="L30" i="6"/>
  <c r="R18" i="6"/>
  <c r="G44" i="6"/>
  <c r="Q44" i="6" s="1"/>
  <c r="M2" i="6"/>
  <c r="B33" i="6"/>
  <c r="B63" i="6" s="1"/>
  <c r="N7" i="6"/>
  <c r="R7" i="6"/>
  <c r="O7" i="6"/>
  <c r="Q7" i="6"/>
  <c r="P7" i="6"/>
  <c r="M32" i="6"/>
  <c r="M33" i="7"/>
  <c r="M57" i="7" s="1"/>
  <c r="M130" i="7"/>
  <c r="B82" i="7"/>
  <c r="B105" i="7" s="1"/>
  <c r="K30" i="7"/>
  <c r="K54" i="7" s="1"/>
  <c r="K127" i="7"/>
  <c r="B80" i="7"/>
  <c r="B103" i="7" s="1"/>
  <c r="N34" i="7"/>
  <c r="N58" i="7" s="1"/>
  <c r="N32" i="7"/>
  <c r="N56" i="7" s="1"/>
  <c r="N129" i="7"/>
  <c r="M32" i="7"/>
  <c r="M56" i="7" s="1"/>
  <c r="M129" i="7"/>
  <c r="K31" i="7"/>
  <c r="K55" i="7" s="1"/>
  <c r="K128" i="7"/>
  <c r="O33" i="7"/>
  <c r="O57" i="7" s="1"/>
  <c r="O130" i="7"/>
  <c r="O30" i="7"/>
  <c r="O54" i="7" s="1"/>
  <c r="O127" i="7"/>
  <c r="L30" i="7"/>
  <c r="L54" i="7" s="1"/>
  <c r="L127" i="7"/>
  <c r="K34" i="7"/>
  <c r="K58" i="7" s="1"/>
  <c r="L32" i="7"/>
  <c r="L56" i="7" s="1"/>
  <c r="L129" i="7"/>
  <c r="O32" i="7"/>
  <c r="O56" i="7" s="1"/>
  <c r="O129" i="7"/>
  <c r="O31" i="7"/>
  <c r="O55" i="7" s="1"/>
  <c r="O128" i="7"/>
  <c r="M31" i="7"/>
  <c r="M55" i="7" s="1"/>
  <c r="M128" i="7"/>
  <c r="L31" i="7"/>
  <c r="L55" i="7" s="1"/>
  <c r="L128" i="7"/>
  <c r="N33" i="7"/>
  <c r="N57" i="7" s="1"/>
  <c r="N130" i="7"/>
  <c r="O34" i="7"/>
  <c r="O58" i="7" s="1"/>
  <c r="N31" i="7"/>
  <c r="N55" i="7" s="1"/>
  <c r="N128" i="7"/>
  <c r="J58" i="7"/>
  <c r="B107" i="7"/>
  <c r="L33" i="7"/>
  <c r="L57" i="7" s="1"/>
  <c r="L130" i="7"/>
  <c r="N30" i="7"/>
  <c r="N54" i="7" s="1"/>
  <c r="N127" i="7"/>
  <c r="K33" i="7"/>
  <c r="K57" i="7" s="1"/>
  <c r="K130" i="7"/>
  <c r="M30" i="7"/>
  <c r="M54" i="7" s="1"/>
  <c r="M127" i="7"/>
  <c r="M34" i="7"/>
  <c r="M58" i="7" s="1"/>
  <c r="L34" i="7"/>
  <c r="L58" i="7" s="1"/>
  <c r="K32" i="7"/>
  <c r="K56" i="7" s="1"/>
  <c r="K129" i="7"/>
  <c r="B81" i="7"/>
  <c r="B104" i="7" s="1"/>
  <c r="B83" i="7"/>
  <c r="B106" i="7" s="1"/>
  <c r="M29" i="7"/>
  <c r="M53" i="7" s="1"/>
  <c r="M126" i="7"/>
  <c r="L29" i="7"/>
  <c r="L53" i="7" s="1"/>
  <c r="L126" i="7"/>
  <c r="N29" i="7"/>
  <c r="N53" i="7" s="1"/>
  <c r="N126" i="7"/>
  <c r="K29" i="7"/>
  <c r="K53" i="7" s="1"/>
  <c r="K126" i="7"/>
  <c r="O29" i="7"/>
  <c r="O53" i="7" s="1"/>
  <c r="O126" i="7"/>
  <c r="J53" i="7"/>
  <c r="B79" i="7"/>
  <c r="P28" i="6"/>
  <c r="N3" i="6"/>
  <c r="L28" i="6"/>
  <c r="N2" i="6"/>
  <c r="R2" i="6"/>
  <c r="Q28" i="6"/>
  <c r="N28" i="6"/>
  <c r="O28" i="6"/>
  <c r="M28" i="6"/>
  <c r="B29" i="6"/>
  <c r="I29" i="6" s="1"/>
  <c r="M7" i="6"/>
  <c r="B31" i="6"/>
  <c r="I31" i="6" s="1"/>
  <c r="N32" i="6"/>
  <c r="R4" i="6"/>
  <c r="O5" i="6"/>
  <c r="N4" i="6"/>
  <c r="R5" i="6"/>
  <c r="M30" i="6"/>
  <c r="O4" i="6"/>
  <c r="P32" i="6"/>
  <c r="Q32" i="6"/>
  <c r="Q30" i="6"/>
  <c r="P30" i="6"/>
  <c r="M4" i="6"/>
  <c r="O32" i="6"/>
  <c r="O30" i="6"/>
  <c r="N6" i="6"/>
  <c r="M6" i="6"/>
  <c r="O6" i="6"/>
  <c r="P4" i="6"/>
  <c r="P2" i="6"/>
  <c r="O3" i="6"/>
  <c r="P3" i="6"/>
  <c r="O2" i="6"/>
  <c r="P5" i="6"/>
  <c r="Q2" i="6"/>
  <c r="D30" i="6"/>
  <c r="N30" i="6" s="1"/>
  <c r="N5" i="6"/>
  <c r="R6" i="6"/>
  <c r="Q6" i="6"/>
  <c r="Q3" i="6"/>
  <c r="Q5" i="6"/>
  <c r="Q4" i="6"/>
  <c r="R3" i="6"/>
  <c r="P6" i="6"/>
  <c r="D31" i="6"/>
  <c r="H92" i="6" l="1"/>
  <c r="J92" i="6" s="1"/>
  <c r="K92" i="6" s="1"/>
  <c r="L92" i="6" s="1"/>
  <c r="H93" i="6"/>
  <c r="J93" i="6" s="1"/>
  <c r="K93" i="6" s="1"/>
  <c r="L93" i="6" s="1"/>
  <c r="K81" i="6"/>
  <c r="L81" i="6" s="1"/>
  <c r="J94" i="6"/>
  <c r="K94" i="6" s="1"/>
  <c r="L94" i="6" s="1"/>
  <c r="H98" i="6"/>
  <c r="C38" i="10"/>
  <c r="J55" i="7"/>
  <c r="R18" i="7" s="1"/>
  <c r="E22" i="10"/>
  <c r="E38" i="10" s="1"/>
  <c r="C184" i="7"/>
  <c r="D187" i="7"/>
  <c r="C186" i="7"/>
  <c r="F187" i="7"/>
  <c r="D22" i="10"/>
  <c r="D38" i="10" s="1"/>
  <c r="J54" i="7"/>
  <c r="V43" i="7" s="1"/>
  <c r="J57" i="7"/>
  <c r="T46" i="7" s="1"/>
  <c r="J56" i="7"/>
  <c r="U45" i="7" s="1"/>
  <c r="J127" i="7"/>
  <c r="B127" i="7" s="1"/>
  <c r="I184" i="7"/>
  <c r="B184" i="7" s="1"/>
  <c r="W172" i="7" s="1"/>
  <c r="J130" i="7"/>
  <c r="B130" i="7" s="1"/>
  <c r="I187" i="7"/>
  <c r="B187" i="7" s="1"/>
  <c r="J129" i="7"/>
  <c r="B129" i="7" s="1"/>
  <c r="I186" i="7"/>
  <c r="B186" i="7" s="1"/>
  <c r="V174" i="7" s="1"/>
  <c r="I185" i="7"/>
  <c r="B185" i="7" s="1"/>
  <c r="V173" i="7" s="1"/>
  <c r="J128" i="7"/>
  <c r="B128" i="7" s="1"/>
  <c r="D107" i="6"/>
  <c r="F107" i="6"/>
  <c r="E107" i="6"/>
  <c r="B107" i="6"/>
  <c r="G107" i="6"/>
  <c r="D109" i="6"/>
  <c r="B109" i="6"/>
  <c r="F109" i="6"/>
  <c r="G109" i="6"/>
  <c r="E109" i="6"/>
  <c r="B105" i="6"/>
  <c r="G105" i="6"/>
  <c r="E105" i="6"/>
  <c r="D105" i="6"/>
  <c r="F105" i="6"/>
  <c r="R47" i="7"/>
  <c r="V47" i="7"/>
  <c r="U47" i="7"/>
  <c r="S47" i="7"/>
  <c r="W47" i="7"/>
  <c r="T47" i="7"/>
  <c r="S42" i="7"/>
  <c r="W42" i="7"/>
  <c r="V42" i="7"/>
  <c r="T42" i="7"/>
  <c r="U42" i="7"/>
  <c r="R16" i="7"/>
  <c r="R42" i="7"/>
  <c r="W87" i="7"/>
  <c r="F131" i="7"/>
  <c r="V149" i="7" s="1"/>
  <c r="T149" i="7"/>
  <c r="G131" i="7"/>
  <c r="W149" i="7" s="1"/>
  <c r="U149" i="7"/>
  <c r="D128" i="7"/>
  <c r="G128" i="7"/>
  <c r="D129" i="7"/>
  <c r="T120" i="7"/>
  <c r="S115" i="7"/>
  <c r="C126" i="7"/>
  <c r="T115" i="7"/>
  <c r="D126" i="7"/>
  <c r="T144" i="7" s="1"/>
  <c r="C129" i="7"/>
  <c r="E127" i="7"/>
  <c r="F127" i="7"/>
  <c r="G127" i="7"/>
  <c r="C128" i="7"/>
  <c r="F129" i="7"/>
  <c r="U120" i="7"/>
  <c r="F130" i="7"/>
  <c r="E128" i="7"/>
  <c r="G129" i="7"/>
  <c r="C127" i="7"/>
  <c r="E130" i="7"/>
  <c r="V120" i="7"/>
  <c r="W115" i="7"/>
  <c r="G126" i="7"/>
  <c r="W144" i="7" s="1"/>
  <c r="V115" i="7"/>
  <c r="F126" i="7"/>
  <c r="V144" i="7" s="1"/>
  <c r="U115" i="7"/>
  <c r="E126" i="7"/>
  <c r="U144" i="7" s="1"/>
  <c r="C130" i="7"/>
  <c r="D130" i="7"/>
  <c r="F128" i="7"/>
  <c r="D127" i="7"/>
  <c r="G130" i="7"/>
  <c r="E129" i="7"/>
  <c r="S120" i="7"/>
  <c r="W120" i="7"/>
  <c r="W32" i="7"/>
  <c r="V32" i="7"/>
  <c r="B59" i="6"/>
  <c r="B82" i="6" s="1"/>
  <c r="L29" i="6"/>
  <c r="B86" i="6"/>
  <c r="L33" i="6"/>
  <c r="B61" i="6"/>
  <c r="B84" i="6" s="1"/>
  <c r="L31" i="6"/>
  <c r="M33" i="6"/>
  <c r="Q33" i="6"/>
  <c r="P33" i="6"/>
  <c r="O33" i="6"/>
  <c r="N33" i="6"/>
  <c r="M22" i="6"/>
  <c r="N22" i="6"/>
  <c r="Q22" i="6"/>
  <c r="P22" i="6"/>
  <c r="O22" i="6"/>
  <c r="R22" i="6"/>
  <c r="R21" i="7"/>
  <c r="B102" i="7"/>
  <c r="Q29" i="6"/>
  <c r="M29" i="6"/>
  <c r="S16" i="7"/>
  <c r="W16" i="7"/>
  <c r="U21" i="7"/>
  <c r="W21" i="7"/>
  <c r="V21" i="7"/>
  <c r="T21" i="7"/>
  <c r="S21" i="7"/>
  <c r="V16" i="7"/>
  <c r="T16" i="7"/>
  <c r="U16" i="7"/>
  <c r="P31" i="6"/>
  <c r="P29" i="6"/>
  <c r="O29" i="6"/>
  <c r="N29" i="6"/>
  <c r="O31" i="6"/>
  <c r="N31" i="6"/>
  <c r="Q31" i="6"/>
  <c r="M31" i="6"/>
  <c r="T18" i="7" l="1"/>
  <c r="S18" i="7"/>
  <c r="W44" i="7"/>
  <c r="G22" i="10"/>
  <c r="G38" i="10" s="1"/>
  <c r="U18" i="7"/>
  <c r="V18" i="7"/>
  <c r="W18" i="7"/>
  <c r="V44" i="7"/>
  <c r="I105" i="6"/>
  <c r="I109" i="6"/>
  <c r="I107" i="6"/>
  <c r="V17" i="7"/>
  <c r="S44" i="7"/>
  <c r="R44" i="7"/>
  <c r="U44" i="7"/>
  <c r="T44" i="7"/>
  <c r="T175" i="7"/>
  <c r="R17" i="7"/>
  <c r="S17" i="7"/>
  <c r="W43" i="7"/>
  <c r="W17" i="7"/>
  <c r="S43" i="7"/>
  <c r="U20" i="7"/>
  <c r="R43" i="7"/>
  <c r="T17" i="7"/>
  <c r="U17" i="7"/>
  <c r="U43" i="7"/>
  <c r="R20" i="7"/>
  <c r="W116" i="7"/>
  <c r="F22" i="10"/>
  <c r="F38" i="10" s="1"/>
  <c r="R46" i="7"/>
  <c r="U46" i="7"/>
  <c r="U19" i="7"/>
  <c r="W45" i="7"/>
  <c r="V19" i="7"/>
  <c r="W20" i="7"/>
  <c r="W46" i="7"/>
  <c r="S46" i="7"/>
  <c r="V45" i="7"/>
  <c r="V20" i="7"/>
  <c r="S20" i="7"/>
  <c r="T19" i="7"/>
  <c r="T20" i="7"/>
  <c r="S19" i="7"/>
  <c r="W19" i="7"/>
  <c r="V46" i="7"/>
  <c r="T43" i="7"/>
  <c r="W174" i="7"/>
  <c r="V172" i="7"/>
  <c r="R45" i="7"/>
  <c r="T45" i="7"/>
  <c r="S45" i="7"/>
  <c r="R19" i="7"/>
  <c r="V118" i="7"/>
  <c r="T147" i="7"/>
  <c r="W119" i="7"/>
  <c r="T119" i="7"/>
  <c r="T173" i="7"/>
  <c r="S119" i="7"/>
  <c r="U148" i="7"/>
  <c r="W148" i="7"/>
  <c r="T148" i="7"/>
  <c r="U119" i="7"/>
  <c r="V148" i="7"/>
  <c r="U174" i="7"/>
  <c r="R174" i="7"/>
  <c r="U172" i="7"/>
  <c r="V119" i="7"/>
  <c r="T174" i="7"/>
  <c r="T172" i="7"/>
  <c r="R172" i="7"/>
  <c r="W147" i="7"/>
  <c r="U116" i="7"/>
  <c r="T117" i="7"/>
  <c r="V146" i="7"/>
  <c r="S117" i="7"/>
  <c r="V117" i="7"/>
  <c r="U146" i="7"/>
  <c r="U117" i="7"/>
  <c r="W146" i="7"/>
  <c r="U173" i="7"/>
  <c r="W175" i="7"/>
  <c r="W117" i="7"/>
  <c r="R173" i="7"/>
  <c r="V175" i="7"/>
  <c r="W173" i="7"/>
  <c r="R175" i="7"/>
  <c r="T146" i="7"/>
  <c r="U175" i="7"/>
  <c r="U147" i="7"/>
  <c r="T145" i="7"/>
  <c r="W118" i="7"/>
  <c r="V145" i="7"/>
  <c r="T118" i="7"/>
  <c r="U118" i="7"/>
  <c r="T116" i="7"/>
  <c r="V116" i="7"/>
  <c r="S118" i="7"/>
  <c r="S116" i="7"/>
  <c r="V147" i="7"/>
  <c r="W145" i="7"/>
  <c r="U145" i="7"/>
  <c r="B108" i="6"/>
  <c r="F108" i="6"/>
  <c r="D108" i="6"/>
  <c r="E108" i="6"/>
  <c r="G108" i="6"/>
  <c r="B106" i="6"/>
  <c r="F106" i="6"/>
  <c r="D106" i="6"/>
  <c r="E106" i="6"/>
  <c r="G106" i="6"/>
  <c r="L110" i="6"/>
  <c r="E125" i="6" l="1"/>
  <c r="I110" i="6"/>
  <c r="I106" i="6"/>
  <c r="I108" i="6"/>
  <c r="R36" i="7"/>
  <c r="R37" i="7" s="1"/>
  <c r="U59" i="7"/>
  <c r="R59" i="7"/>
  <c r="T36" i="7"/>
  <c r="T37" i="7" s="1"/>
  <c r="U36" i="7"/>
  <c r="U37" i="7" s="1"/>
  <c r="S59" i="7"/>
  <c r="W59" i="7"/>
  <c r="W60" i="7" s="1"/>
  <c r="S36" i="7"/>
  <c r="S37" i="7" s="1"/>
  <c r="W36" i="7"/>
  <c r="W37" i="7" s="1"/>
  <c r="T59" i="7"/>
  <c r="V59" i="7"/>
  <c r="V36" i="7"/>
  <c r="V37" i="7" s="1"/>
  <c r="U164" i="7"/>
  <c r="R190" i="7"/>
  <c r="W135" i="7"/>
  <c r="G125" i="6"/>
  <c r="F125" i="6"/>
  <c r="D125" i="6"/>
  <c r="U135" i="7"/>
  <c r="T164" i="7"/>
  <c r="W164" i="7"/>
  <c r="V135" i="7"/>
  <c r="T135" i="7"/>
  <c r="S135" i="7"/>
  <c r="V164" i="7"/>
  <c r="B125" i="6"/>
  <c r="V60" i="7" l="1"/>
  <c r="U60" i="7"/>
  <c r="S60" i="7"/>
  <c r="T60" i="7"/>
  <c r="N172" i="7"/>
  <c r="G198" i="7" s="1"/>
  <c r="W185" i="7" s="1"/>
  <c r="W190" i="7" s="1"/>
  <c r="M172" i="7"/>
  <c r="F198" i="7" s="1"/>
  <c r="V185" i="7" s="1"/>
  <c r="V190" i="7" s="1"/>
  <c r="L172" i="7"/>
  <c r="E198" i="7" s="1"/>
  <c r="U185" i="7" s="1"/>
  <c r="U190" i="7" s="1"/>
  <c r="K172" i="7"/>
  <c r="D198" i="7" s="1"/>
  <c r="T185" i="7" s="1"/>
  <c r="T190" i="7" s="1"/>
  <c r="J172" i="7"/>
  <c r="C198" i="7" s="1"/>
  <c r="T192" i="7" l="1"/>
  <c r="U192" i="7"/>
  <c r="V192" i="7"/>
  <c r="W192" i="7"/>
</calcChain>
</file>

<file path=xl/sharedStrings.xml><?xml version="1.0" encoding="utf-8"?>
<sst xmlns="http://schemas.openxmlformats.org/spreadsheetml/2006/main" count="1085" uniqueCount="228">
  <si>
    <t>Benchmark</t>
  </si>
  <si>
    <t>config</t>
  </si>
  <si>
    <t>total_inst</t>
  </si>
  <si>
    <t>total_ops</t>
  </si>
  <si>
    <t>total_cycles</t>
  </si>
  <si>
    <t>kernel_ticks</t>
  </si>
  <si>
    <t>kernel_cycles</t>
  </si>
  <si>
    <t>cim_writes</t>
  </si>
  <si>
    <t>total_reads</t>
  </si>
  <si>
    <t>cim_reads</t>
  </si>
  <si>
    <t>total_writes</t>
  </si>
  <si>
    <t>1mm</t>
  </si>
  <si>
    <t>1mm-cim-tiled</t>
  </si>
  <si>
    <t>CIM Params</t>
  </si>
  <si>
    <t>1mm-cim-min-writes</t>
  </si>
  <si>
    <t>Latency (s)</t>
  </si>
  <si>
    <t>Energy ( j )</t>
  </si>
  <si>
    <t>1mm-arm</t>
  </si>
  <si>
    <t>Read</t>
  </si>
  <si>
    <t>1mm-cim</t>
  </si>
  <si>
    <t>Write</t>
  </si>
  <si>
    <t>1mm-cim-opt</t>
  </si>
  <si>
    <t>Mixed_signal (per cycle)</t>
  </si>
  <si>
    <t>1mm-cim-unroll</t>
  </si>
  <si>
    <t>Micro_engine (per byte)</t>
  </si>
  <si>
    <t>3mm</t>
  </si>
  <si>
    <t>3mm-cim-min-writes</t>
  </si>
  <si>
    <t>3mm-cim-unroll</t>
  </si>
  <si>
    <t>3mm-arm</t>
  </si>
  <si>
    <t>3mm-cim</t>
  </si>
  <si>
    <t>3mm-cim-opt</t>
  </si>
  <si>
    <t>3mm-cim-tiled</t>
  </si>
  <si>
    <t>2mm</t>
  </si>
  <si>
    <t>2mm-cim-tiled</t>
  </si>
  <si>
    <t>2mm-arm</t>
  </si>
  <si>
    <t>2mm-cim-unroll</t>
  </si>
  <si>
    <t>2mm-cim</t>
  </si>
  <si>
    <t>2mm-cim-opt</t>
  </si>
  <si>
    <t>2mm-cim-min-writes</t>
  </si>
  <si>
    <t>tmm</t>
  </si>
  <si>
    <t>tmm-cim-tiled</t>
  </si>
  <si>
    <t>tmm-cim-min-writes</t>
  </si>
  <si>
    <t>tmm-cim-opt</t>
  </si>
  <si>
    <t>tmm-cim-unroll</t>
  </si>
  <si>
    <t>tmm-cim</t>
  </si>
  <si>
    <t>tmm-arm</t>
  </si>
  <si>
    <t>mlp3</t>
  </si>
  <si>
    <t>mlp3-cim-min-writes</t>
  </si>
  <si>
    <t>mlp3-cim-opt</t>
  </si>
  <si>
    <t>mlp3-cim</t>
  </si>
  <si>
    <t>mlp3-cim-unroll</t>
  </si>
  <si>
    <t>mlp3-cim-tiled</t>
  </si>
  <si>
    <t>mlp3-arm</t>
  </si>
  <si>
    <t>kronecker3</t>
  </si>
  <si>
    <t>kronecker3-cim-opt</t>
  </si>
  <si>
    <t>kronecker3-cim-tiled</t>
  </si>
  <si>
    <t>kronecker3-cim-unroll</t>
  </si>
  <si>
    <t>kronecker3-cim-min-writes</t>
  </si>
  <si>
    <t>kronecker3-arm</t>
  </si>
  <si>
    <t>kronecker3-cim</t>
  </si>
  <si>
    <t>cim_runtime</t>
  </si>
  <si>
    <t>cim_cycles</t>
  </si>
  <si>
    <t>mm</t>
  </si>
  <si>
    <t>arm</t>
  </si>
  <si>
    <t>cim</t>
  </si>
  <si>
    <t>cim_tile</t>
  </si>
  <si>
    <t>cim_trafo</t>
  </si>
  <si>
    <t>cim_parl</t>
  </si>
  <si>
    <t>cim_opt</t>
  </si>
  <si>
    <t>num_tiles</t>
  </si>
  <si>
    <t>CiM Size</t>
  </si>
  <si>
    <t>cim_parallelization factor</t>
  </si>
  <si>
    <t>Clock Frequency (Hz)</t>
  </si>
  <si>
    <t>write_reduction_ratio</t>
  </si>
  <si>
    <t>write_reduction_ratio_unroll</t>
  </si>
  <si>
    <t>Mat Size</t>
  </si>
  <si>
    <t>also includes overhead</t>
  </si>
  <si>
    <t>Speedup</t>
  </si>
  <si>
    <t>Runtime in Cycles (cim cycles come from gem5)</t>
  </si>
  <si>
    <t>Mul Factor</t>
  </si>
  <si>
    <t>write_reduction</t>
  </si>
  <si>
    <t>Runtime (sec)</t>
  </si>
  <si>
    <t>Runtime (cycles)</t>
  </si>
  <si>
    <t>Read/Write energy (joules)</t>
  </si>
  <si>
    <t>Microengine energy (joules)</t>
  </si>
  <si>
    <t>Total energy (joules)</t>
  </si>
  <si>
    <t>conv2d-cim</t>
  </si>
  <si>
    <t>conv2d-cim-unroll</t>
  </si>
  <si>
    <t>conv2d-cim-min-writes</t>
  </si>
  <si>
    <t>conv2d-cim-opt</t>
  </si>
  <si>
    <t>conv2d-cim-tiled</t>
  </si>
  <si>
    <t>conv2d-arm</t>
  </si>
  <si>
    <t>conv1d-cim-tiled</t>
  </si>
  <si>
    <t>conv1d-cim-opt</t>
  </si>
  <si>
    <t>conv1d-cim-min-writes</t>
  </si>
  <si>
    <t>conv1d-cim</t>
  </si>
  <si>
    <t>conv1d-cim-unroll</t>
  </si>
  <si>
    <t>conv1d-arm</t>
  </si>
  <si>
    <t>conv3d-cim-min-writes</t>
  </si>
  <si>
    <t>conv3d-cim-unroll</t>
  </si>
  <si>
    <t>conv3d-arm</t>
  </si>
  <si>
    <t>conv3d-cim-tiled</t>
  </si>
  <si>
    <t>conv3d-cim-opt</t>
  </si>
  <si>
    <t>conv3d-cim</t>
  </si>
  <si>
    <t>energy(Pj)</t>
  </si>
  <si>
    <t>kernel/total time</t>
  </si>
  <si>
    <t>W/R ratio</t>
  </si>
  <si>
    <t>geom</t>
  </si>
  <si>
    <t>Mat size 256 x 256 (16 tiles, 4 executes in parallel, mul factor = 16/4</t>
  </si>
  <si>
    <t>Lifetime = W * S / B, W = 32 million, B = write traffic, S = size</t>
  </si>
  <si>
    <t>lifetime_cim</t>
  </si>
  <si>
    <t>lifetime_cimOpt</t>
  </si>
  <si>
    <t>Wmax</t>
  </si>
  <si>
    <t>Sec/year</t>
  </si>
  <si>
    <t>Device size</t>
  </si>
  <si>
    <t>life_time_op</t>
  </si>
  <si>
    <t>lifetime_years</t>
  </si>
  <si>
    <t>Tile Size</t>
  </si>
  <si>
    <t>NumTiles</t>
  </si>
  <si>
    <t>arm-cycles</t>
  </si>
  <si>
    <t>mm-64</t>
  </si>
  <si>
    <t>mm-32</t>
  </si>
  <si>
    <t>mm-128</t>
  </si>
  <si>
    <t>mm-256</t>
  </si>
  <si>
    <t>mm-512</t>
  </si>
  <si>
    <t>mm-1024</t>
  </si>
  <si>
    <t>mm-16</t>
  </si>
  <si>
    <t>conv1d</t>
  </si>
  <si>
    <t>conv2d</t>
  </si>
  <si>
    <t>conv3d</t>
  </si>
  <si>
    <t>geomen</t>
  </si>
  <si>
    <t>geomean</t>
  </si>
  <si>
    <t>tc_4x4x4_A-cim-opt</t>
  </si>
  <si>
    <t>tc_4x4x4_A-cim-min-writes</t>
  </si>
  <si>
    <t>tc_4x4x4_A-cim-tiled</t>
  </si>
  <si>
    <t>tc_4x4x4_A-arm</t>
  </si>
  <si>
    <t>tc_4x4x4_A-cim-unroll</t>
  </si>
  <si>
    <t>tc_4x4x4_A-cim</t>
  </si>
  <si>
    <t>mv-arm</t>
  </si>
  <si>
    <t>mv-cim-unroll</t>
  </si>
  <si>
    <t>mv-cim</t>
  </si>
  <si>
    <t>mv-cim-opt</t>
  </si>
  <si>
    <t>mv-cim-tiled</t>
  </si>
  <si>
    <t>mv-cim-min-writes</t>
  </si>
  <si>
    <t>tbmm-arm</t>
  </si>
  <si>
    <t>conv_group-arm</t>
  </si>
  <si>
    <t>lstm-arm</t>
  </si>
  <si>
    <t>lstm-cim</t>
  </si>
  <si>
    <t>lstm-cim-opt</t>
  </si>
  <si>
    <t>lstm-cim-unroll</t>
  </si>
  <si>
    <t>lstm-cim-min-writes</t>
  </si>
  <si>
    <t>lstm-cim-tiled</t>
  </si>
  <si>
    <t>tc_2x3x3-cim-tiled</t>
  </si>
  <si>
    <t>tc_2x3x3-cim-min-writes</t>
  </si>
  <si>
    <t>tc_2x3x3-arm</t>
  </si>
  <si>
    <t>tc_2x3x3-cim-unroll</t>
  </si>
  <si>
    <t>tc_2x3x3-cim-opt</t>
  </si>
  <si>
    <t>tc_2x3x3-cim</t>
  </si>
  <si>
    <t>moments2d-arm</t>
  </si>
  <si>
    <t>wavenet-arm</t>
  </si>
  <si>
    <t>wavenet-cim</t>
  </si>
  <si>
    <t>wavenet-cim-opt</t>
  </si>
  <si>
    <t>wavenet-cim-unroll</t>
  </si>
  <si>
    <t>wavenet-cim-min-writes</t>
  </si>
  <si>
    <t>wavenet-cim-tiled</t>
  </si>
  <si>
    <t>gather-arm</t>
  </si>
  <si>
    <t>tc_4x4x4_B-cim-unroll</t>
  </si>
  <si>
    <t>tc_4x4x4_B-arm</t>
  </si>
  <si>
    <t>tc_4x4x4_B-cim-min-writes</t>
  </si>
  <si>
    <t>tc_4x4x4_B-cim-tiled</t>
  </si>
  <si>
    <t>tc_4x4x4_B-cim-opt</t>
  </si>
  <si>
    <t>tc_4x4x4_B-cim</t>
  </si>
  <si>
    <t>tc_3x3x2-cim-unroll</t>
  </si>
  <si>
    <t>tc_3x3x2-cim-min-writes</t>
  </si>
  <si>
    <t>tc_3x3x2-cim-tiled</t>
  </si>
  <si>
    <t>tc_3x3x2-arm</t>
  </si>
  <si>
    <t>tc_3x3x2-cim-opt</t>
  </si>
  <si>
    <t>tc_3x3x2-cim</t>
  </si>
  <si>
    <t>conv_group</t>
  </si>
  <si>
    <t>gather</t>
  </si>
  <si>
    <t>lstm</t>
  </si>
  <si>
    <t>moments2d</t>
  </si>
  <si>
    <t>mv</t>
  </si>
  <si>
    <t>tbmm</t>
  </si>
  <si>
    <t>tc_2x3x3</t>
  </si>
  <si>
    <t>tc_3x2x2</t>
  </si>
  <si>
    <t>tc_4x4x4</t>
  </si>
  <si>
    <t>tc_4x4x4_B</t>
  </si>
  <si>
    <t>wavenet</t>
  </si>
  <si>
    <t>MicroEngine (joules)</t>
  </si>
  <si>
    <t>Gain in Energy Consumption</t>
  </si>
  <si>
    <t>ii. Conv benchmarks are/can not be unrolled, so parallel/opt config shows no improvements</t>
  </si>
  <si>
    <t xml:space="preserve">i. DIM size for all kernels is 128 except conv and kronecker3 where DIM size 16 and is scaled by 8 to approx fro size 128. </t>
  </si>
  <si>
    <t>Gem5 CIM write bandwidth</t>
  </si>
  <si>
    <t>goem</t>
  </si>
  <si>
    <t>TTGT cycles</t>
  </si>
  <si>
    <t>tc_3x3x2</t>
  </si>
  <si>
    <t>arm-ticks</t>
  </si>
  <si>
    <t>cim_ticks_workitem</t>
  </si>
  <si>
    <t>arm-ticks-workItem</t>
  </si>
  <si>
    <t>cim-cycles</t>
  </si>
  <si>
    <t>speedup</t>
  </si>
  <si>
    <t>Results including scaling of small kernels</t>
  </si>
  <si>
    <t>Lifetime analysis</t>
  </si>
  <si>
    <t>./conv2d/conv2d-cim.txt</t>
  </si>
  <si>
    <t>./conv2d/conv2d-cim-unroll.txt</t>
  </si>
  <si>
    <t>./conv2d/conv2d-cim-min-writes.txt</t>
  </si>
  <si>
    <t>./conv2d/conv2d-cim-opt.txt</t>
  </si>
  <si>
    <t>./conv2d/conv2d-cim-tiled.txt</t>
  </si>
  <si>
    <t>./conv2d/conv2d-arm.txt</t>
  </si>
  <si>
    <t>./conv1d/conv1d-cim-tiled.txt</t>
  </si>
  <si>
    <t>./conv1d/conv1d-cim-opt.txt</t>
  </si>
  <si>
    <t>./conv1d/conv1d-cim-min-writes.txt</t>
  </si>
  <si>
    <t>./conv1d/conv1d-cim.txt</t>
  </si>
  <si>
    <t>./conv1d/conv1d-cim-unroll.txt</t>
  </si>
  <si>
    <t>./conv1d/conv1d-arm.txt</t>
  </si>
  <si>
    <t>energy</t>
  </si>
  <si>
    <t>Final reported</t>
  </si>
  <si>
    <t>Performance gain (Final)</t>
  </si>
  <si>
    <t>CIM Portion(%)</t>
  </si>
  <si>
    <t xml:space="preserve"># of Additions </t>
  </si>
  <si>
    <t>Cycles</t>
  </si>
  <si>
    <t>Host proportion (%)</t>
  </si>
  <si>
    <t>host_additions_cycles</t>
  </si>
  <si>
    <t>Overhead cycles (im2col, ttgt)</t>
  </si>
  <si>
    <t>total_overhead</t>
  </si>
  <si>
    <t>kronecker</t>
  </si>
  <si>
    <t>tc_small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</si>
</sst>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Arial"/>
      <family val="2"/>
    </font>
    <font>
      <sz val="15"/>
      <color rgb="FF1D1C1D"/>
      <name val="Arial"/>
      <family val="2"/>
    </font>
    <font>
      <sz val="11"/>
      <color rgb="FF000000"/>
      <name val="Menlo"/>
      <family val="2"/>
    </font>
    <font>
      <sz val="8"/>
      <name val="Arial"/>
      <family val="2"/>
    </font>
    <font>
      <sz val="10"/>
      <color theme="1" tint="0.499984740745262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C579"/>
      <color rgb="FF01FFB8"/>
      <color rgb="FFB9C1FF"/>
      <color rgb="FF59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speedup!$K$80</c:f>
              <c:strCache>
                <c:ptCount val="1"/>
                <c:pt idx="0">
                  <c:v>CIM Portion(%)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speedup!$A$81:$A$96</c:f>
              <c:strCache>
                <c:ptCount val="16"/>
                <c:pt idx="0">
                  <c:v>mm</c:v>
                </c:pt>
                <c:pt idx="1">
                  <c:v>2mm</c:v>
                </c:pt>
                <c:pt idx="2">
                  <c:v>3mm</c:v>
                </c:pt>
                <c:pt idx="3">
                  <c:v>tmm</c:v>
                </c:pt>
                <c:pt idx="4">
                  <c:v>mlp3</c:v>
                </c:pt>
                <c:pt idx="5">
                  <c:v>conv1d</c:v>
                </c:pt>
                <c:pt idx="6">
                  <c:v>conv2d</c:v>
                </c:pt>
                <c:pt idx="7">
                  <c:v>conv3d</c:v>
                </c:pt>
                <c:pt idx="8">
                  <c:v>kronecker3</c:v>
                </c:pt>
                <c:pt idx="9">
                  <c:v>lstm</c:v>
                </c:pt>
                <c:pt idx="10">
                  <c:v>mv</c:v>
                </c:pt>
                <c:pt idx="11">
                  <c:v>tc_2x3x3</c:v>
                </c:pt>
                <c:pt idx="12">
                  <c:v>tc_3x3x2</c:v>
                </c:pt>
                <c:pt idx="13">
                  <c:v>tc_4x4x4</c:v>
                </c:pt>
                <c:pt idx="14">
                  <c:v>tc_4x4x4_B</c:v>
                </c:pt>
                <c:pt idx="15">
                  <c:v>wavenet</c:v>
                </c:pt>
              </c:strCache>
            </c:strRef>
          </c:cat>
          <c:val>
            <c:numRef>
              <c:f>speedup!$K$81:$K$96</c:f>
              <c:numCache>
                <c:formatCode>General</c:formatCode>
                <c:ptCount val="16"/>
                <c:pt idx="0">
                  <c:v>94.5</c:v>
                </c:pt>
                <c:pt idx="1">
                  <c:v>94.79</c:v>
                </c:pt>
                <c:pt idx="2">
                  <c:v>94.89</c:v>
                </c:pt>
                <c:pt idx="3">
                  <c:v>94.5</c:v>
                </c:pt>
                <c:pt idx="4">
                  <c:v>94.89</c:v>
                </c:pt>
                <c:pt idx="5">
                  <c:v>65.760000000000005</c:v>
                </c:pt>
                <c:pt idx="6">
                  <c:v>58.15</c:v>
                </c:pt>
                <c:pt idx="7">
                  <c:v>53.54</c:v>
                </c:pt>
                <c:pt idx="8">
                  <c:v>86.61</c:v>
                </c:pt>
                <c:pt idx="9">
                  <c:v>99.63000000000001</c:v>
                </c:pt>
                <c:pt idx="10">
                  <c:v>99.800000000000011</c:v>
                </c:pt>
                <c:pt idx="11">
                  <c:v>69.12</c:v>
                </c:pt>
                <c:pt idx="12">
                  <c:v>64.910000000000011</c:v>
                </c:pt>
                <c:pt idx="13">
                  <c:v>78.13000000000001</c:v>
                </c:pt>
                <c:pt idx="14">
                  <c:v>23.290000000000003</c:v>
                </c:pt>
                <c:pt idx="15">
                  <c:v>51.16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F846-B770-114B4A36D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874207"/>
        <c:axId val="1811889103"/>
      </c:barChart>
      <c:catAx>
        <c:axId val="18118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1889103"/>
        <c:crosses val="autoZero"/>
        <c:auto val="1"/>
        <c:lblAlgn val="ctr"/>
        <c:lblOffset val="100"/>
        <c:noMultiLvlLbl val="0"/>
      </c:catAx>
      <c:valAx>
        <c:axId val="18118891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187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906008</xdr:colOff>
      <xdr:row>113</xdr:row>
      <xdr:rowOff>142194</xdr:rowOff>
    </xdr:from>
    <xdr:to>
      <xdr:col>13</xdr:col>
      <xdr:colOff>249463</xdr:colOff>
      <xdr:row>130</xdr:row>
      <xdr:rowOff>113393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9DF0E-D8E3-6A4A-81ED-9479CF3D2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F59C-6D78-AF4A-8045-EA33B7DB756E}">
  <dimension ref="A1:T37"/>
  <sheetViews>
    <sheetView zoomScale="110" zoomScaleNormal="110" workbookViewId="0">
      <selection activeCell="O11" sqref="O11"/>
    </sheetView>
  </sheetViews>
  <sheetFormatPr baseColWidth="10" defaultRowHeight="13" x14ac:dyDescent="0.15"/>
  <cols>
    <col min="1" max="1" width="10.5" bestFit="1" customWidth="1"/>
    <col min="2" max="2" width="20.83203125" bestFit="1" customWidth="1"/>
    <col min="3" max="4" width="10.1640625" bestFit="1" customWidth="1"/>
    <col min="5" max="5" width="12.1640625" bestFit="1" customWidth="1"/>
    <col min="6" max="6" width="12.33203125" bestFit="1" customWidth="1"/>
    <col min="7" max="7" width="12.83203125" bestFit="1" customWidth="1"/>
    <col min="8" max="8" width="10.1640625" bestFit="1" customWidth="1"/>
    <col min="9" max="9" width="10.33203125" bestFit="1" customWidth="1"/>
    <col min="10" max="10" width="9.83203125" bestFit="1" customWidth="1"/>
    <col min="11" max="11" width="10.6640625" bestFit="1" customWidth="1"/>
    <col min="14" max="14" width="22.6640625" bestFit="1" customWidth="1"/>
    <col min="15" max="15" width="11.1640625" bestFit="1" customWidth="1"/>
    <col min="17" max="17" width="19.6640625" bestFit="1" customWidth="1"/>
    <col min="18" max="18" width="9.33203125" bestFit="1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0" x14ac:dyDescent="0.15">
      <c r="A2" s="15" t="s">
        <v>11</v>
      </c>
      <c r="B2" s="2" t="s">
        <v>12</v>
      </c>
      <c r="C2" s="2">
        <v>44853050</v>
      </c>
      <c r="D2" s="2">
        <v>53257878</v>
      </c>
      <c r="E2" s="2">
        <v>6430106808</v>
      </c>
      <c r="F2" s="2">
        <v>155707689000</v>
      </c>
      <c r="G2" s="2">
        <f t="shared" ref="G2:G31" si="0">F2/1000</f>
        <v>155707689</v>
      </c>
      <c r="H2" s="2">
        <v>16512</v>
      </c>
      <c r="I2" s="2">
        <v>58377855</v>
      </c>
      <c r="J2" s="2">
        <v>8192</v>
      </c>
      <c r="K2" s="2">
        <v>8450221</v>
      </c>
    </row>
    <row r="3" spans="1:20" x14ac:dyDescent="0.15">
      <c r="A3" s="15"/>
      <c r="B3" s="2" t="s">
        <v>14</v>
      </c>
      <c r="C3" s="2">
        <v>45130132</v>
      </c>
      <c r="D3" s="2">
        <v>53526924</v>
      </c>
      <c r="E3" s="2">
        <v>6447143124</v>
      </c>
      <c r="F3" s="2">
        <v>169399072000</v>
      </c>
      <c r="G3" s="2">
        <f t="shared" si="0"/>
        <v>169399072</v>
      </c>
      <c r="H3" s="2">
        <v>12352</v>
      </c>
      <c r="I3" s="2">
        <v>58642112</v>
      </c>
      <c r="J3" s="2">
        <v>8192</v>
      </c>
      <c r="K3" s="2">
        <v>8476478</v>
      </c>
      <c r="N3" s="16" t="s">
        <v>13</v>
      </c>
      <c r="O3" s="16"/>
      <c r="P3" s="16"/>
      <c r="Q3" s="16"/>
      <c r="R3" s="16"/>
    </row>
    <row r="4" spans="1:20" x14ac:dyDescent="0.15">
      <c r="A4" s="15"/>
      <c r="B4" s="2" t="s">
        <v>17</v>
      </c>
      <c r="C4" s="2">
        <v>85053512</v>
      </c>
      <c r="D4" s="2">
        <v>94293057</v>
      </c>
      <c r="E4" s="2">
        <v>12264842226</v>
      </c>
      <c r="F4" s="2">
        <v>2774548915000</v>
      </c>
      <c r="G4" s="2">
        <f t="shared" si="0"/>
        <v>2774548915</v>
      </c>
      <c r="H4" s="2"/>
      <c r="I4" s="2">
        <v>113967699</v>
      </c>
      <c r="J4" s="2"/>
      <c r="K4" s="2">
        <v>10979353</v>
      </c>
      <c r="N4" s="2" t="s">
        <v>15</v>
      </c>
      <c r="O4" s="2"/>
      <c r="P4" s="2"/>
      <c r="Q4" s="2" t="s">
        <v>16</v>
      </c>
      <c r="R4" s="2"/>
    </row>
    <row r="5" spans="1:20" x14ac:dyDescent="0.15">
      <c r="A5" s="15"/>
      <c r="B5" s="2" t="s">
        <v>19</v>
      </c>
      <c r="C5" s="2">
        <v>42649069</v>
      </c>
      <c r="D5" s="2">
        <v>51038836</v>
      </c>
      <c r="E5" s="2">
        <v>6112165340</v>
      </c>
      <c r="F5" s="2">
        <v>13211963000</v>
      </c>
      <c r="G5" s="2">
        <f t="shared" si="0"/>
        <v>13211963</v>
      </c>
      <c r="H5" s="2">
        <v>8224</v>
      </c>
      <c r="I5" s="2">
        <v>55713749</v>
      </c>
      <c r="J5" s="2">
        <v>4096</v>
      </c>
      <c r="K5" s="2">
        <v>8269513</v>
      </c>
      <c r="N5" s="2" t="s">
        <v>18</v>
      </c>
      <c r="O5" s="2">
        <f>1 * 10^-6</f>
        <v>9.9999999999999995E-7</v>
      </c>
      <c r="P5" s="2"/>
      <c r="Q5" s="2" t="s">
        <v>18</v>
      </c>
      <c r="R5" s="2">
        <f>200 * 10^-15</f>
        <v>2.0000000000000001E-13</v>
      </c>
    </row>
    <row r="6" spans="1:20" x14ac:dyDescent="0.15">
      <c r="A6" s="15"/>
      <c r="B6" s="2" t="s">
        <v>21</v>
      </c>
      <c r="C6" s="2">
        <v>45641267</v>
      </c>
      <c r="D6" s="2">
        <v>54036309</v>
      </c>
      <c r="E6" s="2">
        <v>6501774838</v>
      </c>
      <c r="F6" s="2">
        <v>202834174000</v>
      </c>
      <c r="G6" s="2">
        <f t="shared" si="0"/>
        <v>202834174</v>
      </c>
      <c r="H6" s="2">
        <v>12352</v>
      </c>
      <c r="I6" s="2">
        <v>59248280</v>
      </c>
      <c r="J6" s="2">
        <v>8192</v>
      </c>
      <c r="K6" s="2">
        <v>8524591</v>
      </c>
      <c r="N6" s="2" t="s">
        <v>20</v>
      </c>
      <c r="O6" s="2">
        <f>2.5 * 10^-6</f>
        <v>2.4999999999999998E-6</v>
      </c>
      <c r="P6" s="2"/>
      <c r="Q6" s="2" t="s">
        <v>20</v>
      </c>
      <c r="R6" s="2">
        <f>200 * 10^-12</f>
        <v>2.0000000000000001E-10</v>
      </c>
      <c r="T6">
        <f>R6/R5</f>
        <v>1000</v>
      </c>
    </row>
    <row r="7" spans="1:20" x14ac:dyDescent="0.15">
      <c r="A7" s="15"/>
      <c r="B7" s="2" t="s">
        <v>23</v>
      </c>
      <c r="C7" s="2">
        <v>46248533</v>
      </c>
      <c r="D7" s="2">
        <v>54652908</v>
      </c>
      <c r="E7" s="2">
        <v>6550050526</v>
      </c>
      <c r="F7" s="2">
        <v>235135191000</v>
      </c>
      <c r="G7" s="2">
        <f t="shared" si="0"/>
        <v>235135191</v>
      </c>
      <c r="H7" s="2">
        <v>16512</v>
      </c>
      <c r="I7" s="2">
        <v>59860036</v>
      </c>
      <c r="J7" s="2">
        <v>8192</v>
      </c>
      <c r="K7" s="2">
        <v>8597699</v>
      </c>
      <c r="N7" s="2"/>
      <c r="O7" s="2"/>
      <c r="P7" s="2"/>
      <c r="Q7" s="2" t="s">
        <v>22</v>
      </c>
      <c r="R7" s="2">
        <f>2.1* 10^-9</f>
        <v>2.1000000000000002E-9</v>
      </c>
    </row>
    <row r="8" spans="1:20" x14ac:dyDescent="0.15">
      <c r="A8" s="15" t="s">
        <v>25</v>
      </c>
      <c r="B8" s="2" t="s">
        <v>26</v>
      </c>
      <c r="C8" s="2">
        <v>103381149</v>
      </c>
      <c r="D8" s="2">
        <v>122291790</v>
      </c>
      <c r="E8" s="2">
        <v>14789170796</v>
      </c>
      <c r="F8" s="2">
        <v>497812538000</v>
      </c>
      <c r="G8" s="2">
        <f t="shared" si="0"/>
        <v>497812538</v>
      </c>
      <c r="H8" s="2">
        <v>37056</v>
      </c>
      <c r="I8" s="2">
        <v>134264342</v>
      </c>
      <c r="J8" s="2">
        <v>24576</v>
      </c>
      <c r="K8" s="2">
        <v>19421864</v>
      </c>
      <c r="N8" s="2"/>
      <c r="O8" s="2">
        <f>O6/O5</f>
        <v>2.5</v>
      </c>
      <c r="P8" s="2"/>
      <c r="Q8" s="2" t="s">
        <v>24</v>
      </c>
      <c r="R8" s="2">
        <f>64.8 * 10^-12</f>
        <v>6.4799999999999999E-11</v>
      </c>
    </row>
    <row r="9" spans="1:20" x14ac:dyDescent="0.15">
      <c r="A9" s="15"/>
      <c r="B9" s="2" t="s">
        <v>27</v>
      </c>
      <c r="C9" s="2">
        <v>107232867</v>
      </c>
      <c r="D9" s="2">
        <v>126161499</v>
      </c>
      <c r="E9" s="2">
        <v>15445580458</v>
      </c>
      <c r="F9" s="2">
        <v>742334439000</v>
      </c>
      <c r="G9" s="2">
        <f t="shared" si="0"/>
        <v>742334439</v>
      </c>
      <c r="H9" s="2">
        <v>49536</v>
      </c>
      <c r="I9" s="2">
        <v>138928423</v>
      </c>
      <c r="J9" s="2">
        <v>24576</v>
      </c>
      <c r="K9" s="2">
        <v>19782049</v>
      </c>
      <c r="N9" s="2"/>
      <c r="O9" s="2"/>
      <c r="P9" s="2"/>
      <c r="Q9" s="2"/>
      <c r="R9" s="2"/>
    </row>
    <row r="10" spans="1:20" x14ac:dyDescent="0.15">
      <c r="A10" s="15"/>
      <c r="B10" s="2" t="s">
        <v>28</v>
      </c>
      <c r="C10" s="2">
        <v>225994526</v>
      </c>
      <c r="D10" s="2">
        <v>246450434</v>
      </c>
      <c r="E10" s="2">
        <v>33632554844</v>
      </c>
      <c r="F10" s="2">
        <v>9309446310000</v>
      </c>
      <c r="G10" s="2">
        <f t="shared" si="0"/>
        <v>9309446310</v>
      </c>
      <c r="H10" s="2"/>
      <c r="I10" s="2">
        <v>310145607</v>
      </c>
      <c r="J10" s="2"/>
      <c r="K10" s="2">
        <v>26123009</v>
      </c>
      <c r="N10" s="2"/>
      <c r="O10" s="2"/>
      <c r="P10" s="2"/>
      <c r="Q10" s="2"/>
      <c r="R10" s="2"/>
    </row>
    <row r="11" spans="1:20" x14ac:dyDescent="0.15">
      <c r="A11" s="15"/>
      <c r="B11" s="2" t="s">
        <v>29</v>
      </c>
      <c r="C11" s="2">
        <v>96053562</v>
      </c>
      <c r="D11" s="2">
        <v>114943131</v>
      </c>
      <c r="E11" s="2">
        <v>13999100820</v>
      </c>
      <c r="F11" s="2">
        <v>43522202000</v>
      </c>
      <c r="G11" s="2">
        <f t="shared" si="0"/>
        <v>43522202</v>
      </c>
      <c r="H11" s="2">
        <v>24672</v>
      </c>
      <c r="I11" s="2">
        <v>125710772</v>
      </c>
      <c r="J11" s="2">
        <v>12288</v>
      </c>
      <c r="K11" s="2">
        <v>18800498</v>
      </c>
      <c r="N11" s="4" t="s">
        <v>72</v>
      </c>
      <c r="O11" s="2">
        <f>1 * 10^9</f>
        <v>1000000000</v>
      </c>
      <c r="P11" s="2"/>
      <c r="Q11" s="2"/>
      <c r="R11" s="2"/>
    </row>
    <row r="12" spans="1:20" x14ac:dyDescent="0.15">
      <c r="A12" s="15"/>
      <c r="B12" s="2" t="s">
        <v>30</v>
      </c>
      <c r="C12" s="2">
        <v>105061096</v>
      </c>
      <c r="D12" s="2">
        <v>123974485</v>
      </c>
      <c r="E12" s="2">
        <v>15045219558</v>
      </c>
      <c r="F12" s="2">
        <v>609697282000</v>
      </c>
      <c r="G12" s="2">
        <f t="shared" si="0"/>
        <v>609697282</v>
      </c>
      <c r="H12" s="2">
        <v>37056</v>
      </c>
      <c r="I12" s="2">
        <v>136341593</v>
      </c>
      <c r="J12" s="2">
        <v>24576</v>
      </c>
      <c r="K12" s="2">
        <v>19571618</v>
      </c>
      <c r="N12" t="s">
        <v>75</v>
      </c>
      <c r="O12">
        <v>128</v>
      </c>
    </row>
    <row r="13" spans="1:20" x14ac:dyDescent="0.15">
      <c r="A13" s="15"/>
      <c r="B13" s="2" t="s">
        <v>31</v>
      </c>
      <c r="C13" s="2">
        <v>102698379</v>
      </c>
      <c r="D13" s="2">
        <v>121633120</v>
      </c>
      <c r="E13" s="2">
        <v>14740992248</v>
      </c>
      <c r="F13" s="2">
        <v>470401116000</v>
      </c>
      <c r="G13" s="2">
        <f t="shared" si="0"/>
        <v>470401116</v>
      </c>
      <c r="H13" s="2">
        <v>49536</v>
      </c>
      <c r="I13" s="2">
        <v>133768657</v>
      </c>
      <c r="J13" s="2">
        <v>24576</v>
      </c>
      <c r="K13" s="2">
        <v>19342571</v>
      </c>
      <c r="N13" t="s">
        <v>70</v>
      </c>
      <c r="O13">
        <v>128</v>
      </c>
    </row>
    <row r="14" spans="1:20" x14ac:dyDescent="0.15">
      <c r="A14" s="15" t="s">
        <v>32</v>
      </c>
      <c r="B14" s="2" t="s">
        <v>33</v>
      </c>
      <c r="C14" s="2">
        <v>73825064</v>
      </c>
      <c r="D14" s="2">
        <v>87494912</v>
      </c>
      <c r="E14" s="2">
        <v>10564680844</v>
      </c>
      <c r="F14" s="2">
        <v>322152934000</v>
      </c>
      <c r="G14" s="2">
        <f t="shared" si="0"/>
        <v>322152934</v>
      </c>
      <c r="H14" s="2">
        <v>33024</v>
      </c>
      <c r="I14" s="2">
        <v>96221674</v>
      </c>
      <c r="J14" s="2">
        <v>16384</v>
      </c>
      <c r="K14" s="2">
        <v>13896428</v>
      </c>
      <c r="N14" t="s">
        <v>69</v>
      </c>
      <c r="O14">
        <v>4</v>
      </c>
    </row>
    <row r="15" spans="1:20" x14ac:dyDescent="0.15">
      <c r="A15" s="15"/>
      <c r="B15" s="2" t="s">
        <v>34</v>
      </c>
      <c r="C15" s="2">
        <v>152726682</v>
      </c>
      <c r="D15" s="2">
        <v>167082952</v>
      </c>
      <c r="E15" s="2">
        <v>22415204000</v>
      </c>
      <c r="F15" s="2">
        <v>6005174060000</v>
      </c>
      <c r="G15" s="2">
        <f t="shared" si="0"/>
        <v>6005174060</v>
      </c>
      <c r="H15" s="2"/>
      <c r="I15" s="2">
        <v>208604282</v>
      </c>
      <c r="J15" s="2"/>
      <c r="K15" s="2">
        <v>18164084</v>
      </c>
      <c r="N15" t="s">
        <v>73</v>
      </c>
      <c r="O15">
        <v>0.85</v>
      </c>
      <c r="P15" t="s">
        <v>76</v>
      </c>
    </row>
    <row r="16" spans="1:20" x14ac:dyDescent="0.15">
      <c r="A16" s="15"/>
      <c r="B16" s="2" t="s">
        <v>35</v>
      </c>
      <c r="C16" s="2">
        <v>76567374</v>
      </c>
      <c r="D16" s="2">
        <v>90233921</v>
      </c>
      <c r="E16" s="2">
        <v>10909917198</v>
      </c>
      <c r="F16" s="2">
        <v>484811411000</v>
      </c>
      <c r="G16" s="2">
        <f t="shared" si="0"/>
        <v>484811411</v>
      </c>
      <c r="H16" s="2">
        <v>33024</v>
      </c>
      <c r="I16" s="2">
        <v>99097866</v>
      </c>
      <c r="J16" s="2">
        <v>16384</v>
      </c>
      <c r="K16" s="2">
        <v>14189918</v>
      </c>
      <c r="N16" t="s">
        <v>71</v>
      </c>
      <c r="O16">
        <v>1</v>
      </c>
    </row>
    <row r="17" spans="1:15" x14ac:dyDescent="0.15">
      <c r="A17" s="15"/>
      <c r="B17" s="2" t="s">
        <v>36</v>
      </c>
      <c r="C17" s="2">
        <v>69335330</v>
      </c>
      <c r="D17" s="2">
        <v>82975061</v>
      </c>
      <c r="E17" s="2">
        <v>9946011614</v>
      </c>
      <c r="F17" s="2">
        <v>26890776000</v>
      </c>
      <c r="G17" s="2">
        <f t="shared" si="0"/>
        <v>26890776</v>
      </c>
      <c r="H17" s="2">
        <v>16448</v>
      </c>
      <c r="I17" s="2">
        <v>90729916</v>
      </c>
      <c r="J17" s="2">
        <v>8192</v>
      </c>
      <c r="K17" s="2">
        <v>13535044</v>
      </c>
      <c r="N17" t="s">
        <v>74</v>
      </c>
      <c r="O17">
        <f>IF(O12&gt;O13,0.75,1)</f>
        <v>1</v>
      </c>
    </row>
    <row r="18" spans="1:15" x14ac:dyDescent="0.15">
      <c r="A18" s="15"/>
      <c r="B18" s="2" t="s">
        <v>37</v>
      </c>
      <c r="C18" s="2">
        <v>75328021</v>
      </c>
      <c r="D18" s="2">
        <v>88979348</v>
      </c>
      <c r="E18" s="2">
        <v>10809599152</v>
      </c>
      <c r="F18" s="2">
        <v>419817583000</v>
      </c>
      <c r="G18" s="2">
        <f t="shared" si="0"/>
        <v>419817583</v>
      </c>
      <c r="H18" s="2">
        <v>24704</v>
      </c>
      <c r="I18" s="2">
        <v>97810460</v>
      </c>
      <c r="J18" s="2">
        <v>16384</v>
      </c>
      <c r="K18" s="2">
        <v>14045930</v>
      </c>
    </row>
    <row r="19" spans="1:15" x14ac:dyDescent="0.15">
      <c r="A19" s="15"/>
      <c r="B19" s="2" t="s">
        <v>38</v>
      </c>
      <c r="C19" s="2">
        <v>74265251</v>
      </c>
      <c r="D19" s="2">
        <v>87919027</v>
      </c>
      <c r="E19" s="2">
        <v>10598360234</v>
      </c>
      <c r="F19" s="2">
        <v>338971111000</v>
      </c>
      <c r="G19" s="2">
        <f t="shared" si="0"/>
        <v>338971111</v>
      </c>
      <c r="H19" s="2">
        <v>24704</v>
      </c>
      <c r="I19" s="2">
        <v>96521657</v>
      </c>
      <c r="J19" s="2">
        <v>16384</v>
      </c>
      <c r="K19" s="2">
        <v>13949465</v>
      </c>
      <c r="N19" t="s">
        <v>75</v>
      </c>
      <c r="O19">
        <v>128</v>
      </c>
    </row>
    <row r="20" spans="1:15" x14ac:dyDescent="0.15">
      <c r="A20" s="15" t="s">
        <v>39</v>
      </c>
      <c r="B20" s="2" t="s">
        <v>40</v>
      </c>
      <c r="C20" s="2">
        <v>45068470</v>
      </c>
      <c r="D20" s="2">
        <v>53473339</v>
      </c>
      <c r="E20" s="2">
        <v>6415606724</v>
      </c>
      <c r="F20" s="2">
        <v>170648049000</v>
      </c>
      <c r="G20" s="2">
        <f t="shared" si="0"/>
        <v>170648049</v>
      </c>
      <c r="H20" s="2">
        <v>16512</v>
      </c>
      <c r="I20" s="2">
        <v>58659365</v>
      </c>
      <c r="J20" s="2">
        <v>8192</v>
      </c>
      <c r="K20" s="2">
        <v>8467147</v>
      </c>
      <c r="N20" t="s">
        <v>79</v>
      </c>
      <c r="O20">
        <f>(O19/O22)^2 / O23</f>
        <v>1</v>
      </c>
    </row>
    <row r="21" spans="1:15" x14ac:dyDescent="0.15">
      <c r="A21" s="15"/>
      <c r="B21" s="2" t="s">
        <v>41</v>
      </c>
      <c r="C21" s="2">
        <v>45312419</v>
      </c>
      <c r="D21" s="2">
        <v>53709260</v>
      </c>
      <c r="E21" s="2">
        <v>6452853990</v>
      </c>
      <c r="F21" s="2">
        <v>181325754000</v>
      </c>
      <c r="G21" s="2">
        <f t="shared" si="0"/>
        <v>181325754</v>
      </c>
      <c r="H21" s="2">
        <v>12352</v>
      </c>
      <c r="I21" s="2">
        <v>58857801</v>
      </c>
      <c r="J21" s="2">
        <v>8192</v>
      </c>
      <c r="K21" s="2">
        <v>8492888</v>
      </c>
      <c r="N21" t="s">
        <v>80</v>
      </c>
      <c r="O21">
        <v>0.85</v>
      </c>
    </row>
    <row r="22" spans="1:15" x14ac:dyDescent="0.15">
      <c r="A22" s="15"/>
      <c r="B22" s="2" t="s">
        <v>42</v>
      </c>
      <c r="C22" s="2">
        <v>45930990</v>
      </c>
      <c r="D22" s="2">
        <v>54326049</v>
      </c>
      <c r="E22" s="2">
        <v>6559820442</v>
      </c>
      <c r="F22" s="2">
        <v>226083970000</v>
      </c>
      <c r="G22" s="2">
        <f t="shared" si="0"/>
        <v>226083970</v>
      </c>
      <c r="H22" s="2">
        <v>12352</v>
      </c>
      <c r="I22" s="2">
        <v>59678836</v>
      </c>
      <c r="J22" s="2">
        <v>8192</v>
      </c>
      <c r="K22" s="2">
        <v>8541013</v>
      </c>
      <c r="N22" t="s">
        <v>117</v>
      </c>
      <c r="O22">
        <v>64</v>
      </c>
    </row>
    <row r="23" spans="1:15" x14ac:dyDescent="0.15">
      <c r="A23" s="15"/>
      <c r="B23" s="2" t="s">
        <v>43</v>
      </c>
      <c r="C23" s="2">
        <v>46615377</v>
      </c>
      <c r="D23" s="2">
        <v>55021156</v>
      </c>
      <c r="E23" s="2">
        <v>6608189892</v>
      </c>
      <c r="F23" s="2">
        <v>263346860000</v>
      </c>
      <c r="G23" s="2">
        <f t="shared" si="0"/>
        <v>263346860</v>
      </c>
      <c r="H23" s="2">
        <v>16512</v>
      </c>
      <c r="I23" s="2">
        <v>60440086</v>
      </c>
      <c r="J23" s="2">
        <v>8192</v>
      </c>
      <c r="K23" s="2">
        <v>8614895</v>
      </c>
      <c r="N23" t="s">
        <v>118</v>
      </c>
      <c r="O23">
        <v>4</v>
      </c>
    </row>
    <row r="24" spans="1:15" x14ac:dyDescent="0.15">
      <c r="A24" s="15"/>
      <c r="B24" s="2" t="s">
        <v>44</v>
      </c>
      <c r="C24" s="2">
        <v>42831189</v>
      </c>
      <c r="D24" s="2">
        <v>51220986</v>
      </c>
      <c r="E24" s="2">
        <v>6127673286</v>
      </c>
      <c r="F24" s="2">
        <v>25268703000</v>
      </c>
      <c r="G24" s="2">
        <f t="shared" si="0"/>
        <v>25268703</v>
      </c>
      <c r="H24" s="2">
        <v>8224</v>
      </c>
      <c r="I24" s="2">
        <v>55929091</v>
      </c>
      <c r="J24" s="2">
        <v>4096</v>
      </c>
      <c r="K24" s="2">
        <v>8285938</v>
      </c>
    </row>
    <row r="25" spans="1:15" x14ac:dyDescent="0.15">
      <c r="A25" s="15"/>
      <c r="B25" s="2" t="s">
        <v>45</v>
      </c>
      <c r="C25" s="2">
        <v>86639944</v>
      </c>
      <c r="D25" s="2">
        <v>96125249</v>
      </c>
      <c r="E25" s="2">
        <v>12486268366</v>
      </c>
      <c r="F25" s="2">
        <v>2775884828000</v>
      </c>
      <c r="G25" s="2">
        <f t="shared" si="0"/>
        <v>2775884828</v>
      </c>
      <c r="H25" s="2"/>
      <c r="I25" s="2">
        <v>116029523</v>
      </c>
      <c r="J25" s="2"/>
      <c r="K25" s="2">
        <v>11221017</v>
      </c>
    </row>
    <row r="26" spans="1:15" x14ac:dyDescent="0.15">
      <c r="A26" s="15" t="s">
        <v>46</v>
      </c>
      <c r="B26" s="2" t="s">
        <v>47</v>
      </c>
      <c r="C26" s="2">
        <v>102434901</v>
      </c>
      <c r="D26" s="2">
        <v>121000093</v>
      </c>
      <c r="E26" s="2">
        <v>14612326012</v>
      </c>
      <c r="F26" s="2">
        <v>617673759000</v>
      </c>
      <c r="G26" s="2">
        <f t="shared" si="0"/>
        <v>617673759</v>
      </c>
      <c r="H26" s="2">
        <v>37056</v>
      </c>
      <c r="I26" s="2">
        <v>132909358</v>
      </c>
      <c r="J26" s="2">
        <v>24576</v>
      </c>
      <c r="K26" s="2">
        <v>19152369</v>
      </c>
    </row>
    <row r="27" spans="1:15" x14ac:dyDescent="0.15">
      <c r="A27" s="15"/>
      <c r="B27" s="2" t="s">
        <v>48</v>
      </c>
      <c r="C27" s="2">
        <v>104008530</v>
      </c>
      <c r="D27" s="2">
        <v>122571622</v>
      </c>
      <c r="E27" s="2">
        <v>14907677510</v>
      </c>
      <c r="F27" s="2">
        <v>719110090000</v>
      </c>
      <c r="G27" s="2">
        <f t="shared" si="0"/>
        <v>719110090</v>
      </c>
      <c r="H27" s="2">
        <v>37056</v>
      </c>
      <c r="I27" s="2">
        <v>134792164</v>
      </c>
      <c r="J27" s="2">
        <v>24576</v>
      </c>
      <c r="K27" s="2">
        <v>19299193</v>
      </c>
    </row>
    <row r="28" spans="1:15" x14ac:dyDescent="0.15">
      <c r="A28" s="15"/>
      <c r="B28" s="2" t="s">
        <v>49</v>
      </c>
      <c r="C28" s="2">
        <v>95171183</v>
      </c>
      <c r="D28" s="2">
        <v>113715285</v>
      </c>
      <c r="E28" s="2">
        <v>13729496082</v>
      </c>
      <c r="F28" s="2">
        <v>166261252000</v>
      </c>
      <c r="G28" s="2">
        <f t="shared" si="0"/>
        <v>166261252</v>
      </c>
      <c r="H28" s="2">
        <v>24672</v>
      </c>
      <c r="I28" s="2">
        <v>124483372</v>
      </c>
      <c r="J28" s="2">
        <v>12288</v>
      </c>
      <c r="K28" s="2">
        <v>18531018</v>
      </c>
    </row>
    <row r="29" spans="1:15" x14ac:dyDescent="0.15">
      <c r="A29" s="15"/>
      <c r="B29" s="2" t="s">
        <v>50</v>
      </c>
      <c r="C29" s="2">
        <v>106284386</v>
      </c>
      <c r="D29" s="2">
        <v>124867093</v>
      </c>
      <c r="E29" s="2">
        <v>15126677040</v>
      </c>
      <c r="F29" s="2">
        <v>863783933000</v>
      </c>
      <c r="G29" s="2">
        <f t="shared" si="0"/>
        <v>863783933</v>
      </c>
      <c r="H29" s="2">
        <v>49536</v>
      </c>
      <c r="I29" s="2">
        <v>137570977</v>
      </c>
      <c r="J29" s="2">
        <v>24576</v>
      </c>
      <c r="K29" s="2">
        <v>19512532</v>
      </c>
    </row>
    <row r="30" spans="1:15" x14ac:dyDescent="0.15">
      <c r="A30" s="15"/>
      <c r="B30" s="2" t="s">
        <v>51</v>
      </c>
      <c r="C30" s="2">
        <v>101770933</v>
      </c>
      <c r="D30" s="2">
        <v>120360217</v>
      </c>
      <c r="E30" s="2">
        <v>14556128150</v>
      </c>
      <c r="F30" s="2">
        <v>589495896000</v>
      </c>
      <c r="G30" s="2">
        <f t="shared" si="0"/>
        <v>589495896</v>
      </c>
      <c r="H30" s="2">
        <v>49536</v>
      </c>
      <c r="I30" s="2">
        <v>132450613</v>
      </c>
      <c r="J30" s="2">
        <v>24576</v>
      </c>
      <c r="K30" s="2">
        <v>19073615</v>
      </c>
    </row>
    <row r="31" spans="1:15" x14ac:dyDescent="0.15">
      <c r="A31" s="15"/>
      <c r="B31" s="2" t="s">
        <v>52</v>
      </c>
      <c r="C31" s="2">
        <v>211980126</v>
      </c>
      <c r="D31" s="2">
        <v>230517615</v>
      </c>
      <c r="E31" s="2">
        <v>31546394194</v>
      </c>
      <c r="F31" s="2">
        <v>8948549808000</v>
      </c>
      <c r="G31" s="2">
        <f t="shared" si="0"/>
        <v>8948549808</v>
      </c>
      <c r="H31" s="2"/>
      <c r="I31" s="2">
        <v>289329670</v>
      </c>
      <c r="J31" s="2"/>
      <c r="K31" s="2">
        <v>24723050</v>
      </c>
    </row>
    <row r="32" spans="1:15" x14ac:dyDescent="0.15">
      <c r="A32" s="15" t="s">
        <v>53</v>
      </c>
      <c r="B32" s="2" t="s">
        <v>54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15">
      <c r="A33" s="15"/>
      <c r="B33" s="2" t="s">
        <v>55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15">
      <c r="A34" s="15"/>
      <c r="B34" s="2" t="s">
        <v>56</v>
      </c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15">
      <c r="A35" s="15"/>
      <c r="B35" s="2" t="s">
        <v>57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15">
      <c r="A36" s="15"/>
      <c r="B36" s="2" t="s">
        <v>58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15">
      <c r="A37" s="15"/>
      <c r="B37" s="2" t="s">
        <v>59</v>
      </c>
      <c r="C37" s="2"/>
      <c r="D37" s="2"/>
      <c r="E37" s="2"/>
      <c r="F37" s="2"/>
      <c r="G37" s="2"/>
      <c r="H37" s="2"/>
      <c r="I37" s="2"/>
      <c r="J37" s="2"/>
      <c r="K37" s="2"/>
    </row>
  </sheetData>
  <mergeCells count="7">
    <mergeCell ref="A26:A31"/>
    <mergeCell ref="A32:A37"/>
    <mergeCell ref="N3:R3"/>
    <mergeCell ref="A2:A7"/>
    <mergeCell ref="A8:A13"/>
    <mergeCell ref="A14:A19"/>
    <mergeCell ref="A20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87AE-A701-A149-9BC0-C4C7D3CA7865}">
  <dimension ref="A1:S145"/>
  <sheetViews>
    <sheetView topLeftCell="A73" workbookViewId="0">
      <selection activeCell="D99" sqref="D99"/>
    </sheetView>
  </sheetViews>
  <sheetFormatPr baseColWidth="10" defaultRowHeight="13" x14ac:dyDescent="0.15"/>
  <cols>
    <col min="1" max="1" width="10.5" bestFit="1" customWidth="1"/>
    <col min="2" max="2" width="38.1640625" bestFit="1" customWidth="1"/>
    <col min="3" max="4" width="10.1640625" bestFit="1" customWidth="1"/>
    <col min="5" max="5" width="12.1640625" bestFit="1" customWidth="1"/>
    <col min="6" max="6" width="12.33203125" bestFit="1" customWidth="1"/>
    <col min="7" max="7" width="12.83203125" bestFit="1" customWidth="1"/>
    <col min="8" max="8" width="10.1640625" bestFit="1" customWidth="1"/>
    <col min="9" max="9" width="12.5" customWidth="1"/>
    <col min="10" max="10" width="9.83203125" bestFit="1" customWidth="1"/>
    <col min="11" max="11" width="10.6640625" bestFit="1" customWidth="1"/>
    <col min="12" max="12" width="11.33203125" bestFit="1" customWidth="1"/>
    <col min="13" max="13" width="10.6640625" bestFit="1" customWidth="1"/>
    <col min="14" max="14" width="12.1640625" style="2" bestFit="1" customWidth="1"/>
    <col min="15" max="15" width="10.6640625" style="2" customWidth="1"/>
    <col min="17" max="17" width="20.83203125" bestFit="1" customWidth="1"/>
    <col min="18" max="18" width="14.83203125" bestFit="1" customWidth="1"/>
    <col min="19" max="19" width="14.33203125" bestFit="1" customWidth="1"/>
  </cols>
  <sheetData>
    <row r="1" spans="1:19" x14ac:dyDescent="0.15">
      <c r="A1" s="1" t="str">
        <f>numbers!A1</f>
        <v>Benchmark</v>
      </c>
      <c r="B1" s="1" t="str">
        <f>numbers!B1</f>
        <v>config</v>
      </c>
      <c r="C1" s="1" t="str">
        <f>numbers!C1</f>
        <v>total_inst</v>
      </c>
      <c r="D1" s="1" t="str">
        <f>numbers!D1</f>
        <v>total_ops</v>
      </c>
      <c r="E1" s="1" t="str">
        <f>numbers!E1</f>
        <v>total_cycles</v>
      </c>
      <c r="F1" s="1" t="str">
        <f>numbers!F1</f>
        <v>kernel_ticks</v>
      </c>
      <c r="G1" s="1" t="str">
        <f>numbers!G1</f>
        <v>kernel_cycles</v>
      </c>
      <c r="H1" s="1" t="str">
        <f>numbers!H1</f>
        <v>cim_writes</v>
      </c>
      <c r="I1" s="1" t="str">
        <f>numbers!I1</f>
        <v>total_reads</v>
      </c>
      <c r="J1" s="1" t="str">
        <f>numbers!J1</f>
        <v>cim_reads</v>
      </c>
      <c r="K1" s="1" t="str">
        <f>numbers!K1</f>
        <v>total_writes</v>
      </c>
      <c r="L1" s="1" t="s">
        <v>60</v>
      </c>
      <c r="M1" s="1" t="s">
        <v>61</v>
      </c>
      <c r="N1" s="1" t="s">
        <v>104</v>
      </c>
      <c r="O1" s="1"/>
      <c r="Q1" s="1"/>
      <c r="R1" s="1"/>
      <c r="S1" s="1"/>
    </row>
    <row r="2" spans="1:19" x14ac:dyDescent="0.15">
      <c r="A2" s="15" t="str">
        <f>numbers!A2</f>
        <v>1mm</v>
      </c>
      <c r="B2" s="3" t="str">
        <f>numbers!B4</f>
        <v>1mm-arm</v>
      </c>
      <c r="C2" s="3">
        <f>numbers!C4</f>
        <v>85053512</v>
      </c>
      <c r="D2" s="3">
        <f>numbers!D4</f>
        <v>94293057</v>
      </c>
      <c r="E2" s="3">
        <f>numbers!E4</f>
        <v>12264842226</v>
      </c>
      <c r="F2" s="3">
        <f>numbers!F4</f>
        <v>2774548915000</v>
      </c>
      <c r="G2" s="3">
        <f>numbers!G4</f>
        <v>2774548915</v>
      </c>
      <c r="H2" s="3">
        <f>numbers!H4</f>
        <v>0</v>
      </c>
      <c r="I2" s="3">
        <f>numbers!I4</f>
        <v>113967699</v>
      </c>
      <c r="J2" s="3">
        <f>numbers!J4</f>
        <v>0</v>
      </c>
      <c r="K2" s="3">
        <f>numbers!K4</f>
        <v>10979353</v>
      </c>
      <c r="L2" s="3">
        <f>H2*numbers!$O$6 + J2*numbers!$O$5</f>
        <v>0</v>
      </c>
      <c r="M2" s="3">
        <f>L2*numbers!$O$11</f>
        <v>0</v>
      </c>
      <c r="N2" s="7">
        <v>7407678189090</v>
      </c>
      <c r="O2" s="3"/>
      <c r="Q2" s="2"/>
      <c r="R2" s="2"/>
      <c r="S2" s="2"/>
    </row>
    <row r="3" spans="1:19" x14ac:dyDescent="0.15">
      <c r="A3" s="15"/>
      <c r="B3" s="3" t="str">
        <f>numbers!B5</f>
        <v>1mm-cim</v>
      </c>
      <c r="C3" s="3">
        <f>numbers!C5</f>
        <v>42649069</v>
      </c>
      <c r="D3" s="3">
        <f>numbers!D5</f>
        <v>51038836</v>
      </c>
      <c r="E3" s="3">
        <f>numbers!E5</f>
        <v>6112165340</v>
      </c>
      <c r="F3" s="3">
        <f>numbers!F5</f>
        <v>13211963000</v>
      </c>
      <c r="G3" s="3">
        <f>numbers!G5</f>
        <v>13211963</v>
      </c>
      <c r="H3" s="3">
        <f>numbers!H5</f>
        <v>8224</v>
      </c>
      <c r="I3" s="3">
        <f>numbers!I5</f>
        <v>55713749</v>
      </c>
      <c r="J3" s="3">
        <f>numbers!J5</f>
        <v>4096</v>
      </c>
      <c r="K3" s="3">
        <f>numbers!K5</f>
        <v>8269513</v>
      </c>
      <c r="L3" s="3">
        <f>stats_raw!H3*numbers!$O$6 + stats_raw!J3*numbers!$O$5</f>
        <v>2.4655999999999997E-2</v>
      </c>
      <c r="M3" s="3">
        <f>L3*numbers!$O$11</f>
        <v>24655999.999999996</v>
      </c>
      <c r="N3" s="7">
        <v>3673751398755</v>
      </c>
      <c r="O3" s="3"/>
      <c r="P3" s="2"/>
      <c r="Q3" s="2"/>
      <c r="R3" s="2"/>
      <c r="S3" s="2"/>
    </row>
    <row r="4" spans="1:19" x14ac:dyDescent="0.15">
      <c r="A4" s="15"/>
      <c r="B4" s="3" t="str">
        <f>numbers!B3</f>
        <v>1mm-cim-min-writes</v>
      </c>
      <c r="C4" s="3">
        <f>numbers!C3</f>
        <v>45130132</v>
      </c>
      <c r="D4" s="3">
        <f>numbers!D3</f>
        <v>53526924</v>
      </c>
      <c r="E4" s="3">
        <f>numbers!E3</f>
        <v>6447143124</v>
      </c>
      <c r="F4" s="3">
        <f>numbers!F3</f>
        <v>169399072000</v>
      </c>
      <c r="G4" s="3">
        <f>numbers!G3</f>
        <v>169399072</v>
      </c>
      <c r="H4" s="3">
        <f>numbers!H3</f>
        <v>12352</v>
      </c>
      <c r="I4" s="3">
        <f>numbers!I3</f>
        <v>58642112</v>
      </c>
      <c r="J4" s="3">
        <f>numbers!J3</f>
        <v>8192</v>
      </c>
      <c r="K4" s="3">
        <f>numbers!K3</f>
        <v>8476478</v>
      </c>
      <c r="L4" s="3">
        <f>H4*numbers!$O$6 + J4*numbers!$O$5</f>
        <v>3.9071999999999996E-2</v>
      </c>
      <c r="M4" s="3">
        <f>L4*numbers!$O$11</f>
        <v>39071999.999999993</v>
      </c>
      <c r="N4" s="7">
        <v>3871483735965</v>
      </c>
      <c r="O4" s="3"/>
      <c r="P4" s="2"/>
      <c r="Q4" s="2"/>
      <c r="R4" s="2"/>
      <c r="S4" s="2"/>
    </row>
    <row r="5" spans="1:19" x14ac:dyDescent="0.15">
      <c r="A5" s="15"/>
      <c r="B5" s="3" t="str">
        <f>numbers!B6</f>
        <v>1mm-cim-opt</v>
      </c>
      <c r="C5" s="3">
        <f>numbers!C6</f>
        <v>45641267</v>
      </c>
      <c r="D5" s="3">
        <f>numbers!D6</f>
        <v>54036309</v>
      </c>
      <c r="E5" s="3">
        <f>numbers!E6</f>
        <v>6501774838</v>
      </c>
      <c r="F5" s="3">
        <f>numbers!F6</f>
        <v>202834174000</v>
      </c>
      <c r="G5" s="3">
        <f>numbers!G6</f>
        <v>202834174</v>
      </c>
      <c r="H5" s="3">
        <f>numbers!H6</f>
        <v>12352</v>
      </c>
      <c r="I5" s="3">
        <f>numbers!I6</f>
        <v>59248280</v>
      </c>
      <c r="J5" s="3">
        <f>numbers!J6</f>
        <v>8192</v>
      </c>
      <c r="K5" s="3">
        <f>numbers!K6</f>
        <v>8524591</v>
      </c>
      <c r="L5" s="3">
        <f>H5*numbers!$O$6 + J5*numbers!$O$5</f>
        <v>3.9071999999999996E-2</v>
      </c>
      <c r="M5" s="3">
        <f>L5*numbers!$O$11</f>
        <v>39071999.999999993</v>
      </c>
      <c r="N5" s="7">
        <v>3903668864880</v>
      </c>
      <c r="O5" s="3"/>
      <c r="P5" s="2"/>
      <c r="Q5" s="2"/>
      <c r="R5" s="2"/>
      <c r="S5" s="2"/>
    </row>
    <row r="6" spans="1:19" x14ac:dyDescent="0.15">
      <c r="A6" s="15"/>
      <c r="B6" s="3" t="str">
        <f>numbers!B2</f>
        <v>1mm-cim-tiled</v>
      </c>
      <c r="C6" s="3">
        <f>numbers!C2</f>
        <v>44853050</v>
      </c>
      <c r="D6" s="3">
        <f>numbers!D2</f>
        <v>53257878</v>
      </c>
      <c r="E6" s="3">
        <f>numbers!E2</f>
        <v>6430106808</v>
      </c>
      <c r="F6" s="3">
        <f>numbers!F2</f>
        <v>155707689000</v>
      </c>
      <c r="G6" s="3">
        <f>numbers!G2</f>
        <v>155707689</v>
      </c>
      <c r="H6" s="3">
        <f>numbers!H2</f>
        <v>16512</v>
      </c>
      <c r="I6" s="3">
        <f>numbers!I2</f>
        <v>58377855</v>
      </c>
      <c r="J6" s="3">
        <f>numbers!J2</f>
        <v>8192</v>
      </c>
      <c r="K6" s="3">
        <f>numbers!K2</f>
        <v>8450221</v>
      </c>
      <c r="L6" s="3">
        <f>H6*numbers!$O$6 + J6*numbers!$O$5</f>
        <v>4.9471999999999995E-2</v>
      </c>
      <c r="M6" s="3">
        <f>L6*numbers!$O$11</f>
        <v>49471999.999999993</v>
      </c>
      <c r="N6" s="7">
        <v>3863569239180</v>
      </c>
      <c r="O6" s="3"/>
      <c r="P6" s="2"/>
      <c r="Q6" s="2"/>
      <c r="R6" s="2"/>
      <c r="S6" s="2"/>
    </row>
    <row r="7" spans="1:19" x14ac:dyDescent="0.15">
      <c r="A7" s="15"/>
      <c r="B7" s="3" t="str">
        <f>numbers!B7</f>
        <v>1mm-cim-unroll</v>
      </c>
      <c r="C7" s="3">
        <f>numbers!C7</f>
        <v>46248533</v>
      </c>
      <c r="D7" s="3">
        <f>numbers!D7</f>
        <v>54652908</v>
      </c>
      <c r="E7" s="3">
        <f>numbers!E7</f>
        <v>6550050526</v>
      </c>
      <c r="F7" s="3">
        <f>numbers!F7</f>
        <v>235135191000</v>
      </c>
      <c r="G7" s="3">
        <f>numbers!G7</f>
        <v>235135191</v>
      </c>
      <c r="H7" s="3">
        <f>numbers!H7</f>
        <v>16512</v>
      </c>
      <c r="I7" s="3">
        <f>numbers!I7</f>
        <v>59860036</v>
      </c>
      <c r="J7" s="3">
        <f>numbers!J7</f>
        <v>8192</v>
      </c>
      <c r="K7" s="3">
        <f>numbers!K7</f>
        <v>8597699</v>
      </c>
      <c r="L7" s="3">
        <f>H7*numbers!$O$6 + J7*numbers!$O$5</f>
        <v>4.9471999999999995E-2</v>
      </c>
      <c r="M7" s="3">
        <f>L7*numbers!$O$11</f>
        <v>49471999.999999993</v>
      </c>
      <c r="N7" s="7">
        <v>3929141535480</v>
      </c>
      <c r="O7" s="3"/>
      <c r="P7" s="2"/>
      <c r="Q7" s="2"/>
      <c r="R7" s="2"/>
      <c r="S7" s="2"/>
    </row>
    <row r="8" spans="1:19" x14ac:dyDescent="0.15">
      <c r="A8" s="15" t="s">
        <v>32</v>
      </c>
      <c r="B8" s="3" t="str">
        <f>numbers!B15</f>
        <v>2mm-arm</v>
      </c>
      <c r="C8" s="3">
        <f>numbers!C15</f>
        <v>152726682</v>
      </c>
      <c r="D8" s="3">
        <f>numbers!D15</f>
        <v>167082952</v>
      </c>
      <c r="E8" s="3">
        <f>numbers!E15</f>
        <v>22415204000</v>
      </c>
      <c r="F8" s="3">
        <f>numbers!F15</f>
        <v>6005174060000</v>
      </c>
      <c r="G8" s="3">
        <f>numbers!G15</f>
        <v>6005174060</v>
      </c>
      <c r="H8" s="3">
        <f>numbers!H15</f>
        <v>0</v>
      </c>
      <c r="I8" s="3">
        <f>numbers!I15</f>
        <v>208604282</v>
      </c>
      <c r="J8" s="3">
        <f>numbers!J15</f>
        <v>0</v>
      </c>
      <c r="K8" s="3">
        <f>numbers!K15</f>
        <v>18164084</v>
      </c>
      <c r="L8" s="3">
        <f>H8*numbers!$O$6 + J8*numbers!$O$5</f>
        <v>0</v>
      </c>
      <c r="M8" s="3">
        <f>L8*numbers!$O$11</f>
        <v>0</v>
      </c>
      <c r="N8" s="7">
        <v>13378403407770</v>
      </c>
      <c r="O8" s="3"/>
      <c r="P8" s="2"/>
      <c r="Q8" s="2"/>
      <c r="R8" s="2"/>
      <c r="S8" s="2"/>
    </row>
    <row r="9" spans="1:19" x14ac:dyDescent="0.15">
      <c r="A9" s="15"/>
      <c r="B9" s="3" t="str">
        <f>numbers!B17</f>
        <v>2mm-cim</v>
      </c>
      <c r="C9" s="3">
        <f>numbers!C17</f>
        <v>69335330</v>
      </c>
      <c r="D9" s="3">
        <f>numbers!D17</f>
        <v>82975061</v>
      </c>
      <c r="E9" s="3">
        <f>numbers!E17</f>
        <v>9946011614</v>
      </c>
      <c r="F9" s="3">
        <f>numbers!F17</f>
        <v>26890776000</v>
      </c>
      <c r="G9" s="3">
        <f>numbers!G17</f>
        <v>26890776</v>
      </c>
      <c r="H9" s="3">
        <f>numbers!H17</f>
        <v>16448</v>
      </c>
      <c r="I9" s="3">
        <f>numbers!I17</f>
        <v>90729916</v>
      </c>
      <c r="J9" s="3">
        <f>numbers!J17</f>
        <v>8192</v>
      </c>
      <c r="K9" s="3">
        <f>numbers!K17</f>
        <v>13535044</v>
      </c>
      <c r="L9" s="3">
        <f>H9*numbers!$O$6 + J9*numbers!$O$5</f>
        <v>4.9311999999999995E-2</v>
      </c>
      <c r="M9" s="3">
        <f>L9*numbers!$O$11</f>
        <v>49311999.999999993</v>
      </c>
      <c r="N9" s="7">
        <v>5979827674545</v>
      </c>
      <c r="O9" s="3"/>
      <c r="P9" s="2"/>
      <c r="Q9" s="2"/>
      <c r="R9" s="2"/>
      <c r="S9" s="2"/>
    </row>
    <row r="10" spans="1:19" x14ac:dyDescent="0.15">
      <c r="A10" s="15"/>
      <c r="B10" s="3" t="str">
        <f>numbers!B19</f>
        <v>2mm-cim-min-writes</v>
      </c>
      <c r="C10" s="3">
        <f>numbers!C19</f>
        <v>74265251</v>
      </c>
      <c r="D10" s="3">
        <f>numbers!D19</f>
        <v>87919027</v>
      </c>
      <c r="E10" s="3">
        <f>numbers!E19</f>
        <v>10598360234</v>
      </c>
      <c r="F10" s="3">
        <f>numbers!F19</f>
        <v>338971111000</v>
      </c>
      <c r="G10" s="3">
        <f>numbers!G19</f>
        <v>338971111</v>
      </c>
      <c r="H10" s="3">
        <f>numbers!H19</f>
        <v>24704</v>
      </c>
      <c r="I10" s="3">
        <f>numbers!I19</f>
        <v>96521657</v>
      </c>
      <c r="J10" s="3">
        <f>numbers!J19</f>
        <v>16384</v>
      </c>
      <c r="K10" s="3">
        <f>numbers!K19</f>
        <v>13949465</v>
      </c>
      <c r="L10" s="3">
        <f>H10*numbers!$O$6 + J10*numbers!$O$5</f>
        <v>7.8143999999999991E-2</v>
      </c>
      <c r="M10" s="3">
        <f>L10*numbers!$O$11</f>
        <v>78143999.999999985</v>
      </c>
      <c r="N10" s="7">
        <v>6366440311695</v>
      </c>
      <c r="O10" s="3"/>
      <c r="P10" s="2"/>
      <c r="Q10" s="2"/>
      <c r="R10" s="2"/>
      <c r="S10" s="2"/>
    </row>
    <row r="11" spans="1:19" x14ac:dyDescent="0.15">
      <c r="A11" s="15"/>
      <c r="B11" s="3" t="str">
        <f>numbers!B18</f>
        <v>2mm-cim-opt</v>
      </c>
      <c r="C11" s="3">
        <f>numbers!C18</f>
        <v>75328021</v>
      </c>
      <c r="D11" s="3">
        <f>numbers!D18</f>
        <v>88979348</v>
      </c>
      <c r="E11" s="3">
        <f>numbers!E18</f>
        <v>10809599152</v>
      </c>
      <c r="F11" s="3">
        <f>numbers!F18</f>
        <v>419817583000</v>
      </c>
      <c r="G11" s="3">
        <f>numbers!G18</f>
        <v>419817583</v>
      </c>
      <c r="H11" s="3">
        <f>numbers!H18</f>
        <v>24704</v>
      </c>
      <c r="I11" s="3">
        <f>numbers!I18</f>
        <v>97810460</v>
      </c>
      <c r="J11" s="3">
        <f>numbers!J18</f>
        <v>16384</v>
      </c>
      <c r="K11" s="3">
        <f>numbers!K18</f>
        <v>14045930</v>
      </c>
      <c r="L11" s="3">
        <f>H11*numbers!$O$6 + J11*numbers!$O$5</f>
        <v>7.8143999999999991E-2</v>
      </c>
      <c r="M11" s="3">
        <f>L11*numbers!$O$11</f>
        <v>78143999.999999985</v>
      </c>
      <c r="N11" s="7">
        <v>6484157308860</v>
      </c>
      <c r="O11" s="3"/>
      <c r="P11" s="2"/>
      <c r="Q11" s="2"/>
      <c r="R11" s="2"/>
      <c r="S11" s="2"/>
    </row>
    <row r="12" spans="1:19" x14ac:dyDescent="0.15">
      <c r="A12" s="15"/>
      <c r="B12" s="3" t="str">
        <f>numbers!B14</f>
        <v>2mm-cim-tiled</v>
      </c>
      <c r="C12" s="3">
        <f>numbers!C14</f>
        <v>73825064</v>
      </c>
      <c r="D12" s="3">
        <f>numbers!D14</f>
        <v>87494912</v>
      </c>
      <c r="E12" s="3">
        <f>numbers!E14</f>
        <v>10564680844</v>
      </c>
      <c r="F12" s="3">
        <f>numbers!F14</f>
        <v>322152934000</v>
      </c>
      <c r="G12" s="3">
        <f>numbers!G14</f>
        <v>322152934</v>
      </c>
      <c r="H12" s="3">
        <f>numbers!H14</f>
        <v>33024</v>
      </c>
      <c r="I12" s="3">
        <f>numbers!I14</f>
        <v>96221674</v>
      </c>
      <c r="J12" s="3">
        <f>numbers!J14</f>
        <v>16384</v>
      </c>
      <c r="K12" s="3">
        <f>numbers!K14</f>
        <v>13896428</v>
      </c>
      <c r="L12" s="3">
        <f>H12*numbers!$O$6 + J12*numbers!$O$5</f>
        <v>9.894399999999999E-2</v>
      </c>
      <c r="M12" s="3">
        <f>L12*numbers!$O$11</f>
        <v>98943999.999999985</v>
      </c>
      <c r="N12" s="7">
        <v>6346810332180</v>
      </c>
      <c r="O12" s="3"/>
      <c r="P12" s="2"/>
      <c r="Q12" s="2"/>
      <c r="R12" s="2"/>
      <c r="S12" s="2"/>
    </row>
    <row r="13" spans="1:19" x14ac:dyDescent="0.15">
      <c r="A13" s="15"/>
      <c r="B13" s="3" t="str">
        <f>numbers!B16</f>
        <v>2mm-cim-unroll</v>
      </c>
      <c r="C13" s="3">
        <f>numbers!C16</f>
        <v>76567374</v>
      </c>
      <c r="D13" s="3">
        <f>numbers!D16</f>
        <v>90233921</v>
      </c>
      <c r="E13" s="3">
        <f>numbers!E16</f>
        <v>10909917198</v>
      </c>
      <c r="F13" s="3">
        <f>numbers!F16</f>
        <v>484811411000</v>
      </c>
      <c r="G13" s="3">
        <f>numbers!G16</f>
        <v>484811411</v>
      </c>
      <c r="H13" s="3">
        <f>numbers!H16</f>
        <v>33024</v>
      </c>
      <c r="I13" s="3">
        <f>numbers!I16</f>
        <v>99097866</v>
      </c>
      <c r="J13" s="3">
        <f>numbers!J16</f>
        <v>16384</v>
      </c>
      <c r="K13" s="3">
        <f>numbers!K16</f>
        <v>14189918</v>
      </c>
      <c r="L13" s="3">
        <f>H13*numbers!$O$6 + J13*numbers!$O$5</f>
        <v>9.894399999999999E-2</v>
      </c>
      <c r="M13" s="3">
        <f>L13*numbers!$O$11</f>
        <v>98943999.999999985</v>
      </c>
      <c r="N13" s="7">
        <v>6537197374200</v>
      </c>
      <c r="O13" s="3"/>
      <c r="P13" s="2"/>
      <c r="Q13" s="2"/>
      <c r="R13" s="2"/>
      <c r="S13" s="2"/>
    </row>
    <row r="14" spans="1:19" x14ac:dyDescent="0.15">
      <c r="A14" s="15" t="s">
        <v>25</v>
      </c>
      <c r="B14" s="3" t="str">
        <f>numbers!B10</f>
        <v>3mm-arm</v>
      </c>
      <c r="C14" s="3">
        <f>numbers!C10</f>
        <v>225994526</v>
      </c>
      <c r="D14" s="3">
        <f>numbers!D10</f>
        <v>246450434</v>
      </c>
      <c r="E14" s="3">
        <f>numbers!E10</f>
        <v>33632554844</v>
      </c>
      <c r="F14" s="3">
        <f>numbers!F10</f>
        <v>9309446310000</v>
      </c>
      <c r="G14" s="3">
        <f>numbers!G10</f>
        <v>9309446310</v>
      </c>
      <c r="H14" s="3">
        <f>numbers!H10</f>
        <v>0</v>
      </c>
      <c r="I14" s="3">
        <f>numbers!I10</f>
        <v>310145607</v>
      </c>
      <c r="J14" s="3">
        <f>numbers!J10</f>
        <v>0</v>
      </c>
      <c r="K14" s="3">
        <f>numbers!K10</f>
        <v>26123009</v>
      </c>
      <c r="L14" s="3">
        <f>H14*numbers!$O$6 + J14*numbers!$O$5</f>
        <v>0</v>
      </c>
      <c r="M14" s="3">
        <f>L14*numbers!$O$11</f>
        <v>0</v>
      </c>
      <c r="N14" s="7">
        <v>20372675470695</v>
      </c>
      <c r="O14" s="3"/>
      <c r="P14" s="2"/>
      <c r="Q14" s="2"/>
      <c r="R14" s="2"/>
      <c r="S14" s="2"/>
    </row>
    <row r="15" spans="1:19" x14ac:dyDescent="0.15">
      <c r="A15" s="15"/>
      <c r="B15" s="3" t="str">
        <f>numbers!B11</f>
        <v>3mm-cim</v>
      </c>
      <c r="C15" s="3">
        <f>numbers!C11</f>
        <v>96053562</v>
      </c>
      <c r="D15" s="3">
        <f>numbers!D11</f>
        <v>114943131</v>
      </c>
      <c r="E15" s="3">
        <f>numbers!E11</f>
        <v>13999100820</v>
      </c>
      <c r="F15" s="3">
        <f>numbers!F11</f>
        <v>43522202000</v>
      </c>
      <c r="G15" s="3">
        <f>numbers!G11</f>
        <v>43522202</v>
      </c>
      <c r="H15" s="3">
        <f>numbers!H11</f>
        <v>24672</v>
      </c>
      <c r="I15" s="3">
        <f>numbers!I11</f>
        <v>125710772</v>
      </c>
      <c r="J15" s="3">
        <f>numbers!J11</f>
        <v>12288</v>
      </c>
      <c r="K15" s="3">
        <f>numbers!K11</f>
        <v>18800498</v>
      </c>
      <c r="L15" s="3">
        <f>H15*numbers!$O$6 + J15*numbers!$O$5</f>
        <v>7.3967999999999992E-2</v>
      </c>
      <c r="M15" s="3">
        <f>L15*numbers!$O$11</f>
        <v>73967999.999999985</v>
      </c>
      <c r="N15" s="7">
        <v>8393418362685</v>
      </c>
      <c r="O15" s="3"/>
      <c r="P15" s="2"/>
      <c r="Q15" s="2"/>
      <c r="R15" s="2"/>
      <c r="S15" s="2"/>
    </row>
    <row r="16" spans="1:19" x14ac:dyDescent="0.15">
      <c r="A16" s="15"/>
      <c r="B16" s="3" t="str">
        <f>numbers!B8</f>
        <v>3mm-cim-min-writes</v>
      </c>
      <c r="C16" s="3">
        <f>numbers!C8</f>
        <v>103381149</v>
      </c>
      <c r="D16" s="3">
        <f>numbers!D8</f>
        <v>122291790</v>
      </c>
      <c r="E16" s="3">
        <f>numbers!E8</f>
        <v>14789170796</v>
      </c>
      <c r="F16" s="3">
        <f>numbers!F8</f>
        <v>497812538000</v>
      </c>
      <c r="G16" s="3">
        <f>numbers!G8</f>
        <v>497812538</v>
      </c>
      <c r="H16" s="3">
        <f>numbers!H8</f>
        <v>37056</v>
      </c>
      <c r="I16" s="3">
        <f>numbers!I8</f>
        <v>134264342</v>
      </c>
      <c r="J16" s="3">
        <f>numbers!J8</f>
        <v>24576</v>
      </c>
      <c r="K16" s="3">
        <f>numbers!K8</f>
        <v>19421864</v>
      </c>
      <c r="L16" s="3">
        <f>H16*numbers!$O$6 + J16*numbers!$O$5</f>
        <v>0.11721599999999999</v>
      </c>
      <c r="M16" s="3">
        <f>L16*numbers!$O$11</f>
        <v>117215999.99999999</v>
      </c>
      <c r="N16" s="7">
        <v>8860854861480</v>
      </c>
      <c r="O16" s="3"/>
      <c r="P16" s="2"/>
      <c r="Q16" s="2"/>
      <c r="R16" s="2"/>
      <c r="S16" s="2"/>
    </row>
    <row r="17" spans="1:19" x14ac:dyDescent="0.15">
      <c r="A17" s="15"/>
      <c r="B17" s="3" t="str">
        <f>numbers!B12</f>
        <v>3mm-cim-opt</v>
      </c>
      <c r="C17" s="3">
        <f>numbers!C12</f>
        <v>105061096</v>
      </c>
      <c r="D17" s="3">
        <f>numbers!D12</f>
        <v>123974485</v>
      </c>
      <c r="E17" s="3">
        <f>numbers!E12</f>
        <v>15045219558</v>
      </c>
      <c r="F17" s="3">
        <f>numbers!F12</f>
        <v>609697282000</v>
      </c>
      <c r="G17" s="3">
        <f>numbers!G12</f>
        <v>609697282</v>
      </c>
      <c r="H17" s="3">
        <f>numbers!H12</f>
        <v>37056</v>
      </c>
      <c r="I17" s="3">
        <f>numbers!I12</f>
        <v>136341593</v>
      </c>
      <c r="J17" s="3">
        <f>numbers!J12</f>
        <v>24576</v>
      </c>
      <c r="K17" s="3">
        <f>numbers!K12</f>
        <v>19571618</v>
      </c>
      <c r="L17" s="3">
        <f>H17*numbers!$O$6 + J17*numbers!$O$5</f>
        <v>0.11721599999999999</v>
      </c>
      <c r="M17" s="3">
        <f>L17*numbers!$O$11</f>
        <v>117215999.99999999</v>
      </c>
      <c r="N17" s="7">
        <v>9057208435140</v>
      </c>
      <c r="O17" s="3"/>
      <c r="P17" s="2"/>
      <c r="Q17" s="2"/>
      <c r="R17" s="2"/>
      <c r="S17" s="2"/>
    </row>
    <row r="18" spans="1:19" x14ac:dyDescent="0.15">
      <c r="A18" s="15"/>
      <c r="B18" s="3" t="str">
        <f>numbers!B13</f>
        <v>3mm-cim-tiled</v>
      </c>
      <c r="C18" s="3">
        <f>numbers!C13</f>
        <v>102698379</v>
      </c>
      <c r="D18" s="3">
        <f>numbers!D13</f>
        <v>121633120</v>
      </c>
      <c r="E18" s="3">
        <f>numbers!E13</f>
        <v>14740992248</v>
      </c>
      <c r="F18" s="3">
        <f>numbers!F13</f>
        <v>470401116000</v>
      </c>
      <c r="G18" s="3">
        <f>numbers!G13</f>
        <v>470401116</v>
      </c>
      <c r="H18" s="3">
        <f>numbers!H13</f>
        <v>49536</v>
      </c>
      <c r="I18" s="3">
        <f>numbers!I13</f>
        <v>133768657</v>
      </c>
      <c r="J18" s="3">
        <f>numbers!J13</f>
        <v>24576</v>
      </c>
      <c r="K18" s="3">
        <f>numbers!K13</f>
        <v>19342571</v>
      </c>
      <c r="L18" s="3">
        <f>H18*numbers!$O$6 + J18*numbers!$O$5</f>
        <v>0.14841599999999999</v>
      </c>
      <c r="M18" s="3">
        <f>L18*numbers!$O$11</f>
        <v>148416000</v>
      </c>
      <c r="N18" s="7">
        <v>8833163364495</v>
      </c>
      <c r="O18" s="3"/>
      <c r="P18" s="2"/>
      <c r="Q18" s="2"/>
      <c r="R18" s="2"/>
      <c r="S18" s="2"/>
    </row>
    <row r="19" spans="1:19" x14ac:dyDescent="0.15">
      <c r="A19" s="15"/>
      <c r="B19" s="3" t="str">
        <f>numbers!B9</f>
        <v>3mm-cim-unroll</v>
      </c>
      <c r="C19" s="3">
        <f>numbers!C9</f>
        <v>107232867</v>
      </c>
      <c r="D19" s="3">
        <f>numbers!D9</f>
        <v>126161499</v>
      </c>
      <c r="E19" s="3">
        <f>numbers!E9</f>
        <v>15445580458</v>
      </c>
      <c r="F19" s="3">
        <f>numbers!F9</f>
        <v>742334439000</v>
      </c>
      <c r="G19" s="3">
        <f>numbers!G9</f>
        <v>742334439</v>
      </c>
      <c r="H19" s="3">
        <f>numbers!H9</f>
        <v>49536</v>
      </c>
      <c r="I19" s="3">
        <f>numbers!I9</f>
        <v>138928423</v>
      </c>
      <c r="J19" s="3">
        <f>numbers!J9</f>
        <v>24576</v>
      </c>
      <c r="K19" s="3">
        <f>numbers!K9</f>
        <v>19782049</v>
      </c>
      <c r="L19" s="3">
        <f>H19*numbers!$O$6 + J19*numbers!$O$5</f>
        <v>0.14841599999999999</v>
      </c>
      <c r="M19" s="3">
        <f>L19*numbers!$O$11</f>
        <v>148416000</v>
      </c>
      <c r="N19" s="7">
        <v>9304507724040</v>
      </c>
      <c r="O19" s="3"/>
      <c r="P19" s="2"/>
      <c r="Q19" s="2"/>
      <c r="R19" s="2"/>
      <c r="S19" s="2"/>
    </row>
    <row r="20" spans="1:19" x14ac:dyDescent="0.15">
      <c r="A20" s="15" t="str">
        <f>numbers!A20</f>
        <v>tmm</v>
      </c>
      <c r="B20" s="3" t="str">
        <f>numbers!B25</f>
        <v>tmm-arm</v>
      </c>
      <c r="C20" s="3">
        <f>numbers!C25</f>
        <v>86639944</v>
      </c>
      <c r="D20" s="3">
        <f>numbers!D25</f>
        <v>96125249</v>
      </c>
      <c r="E20" s="3">
        <f>numbers!E25</f>
        <v>12486268366</v>
      </c>
      <c r="F20" s="3">
        <f>numbers!F25</f>
        <v>2775884828000</v>
      </c>
      <c r="G20" s="3">
        <f>numbers!G25</f>
        <v>2775884828</v>
      </c>
      <c r="H20" s="3">
        <f>numbers!H25</f>
        <v>0</v>
      </c>
      <c r="I20" s="3">
        <f>numbers!I25</f>
        <v>116029523</v>
      </c>
      <c r="J20" s="3">
        <f>numbers!J25</f>
        <v>0</v>
      </c>
      <c r="K20" s="3">
        <f>numbers!K25</f>
        <v>11221017</v>
      </c>
      <c r="L20" s="3">
        <f>H20*numbers!$O$6 + J20*numbers!$O$5</f>
        <v>0</v>
      </c>
      <c r="M20" s="3">
        <f>L20*numbers!$O$11</f>
        <v>0</v>
      </c>
      <c r="N20" s="7">
        <v>7540559607765</v>
      </c>
      <c r="O20" s="3"/>
      <c r="P20" s="2"/>
      <c r="Q20" s="2"/>
      <c r="R20" s="2"/>
      <c r="S20" s="2"/>
    </row>
    <row r="21" spans="1:19" x14ac:dyDescent="0.15">
      <c r="A21" s="15"/>
      <c r="B21" s="3" t="str">
        <f>numbers!B24</f>
        <v>tmm-cim</v>
      </c>
      <c r="C21" s="3">
        <f>numbers!C24</f>
        <v>42831189</v>
      </c>
      <c r="D21" s="3">
        <f>numbers!D24</f>
        <v>51220986</v>
      </c>
      <c r="E21" s="3">
        <f>numbers!E24</f>
        <v>6127673286</v>
      </c>
      <c r="F21" s="3">
        <f>numbers!F24</f>
        <v>25268703000</v>
      </c>
      <c r="G21" s="3">
        <f>numbers!G24</f>
        <v>25268703</v>
      </c>
      <c r="H21" s="3">
        <f>numbers!H24</f>
        <v>8224</v>
      </c>
      <c r="I21" s="3">
        <f>numbers!I24</f>
        <v>55929091</v>
      </c>
      <c r="J21" s="3">
        <f>numbers!J24</f>
        <v>4096</v>
      </c>
      <c r="K21" s="3">
        <f>numbers!K24</f>
        <v>8285938</v>
      </c>
      <c r="L21" s="3">
        <f>H21*numbers!$O$6 + J21*numbers!$O$5</f>
        <v>2.4655999999999997E-2</v>
      </c>
      <c r="M21" s="3">
        <f>L21*numbers!$O$11</f>
        <v>24655999.999999996</v>
      </c>
      <c r="N21" s="7">
        <v>3683853695220</v>
      </c>
      <c r="O21" s="3"/>
      <c r="P21" s="2"/>
      <c r="Q21" s="2"/>
      <c r="R21" s="2"/>
      <c r="S21" s="2"/>
    </row>
    <row r="22" spans="1:19" x14ac:dyDescent="0.15">
      <c r="A22" s="15"/>
      <c r="B22" s="3" t="str">
        <f>numbers!B21</f>
        <v>tmm-cim-min-writes</v>
      </c>
      <c r="C22" s="3">
        <f>numbers!C21</f>
        <v>45312419</v>
      </c>
      <c r="D22" s="3">
        <f>numbers!D21</f>
        <v>53709260</v>
      </c>
      <c r="E22" s="3">
        <f>numbers!E21</f>
        <v>6452853990</v>
      </c>
      <c r="F22" s="3">
        <f>numbers!F21</f>
        <v>181325754000</v>
      </c>
      <c r="G22" s="3">
        <f>numbers!G21</f>
        <v>181325754</v>
      </c>
      <c r="H22" s="3">
        <f>numbers!H21</f>
        <v>12352</v>
      </c>
      <c r="I22" s="3">
        <f>numbers!I21</f>
        <v>58857801</v>
      </c>
      <c r="J22" s="3">
        <f>numbers!J21</f>
        <v>8192</v>
      </c>
      <c r="K22" s="3">
        <f>numbers!K21</f>
        <v>8492888</v>
      </c>
      <c r="L22" s="3">
        <f>H22*numbers!$O$6 + J22*numbers!$O$5</f>
        <v>3.9071999999999996E-2</v>
      </c>
      <c r="M22" s="3">
        <f>L22*numbers!$O$11</f>
        <v>39071999.999999993</v>
      </c>
      <c r="N22" s="7">
        <v>3877630052565</v>
      </c>
      <c r="O22" s="3"/>
      <c r="P22" s="2"/>
      <c r="Q22" s="2"/>
      <c r="R22" s="2"/>
      <c r="S22" s="2"/>
    </row>
    <row r="23" spans="1:19" x14ac:dyDescent="0.15">
      <c r="A23" s="15"/>
      <c r="B23" s="3" t="str">
        <f>numbers!B22</f>
        <v>tmm-cim-opt</v>
      </c>
      <c r="C23" s="3">
        <f>numbers!C22</f>
        <v>45930990</v>
      </c>
      <c r="D23" s="3">
        <f>numbers!D22</f>
        <v>54326049</v>
      </c>
      <c r="E23" s="3">
        <f>numbers!E22</f>
        <v>6559820442</v>
      </c>
      <c r="F23" s="3">
        <f>numbers!F22</f>
        <v>226083970000</v>
      </c>
      <c r="G23" s="3">
        <f>numbers!G22</f>
        <v>226083970</v>
      </c>
      <c r="H23" s="3">
        <f>numbers!H22</f>
        <v>12352</v>
      </c>
      <c r="I23" s="3">
        <f>numbers!I22</f>
        <v>59678836</v>
      </c>
      <c r="J23" s="3">
        <f>numbers!J22</f>
        <v>8192</v>
      </c>
      <c r="K23" s="3">
        <f>numbers!K22</f>
        <v>8541013</v>
      </c>
      <c r="L23" s="3">
        <f>H23*numbers!$O$6 + J23*numbers!$O$5</f>
        <v>3.9071999999999996E-2</v>
      </c>
      <c r="M23" s="3">
        <f>L23*numbers!$O$11</f>
        <v>39071999.999999993</v>
      </c>
      <c r="N23" s="7">
        <v>3938408349945</v>
      </c>
      <c r="O23" s="3"/>
      <c r="P23" s="2"/>
      <c r="Q23" s="2"/>
      <c r="R23" s="2"/>
      <c r="S23" s="2"/>
    </row>
    <row r="24" spans="1:19" x14ac:dyDescent="0.15">
      <c r="A24" s="15"/>
      <c r="B24" s="3" t="str">
        <f>numbers!B20</f>
        <v>tmm-cim-tiled</v>
      </c>
      <c r="C24" s="3">
        <f>numbers!C20</f>
        <v>45068470</v>
      </c>
      <c r="D24" s="3">
        <f>numbers!D20</f>
        <v>53473339</v>
      </c>
      <c r="E24" s="3">
        <f>numbers!E20</f>
        <v>6415606724</v>
      </c>
      <c r="F24" s="3">
        <f>numbers!F20</f>
        <v>170648049000</v>
      </c>
      <c r="G24" s="3">
        <f>numbers!G20</f>
        <v>170648049</v>
      </c>
      <c r="H24" s="3">
        <f>numbers!H20</f>
        <v>16512</v>
      </c>
      <c r="I24" s="3">
        <f>numbers!I20</f>
        <v>58659365</v>
      </c>
      <c r="J24" s="3">
        <f>numbers!J20</f>
        <v>8192</v>
      </c>
      <c r="K24" s="3">
        <f>numbers!K20</f>
        <v>8467147</v>
      </c>
      <c r="L24" s="3">
        <f>H24*numbers!$O$6 + J24*numbers!$O$5</f>
        <v>4.9471999999999995E-2</v>
      </c>
      <c r="M24" s="3">
        <f>L24*numbers!$O$11</f>
        <v>49471999.999999993</v>
      </c>
      <c r="N24" s="7">
        <v>3853191891780</v>
      </c>
      <c r="O24" s="3"/>
      <c r="P24" s="2"/>
      <c r="Q24" s="2"/>
      <c r="R24" s="2"/>
      <c r="S24" s="2"/>
    </row>
    <row r="25" spans="1:19" x14ac:dyDescent="0.15">
      <c r="A25" s="15"/>
      <c r="B25" s="3" t="str">
        <f>numbers!B23</f>
        <v>tmm-cim-unroll</v>
      </c>
      <c r="C25" s="3">
        <f>numbers!C23</f>
        <v>46615377</v>
      </c>
      <c r="D25" s="3">
        <f>numbers!D23</f>
        <v>55021156</v>
      </c>
      <c r="E25" s="3">
        <f>numbers!E23</f>
        <v>6608189892</v>
      </c>
      <c r="F25" s="3">
        <f>numbers!F23</f>
        <v>263346860000</v>
      </c>
      <c r="G25" s="3">
        <f>numbers!G23</f>
        <v>263346860</v>
      </c>
      <c r="H25" s="3">
        <f>numbers!H23</f>
        <v>16512</v>
      </c>
      <c r="I25" s="3">
        <f>numbers!I23</f>
        <v>60440086</v>
      </c>
      <c r="J25" s="3">
        <f>numbers!J23</f>
        <v>8192</v>
      </c>
      <c r="K25" s="3">
        <f>numbers!K23</f>
        <v>8614895</v>
      </c>
      <c r="L25" s="3">
        <f>H25*numbers!$O$6 + J25*numbers!$O$5</f>
        <v>4.9471999999999995E-2</v>
      </c>
      <c r="M25" s="3">
        <f>L25*numbers!$O$11</f>
        <v>49471999.999999993</v>
      </c>
      <c r="N25" s="7">
        <v>3963629981955</v>
      </c>
      <c r="O25" s="3"/>
      <c r="P25" s="2"/>
      <c r="Q25" s="2"/>
      <c r="R25" s="2"/>
      <c r="S25" s="2"/>
    </row>
    <row r="26" spans="1:19" x14ac:dyDescent="0.15">
      <c r="A26" s="15" t="str">
        <f>numbers!A26</f>
        <v>mlp3</v>
      </c>
      <c r="B26" s="3" t="str">
        <f>numbers!B31</f>
        <v>mlp3-arm</v>
      </c>
      <c r="C26" s="3">
        <f>numbers!C31</f>
        <v>211980126</v>
      </c>
      <c r="D26" s="3">
        <f>numbers!D31</f>
        <v>230517615</v>
      </c>
      <c r="E26" s="3">
        <f>numbers!E31</f>
        <v>31546394194</v>
      </c>
      <c r="F26" s="3">
        <f>numbers!F31</f>
        <v>8948549808000</v>
      </c>
      <c r="G26" s="3">
        <f>numbers!G31</f>
        <v>8948549808</v>
      </c>
      <c r="H26" s="3">
        <f>numbers!H31</f>
        <v>0</v>
      </c>
      <c r="I26" s="3">
        <f>numbers!I31</f>
        <v>289329670</v>
      </c>
      <c r="J26" s="3">
        <f>numbers!J31</f>
        <v>0</v>
      </c>
      <c r="K26" s="3">
        <f>numbers!K31</f>
        <v>24723050</v>
      </c>
      <c r="L26" s="3">
        <f>H26*numbers!$O$6 + J26*numbers!$O$5</f>
        <v>0</v>
      </c>
      <c r="M26" s="3">
        <f>L26*numbers!$O$11</f>
        <v>0</v>
      </c>
      <c r="N26" s="7">
        <v>19127503146480</v>
      </c>
      <c r="O26" s="3"/>
      <c r="P26" s="2"/>
      <c r="Q26" s="2"/>
      <c r="R26" s="2"/>
      <c r="S26" s="2"/>
    </row>
    <row r="27" spans="1:19" x14ac:dyDescent="0.15">
      <c r="A27" s="15"/>
      <c r="B27" s="3" t="str">
        <f>numbers!B28</f>
        <v>mlp3-cim</v>
      </c>
      <c r="C27" s="3">
        <f>numbers!C28</f>
        <v>95171183</v>
      </c>
      <c r="D27" s="3">
        <f>numbers!D28</f>
        <v>113715285</v>
      </c>
      <c r="E27" s="3">
        <f>numbers!E28</f>
        <v>13729496082</v>
      </c>
      <c r="F27" s="3">
        <f>numbers!F28</f>
        <v>166261252000</v>
      </c>
      <c r="G27" s="3">
        <f>numbers!G28</f>
        <v>166261252</v>
      </c>
      <c r="H27" s="3">
        <f>numbers!H28</f>
        <v>24672</v>
      </c>
      <c r="I27" s="3">
        <f>numbers!I28</f>
        <v>124483372</v>
      </c>
      <c r="J27" s="3">
        <f>numbers!J28</f>
        <v>12288</v>
      </c>
      <c r="K27" s="3">
        <f>numbers!K28</f>
        <v>18531018</v>
      </c>
      <c r="L27" s="3">
        <f>H27*numbers!$O$6 + J27*numbers!$O$5</f>
        <v>7.3967999999999992E-2</v>
      </c>
      <c r="M27" s="3">
        <f>L27*numbers!$O$11</f>
        <v>73967999.999999985</v>
      </c>
      <c r="N27" s="7">
        <v>8227855955940</v>
      </c>
      <c r="O27" s="3"/>
      <c r="P27" s="2"/>
      <c r="Q27" s="2"/>
      <c r="R27" s="2"/>
      <c r="S27" s="2"/>
    </row>
    <row r="28" spans="1:19" x14ac:dyDescent="0.15">
      <c r="A28" s="15"/>
      <c r="B28" s="3" t="str">
        <f>numbers!B26</f>
        <v>mlp3-cim-min-writes</v>
      </c>
      <c r="C28" s="3">
        <f>numbers!C26</f>
        <v>102434901</v>
      </c>
      <c r="D28" s="3">
        <f>numbers!D26</f>
        <v>121000093</v>
      </c>
      <c r="E28" s="3">
        <f>numbers!E26</f>
        <v>14612326012</v>
      </c>
      <c r="F28" s="3">
        <f>numbers!F26</f>
        <v>617673759000</v>
      </c>
      <c r="G28" s="3">
        <f>numbers!G26</f>
        <v>617673759</v>
      </c>
      <c r="H28" s="3">
        <f>numbers!H26</f>
        <v>37056</v>
      </c>
      <c r="I28" s="3">
        <f>numbers!I26</f>
        <v>132909358</v>
      </c>
      <c r="J28" s="3">
        <f>numbers!J26</f>
        <v>24576</v>
      </c>
      <c r="K28" s="3">
        <f>numbers!K26</f>
        <v>19152369</v>
      </c>
      <c r="L28" s="3">
        <f>H28*numbers!$O$6 + J28*numbers!$O$5</f>
        <v>0.11721599999999999</v>
      </c>
      <c r="M28" s="3">
        <f>L28*numbers!$O$11</f>
        <v>117215999.99999999</v>
      </c>
      <c r="N28" s="7">
        <v>8759377131135</v>
      </c>
      <c r="O28" s="3"/>
      <c r="P28" s="2"/>
      <c r="Q28" s="2"/>
      <c r="R28" s="2"/>
      <c r="S28" s="2"/>
    </row>
    <row r="29" spans="1:19" x14ac:dyDescent="0.15">
      <c r="A29" s="15"/>
      <c r="B29" s="3" t="str">
        <f>numbers!B27</f>
        <v>mlp3-cim-opt</v>
      </c>
      <c r="C29" s="3">
        <f>numbers!C27</f>
        <v>104008530</v>
      </c>
      <c r="D29" s="3">
        <f>numbers!D27</f>
        <v>122571622</v>
      </c>
      <c r="E29" s="3">
        <f>numbers!E27</f>
        <v>14907677510</v>
      </c>
      <c r="F29" s="3">
        <f>numbers!F27</f>
        <v>719110090000</v>
      </c>
      <c r="G29" s="3">
        <f>numbers!G27</f>
        <v>719110090</v>
      </c>
      <c r="H29" s="3">
        <f>numbers!H27</f>
        <v>37056</v>
      </c>
      <c r="I29" s="3">
        <f>numbers!I27</f>
        <v>134792164</v>
      </c>
      <c r="J29" s="3">
        <f>numbers!J27</f>
        <v>24576</v>
      </c>
      <c r="K29" s="3">
        <f>numbers!K27</f>
        <v>19299193</v>
      </c>
      <c r="L29" s="3">
        <f>H29*numbers!$O$6 + J29*numbers!$O$5</f>
        <v>0.11721599999999999</v>
      </c>
      <c r="M29" s="3">
        <f>L29*numbers!$O$11</f>
        <v>117215999.99999999</v>
      </c>
      <c r="N29" s="7">
        <v>8974466426685</v>
      </c>
      <c r="O29" s="3"/>
      <c r="P29" s="2"/>
      <c r="Q29" s="2"/>
      <c r="R29" s="2"/>
      <c r="S29" s="2"/>
    </row>
    <row r="30" spans="1:19" x14ac:dyDescent="0.15">
      <c r="A30" s="15"/>
      <c r="B30" s="3" t="str">
        <f>numbers!B30</f>
        <v>mlp3-cim-tiled</v>
      </c>
      <c r="C30" s="3">
        <f>numbers!C30</f>
        <v>101770933</v>
      </c>
      <c r="D30" s="3">
        <f>numbers!D30</f>
        <v>120360217</v>
      </c>
      <c r="E30" s="3">
        <f>numbers!E30</f>
        <v>14556128150</v>
      </c>
      <c r="F30" s="3">
        <f>numbers!F30</f>
        <v>589495896000</v>
      </c>
      <c r="G30" s="3">
        <f>numbers!G30</f>
        <v>589495896</v>
      </c>
      <c r="H30" s="3">
        <f>numbers!H30</f>
        <v>49536</v>
      </c>
      <c r="I30" s="3">
        <f>numbers!I30</f>
        <v>132450613</v>
      </c>
      <c r="J30" s="3">
        <f>numbers!J30</f>
        <v>24576</v>
      </c>
      <c r="K30" s="3">
        <f>numbers!K30</f>
        <v>19073615</v>
      </c>
      <c r="L30" s="3">
        <f>H30*numbers!$O$6 + J30*numbers!$O$5</f>
        <v>0.14841599999999999</v>
      </c>
      <c r="M30" s="3">
        <f>L30*numbers!$O$11</f>
        <v>148416000</v>
      </c>
      <c r="N30" s="7">
        <v>8729715462870</v>
      </c>
      <c r="O30" s="3"/>
      <c r="P30" s="2"/>
      <c r="Q30" s="2"/>
      <c r="R30" s="2"/>
      <c r="S30" s="2"/>
    </row>
    <row r="31" spans="1:19" x14ac:dyDescent="0.15">
      <c r="A31" s="15"/>
      <c r="B31" s="3" t="str">
        <f>numbers!B29</f>
        <v>mlp3-cim-unroll</v>
      </c>
      <c r="C31" s="3">
        <f>numbers!C29</f>
        <v>106284386</v>
      </c>
      <c r="D31" s="3">
        <f>numbers!D29</f>
        <v>124867093</v>
      </c>
      <c r="E31" s="3">
        <f>numbers!E29</f>
        <v>15126677040</v>
      </c>
      <c r="F31" s="3">
        <f>numbers!F29</f>
        <v>863783933000</v>
      </c>
      <c r="G31" s="3">
        <f>numbers!G29</f>
        <v>863783933</v>
      </c>
      <c r="H31" s="3">
        <f>numbers!H29</f>
        <v>49536</v>
      </c>
      <c r="I31" s="3">
        <f>numbers!I29</f>
        <v>137570977</v>
      </c>
      <c r="J31" s="3">
        <f>numbers!J29</f>
        <v>24576</v>
      </c>
      <c r="K31" s="3">
        <f>numbers!K29</f>
        <v>19512532</v>
      </c>
      <c r="L31" s="3">
        <f>H31*numbers!$O$6 + J31*numbers!$O$5</f>
        <v>0.14841599999999999</v>
      </c>
      <c r="M31" s="3">
        <f>L31*numbers!$O$11</f>
        <v>148416000</v>
      </c>
      <c r="N31" s="7">
        <v>9097535488380</v>
      </c>
      <c r="O31" s="3"/>
      <c r="P31" s="2"/>
      <c r="Q31" s="2"/>
      <c r="R31" s="2"/>
      <c r="S31" s="2"/>
    </row>
    <row r="32" spans="1:19" x14ac:dyDescent="0.15">
      <c r="A32" s="17" t="s">
        <v>127</v>
      </c>
      <c r="B32" s="2" t="s">
        <v>97</v>
      </c>
      <c r="C32" s="7">
        <v>222164</v>
      </c>
      <c r="D32" s="7">
        <v>235822</v>
      </c>
      <c r="E32" s="7">
        <v>30822920</v>
      </c>
      <c r="F32" s="7">
        <v>7618950000</v>
      </c>
      <c r="G32" s="7">
        <f t="shared" ref="G32:G40" si="0">F32/1000</f>
        <v>7618950</v>
      </c>
      <c r="H32" s="7">
        <v>0</v>
      </c>
      <c r="I32" s="7">
        <v>288775</v>
      </c>
      <c r="J32" s="7">
        <v>0</v>
      </c>
      <c r="K32" s="7">
        <v>24918</v>
      </c>
      <c r="L32" s="3">
        <f>H32*numbers!$O$6 + J32*numbers!$O$5</f>
        <v>0</v>
      </c>
      <c r="M32" s="3">
        <f>L32*numbers!$O$11</f>
        <v>0</v>
      </c>
      <c r="N32" s="7">
        <v>18458584830</v>
      </c>
      <c r="O32" s="3"/>
      <c r="P32" s="2"/>
      <c r="Q32" s="2"/>
      <c r="R32" s="2"/>
      <c r="S32" s="2"/>
    </row>
    <row r="33" spans="1:19" x14ac:dyDescent="0.15">
      <c r="A33" s="17"/>
      <c r="B33" s="2" t="s">
        <v>95</v>
      </c>
      <c r="C33" s="7">
        <v>165133</v>
      </c>
      <c r="D33" s="7">
        <v>180477</v>
      </c>
      <c r="E33" s="7">
        <v>22346122</v>
      </c>
      <c r="F33" s="7">
        <v>3383448000</v>
      </c>
      <c r="G33" s="7">
        <f t="shared" si="0"/>
        <v>3383448</v>
      </c>
      <c r="H33" s="7">
        <v>272</v>
      </c>
      <c r="I33" s="7">
        <v>203774</v>
      </c>
      <c r="J33" s="7">
        <v>134</v>
      </c>
      <c r="K33" s="7">
        <v>24496</v>
      </c>
      <c r="L33" s="3">
        <f>H33*numbers!$O$6 + J33*numbers!$O$5</f>
        <v>8.1399999999999994E-4</v>
      </c>
      <c r="M33" s="3">
        <f>L33*numbers!$O$11</f>
        <v>814000</v>
      </c>
      <c r="N33" s="7">
        <v>13292443125</v>
      </c>
      <c r="O33" s="3"/>
      <c r="P33" s="2"/>
      <c r="Q33" s="2"/>
      <c r="R33" s="2"/>
      <c r="S33" s="2"/>
    </row>
    <row r="34" spans="1:19" x14ac:dyDescent="0.15">
      <c r="A34" s="17"/>
      <c r="B34" s="2" t="s">
        <v>94</v>
      </c>
      <c r="C34" s="7">
        <v>210472</v>
      </c>
      <c r="D34" s="7">
        <v>226367</v>
      </c>
      <c r="E34" s="7">
        <v>28171620</v>
      </c>
      <c r="F34" s="7">
        <v>6290241000</v>
      </c>
      <c r="G34" s="7">
        <f t="shared" si="0"/>
        <v>6290241</v>
      </c>
      <c r="H34" s="7">
        <v>271</v>
      </c>
      <c r="I34" s="7">
        <v>258945</v>
      </c>
      <c r="J34" s="7">
        <v>134</v>
      </c>
      <c r="K34" s="7">
        <v>27439</v>
      </c>
      <c r="L34" s="3">
        <f>H34*numbers!$O$6 + J34*numbers!$O$5</f>
        <v>8.1149999999999994E-4</v>
      </c>
      <c r="M34" s="3">
        <f>L34*numbers!$O$11</f>
        <v>811499.99999999988</v>
      </c>
      <c r="N34" s="7">
        <v>16848367485</v>
      </c>
      <c r="O34" s="3"/>
      <c r="P34" s="2"/>
      <c r="Q34" s="2"/>
      <c r="R34" s="2"/>
      <c r="S34" s="2"/>
    </row>
    <row r="35" spans="1:19" x14ac:dyDescent="0.15">
      <c r="A35" s="17"/>
      <c r="B35" s="2" t="s">
        <v>93</v>
      </c>
      <c r="C35" s="7">
        <v>210472</v>
      </c>
      <c r="D35" s="7">
        <v>226367</v>
      </c>
      <c r="E35" s="7">
        <v>28171620</v>
      </c>
      <c r="F35" s="7">
        <v>6290241000</v>
      </c>
      <c r="G35" s="7">
        <f t="shared" si="0"/>
        <v>6290241</v>
      </c>
      <c r="H35" s="7">
        <v>271</v>
      </c>
      <c r="I35" s="7">
        <v>258945</v>
      </c>
      <c r="J35" s="7">
        <v>134</v>
      </c>
      <c r="K35" s="7">
        <v>27439</v>
      </c>
      <c r="L35" s="3">
        <f>H35*numbers!$O$6 + J35*numbers!$O$5</f>
        <v>8.1149999999999994E-4</v>
      </c>
      <c r="M35" s="3">
        <f>L35*numbers!$O$11</f>
        <v>811499.99999999988</v>
      </c>
      <c r="N35" s="7">
        <v>16848367485</v>
      </c>
      <c r="O35" s="3"/>
      <c r="P35" s="2"/>
      <c r="Q35" s="2"/>
      <c r="R35" s="2"/>
      <c r="S35" s="2"/>
    </row>
    <row r="36" spans="1:19" x14ac:dyDescent="0.15">
      <c r="A36" s="17"/>
      <c r="B36" s="2" t="s">
        <v>92</v>
      </c>
      <c r="C36" s="7">
        <v>217574</v>
      </c>
      <c r="D36" s="7">
        <v>234735</v>
      </c>
      <c r="E36" s="7">
        <v>29202694</v>
      </c>
      <c r="F36" s="7">
        <v>6806118000</v>
      </c>
      <c r="G36" s="7">
        <f t="shared" si="0"/>
        <v>6806118</v>
      </c>
      <c r="H36" s="7">
        <v>278</v>
      </c>
      <c r="I36" s="7">
        <v>268142</v>
      </c>
      <c r="J36" s="7">
        <v>134</v>
      </c>
      <c r="K36" s="7">
        <v>28516</v>
      </c>
      <c r="L36" s="3">
        <f>H36*numbers!$O$6 + J36*numbers!$O$5</f>
        <v>8.2899999999999998E-4</v>
      </c>
      <c r="M36" s="3">
        <f>L36*numbers!$O$11</f>
        <v>829000</v>
      </c>
      <c r="N36" s="7">
        <v>17427812355</v>
      </c>
      <c r="O36" s="3"/>
      <c r="P36" s="2"/>
      <c r="Q36" s="2"/>
      <c r="R36" s="2"/>
      <c r="S36" s="2"/>
    </row>
    <row r="37" spans="1:19" x14ac:dyDescent="0.15">
      <c r="A37" s="17"/>
      <c r="B37" s="2" t="s">
        <v>96</v>
      </c>
      <c r="C37" s="7">
        <v>217574</v>
      </c>
      <c r="D37" s="7">
        <v>234735</v>
      </c>
      <c r="E37" s="7">
        <v>29202694</v>
      </c>
      <c r="F37" s="7">
        <v>6806118000</v>
      </c>
      <c r="G37" s="7">
        <f t="shared" si="0"/>
        <v>6806118</v>
      </c>
      <c r="H37" s="7">
        <v>278</v>
      </c>
      <c r="I37" s="7">
        <v>268142</v>
      </c>
      <c r="J37" s="7">
        <v>134</v>
      </c>
      <c r="K37" s="7">
        <v>28516</v>
      </c>
      <c r="L37" s="3">
        <f>H37*numbers!$O$6 + J37*numbers!$O$5</f>
        <v>8.2899999999999998E-4</v>
      </c>
      <c r="M37" s="3">
        <f>L37*numbers!$O$11</f>
        <v>829000</v>
      </c>
      <c r="N37" s="7">
        <v>17427812355</v>
      </c>
      <c r="O37" s="3"/>
      <c r="P37" s="2"/>
      <c r="Q37" s="2"/>
      <c r="R37" s="2"/>
      <c r="S37" s="2"/>
    </row>
    <row r="38" spans="1:19" x14ac:dyDescent="0.15">
      <c r="A38" s="17" t="s">
        <v>128</v>
      </c>
      <c r="B38" s="2" t="s">
        <v>91</v>
      </c>
      <c r="C38" s="7">
        <v>31726105</v>
      </c>
      <c r="D38" s="7">
        <v>31740362</v>
      </c>
      <c r="E38" s="7">
        <v>4635383800</v>
      </c>
      <c r="F38" s="7">
        <v>2142591430000</v>
      </c>
      <c r="G38" s="7">
        <f t="shared" si="0"/>
        <v>2142591430</v>
      </c>
      <c r="H38" s="7">
        <v>0</v>
      </c>
      <c r="I38" s="7">
        <v>44774891</v>
      </c>
      <c r="J38" s="7">
        <v>0</v>
      </c>
      <c r="K38" s="7">
        <v>931952</v>
      </c>
      <c r="L38" s="3">
        <f>H38*numbers!$O$6 + J38*numbers!$O$5</f>
        <v>0</v>
      </c>
      <c r="M38" s="3">
        <f>L38*numbers!$O$11</f>
        <v>0</v>
      </c>
      <c r="N38" s="7">
        <v>2827410906900</v>
      </c>
      <c r="P38" s="2"/>
      <c r="Q38" s="2"/>
    </row>
    <row r="39" spans="1:19" x14ac:dyDescent="0.15">
      <c r="A39" s="17"/>
      <c r="B39" s="2" t="s">
        <v>86</v>
      </c>
      <c r="C39" s="7">
        <v>14954780</v>
      </c>
      <c r="D39" s="7">
        <v>14970807</v>
      </c>
      <c r="E39" s="7">
        <v>1989098866</v>
      </c>
      <c r="F39" s="7">
        <v>819527054000</v>
      </c>
      <c r="G39" s="7">
        <f t="shared" si="0"/>
        <v>819527054</v>
      </c>
      <c r="H39" s="7">
        <v>49166</v>
      </c>
      <c r="I39" s="7">
        <v>19184704</v>
      </c>
      <c r="J39" s="7">
        <v>17152</v>
      </c>
      <c r="K39" s="7">
        <v>746049</v>
      </c>
      <c r="L39" s="3">
        <f>H39*numbers!$O$6 + J39*numbers!$O$5</f>
        <v>0.140067</v>
      </c>
      <c r="M39" s="3">
        <f>L39*numbers!$O$11</f>
        <v>140067000</v>
      </c>
      <c r="N39" s="7">
        <v>1206898438710</v>
      </c>
      <c r="P39" s="2"/>
      <c r="Q39" s="2"/>
    </row>
    <row r="40" spans="1:19" x14ac:dyDescent="0.15">
      <c r="A40" s="17"/>
      <c r="B40" s="2" t="s">
        <v>88</v>
      </c>
      <c r="C40" s="7">
        <v>22222688</v>
      </c>
      <c r="D40" s="7">
        <v>22355606</v>
      </c>
      <c r="E40" s="7">
        <v>2965815914</v>
      </c>
      <c r="F40" s="7">
        <v>1307771288000</v>
      </c>
      <c r="G40" s="7">
        <f t="shared" si="0"/>
        <v>1307771288</v>
      </c>
      <c r="H40" s="7">
        <v>49166</v>
      </c>
      <c r="I40" s="7">
        <v>28386315</v>
      </c>
      <c r="J40" s="7">
        <v>17152</v>
      </c>
      <c r="K40" s="7">
        <v>1304547</v>
      </c>
      <c r="L40" s="3">
        <f>H40*numbers!$O$6 + J40*numbers!$O$5</f>
        <v>0.140067</v>
      </c>
      <c r="M40" s="3">
        <f>L40*numbers!$O$11</f>
        <v>140067000</v>
      </c>
      <c r="N40" s="7">
        <v>1799907561900</v>
      </c>
      <c r="P40" s="2"/>
      <c r="Q40" s="2"/>
    </row>
    <row r="41" spans="1:19" x14ac:dyDescent="0.15">
      <c r="A41" s="17"/>
      <c r="B41" s="2" t="s">
        <v>89</v>
      </c>
      <c r="C41" s="7">
        <v>22222688</v>
      </c>
      <c r="D41" s="7">
        <v>22355606</v>
      </c>
      <c r="E41" s="7">
        <v>2965815914</v>
      </c>
      <c r="F41" s="7">
        <v>1307771288000</v>
      </c>
      <c r="G41" s="7">
        <f t="shared" ref="G41:G43" si="1">F41/1000</f>
        <v>1307771288</v>
      </c>
      <c r="H41" s="7">
        <v>49166</v>
      </c>
      <c r="I41" s="7">
        <v>28386315</v>
      </c>
      <c r="J41" s="7">
        <v>17152</v>
      </c>
      <c r="K41" s="7">
        <v>1304547</v>
      </c>
      <c r="L41" s="3">
        <f>H41*numbers!$O$6 + J41*numbers!$O$5</f>
        <v>0.140067</v>
      </c>
      <c r="M41" s="3">
        <f>L41*numbers!$O$11</f>
        <v>140067000</v>
      </c>
      <c r="N41" s="7">
        <v>1799907561900</v>
      </c>
      <c r="P41" s="2"/>
      <c r="Q41" s="2"/>
    </row>
    <row r="42" spans="1:19" x14ac:dyDescent="0.15">
      <c r="A42" s="17"/>
      <c r="B42" s="2" t="s">
        <v>90</v>
      </c>
      <c r="C42" s="7">
        <v>22222688</v>
      </c>
      <c r="D42" s="7">
        <v>22355606</v>
      </c>
      <c r="E42" s="7">
        <v>2965815914</v>
      </c>
      <c r="F42" s="7">
        <v>1307771288000</v>
      </c>
      <c r="G42" s="7">
        <f t="shared" si="1"/>
        <v>1307771288</v>
      </c>
      <c r="H42" s="7">
        <v>49166</v>
      </c>
      <c r="I42" s="7">
        <v>28386315</v>
      </c>
      <c r="J42" s="7">
        <v>17152</v>
      </c>
      <c r="K42" s="7">
        <v>1304547</v>
      </c>
      <c r="L42" s="3">
        <f>H42*numbers!$O$6 + J42*numbers!$O$5</f>
        <v>0.140067</v>
      </c>
      <c r="M42" s="3">
        <f>L42*numbers!$O$11</f>
        <v>140067000</v>
      </c>
      <c r="N42" s="7">
        <v>1799907561900</v>
      </c>
      <c r="P42" s="2"/>
      <c r="Q42" s="2"/>
    </row>
    <row r="43" spans="1:19" x14ac:dyDescent="0.15">
      <c r="A43" s="17"/>
      <c r="B43" s="2" t="s">
        <v>87</v>
      </c>
      <c r="C43" s="7">
        <v>22222688</v>
      </c>
      <c r="D43" s="7">
        <v>22355606</v>
      </c>
      <c r="E43" s="7">
        <v>2965815914</v>
      </c>
      <c r="F43" s="7">
        <v>1307771288000</v>
      </c>
      <c r="G43" s="7">
        <f t="shared" si="1"/>
        <v>1307771288</v>
      </c>
      <c r="H43" s="7">
        <v>49166</v>
      </c>
      <c r="I43" s="7">
        <v>28386315</v>
      </c>
      <c r="J43" s="7">
        <v>17152</v>
      </c>
      <c r="K43" s="7">
        <v>1304547</v>
      </c>
      <c r="L43" s="3">
        <f>H43*numbers!$O$6 + J43*numbers!$O$5</f>
        <v>0.140067</v>
      </c>
      <c r="M43" s="3">
        <f>L43*numbers!$O$11</f>
        <v>140067000</v>
      </c>
      <c r="N43" s="7">
        <v>1799907561900</v>
      </c>
      <c r="P43" s="2"/>
      <c r="Q43" s="2"/>
    </row>
    <row r="44" spans="1:19" x14ac:dyDescent="0.15">
      <c r="A44" s="17" t="s">
        <v>129</v>
      </c>
      <c r="B44" s="2" t="s">
        <v>100</v>
      </c>
      <c r="C44" s="7">
        <v>18575501</v>
      </c>
      <c r="D44" s="7">
        <v>18590160</v>
      </c>
      <c r="E44" s="7">
        <v>2847785068</v>
      </c>
      <c r="F44" s="7">
        <v>1368318351000</v>
      </c>
      <c r="G44" s="2">
        <f t="shared" ref="G44:G55" si="2">F44/1000</f>
        <v>1368318351</v>
      </c>
      <c r="H44" s="7">
        <v>0</v>
      </c>
      <c r="I44" s="7">
        <v>27440023</v>
      </c>
      <c r="J44" s="7">
        <v>0</v>
      </c>
      <c r="K44" s="7">
        <v>769566</v>
      </c>
      <c r="L44" s="3">
        <f>H44*numbers!$O$6 + J44*numbers!$O$5</f>
        <v>0</v>
      </c>
      <c r="M44" s="3">
        <f>L44*numbers!$O$11</f>
        <v>0</v>
      </c>
      <c r="N44" s="7">
        <v>1736893551180</v>
      </c>
      <c r="P44" s="2"/>
      <c r="Q44" s="2"/>
    </row>
    <row r="45" spans="1:19" x14ac:dyDescent="0.15">
      <c r="A45" s="17"/>
      <c r="B45" s="2" t="s">
        <v>103</v>
      </c>
      <c r="C45" s="7">
        <v>7840738</v>
      </c>
      <c r="D45" s="7">
        <v>7857115</v>
      </c>
      <c r="E45" s="7">
        <v>1111072314</v>
      </c>
      <c r="F45" s="7">
        <v>500056258000</v>
      </c>
      <c r="G45" s="2">
        <f t="shared" si="2"/>
        <v>500056258</v>
      </c>
      <c r="H45" s="7">
        <v>24602</v>
      </c>
      <c r="I45" s="7">
        <v>10762655</v>
      </c>
      <c r="J45" s="7">
        <v>4288</v>
      </c>
      <c r="K45" s="7">
        <v>312666</v>
      </c>
      <c r="L45" s="3">
        <f>H45*numbers!$O$6 + J45*numbers!$O$5</f>
        <v>6.579299999999999E-2</v>
      </c>
      <c r="M45" s="3">
        <f>L45*numbers!$O$11</f>
        <v>65792999.999999993</v>
      </c>
      <c r="N45" s="7">
        <v>675854580330</v>
      </c>
      <c r="P45" s="2"/>
      <c r="Q45" s="2"/>
    </row>
    <row r="46" spans="1:19" x14ac:dyDescent="0.15">
      <c r="A46" s="17"/>
      <c r="B46" s="2" t="s">
        <v>98</v>
      </c>
      <c r="C46" s="7">
        <v>10732585</v>
      </c>
      <c r="D46" s="7">
        <v>10777919</v>
      </c>
      <c r="E46" s="7">
        <v>1508246704</v>
      </c>
      <c r="F46" s="7">
        <v>698717115000</v>
      </c>
      <c r="G46" s="2">
        <f t="shared" si="2"/>
        <v>698717115</v>
      </c>
      <c r="H46" s="7">
        <v>24602</v>
      </c>
      <c r="I46" s="7">
        <v>14459550</v>
      </c>
      <c r="J46" s="7">
        <v>4288</v>
      </c>
      <c r="K46" s="7">
        <v>631385</v>
      </c>
      <c r="L46" s="3">
        <f>H46*numbers!$O$6 + J46*numbers!$O$5</f>
        <v>6.579299999999999E-2</v>
      </c>
      <c r="M46" s="3">
        <f>L46*numbers!$O$11</f>
        <v>65792999.999999993</v>
      </c>
      <c r="N46" s="7">
        <v>916847548770</v>
      </c>
      <c r="P46" s="2"/>
      <c r="Q46" s="2"/>
    </row>
    <row r="47" spans="1:19" x14ac:dyDescent="0.15">
      <c r="A47" s="17"/>
      <c r="B47" s="2" t="s">
        <v>102</v>
      </c>
      <c r="C47" s="7">
        <v>10732585</v>
      </c>
      <c r="D47" s="7">
        <v>10777919</v>
      </c>
      <c r="E47" s="7">
        <v>1508246704</v>
      </c>
      <c r="F47" s="7">
        <v>698717115000</v>
      </c>
      <c r="G47" s="2">
        <f t="shared" si="2"/>
        <v>698717115</v>
      </c>
      <c r="H47" s="7">
        <v>24602</v>
      </c>
      <c r="I47" s="7">
        <v>14459550</v>
      </c>
      <c r="J47" s="7">
        <v>4288</v>
      </c>
      <c r="K47" s="7">
        <v>631385</v>
      </c>
      <c r="L47" s="3">
        <f>H47*numbers!$O$6 + J47*numbers!$O$5</f>
        <v>6.579299999999999E-2</v>
      </c>
      <c r="M47" s="3">
        <f>L47*numbers!$O$11</f>
        <v>65792999.999999993</v>
      </c>
      <c r="N47" s="7">
        <v>916847548770</v>
      </c>
      <c r="P47" s="2"/>
      <c r="Q47" s="2"/>
    </row>
    <row r="48" spans="1:19" x14ac:dyDescent="0.15">
      <c r="A48" s="17"/>
      <c r="B48" s="2" t="s">
        <v>101</v>
      </c>
      <c r="C48" s="7">
        <v>11411009</v>
      </c>
      <c r="D48" s="7">
        <v>11539375</v>
      </c>
      <c r="E48" s="7">
        <v>1574974866</v>
      </c>
      <c r="F48" s="7">
        <v>732081455000</v>
      </c>
      <c r="G48" s="2">
        <f t="shared" si="2"/>
        <v>732081455</v>
      </c>
      <c r="H48" s="7">
        <v>26240</v>
      </c>
      <c r="I48" s="7">
        <v>15129663</v>
      </c>
      <c r="J48" s="7">
        <v>4288</v>
      </c>
      <c r="K48" s="7">
        <v>612437</v>
      </c>
      <c r="L48" s="3">
        <f>H48*numbers!$O$6 + J48*numbers!$O$5</f>
        <v>6.9887999999999992E-2</v>
      </c>
      <c r="M48" s="3">
        <f>L48*numbers!$O$11</f>
        <v>69887999.999999985</v>
      </c>
      <c r="N48" s="7">
        <v>956736950625</v>
      </c>
      <c r="P48" s="2"/>
      <c r="Q48" s="2"/>
    </row>
    <row r="49" spans="1:17" x14ac:dyDescent="0.15">
      <c r="A49" s="17"/>
      <c r="B49" s="2" t="s">
        <v>99</v>
      </c>
      <c r="C49" s="7">
        <v>11411009</v>
      </c>
      <c r="D49" s="7">
        <v>11539375</v>
      </c>
      <c r="E49" s="7">
        <v>1574974866</v>
      </c>
      <c r="F49" s="7">
        <v>732081455000</v>
      </c>
      <c r="G49" s="2">
        <f t="shared" si="2"/>
        <v>732081455</v>
      </c>
      <c r="H49" s="7">
        <v>26240</v>
      </c>
      <c r="I49" s="7">
        <v>15129663</v>
      </c>
      <c r="J49" s="7">
        <v>4288</v>
      </c>
      <c r="K49" s="7">
        <v>612437</v>
      </c>
      <c r="L49" s="3">
        <f>H49*numbers!$O$6 + J49*numbers!$O$5</f>
        <v>6.9887999999999992E-2</v>
      </c>
      <c r="M49" s="3">
        <f>L49*numbers!$O$11</f>
        <v>69887999.999999985</v>
      </c>
      <c r="N49" s="7">
        <v>956736950625</v>
      </c>
      <c r="P49" s="2"/>
      <c r="Q49" s="2"/>
    </row>
    <row r="50" spans="1:17" x14ac:dyDescent="0.15">
      <c r="A50" s="15" t="s">
        <v>53</v>
      </c>
      <c r="B50" s="2" t="s">
        <v>58</v>
      </c>
      <c r="C50" s="7">
        <v>15752711</v>
      </c>
      <c r="D50" s="7">
        <v>15768436</v>
      </c>
      <c r="E50" s="7">
        <v>2378412568</v>
      </c>
      <c r="F50" s="7">
        <v>1123164770000</v>
      </c>
      <c r="G50" s="2">
        <f t="shared" si="2"/>
        <v>1123164770</v>
      </c>
      <c r="H50" s="7">
        <v>0</v>
      </c>
      <c r="I50" s="7">
        <v>22759286</v>
      </c>
      <c r="J50" s="7">
        <v>0</v>
      </c>
      <c r="K50" s="7">
        <v>630337</v>
      </c>
      <c r="L50" s="3">
        <f>H50*numbers!$O$6 + J50*numbers!$O$5</f>
        <v>0</v>
      </c>
      <c r="M50" s="3">
        <f>L50*numbers!$O$11</f>
        <v>0</v>
      </c>
      <c r="N50" s="7">
        <v>1451298904350</v>
      </c>
      <c r="P50" s="2"/>
      <c r="Q50" s="2"/>
    </row>
    <row r="51" spans="1:17" x14ac:dyDescent="0.15">
      <c r="A51" s="15"/>
      <c r="B51" s="2" t="s">
        <v>59</v>
      </c>
      <c r="C51" s="7">
        <v>3908265</v>
      </c>
      <c r="D51" s="7">
        <v>3929310</v>
      </c>
      <c r="E51" s="7">
        <v>555537370</v>
      </c>
      <c r="F51" s="7">
        <v>211805254000</v>
      </c>
      <c r="G51" s="2">
        <f t="shared" si="2"/>
        <v>211805254</v>
      </c>
      <c r="H51" s="7">
        <v>14438</v>
      </c>
      <c r="I51" s="7">
        <v>5368845</v>
      </c>
      <c r="J51" s="7">
        <v>7168</v>
      </c>
      <c r="K51" s="7">
        <v>274309</v>
      </c>
      <c r="L51" s="3">
        <f>H51*numbers!$O$6 + J51*numbers!$O$5</f>
        <v>4.3262999999999996E-2</v>
      </c>
      <c r="M51" s="3">
        <f>L51*numbers!$O$11</f>
        <v>43262999.999999993</v>
      </c>
      <c r="N51" s="7">
        <v>336698175510</v>
      </c>
      <c r="P51" s="2"/>
      <c r="Q51" s="2"/>
    </row>
    <row r="52" spans="1:17" x14ac:dyDescent="0.15">
      <c r="A52" s="15"/>
      <c r="B52" s="2" t="s">
        <v>57</v>
      </c>
      <c r="C52" s="7">
        <v>6392711</v>
      </c>
      <c r="D52" s="7">
        <v>6438275</v>
      </c>
      <c r="E52" s="7">
        <v>871519216</v>
      </c>
      <c r="F52" s="7">
        <v>369744107000</v>
      </c>
      <c r="G52" s="2">
        <f t="shared" si="2"/>
        <v>369744107</v>
      </c>
      <c r="H52" s="7">
        <v>14438</v>
      </c>
      <c r="I52" s="7">
        <v>8338173</v>
      </c>
      <c r="J52" s="7">
        <v>7168</v>
      </c>
      <c r="K52" s="7">
        <v>472002</v>
      </c>
      <c r="L52" s="3">
        <f>H52*numbers!$O$6 + J52*numbers!$O$5</f>
        <v>4.3262999999999996E-2</v>
      </c>
      <c r="M52" s="3">
        <f>L52*numbers!$O$11</f>
        <v>43262999.999999993</v>
      </c>
      <c r="N52" s="7">
        <v>527826680820</v>
      </c>
      <c r="P52" s="2"/>
      <c r="Q52" s="2"/>
    </row>
    <row r="53" spans="1:17" x14ac:dyDescent="0.15">
      <c r="A53" s="15"/>
      <c r="B53" s="2" t="s">
        <v>54</v>
      </c>
      <c r="C53" s="7">
        <v>6392711</v>
      </c>
      <c r="D53" s="7">
        <v>6438275</v>
      </c>
      <c r="E53" s="7">
        <v>871519216</v>
      </c>
      <c r="F53" s="7">
        <v>369744107000</v>
      </c>
      <c r="G53" s="2">
        <f t="shared" si="2"/>
        <v>369744107</v>
      </c>
      <c r="H53" s="7">
        <v>14438</v>
      </c>
      <c r="I53" s="7">
        <v>8338173</v>
      </c>
      <c r="J53" s="7">
        <v>7168</v>
      </c>
      <c r="K53" s="7">
        <v>472002</v>
      </c>
      <c r="L53" s="3">
        <f>H53*numbers!$O$6 + J53*numbers!$O$5</f>
        <v>4.3262999999999996E-2</v>
      </c>
      <c r="M53" s="3">
        <f>L53*numbers!$O$11</f>
        <v>43262999.999999993</v>
      </c>
      <c r="N53" s="7">
        <v>527826680820</v>
      </c>
      <c r="P53" s="2"/>
      <c r="Q53" s="2"/>
    </row>
    <row r="54" spans="1:17" x14ac:dyDescent="0.15">
      <c r="A54" s="15"/>
      <c r="B54" s="2" t="s">
        <v>55</v>
      </c>
      <c r="C54" s="7">
        <v>7053752</v>
      </c>
      <c r="D54" s="7">
        <v>7169228</v>
      </c>
      <c r="E54" s="7">
        <v>975294948</v>
      </c>
      <c r="F54" s="7">
        <v>421599223000</v>
      </c>
      <c r="G54" s="2">
        <f t="shared" si="2"/>
        <v>421599223</v>
      </c>
      <c r="H54" s="7">
        <v>16240</v>
      </c>
      <c r="I54" s="7">
        <v>9303805</v>
      </c>
      <c r="J54" s="7">
        <v>7168</v>
      </c>
      <c r="K54" s="7">
        <v>535771</v>
      </c>
      <c r="L54" s="3">
        <f>H54*numbers!$O$6 + J54*numbers!$O$5</f>
        <v>4.7767999999999998E-2</v>
      </c>
      <c r="M54" s="3">
        <f>L54*numbers!$O$11</f>
        <v>47768000</v>
      </c>
      <c r="N54" s="7">
        <v>589425120300</v>
      </c>
      <c r="P54" s="2"/>
      <c r="Q54" s="2"/>
    </row>
    <row r="55" spans="1:17" x14ac:dyDescent="0.15">
      <c r="A55" s="15"/>
      <c r="B55" s="2" t="s">
        <v>56</v>
      </c>
      <c r="C55" s="7">
        <v>7053752</v>
      </c>
      <c r="D55" s="7">
        <v>7169228</v>
      </c>
      <c r="E55" s="7">
        <v>975294948</v>
      </c>
      <c r="F55" s="7">
        <v>421599223000</v>
      </c>
      <c r="G55" s="2">
        <f t="shared" si="2"/>
        <v>421599223</v>
      </c>
      <c r="H55" s="7">
        <v>16240</v>
      </c>
      <c r="I55" s="7">
        <v>9303805</v>
      </c>
      <c r="J55" s="7">
        <v>7168</v>
      </c>
      <c r="K55" s="7">
        <v>535771</v>
      </c>
      <c r="L55" s="3">
        <f>H55*numbers!$O$6 + J55*numbers!$O$5</f>
        <v>4.7767999999999998E-2</v>
      </c>
      <c r="M55" s="3">
        <f>L55*numbers!$O$11</f>
        <v>47768000</v>
      </c>
      <c r="N55" s="7">
        <v>589425120300</v>
      </c>
      <c r="P55" s="2"/>
      <c r="Q55" s="2"/>
    </row>
    <row r="56" spans="1:17" x14ac:dyDescent="0.15">
      <c r="A56" s="17" t="s">
        <v>180</v>
      </c>
      <c r="B56" s="2" t="s">
        <v>146</v>
      </c>
      <c r="C56" s="7">
        <v>328593</v>
      </c>
      <c r="D56" s="7">
        <v>343279</v>
      </c>
      <c r="E56" s="7">
        <v>44403128</v>
      </c>
      <c r="F56" s="7">
        <v>6775223000</v>
      </c>
      <c r="G56" s="2">
        <f t="shared" ref="G56:G97" si="3">F56/1000</f>
        <v>6775223</v>
      </c>
      <c r="H56" s="7">
        <v>0</v>
      </c>
      <c r="I56" s="7">
        <v>427766</v>
      </c>
      <c r="J56" s="7">
        <v>0</v>
      </c>
      <c r="K56" s="7">
        <v>45019</v>
      </c>
      <c r="L56" s="3">
        <f>H56*numbers!$O$6 + J56*numbers!$O$5</f>
        <v>0</v>
      </c>
      <c r="M56" s="3">
        <f>L56*numbers!$O$11</f>
        <v>0</v>
      </c>
      <c r="N56" s="7">
        <v>26153410680</v>
      </c>
      <c r="P56" s="2"/>
      <c r="Q56" s="2"/>
    </row>
    <row r="57" spans="1:17" x14ac:dyDescent="0.15">
      <c r="A57" s="17"/>
      <c r="B57" s="2" t="s">
        <v>147</v>
      </c>
      <c r="C57" s="7">
        <v>240295</v>
      </c>
      <c r="D57" s="7">
        <v>256785</v>
      </c>
      <c r="E57" s="7">
        <v>33093174</v>
      </c>
      <c r="F57" s="7">
        <v>966923000</v>
      </c>
      <c r="G57" s="2">
        <f t="shared" si="3"/>
        <v>966923</v>
      </c>
      <c r="H57" s="7">
        <v>2096</v>
      </c>
      <c r="I57" s="7">
        <v>319738</v>
      </c>
      <c r="J57" s="7">
        <v>32</v>
      </c>
      <c r="K57" s="7">
        <v>38511</v>
      </c>
      <c r="L57" s="3">
        <f>H57*numbers!$O$6 + J57*numbers!$O$5</f>
        <v>5.2719999999999998E-3</v>
      </c>
      <c r="M57" s="3">
        <f>L57*numbers!$O$11</f>
        <v>5272000</v>
      </c>
      <c r="N57" s="7">
        <v>19700847990</v>
      </c>
      <c r="P57" s="2"/>
      <c r="Q57" s="2"/>
    </row>
    <row r="58" spans="1:17" x14ac:dyDescent="0.15">
      <c r="A58" s="17"/>
      <c r="B58" s="2" t="s">
        <v>150</v>
      </c>
      <c r="C58" s="7">
        <v>368267</v>
      </c>
      <c r="D58" s="7">
        <v>385954</v>
      </c>
      <c r="E58" s="7">
        <v>48801336</v>
      </c>
      <c r="F58" s="7">
        <v>8979960000</v>
      </c>
      <c r="G58" s="2">
        <f t="shared" si="3"/>
        <v>8979960</v>
      </c>
      <c r="H58" s="7">
        <v>2112</v>
      </c>
      <c r="I58" s="7">
        <v>475362</v>
      </c>
      <c r="J58" s="7">
        <v>32</v>
      </c>
      <c r="K58" s="7">
        <v>48283</v>
      </c>
      <c r="L58" s="3">
        <f>H58*numbers!$O$6 + J58*numbers!$O$5</f>
        <v>5.3119999999999999E-3</v>
      </c>
      <c r="M58" s="3">
        <f>L58*numbers!$O$11</f>
        <v>5312000</v>
      </c>
      <c r="N58" s="7">
        <v>28972183740</v>
      </c>
      <c r="P58" s="2"/>
      <c r="Q58" s="2"/>
    </row>
    <row r="59" spans="1:17" x14ac:dyDescent="0.15">
      <c r="A59" s="17"/>
      <c r="B59" s="2" t="s">
        <v>148</v>
      </c>
      <c r="C59" s="7">
        <v>368267</v>
      </c>
      <c r="D59" s="7">
        <v>385954</v>
      </c>
      <c r="E59" s="7">
        <v>48801336</v>
      </c>
      <c r="F59" s="7">
        <v>8979960000</v>
      </c>
      <c r="G59" s="2">
        <f t="shared" si="3"/>
        <v>8979960</v>
      </c>
      <c r="H59" s="7">
        <v>2112</v>
      </c>
      <c r="I59" s="7">
        <v>475362</v>
      </c>
      <c r="J59" s="7">
        <v>32</v>
      </c>
      <c r="K59" s="7">
        <v>48283</v>
      </c>
      <c r="L59" s="3">
        <f>H59*numbers!$O$6 + J59*numbers!$O$5</f>
        <v>5.3119999999999999E-3</v>
      </c>
      <c r="M59" s="3">
        <f>L59*numbers!$O$11</f>
        <v>5312000</v>
      </c>
      <c r="N59" s="7">
        <v>28972183740</v>
      </c>
      <c r="P59" s="2"/>
      <c r="Q59" s="2"/>
    </row>
    <row r="60" spans="1:17" x14ac:dyDescent="0.15">
      <c r="A60" s="17"/>
      <c r="B60" s="2" t="s">
        <v>151</v>
      </c>
      <c r="C60" s="7">
        <v>363656</v>
      </c>
      <c r="D60" s="7">
        <v>382026</v>
      </c>
      <c r="E60" s="7">
        <v>48022768</v>
      </c>
      <c r="F60" s="7">
        <v>8590588000</v>
      </c>
      <c r="G60" s="2">
        <f t="shared" si="3"/>
        <v>8590588</v>
      </c>
      <c r="H60" s="7">
        <v>2112</v>
      </c>
      <c r="I60" s="7">
        <v>463679</v>
      </c>
      <c r="J60" s="7">
        <v>32</v>
      </c>
      <c r="K60" s="7">
        <v>48826</v>
      </c>
      <c r="L60" s="3">
        <f>H60*numbers!$O$6 + J60*numbers!$O$5</f>
        <v>5.3119999999999999E-3</v>
      </c>
      <c r="M60" s="3">
        <f>L60*numbers!$O$11</f>
        <v>5312000</v>
      </c>
      <c r="N60" s="7">
        <v>28653309315</v>
      </c>
      <c r="P60" s="2"/>
      <c r="Q60" s="2"/>
    </row>
    <row r="61" spans="1:17" x14ac:dyDescent="0.15">
      <c r="A61" s="17"/>
      <c r="B61" s="2" t="s">
        <v>149</v>
      </c>
      <c r="C61" s="7">
        <v>363656</v>
      </c>
      <c r="D61" s="7">
        <v>382026</v>
      </c>
      <c r="E61" s="7">
        <v>48022768</v>
      </c>
      <c r="F61" s="7">
        <v>8590588000</v>
      </c>
      <c r="G61" s="2">
        <f t="shared" si="3"/>
        <v>8590588</v>
      </c>
      <c r="H61" s="7">
        <v>2112</v>
      </c>
      <c r="I61" s="7">
        <v>463679</v>
      </c>
      <c r="J61" s="7">
        <v>32</v>
      </c>
      <c r="K61" s="7">
        <v>48826</v>
      </c>
      <c r="L61" s="3">
        <f>H61*numbers!$O$6 + J61*numbers!$O$5</f>
        <v>5.3119999999999999E-3</v>
      </c>
      <c r="M61" s="3">
        <f>L61*numbers!$O$11</f>
        <v>5312000</v>
      </c>
      <c r="N61" s="7">
        <v>28653309315</v>
      </c>
      <c r="P61" s="2"/>
      <c r="Q61" s="2"/>
    </row>
    <row r="62" spans="1:17" x14ac:dyDescent="0.15">
      <c r="A62" s="17" t="s">
        <v>182</v>
      </c>
      <c r="B62" s="2" t="s">
        <v>138</v>
      </c>
      <c r="C62" s="7">
        <v>554599</v>
      </c>
      <c r="D62" s="7">
        <v>567108</v>
      </c>
      <c r="E62" s="7">
        <v>73961426</v>
      </c>
      <c r="F62" s="7">
        <v>13149654000</v>
      </c>
      <c r="G62" s="2">
        <f t="shared" si="3"/>
        <v>13149654</v>
      </c>
      <c r="H62" s="7">
        <v>0</v>
      </c>
      <c r="I62" s="7">
        <v>724213</v>
      </c>
      <c r="J62" s="7">
        <v>0</v>
      </c>
      <c r="K62" s="7">
        <v>67332</v>
      </c>
      <c r="L62" s="3">
        <f>H62*numbers!$O$6 + J62*numbers!$O$5</f>
        <v>0</v>
      </c>
      <c r="M62" s="3">
        <f>L62*numbers!$O$11</f>
        <v>0</v>
      </c>
      <c r="N62" s="7">
        <v>44362103190</v>
      </c>
      <c r="P62" s="2"/>
      <c r="Q62" s="2"/>
    </row>
    <row r="63" spans="1:17" x14ac:dyDescent="0.15">
      <c r="A63" s="17"/>
      <c r="B63" s="2" t="s">
        <v>140</v>
      </c>
      <c r="C63" s="7">
        <v>534609</v>
      </c>
      <c r="D63" s="7">
        <v>548988</v>
      </c>
      <c r="E63" s="7">
        <v>69165408</v>
      </c>
      <c r="F63" s="7">
        <v>10773921000</v>
      </c>
      <c r="G63" s="2">
        <f t="shared" si="3"/>
        <v>10773921</v>
      </c>
      <c r="H63" s="7">
        <v>4160</v>
      </c>
      <c r="I63" s="7">
        <v>678430</v>
      </c>
      <c r="J63" s="7">
        <v>32</v>
      </c>
      <c r="K63" s="7">
        <v>69076</v>
      </c>
      <c r="L63" s="3">
        <f>H63*numbers!$O$6 + J63*numbers!$O$5</f>
        <v>1.0432E-2</v>
      </c>
      <c r="M63" s="3">
        <f>L63*numbers!$O$11</f>
        <v>10432000</v>
      </c>
      <c r="N63" s="7">
        <v>41537255100</v>
      </c>
      <c r="P63" s="2"/>
      <c r="Q63" s="2"/>
    </row>
    <row r="64" spans="1:17" x14ac:dyDescent="0.15">
      <c r="A64" s="17"/>
      <c r="B64" s="2" t="s">
        <v>143</v>
      </c>
      <c r="C64" s="7">
        <v>797765</v>
      </c>
      <c r="D64" s="7">
        <v>816287</v>
      </c>
      <c r="E64" s="7">
        <v>103130906</v>
      </c>
      <c r="F64" s="7">
        <v>27797275000</v>
      </c>
      <c r="G64" s="2">
        <f t="shared" si="3"/>
        <v>27797275</v>
      </c>
      <c r="H64" s="7">
        <v>4224</v>
      </c>
      <c r="I64" s="7">
        <v>998233</v>
      </c>
      <c r="J64" s="7">
        <v>64</v>
      </c>
      <c r="K64" s="7">
        <v>90250</v>
      </c>
      <c r="L64" s="3">
        <f>H64*numbers!$O$6 + J64*numbers!$O$5</f>
        <v>1.0624E-2</v>
      </c>
      <c r="M64" s="3">
        <f>L64*numbers!$O$11</f>
        <v>10624000</v>
      </c>
      <c r="N64" s="7">
        <v>62079281040</v>
      </c>
      <c r="P64" s="2"/>
      <c r="Q64" s="2"/>
    </row>
    <row r="65" spans="1:17" x14ac:dyDescent="0.15">
      <c r="A65" s="17"/>
      <c r="B65" s="2" t="s">
        <v>141</v>
      </c>
      <c r="C65" s="7">
        <v>797765</v>
      </c>
      <c r="D65" s="7">
        <v>816287</v>
      </c>
      <c r="E65" s="7">
        <v>103130906</v>
      </c>
      <c r="F65" s="7">
        <v>27797275000</v>
      </c>
      <c r="G65" s="2">
        <f t="shared" si="3"/>
        <v>27797275</v>
      </c>
      <c r="H65" s="7">
        <v>4224</v>
      </c>
      <c r="I65" s="7">
        <v>998233</v>
      </c>
      <c r="J65" s="7">
        <v>64</v>
      </c>
      <c r="K65" s="7">
        <v>90250</v>
      </c>
      <c r="L65" s="3">
        <f>H65*numbers!$O$6 + J65*numbers!$O$5</f>
        <v>1.0624E-2</v>
      </c>
      <c r="M65" s="3">
        <f>L65*numbers!$O$11</f>
        <v>10624000</v>
      </c>
      <c r="N65" s="7">
        <v>62079281040</v>
      </c>
      <c r="P65" s="2"/>
      <c r="Q65" s="2"/>
    </row>
    <row r="66" spans="1:17" x14ac:dyDescent="0.15">
      <c r="A66" s="17"/>
      <c r="B66" s="2" t="s">
        <v>142</v>
      </c>
      <c r="C66" s="7">
        <v>817668</v>
      </c>
      <c r="D66" s="7">
        <v>837453</v>
      </c>
      <c r="E66" s="7">
        <v>107004012</v>
      </c>
      <c r="F66" s="7">
        <v>29733581000</v>
      </c>
      <c r="G66" s="2">
        <f t="shared" si="3"/>
        <v>29733581</v>
      </c>
      <c r="H66" s="7">
        <v>4224</v>
      </c>
      <c r="I66" s="7">
        <v>1036599</v>
      </c>
      <c r="J66" s="7">
        <v>64</v>
      </c>
      <c r="K66" s="7">
        <v>90837</v>
      </c>
      <c r="L66" s="3">
        <f>H66*numbers!$O$6 + J66*numbers!$O$5</f>
        <v>1.0624E-2</v>
      </c>
      <c r="M66" s="3">
        <f>L66*numbers!$O$11</f>
        <v>10624000</v>
      </c>
      <c r="N66" s="7">
        <v>64363385265</v>
      </c>
      <c r="P66" s="2"/>
      <c r="Q66" s="2"/>
    </row>
    <row r="67" spans="1:17" x14ac:dyDescent="0.15">
      <c r="A67" s="17"/>
      <c r="B67" s="2" t="s">
        <v>139</v>
      </c>
      <c r="C67" s="7">
        <v>817668</v>
      </c>
      <c r="D67" s="7">
        <v>837453</v>
      </c>
      <c r="E67" s="7">
        <v>107004012</v>
      </c>
      <c r="F67" s="7">
        <v>29733581000</v>
      </c>
      <c r="G67" s="2">
        <f t="shared" si="3"/>
        <v>29733581</v>
      </c>
      <c r="H67" s="7">
        <v>4224</v>
      </c>
      <c r="I67" s="7">
        <v>1036599</v>
      </c>
      <c r="J67" s="7">
        <v>64</v>
      </c>
      <c r="K67" s="7">
        <v>90837</v>
      </c>
      <c r="L67" s="3">
        <f>H67*numbers!$O$6 + J67*numbers!$O$5</f>
        <v>1.0624E-2</v>
      </c>
      <c r="M67" s="3">
        <f>L67*numbers!$O$11</f>
        <v>10624000</v>
      </c>
      <c r="N67" s="7">
        <v>64363385265</v>
      </c>
      <c r="P67" s="2"/>
      <c r="Q67" s="2"/>
    </row>
    <row r="68" spans="1:17" x14ac:dyDescent="0.15">
      <c r="A68" s="17" t="s">
        <v>184</v>
      </c>
      <c r="B68" s="2" t="s">
        <v>154</v>
      </c>
      <c r="C68" s="7">
        <v>1930035</v>
      </c>
      <c r="D68" s="7">
        <v>1943632</v>
      </c>
      <c r="E68" s="7">
        <v>276042000</v>
      </c>
      <c r="F68" s="7">
        <v>122820258000</v>
      </c>
      <c r="G68" s="2">
        <f t="shared" si="3"/>
        <v>122820258</v>
      </c>
      <c r="H68" s="7">
        <v>0</v>
      </c>
      <c r="I68" s="7">
        <v>2679767</v>
      </c>
      <c r="J68" s="7">
        <v>0</v>
      </c>
      <c r="K68" s="7">
        <v>105571</v>
      </c>
      <c r="L68" s="3">
        <f>H68*numbers!$O$6 + J68*numbers!$O$5</f>
        <v>0</v>
      </c>
      <c r="M68" s="3">
        <f>L68*numbers!$O$11</f>
        <v>0</v>
      </c>
      <c r="N68" s="7">
        <v>167297588235</v>
      </c>
      <c r="P68" s="2"/>
      <c r="Q68" s="2"/>
    </row>
    <row r="69" spans="1:17" x14ac:dyDescent="0.15">
      <c r="A69" s="17"/>
      <c r="B69" s="2" t="s">
        <v>157</v>
      </c>
      <c r="C69" s="7">
        <v>390265</v>
      </c>
      <c r="D69" s="7">
        <v>406070</v>
      </c>
      <c r="E69" s="7">
        <v>52791650</v>
      </c>
      <c r="F69" s="7">
        <v>11296316000</v>
      </c>
      <c r="G69" s="2">
        <f t="shared" si="3"/>
        <v>11296316</v>
      </c>
      <c r="H69" s="7">
        <v>2052</v>
      </c>
      <c r="I69" s="7">
        <v>508483</v>
      </c>
      <c r="J69" s="7">
        <v>64</v>
      </c>
      <c r="K69" s="7">
        <v>46557</v>
      </c>
      <c r="L69" s="3">
        <f>H69*numbers!$O$6 + J69*numbers!$O$5</f>
        <v>5.193999999999999E-3</v>
      </c>
      <c r="M69" s="3">
        <f>L69*numbers!$O$11</f>
        <v>5193999.9999999991</v>
      </c>
      <c r="N69" s="7">
        <v>31508945505</v>
      </c>
      <c r="P69" s="2"/>
      <c r="Q69" s="2"/>
    </row>
    <row r="70" spans="1:17" x14ac:dyDescent="0.15">
      <c r="A70" s="17"/>
      <c r="B70" s="2" t="s">
        <v>153</v>
      </c>
      <c r="C70" s="7">
        <v>580410</v>
      </c>
      <c r="D70" s="7">
        <v>601434</v>
      </c>
      <c r="E70" s="7">
        <v>77273546</v>
      </c>
      <c r="F70" s="7">
        <v>23546210000</v>
      </c>
      <c r="G70" s="2">
        <f t="shared" si="3"/>
        <v>23546210</v>
      </c>
      <c r="H70" s="7">
        <v>2064</v>
      </c>
      <c r="I70" s="7">
        <v>739136</v>
      </c>
      <c r="J70" s="7">
        <v>256</v>
      </c>
      <c r="K70" s="7">
        <v>63327</v>
      </c>
      <c r="L70" s="3">
        <f>H70*numbers!$O$6 + J70*numbers!$O$5</f>
        <v>5.4159999999999998E-3</v>
      </c>
      <c r="M70" s="3">
        <f>L70*numbers!$O$11</f>
        <v>5416000</v>
      </c>
      <c r="N70" s="7">
        <v>46427991075</v>
      </c>
      <c r="P70" s="2"/>
      <c r="Q70" s="2"/>
    </row>
    <row r="71" spans="1:17" x14ac:dyDescent="0.15">
      <c r="A71" s="17"/>
      <c r="B71" s="2" t="s">
        <v>156</v>
      </c>
      <c r="C71" s="7">
        <v>580410</v>
      </c>
      <c r="D71" s="7">
        <v>601434</v>
      </c>
      <c r="E71" s="7">
        <v>77273546</v>
      </c>
      <c r="F71" s="7">
        <v>23546210000</v>
      </c>
      <c r="G71" s="2">
        <f t="shared" si="3"/>
        <v>23546210</v>
      </c>
      <c r="H71" s="7">
        <v>2064</v>
      </c>
      <c r="I71" s="7">
        <v>739136</v>
      </c>
      <c r="J71" s="7">
        <v>256</v>
      </c>
      <c r="K71" s="7">
        <v>63327</v>
      </c>
      <c r="L71" s="3">
        <f>H71*numbers!$O$6 + J71*numbers!$O$5</f>
        <v>5.4159999999999998E-3</v>
      </c>
      <c r="M71" s="3">
        <f>L71*numbers!$O$11</f>
        <v>5416000</v>
      </c>
      <c r="N71" s="7">
        <v>46427991075</v>
      </c>
      <c r="P71" s="2"/>
      <c r="Q71" s="2"/>
    </row>
    <row r="72" spans="1:17" x14ac:dyDescent="0.15">
      <c r="A72" s="17"/>
      <c r="B72" s="2" t="s">
        <v>152</v>
      </c>
      <c r="C72" s="7">
        <v>562384</v>
      </c>
      <c r="D72" s="7">
        <v>584628</v>
      </c>
      <c r="E72" s="7">
        <v>75608282</v>
      </c>
      <c r="F72" s="7">
        <v>22713583000</v>
      </c>
      <c r="G72" s="2">
        <f t="shared" si="3"/>
        <v>22713583</v>
      </c>
      <c r="H72" s="7">
        <v>2064</v>
      </c>
      <c r="I72" s="7">
        <v>723703</v>
      </c>
      <c r="J72" s="7">
        <v>256</v>
      </c>
      <c r="K72" s="7">
        <v>61897</v>
      </c>
      <c r="L72" s="3">
        <f>H72*numbers!$O$6 + J72*numbers!$O$5</f>
        <v>5.4159999999999998E-3</v>
      </c>
      <c r="M72" s="3">
        <f>L72*numbers!$O$11</f>
        <v>5416000</v>
      </c>
      <c r="N72" s="7">
        <v>45401188695</v>
      </c>
      <c r="P72" s="2"/>
      <c r="Q72" s="2"/>
    </row>
    <row r="73" spans="1:17" x14ac:dyDescent="0.15">
      <c r="A73" s="17"/>
      <c r="B73" s="2" t="s">
        <v>155</v>
      </c>
      <c r="C73" s="7">
        <v>562384</v>
      </c>
      <c r="D73" s="7">
        <v>584628</v>
      </c>
      <c r="E73" s="7">
        <v>75608282</v>
      </c>
      <c r="F73" s="7">
        <v>22713583000</v>
      </c>
      <c r="G73" s="2">
        <f t="shared" si="3"/>
        <v>22713583</v>
      </c>
      <c r="H73" s="7">
        <v>2064</v>
      </c>
      <c r="I73" s="7">
        <v>723703</v>
      </c>
      <c r="J73" s="7">
        <v>256</v>
      </c>
      <c r="K73" s="7">
        <v>61897</v>
      </c>
      <c r="L73" s="3">
        <f>H73*numbers!$O$6 + J73*numbers!$O$5</f>
        <v>5.4159999999999998E-3</v>
      </c>
      <c r="M73" s="3">
        <f>L73*numbers!$O$11</f>
        <v>5416000</v>
      </c>
      <c r="N73" s="7">
        <v>45401188695</v>
      </c>
      <c r="P73" s="2"/>
      <c r="Q73" s="2"/>
    </row>
    <row r="74" spans="1:17" x14ac:dyDescent="0.15">
      <c r="A74" s="17" t="s">
        <v>185</v>
      </c>
      <c r="B74" s="2" t="s">
        <v>175</v>
      </c>
      <c r="C74" s="7">
        <v>1922352</v>
      </c>
      <c r="D74" s="7">
        <v>1935950</v>
      </c>
      <c r="E74" s="7">
        <v>276787174</v>
      </c>
      <c r="F74" s="7">
        <v>123723582000</v>
      </c>
      <c r="G74" s="2">
        <f t="shared" si="3"/>
        <v>123723582</v>
      </c>
      <c r="H74" s="7">
        <v>0</v>
      </c>
      <c r="I74" s="7">
        <v>2668244</v>
      </c>
      <c r="J74" s="7">
        <v>0</v>
      </c>
      <c r="K74" s="7">
        <v>105571</v>
      </c>
      <c r="L74" s="3">
        <f>H74*numbers!$O$6 + J74*numbers!$O$5</f>
        <v>0</v>
      </c>
      <c r="M74" s="3">
        <f>L74*numbers!$O$11</f>
        <v>0</v>
      </c>
      <c r="N74" s="7">
        <v>167863744830</v>
      </c>
      <c r="P74" s="2"/>
      <c r="Q74" s="2"/>
    </row>
    <row r="75" spans="1:17" x14ac:dyDescent="0.15">
      <c r="A75" s="17"/>
      <c r="B75" s="2" t="s">
        <v>177</v>
      </c>
      <c r="C75" s="7">
        <v>465629</v>
      </c>
      <c r="D75" s="7">
        <v>481064</v>
      </c>
      <c r="E75" s="7">
        <v>62548232</v>
      </c>
      <c r="F75" s="7">
        <v>16676630000</v>
      </c>
      <c r="G75" s="2">
        <f t="shared" si="3"/>
        <v>16676630</v>
      </c>
      <c r="H75" s="7">
        <v>1092</v>
      </c>
      <c r="I75" s="7">
        <v>599003</v>
      </c>
      <c r="J75" s="7">
        <v>1024</v>
      </c>
      <c r="K75" s="7">
        <v>51076</v>
      </c>
      <c r="L75" s="3">
        <f>H75*numbers!$O$6 + J75*numbers!$O$5</f>
        <v>3.7539999999999995E-3</v>
      </c>
      <c r="M75" s="3">
        <f>L75*numbers!$O$11</f>
        <v>3753999.9999999995</v>
      </c>
      <c r="N75" s="7">
        <v>37606768170</v>
      </c>
      <c r="P75" s="2"/>
      <c r="Q75" s="2"/>
    </row>
    <row r="76" spans="1:17" x14ac:dyDescent="0.15">
      <c r="A76" s="17"/>
      <c r="B76" s="2" t="s">
        <v>173</v>
      </c>
      <c r="C76" s="7">
        <v>710907</v>
      </c>
      <c r="D76" s="7">
        <v>727814</v>
      </c>
      <c r="E76" s="7">
        <v>92209408</v>
      </c>
      <c r="F76" s="7">
        <v>31486744000</v>
      </c>
      <c r="G76" s="2">
        <f t="shared" si="3"/>
        <v>31486744</v>
      </c>
      <c r="H76" s="7">
        <v>1092</v>
      </c>
      <c r="I76" s="7">
        <v>878067</v>
      </c>
      <c r="J76" s="7">
        <v>1024</v>
      </c>
      <c r="K76" s="7">
        <v>72985</v>
      </c>
      <c r="L76" s="3">
        <f>H76*numbers!$O$6 + J76*numbers!$O$5</f>
        <v>3.7539999999999995E-3</v>
      </c>
      <c r="M76" s="3">
        <f>L76*numbers!$O$11</f>
        <v>3753999.9999999995</v>
      </c>
      <c r="N76" s="7">
        <v>55406514450</v>
      </c>
      <c r="P76" s="2"/>
      <c r="Q76" s="2"/>
    </row>
    <row r="77" spans="1:17" x14ac:dyDescent="0.15">
      <c r="A77" s="17"/>
      <c r="B77" s="2" t="s">
        <v>176</v>
      </c>
      <c r="C77" s="7">
        <v>710907</v>
      </c>
      <c r="D77" s="7">
        <v>727814</v>
      </c>
      <c r="E77" s="7">
        <v>92209408</v>
      </c>
      <c r="F77" s="7">
        <v>31486744000</v>
      </c>
      <c r="G77" s="2">
        <f t="shared" si="3"/>
        <v>31486744</v>
      </c>
      <c r="H77" s="7">
        <v>1092</v>
      </c>
      <c r="I77" s="7">
        <v>878067</v>
      </c>
      <c r="J77" s="7">
        <v>1024</v>
      </c>
      <c r="K77" s="7">
        <v>72985</v>
      </c>
      <c r="L77" s="3">
        <f>H77*numbers!$O$6 + J77*numbers!$O$5</f>
        <v>3.7539999999999995E-3</v>
      </c>
      <c r="M77" s="3">
        <f>L77*numbers!$O$11</f>
        <v>3753999.9999999995</v>
      </c>
      <c r="N77" s="7">
        <v>55406514450</v>
      </c>
      <c r="P77" s="2"/>
      <c r="Q77" s="2"/>
    </row>
    <row r="78" spans="1:17" x14ac:dyDescent="0.15">
      <c r="A78" s="17"/>
      <c r="B78" s="2" t="s">
        <v>174</v>
      </c>
      <c r="C78" s="7">
        <v>762815</v>
      </c>
      <c r="D78" s="7">
        <v>783866</v>
      </c>
      <c r="E78" s="7">
        <v>100536742</v>
      </c>
      <c r="F78" s="7">
        <v>35650129000</v>
      </c>
      <c r="G78" s="2">
        <f t="shared" si="3"/>
        <v>35650129</v>
      </c>
      <c r="H78" s="7">
        <v>1296</v>
      </c>
      <c r="I78" s="7">
        <v>956583</v>
      </c>
      <c r="J78" s="7">
        <v>1024</v>
      </c>
      <c r="K78" s="7">
        <v>77212</v>
      </c>
      <c r="L78" s="3">
        <f>H78*numbers!$O$6 + J78*numbers!$O$5</f>
        <v>4.2639999999999996E-3</v>
      </c>
      <c r="M78" s="3">
        <f>L78*numbers!$O$11</f>
        <v>4264000</v>
      </c>
      <c r="N78" s="7">
        <v>60374908290</v>
      </c>
      <c r="P78" s="2"/>
      <c r="Q78" s="2"/>
    </row>
    <row r="79" spans="1:17" x14ac:dyDescent="0.15">
      <c r="A79" s="17"/>
      <c r="B79" s="2" t="s">
        <v>172</v>
      </c>
      <c r="C79" s="7">
        <v>762815</v>
      </c>
      <c r="D79" s="7">
        <v>783866</v>
      </c>
      <c r="E79" s="7">
        <v>100536742</v>
      </c>
      <c r="F79" s="7">
        <v>35650129000</v>
      </c>
      <c r="G79" s="2">
        <f t="shared" si="3"/>
        <v>35650129</v>
      </c>
      <c r="H79" s="7">
        <v>1296</v>
      </c>
      <c r="I79" s="7">
        <v>956583</v>
      </c>
      <c r="J79" s="7">
        <v>1024</v>
      </c>
      <c r="K79" s="7">
        <v>77212</v>
      </c>
      <c r="L79" s="3">
        <f>H79*numbers!$O$6 + J79*numbers!$O$5</f>
        <v>4.2639999999999996E-3</v>
      </c>
      <c r="M79" s="3">
        <f>L79*numbers!$O$11</f>
        <v>4264000</v>
      </c>
      <c r="N79" s="7">
        <v>60374908290</v>
      </c>
      <c r="P79" s="2"/>
      <c r="Q79" s="2"/>
    </row>
    <row r="80" spans="1:17" x14ac:dyDescent="0.15">
      <c r="A80" s="17" t="s">
        <v>186</v>
      </c>
      <c r="B80" s="2" t="s">
        <v>135</v>
      </c>
      <c r="C80" s="7">
        <v>708748871</v>
      </c>
      <c r="D80" s="7">
        <v>708763290</v>
      </c>
      <c r="E80" s="7">
        <v>106054852646</v>
      </c>
      <c r="F80" s="7">
        <v>52831468481000</v>
      </c>
      <c r="G80" s="2">
        <f t="shared" si="3"/>
        <v>52831468481</v>
      </c>
      <c r="H80" s="7">
        <v>0</v>
      </c>
      <c r="I80" s="7">
        <v>1000691448</v>
      </c>
      <c r="J80" s="7">
        <v>0</v>
      </c>
      <c r="K80" s="7">
        <v>18308535</v>
      </c>
      <c r="L80" s="3">
        <f>H80*numbers!$O$6 + J80*numbers!$O$5</f>
        <v>0</v>
      </c>
      <c r="M80" s="3">
        <f>L80*numbers!$O$11</f>
        <v>0</v>
      </c>
      <c r="N80" s="7">
        <v>64858056664440</v>
      </c>
      <c r="P80" s="2"/>
      <c r="Q80" s="2"/>
    </row>
    <row r="81" spans="1:17" x14ac:dyDescent="0.15">
      <c r="A81" s="17"/>
      <c r="B81" s="2" t="s">
        <v>137</v>
      </c>
      <c r="C81" s="7">
        <v>8949859</v>
      </c>
      <c r="D81" s="7">
        <v>8966897</v>
      </c>
      <c r="E81" s="7">
        <v>1247644176</v>
      </c>
      <c r="F81" s="7">
        <v>427823379000</v>
      </c>
      <c r="G81" s="2">
        <f t="shared" si="3"/>
        <v>427823379</v>
      </c>
      <c r="H81" s="7">
        <v>32832</v>
      </c>
      <c r="I81" s="7">
        <v>12218193</v>
      </c>
      <c r="J81" s="7">
        <v>16384</v>
      </c>
      <c r="K81" s="7">
        <v>698518</v>
      </c>
      <c r="L81" s="3">
        <f>H81*numbers!$O$6 + J81*numbers!$O$5</f>
        <v>9.8463999999999982E-2</v>
      </c>
      <c r="M81" s="3">
        <f>L81*numbers!$O$11</f>
        <v>98463999.999999985</v>
      </c>
      <c r="N81" s="7">
        <v>755606823690</v>
      </c>
      <c r="P81" s="2"/>
      <c r="Q81" s="2"/>
    </row>
    <row r="82" spans="1:17" x14ac:dyDescent="0.15">
      <c r="A82" s="17"/>
      <c r="B82" s="2" t="s">
        <v>133</v>
      </c>
      <c r="C82" s="7">
        <v>26442559</v>
      </c>
      <c r="D82" s="7">
        <v>26508335</v>
      </c>
      <c r="E82" s="7">
        <v>3433665416</v>
      </c>
      <c r="F82" s="7">
        <v>1520584157000</v>
      </c>
      <c r="G82" s="2">
        <f t="shared" si="3"/>
        <v>1520584157</v>
      </c>
      <c r="H82" s="7">
        <v>82176</v>
      </c>
      <c r="I82" s="7">
        <v>32767146</v>
      </c>
      <c r="J82" s="7">
        <v>65536</v>
      </c>
      <c r="K82" s="7">
        <v>2167804</v>
      </c>
      <c r="L82" s="3">
        <f>H82*numbers!$O$6 + J82*numbers!$O$5</f>
        <v>0.27097599999999999</v>
      </c>
      <c r="M82" s="3">
        <f>L82*numbers!$O$11</f>
        <v>270976000</v>
      </c>
      <c r="N82" s="7">
        <v>2063575114320</v>
      </c>
      <c r="P82" s="2"/>
      <c r="Q82" s="2"/>
    </row>
    <row r="83" spans="1:17" x14ac:dyDescent="0.15">
      <c r="A83" s="17"/>
      <c r="B83" s="2" t="s">
        <v>132</v>
      </c>
      <c r="C83" s="7">
        <v>26442559</v>
      </c>
      <c r="D83" s="7">
        <v>26508335</v>
      </c>
      <c r="E83" s="7">
        <v>3433665416</v>
      </c>
      <c r="F83" s="7">
        <v>1520584157000</v>
      </c>
      <c r="G83" s="2">
        <f t="shared" si="3"/>
        <v>1520584157</v>
      </c>
      <c r="H83" s="7">
        <v>82176</v>
      </c>
      <c r="I83" s="7">
        <v>32767146</v>
      </c>
      <c r="J83" s="7">
        <v>65536</v>
      </c>
      <c r="K83" s="7">
        <v>2167804</v>
      </c>
      <c r="L83" s="3">
        <f>H83*numbers!$O$6 + J83*numbers!$O$5</f>
        <v>0.27097599999999999</v>
      </c>
      <c r="M83" s="3">
        <f>L83*numbers!$O$11</f>
        <v>270976000</v>
      </c>
      <c r="N83" s="7">
        <v>2063575114320</v>
      </c>
      <c r="P83" s="2"/>
      <c r="Q83" s="2"/>
    </row>
    <row r="84" spans="1:17" x14ac:dyDescent="0.15">
      <c r="A84" s="17"/>
      <c r="B84" s="2" t="s">
        <v>134</v>
      </c>
      <c r="C84" s="7">
        <v>23675914</v>
      </c>
      <c r="D84" s="7">
        <v>23827146</v>
      </c>
      <c r="E84" s="7">
        <v>3206483686</v>
      </c>
      <c r="F84" s="7">
        <v>1406993279000</v>
      </c>
      <c r="G84" s="2">
        <f t="shared" si="3"/>
        <v>1406993279</v>
      </c>
      <c r="H84" s="7">
        <v>132096</v>
      </c>
      <c r="I84" s="7">
        <v>30747313</v>
      </c>
      <c r="J84" s="7">
        <v>65536</v>
      </c>
      <c r="K84" s="7">
        <v>1852202</v>
      </c>
      <c r="L84" s="3">
        <f>H84*numbers!$O$6 + J84*numbers!$O$5</f>
        <v>0.39577599999999996</v>
      </c>
      <c r="M84" s="3">
        <f>L84*numbers!$O$11</f>
        <v>395775999.99999994</v>
      </c>
      <c r="N84" s="7">
        <v>1943812384275</v>
      </c>
      <c r="P84" s="2"/>
      <c r="Q84" s="2"/>
    </row>
    <row r="85" spans="1:17" x14ac:dyDescent="0.15">
      <c r="A85" s="17"/>
      <c r="B85" s="2" t="s">
        <v>136</v>
      </c>
      <c r="C85" s="7">
        <v>23675914</v>
      </c>
      <c r="D85" s="7">
        <v>23827146</v>
      </c>
      <c r="E85" s="7">
        <v>3206483686</v>
      </c>
      <c r="F85" s="7">
        <v>1406993279000</v>
      </c>
      <c r="G85" s="2">
        <f t="shared" si="3"/>
        <v>1406993279</v>
      </c>
      <c r="H85" s="7">
        <v>132096</v>
      </c>
      <c r="I85" s="7">
        <v>30747313</v>
      </c>
      <c r="J85" s="7">
        <v>65536</v>
      </c>
      <c r="K85" s="7">
        <v>1852202</v>
      </c>
      <c r="L85" s="3">
        <f>H85*numbers!$O$6 + J85*numbers!$O$5</f>
        <v>0.39577599999999996</v>
      </c>
      <c r="M85" s="3">
        <f>L85*numbers!$O$11</f>
        <v>395775999.99999994</v>
      </c>
      <c r="N85" s="7">
        <v>1943812384275</v>
      </c>
      <c r="P85" s="2"/>
      <c r="Q85" s="2"/>
    </row>
    <row r="86" spans="1:17" x14ac:dyDescent="0.15">
      <c r="A86" s="17" t="s">
        <v>187</v>
      </c>
      <c r="B86" s="2" t="s">
        <v>167</v>
      </c>
      <c r="C86" s="7">
        <v>708748871</v>
      </c>
      <c r="D86" s="7">
        <v>708763290</v>
      </c>
      <c r="E86" s="7">
        <v>106143269918</v>
      </c>
      <c r="F86" s="7">
        <v>52875676514000</v>
      </c>
      <c r="G86" s="2">
        <f t="shared" si="3"/>
        <v>52875676514</v>
      </c>
      <c r="H86" s="7">
        <v>0</v>
      </c>
      <c r="I86" s="7">
        <v>1000691448</v>
      </c>
      <c r="J86" s="7">
        <v>0</v>
      </c>
      <c r="K86" s="7">
        <v>18308535</v>
      </c>
      <c r="L86" s="3">
        <f>H86*numbers!$O$6 + J86*numbers!$O$5</f>
        <v>0</v>
      </c>
      <c r="M86" s="3">
        <f>L86*numbers!$O$11</f>
        <v>0</v>
      </c>
      <c r="N86" s="7">
        <v>64957332411930</v>
      </c>
      <c r="P86" s="2"/>
      <c r="Q86" s="2"/>
    </row>
    <row r="87" spans="1:17" x14ac:dyDescent="0.15">
      <c r="A87" s="17"/>
      <c r="B87" s="2" t="s">
        <v>171</v>
      </c>
      <c r="C87" s="7">
        <v>8949851</v>
      </c>
      <c r="D87" s="7">
        <v>8966889</v>
      </c>
      <c r="E87" s="7">
        <v>1247651272</v>
      </c>
      <c r="F87" s="7">
        <v>427827107000</v>
      </c>
      <c r="G87" s="2">
        <f t="shared" si="3"/>
        <v>427827107</v>
      </c>
      <c r="H87" s="7">
        <v>32832</v>
      </c>
      <c r="I87" s="7">
        <v>12218185</v>
      </c>
      <c r="J87" s="7">
        <v>16384</v>
      </c>
      <c r="K87" s="7">
        <v>698518</v>
      </c>
      <c r="L87" s="3">
        <f>H87*numbers!$O$6 + J87*numbers!$O$5</f>
        <v>9.8463999999999982E-2</v>
      </c>
      <c r="M87" s="3">
        <f>L87*numbers!$O$11</f>
        <v>98463999.999999985</v>
      </c>
      <c r="N87" s="7">
        <v>755605611885</v>
      </c>
      <c r="P87" s="2"/>
      <c r="Q87" s="2"/>
    </row>
    <row r="88" spans="1:17" x14ac:dyDescent="0.15">
      <c r="A88" s="17"/>
      <c r="B88" s="2" t="s">
        <v>168</v>
      </c>
      <c r="C88" s="7">
        <v>26442559</v>
      </c>
      <c r="D88" s="7">
        <v>26508335</v>
      </c>
      <c r="E88" s="7">
        <v>3433712134</v>
      </c>
      <c r="F88" s="7">
        <v>1520607516000</v>
      </c>
      <c r="G88" s="2">
        <f t="shared" si="3"/>
        <v>1520607516</v>
      </c>
      <c r="H88" s="7">
        <v>82176</v>
      </c>
      <c r="I88" s="7">
        <v>32767146</v>
      </c>
      <c r="J88" s="7">
        <v>65536</v>
      </c>
      <c r="K88" s="7">
        <v>2167804</v>
      </c>
      <c r="L88" s="3">
        <f>H88*numbers!$O$6 + J88*numbers!$O$5</f>
        <v>0.27097599999999999</v>
      </c>
      <c r="M88" s="3">
        <f>L88*numbers!$O$11</f>
        <v>270976000</v>
      </c>
      <c r="N88" s="7">
        <v>2063590967400</v>
      </c>
      <c r="P88" s="2"/>
      <c r="Q88" s="2"/>
    </row>
    <row r="89" spans="1:17" x14ac:dyDescent="0.15">
      <c r="A89" s="17"/>
      <c r="B89" s="2" t="s">
        <v>170</v>
      </c>
      <c r="C89" s="7">
        <v>26442559</v>
      </c>
      <c r="D89" s="7">
        <v>26508335</v>
      </c>
      <c r="E89" s="7">
        <v>3433712134</v>
      </c>
      <c r="F89" s="7">
        <v>1520607516000</v>
      </c>
      <c r="G89" s="2">
        <f t="shared" si="3"/>
        <v>1520607516</v>
      </c>
      <c r="H89" s="7">
        <v>82176</v>
      </c>
      <c r="I89" s="7">
        <v>32767146</v>
      </c>
      <c r="J89" s="7">
        <v>65536</v>
      </c>
      <c r="K89" s="7">
        <v>2167804</v>
      </c>
      <c r="L89" s="3">
        <f>H89*numbers!$O$6 + J89*numbers!$O$5</f>
        <v>0.27097599999999999</v>
      </c>
      <c r="M89" s="3">
        <f>L89*numbers!$O$11</f>
        <v>270976000</v>
      </c>
      <c r="N89" s="7">
        <v>2063590967400</v>
      </c>
      <c r="P89" s="2"/>
      <c r="Q89" s="2"/>
    </row>
    <row r="90" spans="1:17" x14ac:dyDescent="0.15">
      <c r="A90" s="17"/>
      <c r="B90" s="2" t="s">
        <v>169</v>
      </c>
      <c r="C90" s="7">
        <v>23675914</v>
      </c>
      <c r="D90" s="7">
        <v>23827146</v>
      </c>
      <c r="E90" s="7">
        <v>3206841854</v>
      </c>
      <c r="F90" s="7">
        <v>1407172362000</v>
      </c>
      <c r="G90" s="2">
        <f t="shared" si="3"/>
        <v>1407172362</v>
      </c>
      <c r="H90" s="7">
        <v>132096</v>
      </c>
      <c r="I90" s="7">
        <v>30747313</v>
      </c>
      <c r="J90" s="7">
        <v>65536</v>
      </c>
      <c r="K90" s="7">
        <v>1852202</v>
      </c>
      <c r="L90" s="3">
        <f>H90*numbers!$O$6 + J90*numbers!$O$5</f>
        <v>0.39577599999999996</v>
      </c>
      <c r="M90" s="3">
        <f>L90*numbers!$O$11</f>
        <v>395775999.99999994</v>
      </c>
      <c r="N90" s="7">
        <v>1943901501555</v>
      </c>
      <c r="P90" s="2"/>
      <c r="Q90" s="2"/>
    </row>
    <row r="91" spans="1:17" x14ac:dyDescent="0.15">
      <c r="A91" s="17"/>
      <c r="B91" s="2" t="s">
        <v>166</v>
      </c>
      <c r="C91" s="7">
        <v>23675914</v>
      </c>
      <c r="D91" s="7">
        <v>23827146</v>
      </c>
      <c r="E91" s="7">
        <v>3206841854</v>
      </c>
      <c r="F91" s="7">
        <v>1407172362000</v>
      </c>
      <c r="G91" s="2">
        <f t="shared" si="3"/>
        <v>1407172362</v>
      </c>
      <c r="H91" s="7">
        <v>132096</v>
      </c>
      <c r="I91" s="7">
        <v>30747313</v>
      </c>
      <c r="J91" s="7">
        <v>65536</v>
      </c>
      <c r="K91" s="7">
        <v>1852202</v>
      </c>
      <c r="L91" s="3">
        <f>H91*numbers!$O$6 + J91*numbers!$O$5</f>
        <v>0.39577599999999996</v>
      </c>
      <c r="M91" s="3">
        <f>L91*numbers!$O$11</f>
        <v>395775999.99999994</v>
      </c>
      <c r="N91" s="7">
        <v>1943901501555</v>
      </c>
      <c r="P91" s="2"/>
      <c r="Q91" s="2"/>
    </row>
    <row r="92" spans="1:17" x14ac:dyDescent="0.15">
      <c r="A92" s="17" t="s">
        <v>188</v>
      </c>
      <c r="B92" s="2" t="s">
        <v>159</v>
      </c>
      <c r="C92" s="7">
        <v>21434905</v>
      </c>
      <c r="D92" s="7">
        <v>21965814</v>
      </c>
      <c r="E92" s="7">
        <v>3213134040</v>
      </c>
      <c r="F92" s="7">
        <v>1562376054000</v>
      </c>
      <c r="G92" s="2">
        <f t="shared" si="3"/>
        <v>1562376054</v>
      </c>
      <c r="H92" s="7">
        <v>0</v>
      </c>
      <c r="I92" s="7">
        <v>30698628</v>
      </c>
      <c r="J92" s="7">
        <v>0</v>
      </c>
      <c r="K92" s="7">
        <v>792862</v>
      </c>
      <c r="L92" s="3">
        <f>H92*numbers!$O$6 + J92*numbers!$O$5</f>
        <v>0</v>
      </c>
      <c r="M92" s="3">
        <f>L92*numbers!$O$11</f>
        <v>0</v>
      </c>
      <c r="N92" s="7">
        <v>1957667391630</v>
      </c>
      <c r="P92" s="2"/>
      <c r="Q92" s="2"/>
    </row>
    <row r="93" spans="1:17" x14ac:dyDescent="0.15">
      <c r="A93" s="17"/>
      <c r="B93" s="2" t="s">
        <v>160</v>
      </c>
      <c r="C93" s="7">
        <v>11266930</v>
      </c>
      <c r="D93" s="7">
        <v>11801497</v>
      </c>
      <c r="E93" s="7">
        <v>1655732288</v>
      </c>
      <c r="F93" s="7">
        <v>783638929000</v>
      </c>
      <c r="G93" s="2">
        <f t="shared" si="3"/>
        <v>783638929</v>
      </c>
      <c r="H93" s="7">
        <v>2840</v>
      </c>
      <c r="I93" s="7">
        <v>15863663</v>
      </c>
      <c r="J93" s="7">
        <v>3072</v>
      </c>
      <c r="K93" s="7">
        <v>442671</v>
      </c>
      <c r="L93" s="3">
        <f>H93*numbers!$O$6 + J93*numbers!$O$5</f>
        <v>1.0172E-2</v>
      </c>
      <c r="M93" s="3">
        <f>L93*numbers!$O$11</f>
        <v>10172000</v>
      </c>
      <c r="N93" s="7">
        <v>1007520779895</v>
      </c>
      <c r="P93" s="2"/>
      <c r="Q93" s="2"/>
    </row>
    <row r="94" spans="1:17" x14ac:dyDescent="0.15">
      <c r="A94" s="17"/>
      <c r="B94" s="2" t="s">
        <v>163</v>
      </c>
      <c r="C94" s="7">
        <v>12180259</v>
      </c>
      <c r="D94" s="7">
        <v>12715947</v>
      </c>
      <c r="E94" s="7">
        <v>1781790892</v>
      </c>
      <c r="F94" s="7">
        <v>846598120000</v>
      </c>
      <c r="G94" s="2">
        <f t="shared" si="3"/>
        <v>846598120</v>
      </c>
      <c r="H94" s="7">
        <v>2840</v>
      </c>
      <c r="I94" s="7">
        <v>17049719</v>
      </c>
      <c r="J94" s="7">
        <v>3072</v>
      </c>
      <c r="K94" s="7">
        <v>503261</v>
      </c>
      <c r="L94" s="3">
        <f>H94*numbers!$O$6 + J94*numbers!$O$5</f>
        <v>1.0172E-2</v>
      </c>
      <c r="M94" s="3">
        <f>L94*numbers!$O$11</f>
        <v>10172000</v>
      </c>
      <c r="N94" s="7">
        <v>1083965271615</v>
      </c>
      <c r="P94" s="2"/>
      <c r="Q94" s="2"/>
    </row>
    <row r="95" spans="1:17" x14ac:dyDescent="0.15">
      <c r="A95" s="17"/>
      <c r="B95" s="2" t="s">
        <v>161</v>
      </c>
      <c r="C95" s="7">
        <v>12180259</v>
      </c>
      <c r="D95" s="7">
        <v>12715947</v>
      </c>
      <c r="E95" s="7">
        <v>1781790892</v>
      </c>
      <c r="F95" s="7">
        <v>846598120000</v>
      </c>
      <c r="G95" s="2">
        <f t="shared" si="3"/>
        <v>846598120</v>
      </c>
      <c r="H95" s="7">
        <v>2840</v>
      </c>
      <c r="I95" s="7">
        <v>17049719</v>
      </c>
      <c r="J95" s="7">
        <v>3072</v>
      </c>
      <c r="K95" s="7">
        <v>503261</v>
      </c>
      <c r="L95" s="3">
        <f>H95*numbers!$O$6 + J95*numbers!$O$5</f>
        <v>1.0172E-2</v>
      </c>
      <c r="M95" s="3">
        <f>L95*numbers!$O$11</f>
        <v>10172000</v>
      </c>
      <c r="N95" s="7">
        <v>1083965271615</v>
      </c>
      <c r="P95" s="2"/>
      <c r="Q95" s="2"/>
    </row>
    <row r="96" spans="1:17" x14ac:dyDescent="0.15">
      <c r="A96" s="17"/>
      <c r="B96" s="2" t="s">
        <v>164</v>
      </c>
      <c r="C96" s="7">
        <v>12286294</v>
      </c>
      <c r="D96" s="7">
        <v>12824736</v>
      </c>
      <c r="E96" s="7">
        <v>1800127586</v>
      </c>
      <c r="F96" s="7">
        <v>855766284000</v>
      </c>
      <c r="G96" s="2">
        <f t="shared" si="3"/>
        <v>855766284</v>
      </c>
      <c r="H96" s="7">
        <v>3632</v>
      </c>
      <c r="I96" s="7">
        <v>17225184</v>
      </c>
      <c r="J96" s="7">
        <v>3072</v>
      </c>
      <c r="K96" s="7">
        <v>508677</v>
      </c>
      <c r="L96" s="3">
        <f>H96*numbers!$O$6 + J96*numbers!$O$5</f>
        <v>1.2152E-2</v>
      </c>
      <c r="M96" s="3">
        <f>L96*numbers!$O$11</f>
        <v>12152000</v>
      </c>
      <c r="N96" s="7">
        <v>1095296834430</v>
      </c>
      <c r="P96" s="2"/>
      <c r="Q96" s="2"/>
    </row>
    <row r="97" spans="1:17" x14ac:dyDescent="0.15">
      <c r="A97" s="17"/>
      <c r="B97" s="2" t="s">
        <v>162</v>
      </c>
      <c r="C97" s="7">
        <v>12286294</v>
      </c>
      <c r="D97" s="7">
        <v>12824736</v>
      </c>
      <c r="E97" s="7">
        <v>1800127586</v>
      </c>
      <c r="F97" s="7">
        <v>855766284000</v>
      </c>
      <c r="G97" s="2">
        <f t="shared" si="3"/>
        <v>855766284</v>
      </c>
      <c r="H97" s="7">
        <v>3632</v>
      </c>
      <c r="I97" s="7">
        <v>17225184</v>
      </c>
      <c r="J97" s="7">
        <v>3072</v>
      </c>
      <c r="K97" s="7">
        <v>508677</v>
      </c>
      <c r="L97" s="3">
        <f>H97*numbers!$O$6 + J97*numbers!$O$5</f>
        <v>1.2152E-2</v>
      </c>
      <c r="M97" s="3">
        <f>L97*numbers!$O$11</f>
        <v>12152000</v>
      </c>
      <c r="N97" s="7">
        <v>1095296834430</v>
      </c>
      <c r="P97" s="2"/>
      <c r="Q97" s="2"/>
    </row>
    <row r="98" spans="1:17" x14ac:dyDescent="0.15">
      <c r="A98" t="s">
        <v>178</v>
      </c>
      <c r="B98" s="2" t="s">
        <v>145</v>
      </c>
      <c r="C98" s="7">
        <v>41801012</v>
      </c>
      <c r="D98" s="7">
        <v>41816132</v>
      </c>
      <c r="E98" s="7">
        <v>6262538738</v>
      </c>
      <c r="F98" s="7">
        <v>2897597836000</v>
      </c>
      <c r="G98" s="2">
        <f>F98/1000</f>
        <v>2897597836</v>
      </c>
      <c r="H98" s="7">
        <v>0</v>
      </c>
      <c r="I98" s="7">
        <v>60199465</v>
      </c>
      <c r="J98" s="7">
        <v>0</v>
      </c>
      <c r="K98" s="7">
        <v>1379402</v>
      </c>
      <c r="L98" s="3">
        <f>H98*numbers!$O$6 + J98*numbers!$O$5</f>
        <v>0</v>
      </c>
      <c r="M98" s="3">
        <f>L98*numbers!$O$11</f>
        <v>0</v>
      </c>
      <c r="N98" s="7">
        <v>3795055069050</v>
      </c>
      <c r="P98" s="2"/>
      <c r="Q98" s="2"/>
    </row>
    <row r="99" spans="1:17" x14ac:dyDescent="0.15">
      <c r="A99" t="s">
        <v>179</v>
      </c>
      <c r="B99" s="2" t="s">
        <v>165</v>
      </c>
      <c r="C99" s="7">
        <v>850212</v>
      </c>
      <c r="D99" s="7">
        <v>863281</v>
      </c>
      <c r="E99" s="7">
        <v>109548540</v>
      </c>
      <c r="F99" s="7">
        <v>12264384000</v>
      </c>
      <c r="G99" s="2">
        <f>F99/1000</f>
        <v>12264384</v>
      </c>
      <c r="H99" s="7">
        <v>0</v>
      </c>
      <c r="I99" s="7">
        <v>1085467</v>
      </c>
      <c r="J99" s="7">
        <v>0</v>
      </c>
      <c r="K99" s="7">
        <v>100375</v>
      </c>
      <c r="L99" s="3">
        <f>H99*numbers!$O$6 + J99*numbers!$O$5</f>
        <v>0</v>
      </c>
      <c r="M99" s="3">
        <f>L99*numbers!$O$11</f>
        <v>0</v>
      </c>
      <c r="N99" s="7">
        <v>65685756420</v>
      </c>
      <c r="P99" s="2"/>
    </row>
    <row r="100" spans="1:17" x14ac:dyDescent="0.15">
      <c r="A100" t="s">
        <v>181</v>
      </c>
      <c r="B100" s="2" t="s">
        <v>158</v>
      </c>
      <c r="C100" s="7">
        <v>727823</v>
      </c>
      <c r="D100" s="7">
        <v>740636</v>
      </c>
      <c r="E100" s="7">
        <v>94403128</v>
      </c>
      <c r="F100" s="7">
        <v>23550254000</v>
      </c>
      <c r="G100" s="2">
        <f>F100/1000</f>
        <v>23550254</v>
      </c>
      <c r="H100" s="7">
        <v>0</v>
      </c>
      <c r="I100" s="7">
        <v>914963</v>
      </c>
      <c r="J100" s="7">
        <v>0</v>
      </c>
      <c r="K100" s="7">
        <v>84010</v>
      </c>
      <c r="L100" s="3">
        <f>H100*numbers!$O$6 + J100*numbers!$O$5</f>
        <v>0</v>
      </c>
      <c r="M100" s="3">
        <f>L100*numbers!$O$11</f>
        <v>0</v>
      </c>
      <c r="N100" s="7">
        <v>56708901795</v>
      </c>
      <c r="P100" s="2"/>
    </row>
    <row r="101" spans="1:17" x14ac:dyDescent="0.15">
      <c r="A101" t="s">
        <v>183</v>
      </c>
      <c r="B101" s="2" t="s">
        <v>144</v>
      </c>
      <c r="C101" s="7">
        <v>186147751</v>
      </c>
      <c r="D101" s="7">
        <v>186161474</v>
      </c>
      <c r="E101" s="7">
        <v>27745122770</v>
      </c>
      <c r="F101" s="7">
        <v>13718909751000</v>
      </c>
      <c r="G101" s="2">
        <f>F101/1000</f>
        <v>13718909751</v>
      </c>
      <c r="H101" s="7">
        <v>0</v>
      </c>
      <c r="I101" s="7">
        <v>262849838</v>
      </c>
      <c r="J101" s="7">
        <v>0</v>
      </c>
      <c r="K101" s="7">
        <v>6703963</v>
      </c>
      <c r="L101" s="3">
        <f>H101*numbers!$O$6 + J101*numbers!$O$5</f>
        <v>0</v>
      </c>
      <c r="M101" s="3">
        <f>L101*numbers!$O$11</f>
        <v>0</v>
      </c>
      <c r="N101" s="7">
        <v>16986913823070</v>
      </c>
      <c r="P101" s="2"/>
    </row>
    <row r="103" spans="1:17" x14ac:dyDescent="0.15">
      <c r="G103" s="2"/>
    </row>
    <row r="104" spans="1:17" x14ac:dyDescent="0.15">
      <c r="G104" s="2"/>
    </row>
    <row r="105" spans="1:17" x14ac:dyDescent="0.15">
      <c r="G105" s="2"/>
    </row>
    <row r="106" spans="1:17" x14ac:dyDescent="0.15">
      <c r="G106" s="2"/>
    </row>
    <row r="107" spans="1:17" x14ac:dyDescent="0.15">
      <c r="G107" s="2"/>
    </row>
    <row r="108" spans="1:17" x14ac:dyDescent="0.15">
      <c r="B108" s="2"/>
      <c r="G108" s="2"/>
    </row>
    <row r="109" spans="1:17" x14ac:dyDescent="0.15">
      <c r="B109" s="2"/>
      <c r="G109" s="2"/>
    </row>
    <row r="110" spans="1:17" x14ac:dyDescent="0.15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7" ht="16" x14ac:dyDescent="0.2">
      <c r="B111" s="5"/>
      <c r="J111" s="6"/>
      <c r="K111" s="6"/>
    </row>
    <row r="112" spans="1:17" x14ac:dyDescent="0.15">
      <c r="B112" s="5"/>
    </row>
    <row r="113" spans="2:6" x14ac:dyDescent="0.15">
      <c r="B113" s="5"/>
    </row>
    <row r="114" spans="2:6" x14ac:dyDescent="0.15">
      <c r="B114" s="5"/>
    </row>
    <row r="115" spans="2:6" x14ac:dyDescent="0.15">
      <c r="B115" s="5"/>
    </row>
    <row r="116" spans="2:6" x14ac:dyDescent="0.15">
      <c r="B116" s="5"/>
    </row>
    <row r="117" spans="2:6" x14ac:dyDescent="0.15">
      <c r="B117" s="2"/>
      <c r="C117" s="2"/>
    </row>
    <row r="118" spans="2:6" x14ac:dyDescent="0.15">
      <c r="B118" s="2"/>
      <c r="C118" s="2"/>
    </row>
    <row r="119" spans="2:6" x14ac:dyDescent="0.15">
      <c r="B119" s="2"/>
      <c r="C119" s="2"/>
    </row>
    <row r="120" spans="2:6" x14ac:dyDescent="0.15">
      <c r="B120" s="2"/>
      <c r="C120" s="2"/>
    </row>
    <row r="121" spans="2:6" x14ac:dyDescent="0.15">
      <c r="B121" s="2"/>
      <c r="C121" s="2"/>
    </row>
    <row r="122" spans="2:6" x14ac:dyDescent="0.15">
      <c r="B122" s="2"/>
      <c r="C122" s="2"/>
    </row>
    <row r="123" spans="2:6" x14ac:dyDescent="0.15">
      <c r="B123" s="2"/>
      <c r="C123" s="2"/>
    </row>
    <row r="124" spans="2:6" x14ac:dyDescent="0.15">
      <c r="B124" s="2"/>
      <c r="C124" s="2"/>
    </row>
    <row r="125" spans="2:6" x14ac:dyDescent="0.15">
      <c r="B125" s="2"/>
      <c r="C125" s="2"/>
      <c r="F125" t="s">
        <v>105</v>
      </c>
    </row>
    <row r="126" spans="2:6" x14ac:dyDescent="0.15">
      <c r="B126" s="2"/>
      <c r="C126" s="2" t="s">
        <v>62</v>
      </c>
      <c r="E126" t="s">
        <v>11</v>
      </c>
      <c r="F126">
        <f>G2/E2</f>
        <v>0.22621969886561508</v>
      </c>
    </row>
    <row r="127" spans="2:6" x14ac:dyDescent="0.15">
      <c r="B127" s="2"/>
      <c r="C127" s="2" t="s">
        <v>32</v>
      </c>
      <c r="E127" t="s">
        <v>32</v>
      </c>
      <c r="F127">
        <f>G8/E8</f>
        <v>0.26790628628675428</v>
      </c>
    </row>
    <row r="128" spans="2:6" x14ac:dyDescent="0.15">
      <c r="B128" s="2"/>
      <c r="C128" s="2" t="s">
        <v>25</v>
      </c>
      <c r="E128" t="s">
        <v>25</v>
      </c>
      <c r="F128">
        <f>G14/E14</f>
        <v>0.27679866585160096</v>
      </c>
    </row>
    <row r="129" spans="2:6" x14ac:dyDescent="0.15">
      <c r="B129" s="2"/>
      <c r="C129" s="2" t="s">
        <v>39</v>
      </c>
      <c r="E129" t="s">
        <v>39</v>
      </c>
      <c r="F129">
        <f>G20/E20</f>
        <v>0.22231500610372193</v>
      </c>
    </row>
    <row r="130" spans="2:6" x14ac:dyDescent="0.15">
      <c r="B130" s="2"/>
      <c r="C130" s="2" t="s">
        <v>46</v>
      </c>
      <c r="E130" t="s">
        <v>46</v>
      </c>
      <c r="F130">
        <f>G26/E26</f>
        <v>0.28366315823511706</v>
      </c>
    </row>
    <row r="131" spans="2:6" x14ac:dyDescent="0.15">
      <c r="B131" s="2"/>
      <c r="C131" s="2" t="s">
        <v>127</v>
      </c>
      <c r="E131" t="s">
        <v>127</v>
      </c>
      <c r="F131" s="2">
        <f>G32/E32</f>
        <v>0.24718456265662048</v>
      </c>
    </row>
    <row r="132" spans="2:6" x14ac:dyDescent="0.15">
      <c r="B132" s="2"/>
      <c r="C132" s="2" t="s">
        <v>128</v>
      </c>
      <c r="E132" t="s">
        <v>128</v>
      </c>
      <c r="F132" s="2">
        <f>G38/E38</f>
        <v>0.46222524874855025</v>
      </c>
    </row>
    <row r="133" spans="2:6" x14ac:dyDescent="0.15">
      <c r="B133" s="2"/>
      <c r="C133" s="2" t="s">
        <v>129</v>
      </c>
      <c r="E133" t="s">
        <v>129</v>
      </c>
      <c r="F133" s="2">
        <f>G44/E44</f>
        <v>0.48048512030473223</v>
      </c>
    </row>
    <row r="134" spans="2:6" x14ac:dyDescent="0.15">
      <c r="B134" s="2"/>
      <c r="C134" s="2" t="s">
        <v>53</v>
      </c>
      <c r="E134" t="s">
        <v>53</v>
      </c>
      <c r="F134" s="2">
        <f>G50/E50</f>
        <v>0.47223294440647273</v>
      </c>
    </row>
    <row r="135" spans="2:6" x14ac:dyDescent="0.15">
      <c r="B135" s="2"/>
      <c r="C135" s="12" t="s">
        <v>180</v>
      </c>
      <c r="E135" s="12" t="s">
        <v>180</v>
      </c>
      <c r="F135" s="2">
        <f>G56/E56</f>
        <v>0.15258436297550929</v>
      </c>
    </row>
    <row r="136" spans="2:6" x14ac:dyDescent="0.15">
      <c r="C136" s="12" t="s">
        <v>182</v>
      </c>
      <c r="E136" s="12" t="s">
        <v>182</v>
      </c>
      <c r="F136" s="2">
        <f>G62/E62</f>
        <v>0.17779070403537109</v>
      </c>
    </row>
    <row r="137" spans="2:6" x14ac:dyDescent="0.15">
      <c r="C137" s="12" t="s">
        <v>184</v>
      </c>
      <c r="E137" s="12" t="s">
        <v>184</v>
      </c>
      <c r="F137" s="2">
        <f>G68/E68</f>
        <v>0.444933227552329</v>
      </c>
    </row>
    <row r="138" spans="2:6" x14ac:dyDescent="0.15">
      <c r="C138" s="12" t="s">
        <v>185</v>
      </c>
      <c r="E138" s="12" t="s">
        <v>185</v>
      </c>
      <c r="F138" s="2">
        <f>G74/E74</f>
        <v>0.4469989711300712</v>
      </c>
    </row>
    <row r="139" spans="2:6" x14ac:dyDescent="0.15">
      <c r="C139" s="12" t="s">
        <v>186</v>
      </c>
      <c r="E139" s="12" t="s">
        <v>186</v>
      </c>
      <c r="F139" s="2">
        <f>G80/E80</f>
        <v>0.49815229725834342</v>
      </c>
    </row>
    <row r="140" spans="2:6" x14ac:dyDescent="0.15">
      <c r="C140" s="12" t="s">
        <v>187</v>
      </c>
      <c r="E140" s="12" t="s">
        <v>187</v>
      </c>
      <c r="F140" s="2">
        <f>G86/E86</f>
        <v>0.49815383071247582</v>
      </c>
    </row>
    <row r="141" spans="2:6" x14ac:dyDescent="0.15">
      <c r="C141" s="12" t="s">
        <v>188</v>
      </c>
      <c r="E141" s="12" t="s">
        <v>188</v>
      </c>
      <c r="F141" s="2">
        <f>G92/E92</f>
        <v>0.4862467717033056</v>
      </c>
    </row>
    <row r="142" spans="2:6" x14ac:dyDescent="0.15">
      <c r="C142" s="2" t="s">
        <v>178</v>
      </c>
      <c r="E142" s="2" t="s">
        <v>178</v>
      </c>
      <c r="F142" s="2">
        <f>G98/E98</f>
        <v>0.46268741116408246</v>
      </c>
    </row>
    <row r="143" spans="2:6" x14ac:dyDescent="0.15">
      <c r="C143" s="2" t="s">
        <v>179</v>
      </c>
      <c r="E143" s="2" t="s">
        <v>179</v>
      </c>
      <c r="F143" s="2">
        <f t="shared" ref="F143:F145" si="4">G99/E99</f>
        <v>0.11195387907497444</v>
      </c>
    </row>
    <row r="144" spans="2:6" x14ac:dyDescent="0.15">
      <c r="C144" s="2" t="s">
        <v>181</v>
      </c>
      <c r="E144" s="2" t="s">
        <v>181</v>
      </c>
      <c r="F144" s="2">
        <f t="shared" si="4"/>
        <v>0.24946476349809088</v>
      </c>
    </row>
    <row r="145" spans="3:6" x14ac:dyDescent="0.15">
      <c r="C145" s="2" t="s">
        <v>183</v>
      </c>
      <c r="E145" s="2" t="s">
        <v>183</v>
      </c>
      <c r="F145" s="2">
        <f t="shared" si="4"/>
        <v>0.49446203084867446</v>
      </c>
    </row>
  </sheetData>
  <sortState ref="B111:K116">
    <sortCondition ref="B111:B116"/>
  </sortState>
  <mergeCells count="16">
    <mergeCell ref="A80:A85"/>
    <mergeCell ref="A86:A91"/>
    <mergeCell ref="A92:A97"/>
    <mergeCell ref="A56:A61"/>
    <mergeCell ref="A62:A67"/>
    <mergeCell ref="A68:A73"/>
    <mergeCell ref="A74:A79"/>
    <mergeCell ref="A38:A43"/>
    <mergeCell ref="A44:A49"/>
    <mergeCell ref="A32:A37"/>
    <mergeCell ref="A50:A55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A90D-72FE-454A-86DD-BFFED6C7F43E}">
  <dimension ref="A1:X15"/>
  <sheetViews>
    <sheetView workbookViewId="0">
      <selection activeCell="A2" sqref="A2"/>
    </sheetView>
  </sheetViews>
  <sheetFormatPr baseColWidth="10" defaultRowHeight="13" x14ac:dyDescent="0.15"/>
  <cols>
    <col min="1" max="1" width="30.83203125" bestFit="1" customWidth="1"/>
    <col min="6" max="6" width="10.83203125" style="2"/>
    <col min="12" max="12" width="15.5" customWidth="1"/>
  </cols>
  <sheetData>
    <row r="1" spans="1:24" s="2" customFormat="1" x14ac:dyDescent="0.15">
      <c r="B1" s="7"/>
      <c r="C1" s="7"/>
      <c r="D1" s="7"/>
      <c r="E1" s="7"/>
      <c r="F1" s="7"/>
      <c r="G1" s="7" t="s">
        <v>7</v>
      </c>
      <c r="H1" s="7" t="s">
        <v>8</v>
      </c>
      <c r="I1" s="7" t="s">
        <v>9</v>
      </c>
      <c r="J1" s="7" t="s">
        <v>10</v>
      </c>
      <c r="K1" s="7" t="s">
        <v>216</v>
      </c>
    </row>
    <row r="2" spans="1:24" x14ac:dyDescent="0.15">
      <c r="A2" s="5" t="s">
        <v>215</v>
      </c>
      <c r="B2" s="7">
        <v>222164</v>
      </c>
      <c r="C2" s="7">
        <v>235822</v>
      </c>
      <c r="D2" s="7">
        <v>30822920</v>
      </c>
      <c r="E2" s="7">
        <v>7618950000</v>
      </c>
      <c r="F2" s="7">
        <f t="shared" ref="F2:F7" si="0">E2/1000</f>
        <v>7618950</v>
      </c>
      <c r="G2" s="7">
        <v>0</v>
      </c>
      <c r="H2" s="7">
        <v>288775</v>
      </c>
      <c r="I2" s="7">
        <v>0</v>
      </c>
      <c r="J2" s="7">
        <v>24918</v>
      </c>
      <c r="K2" s="7">
        <v>18458584830</v>
      </c>
      <c r="L2" t="s">
        <v>97</v>
      </c>
      <c r="M2">
        <v>112073</v>
      </c>
      <c r="N2">
        <v>125658</v>
      </c>
      <c r="O2">
        <v>15581098</v>
      </c>
      <c r="P2">
        <v>986499000</v>
      </c>
      <c r="Q2">
        <v>986499</v>
      </c>
      <c r="R2">
        <v>0</v>
      </c>
      <c r="S2">
        <v>140057</v>
      </c>
      <c r="T2">
        <v>0</v>
      </c>
      <c r="U2">
        <v>19629</v>
      </c>
      <c r="V2">
        <v>0</v>
      </c>
      <c r="W2">
        <v>0</v>
      </c>
      <c r="X2">
        <v>9215485335</v>
      </c>
    </row>
    <row r="3" spans="1:24" x14ac:dyDescent="0.15">
      <c r="A3" s="5" t="s">
        <v>213</v>
      </c>
      <c r="B3" s="7">
        <v>165133</v>
      </c>
      <c r="C3" s="7">
        <v>180477</v>
      </c>
      <c r="D3" s="7">
        <v>22346122</v>
      </c>
      <c r="E3" s="7">
        <v>3383448000</v>
      </c>
      <c r="F3" s="7">
        <f t="shared" si="0"/>
        <v>3383448</v>
      </c>
      <c r="G3" s="7">
        <v>272</v>
      </c>
      <c r="H3" s="7">
        <v>203774</v>
      </c>
      <c r="I3" s="7">
        <v>134</v>
      </c>
      <c r="J3" s="7">
        <v>24496</v>
      </c>
      <c r="K3" s="7">
        <v>13292443125</v>
      </c>
      <c r="L3" t="s">
        <v>95</v>
      </c>
      <c r="M3">
        <v>113261</v>
      </c>
      <c r="N3">
        <v>128528</v>
      </c>
      <c r="O3">
        <v>15674570</v>
      </c>
      <c r="P3">
        <v>1054634000</v>
      </c>
      <c r="Q3">
        <v>1054634</v>
      </c>
      <c r="R3">
        <v>41</v>
      </c>
      <c r="S3">
        <v>140055</v>
      </c>
      <c r="T3">
        <v>17</v>
      </c>
      <c r="U3">
        <v>20853</v>
      </c>
      <c r="V3">
        <v>1.195E-4</v>
      </c>
      <c r="W3">
        <v>119500</v>
      </c>
      <c r="X3">
        <v>9255289935</v>
      </c>
    </row>
    <row r="4" spans="1:24" x14ac:dyDescent="0.15">
      <c r="A4" s="5" t="s">
        <v>212</v>
      </c>
      <c r="B4" s="7">
        <v>210472</v>
      </c>
      <c r="C4" s="7">
        <v>226367</v>
      </c>
      <c r="D4" s="7">
        <v>28171620</v>
      </c>
      <c r="E4" s="7">
        <v>6290241000</v>
      </c>
      <c r="F4" s="7">
        <f t="shared" si="0"/>
        <v>6290241</v>
      </c>
      <c r="G4" s="7">
        <v>271</v>
      </c>
      <c r="H4" s="7">
        <v>258945</v>
      </c>
      <c r="I4" s="7">
        <v>134</v>
      </c>
      <c r="J4" s="7">
        <v>27439</v>
      </c>
      <c r="K4" s="7">
        <v>16848367485</v>
      </c>
      <c r="L4" t="s">
        <v>94</v>
      </c>
      <c r="M4">
        <v>119685</v>
      </c>
      <c r="N4">
        <v>135048</v>
      </c>
      <c r="O4">
        <v>16524028</v>
      </c>
      <c r="P4">
        <v>1468542000</v>
      </c>
      <c r="Q4">
        <v>1468542</v>
      </c>
      <c r="R4">
        <v>40</v>
      </c>
      <c r="S4">
        <v>147885</v>
      </c>
      <c r="T4">
        <v>17</v>
      </c>
      <c r="U4">
        <v>21287</v>
      </c>
      <c r="V4">
        <v>1.17E-4</v>
      </c>
      <c r="W4">
        <v>117000</v>
      </c>
      <c r="X4">
        <v>9781016370</v>
      </c>
    </row>
    <row r="5" spans="1:24" x14ac:dyDescent="0.15">
      <c r="A5" s="5" t="s">
        <v>211</v>
      </c>
      <c r="B5" s="7">
        <v>210472</v>
      </c>
      <c r="C5" s="7">
        <v>226367</v>
      </c>
      <c r="D5" s="7">
        <v>28171620</v>
      </c>
      <c r="E5" s="7">
        <v>6290241000</v>
      </c>
      <c r="F5" s="7">
        <f t="shared" si="0"/>
        <v>6290241</v>
      </c>
      <c r="G5" s="7">
        <v>271</v>
      </c>
      <c r="H5" s="7">
        <v>258945</v>
      </c>
      <c r="I5" s="7">
        <v>134</v>
      </c>
      <c r="J5" s="7">
        <v>27439</v>
      </c>
      <c r="K5" s="7">
        <v>16848367485</v>
      </c>
      <c r="L5" t="s">
        <v>93</v>
      </c>
      <c r="M5">
        <v>119685</v>
      </c>
      <c r="N5">
        <v>135048</v>
      </c>
      <c r="O5">
        <v>16524028</v>
      </c>
      <c r="P5">
        <v>1468542000</v>
      </c>
      <c r="Q5">
        <v>1468542</v>
      </c>
      <c r="R5">
        <v>40</v>
      </c>
      <c r="S5">
        <v>147885</v>
      </c>
      <c r="T5">
        <v>17</v>
      </c>
      <c r="U5">
        <v>21287</v>
      </c>
      <c r="V5">
        <v>1.17E-4</v>
      </c>
      <c r="W5">
        <v>117000</v>
      </c>
      <c r="X5">
        <v>9781016370</v>
      </c>
    </row>
    <row r="6" spans="1:24" x14ac:dyDescent="0.15">
      <c r="A6" s="5" t="s">
        <v>210</v>
      </c>
      <c r="B6" s="7">
        <v>217574</v>
      </c>
      <c r="C6" s="7">
        <v>234735</v>
      </c>
      <c r="D6" s="7">
        <v>29202694</v>
      </c>
      <c r="E6" s="7">
        <v>6806118000</v>
      </c>
      <c r="F6" s="7">
        <f t="shared" si="0"/>
        <v>6806118</v>
      </c>
      <c r="G6" s="7">
        <v>278</v>
      </c>
      <c r="H6" s="7">
        <v>268142</v>
      </c>
      <c r="I6" s="7">
        <v>134</v>
      </c>
      <c r="J6" s="7">
        <v>28516</v>
      </c>
      <c r="K6" s="7">
        <v>17427812355</v>
      </c>
      <c r="L6" t="s">
        <v>92</v>
      </c>
      <c r="M6">
        <v>119757</v>
      </c>
      <c r="N6">
        <v>135124</v>
      </c>
      <c r="O6">
        <v>16526828</v>
      </c>
      <c r="P6">
        <v>1468173000</v>
      </c>
      <c r="Q6">
        <v>1468173</v>
      </c>
      <c r="R6">
        <v>39</v>
      </c>
      <c r="S6">
        <v>147997</v>
      </c>
      <c r="T6">
        <v>16</v>
      </c>
      <c r="U6">
        <v>21303</v>
      </c>
      <c r="V6">
        <v>1.1349999999999998E-4</v>
      </c>
      <c r="W6">
        <v>113499.99999999999</v>
      </c>
      <c r="X6">
        <v>9777552585</v>
      </c>
    </row>
    <row r="7" spans="1:24" x14ac:dyDescent="0.15">
      <c r="A7" s="5" t="s">
        <v>214</v>
      </c>
      <c r="B7" s="7">
        <v>217574</v>
      </c>
      <c r="C7" s="7">
        <v>234735</v>
      </c>
      <c r="D7" s="7">
        <v>29202694</v>
      </c>
      <c r="E7" s="7">
        <v>6806118000</v>
      </c>
      <c r="F7" s="7">
        <f t="shared" si="0"/>
        <v>6806118</v>
      </c>
      <c r="G7" s="7">
        <v>278</v>
      </c>
      <c r="H7" s="7">
        <v>268142</v>
      </c>
      <c r="I7" s="7">
        <v>134</v>
      </c>
      <c r="J7" s="7">
        <v>28516</v>
      </c>
      <c r="K7" s="7">
        <v>17427812355</v>
      </c>
      <c r="L7" t="s">
        <v>96</v>
      </c>
      <c r="M7">
        <v>119757</v>
      </c>
      <c r="N7">
        <v>135124</v>
      </c>
      <c r="O7">
        <v>16526828</v>
      </c>
      <c r="P7">
        <v>1468173000</v>
      </c>
      <c r="Q7">
        <v>1468173</v>
      </c>
      <c r="R7">
        <v>39</v>
      </c>
      <c r="S7">
        <v>147997</v>
      </c>
      <c r="T7">
        <v>16</v>
      </c>
      <c r="U7">
        <v>21303</v>
      </c>
      <c r="V7">
        <v>1.1349999999999998E-4</v>
      </c>
      <c r="W7">
        <v>113499.99999999999</v>
      </c>
      <c r="X7">
        <v>9777552585</v>
      </c>
    </row>
    <row r="8" spans="1:24" s="2" customFormat="1" x14ac:dyDescent="0.15"/>
    <row r="9" spans="1:24" x14ac:dyDescent="0.15">
      <c r="A9" s="5" t="s">
        <v>209</v>
      </c>
      <c r="B9" s="7">
        <v>31726105</v>
      </c>
      <c r="C9" s="7">
        <v>31740362</v>
      </c>
      <c r="D9" s="7">
        <v>4635383800</v>
      </c>
      <c r="E9" s="7">
        <v>2142591430000</v>
      </c>
      <c r="F9" s="7">
        <f>E9/1000</f>
        <v>2142591430</v>
      </c>
      <c r="G9" s="7">
        <v>0</v>
      </c>
      <c r="H9" s="7">
        <v>44774891</v>
      </c>
      <c r="I9" s="7">
        <v>0</v>
      </c>
      <c r="J9" s="7">
        <v>931952</v>
      </c>
      <c r="K9" s="7">
        <v>2827410906900</v>
      </c>
    </row>
    <row r="10" spans="1:24" x14ac:dyDescent="0.15">
      <c r="A10" s="5" t="s">
        <v>206</v>
      </c>
      <c r="B10" s="7">
        <v>22222688</v>
      </c>
      <c r="C10" s="7">
        <v>22355606</v>
      </c>
      <c r="D10" s="7">
        <v>2965815914</v>
      </c>
      <c r="E10" s="7">
        <v>1307771288000</v>
      </c>
      <c r="F10" s="7">
        <f>E10/1000</f>
        <v>1307771288</v>
      </c>
      <c r="G10" s="7">
        <v>49166</v>
      </c>
      <c r="H10" s="7">
        <v>28386315</v>
      </c>
      <c r="I10" s="7">
        <v>17152</v>
      </c>
      <c r="J10" s="7">
        <v>1304547</v>
      </c>
      <c r="K10" s="7">
        <v>1799907561900</v>
      </c>
    </row>
    <row r="11" spans="1:24" ht="16" x14ac:dyDescent="0.2">
      <c r="A11" s="5" t="s">
        <v>207</v>
      </c>
      <c r="B11" s="7"/>
      <c r="C11" s="7"/>
      <c r="D11" s="7"/>
      <c r="E11" s="7"/>
      <c r="F11" s="7"/>
      <c r="G11" s="7"/>
      <c r="H11" s="7"/>
      <c r="I11" s="6"/>
      <c r="J11" s="6"/>
      <c r="K11" s="6"/>
    </row>
    <row r="12" spans="1:24" ht="16" x14ac:dyDescent="0.2">
      <c r="A12" s="5" t="s">
        <v>208</v>
      </c>
      <c r="B12" s="7"/>
      <c r="C12" s="7"/>
      <c r="D12" s="7"/>
      <c r="E12" s="7"/>
      <c r="F12" s="7"/>
      <c r="G12" s="7"/>
      <c r="H12" s="7"/>
      <c r="I12" s="7"/>
      <c r="J12" s="7"/>
      <c r="K12" s="6"/>
    </row>
    <row r="13" spans="1:24" ht="16" x14ac:dyDescent="0.2">
      <c r="A13" s="5" t="s">
        <v>205</v>
      </c>
      <c r="B13" s="7"/>
      <c r="C13" s="7"/>
      <c r="D13" s="7"/>
      <c r="E13" s="7"/>
      <c r="F13" s="7"/>
      <c r="G13" s="7"/>
      <c r="H13" s="7"/>
      <c r="I13" s="6"/>
      <c r="J13" s="6"/>
      <c r="K13" s="6"/>
    </row>
    <row r="14" spans="1:24" x14ac:dyDescent="0.15">
      <c r="A14" s="5" t="s">
        <v>204</v>
      </c>
      <c r="B14" s="7">
        <v>14954780</v>
      </c>
      <c r="C14" s="7">
        <v>14970807</v>
      </c>
      <c r="D14" s="7">
        <v>1989098866</v>
      </c>
      <c r="E14" s="7">
        <v>819527054000</v>
      </c>
      <c r="F14" s="7">
        <f>E14/1000</f>
        <v>819527054</v>
      </c>
      <c r="G14" s="7">
        <v>49166</v>
      </c>
      <c r="H14" s="7">
        <v>19184704</v>
      </c>
      <c r="I14" s="7">
        <v>17152</v>
      </c>
      <c r="J14" s="7">
        <v>746049</v>
      </c>
      <c r="K14" s="7">
        <v>1206898438710</v>
      </c>
    </row>
    <row r="15" spans="1:24" x14ac:dyDescent="0.15">
      <c r="A15" s="2"/>
      <c r="B15" s="2"/>
      <c r="C15" s="2"/>
      <c r="D15" s="2"/>
      <c r="E15" s="2"/>
      <c r="G15" s="2"/>
      <c r="H15" s="2"/>
      <c r="I15" s="2"/>
      <c r="J15" s="2"/>
      <c r="K15" s="2"/>
    </row>
  </sheetData>
  <sortState ref="A2:K15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8FD2-B5CB-D64A-AE5C-5ABF5EC5551F}">
  <dimension ref="A1:Z186"/>
  <sheetViews>
    <sheetView tabSelected="1" topLeftCell="B74" zoomScale="112" workbookViewId="0">
      <selection activeCell="H80" sqref="H80:J83"/>
    </sheetView>
  </sheetViews>
  <sheetFormatPr baseColWidth="10" defaultRowHeight="13" x14ac:dyDescent="0.15"/>
  <cols>
    <col min="2" max="2" width="16.83203125" customWidth="1"/>
    <col min="3" max="3" width="12.33203125" bestFit="1" customWidth="1"/>
    <col min="4" max="7" width="12.1640625" bestFit="1" customWidth="1"/>
    <col min="8" max="8" width="19" bestFit="1" customWidth="1"/>
    <col min="9" max="9" width="26" style="2" bestFit="1" customWidth="1"/>
    <col min="10" max="10" width="13.33203125" style="2" bestFit="1" customWidth="1"/>
    <col min="11" max="11" width="15.1640625" bestFit="1" customWidth="1"/>
    <col min="12" max="12" width="19" bestFit="1" customWidth="1"/>
    <col min="13" max="13" width="18.5" bestFit="1" customWidth="1"/>
    <col min="14" max="14" width="14" bestFit="1" customWidth="1"/>
    <col min="15" max="15" width="19.33203125" bestFit="1" customWidth="1"/>
    <col min="16" max="16" width="17" bestFit="1" customWidth="1"/>
  </cols>
  <sheetData>
    <row r="1" spans="1:26" s="1" customFormat="1" x14ac:dyDescent="0.15">
      <c r="A1" s="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I1" s="1" t="s">
        <v>106</v>
      </c>
      <c r="L1" s="1" t="s">
        <v>0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</row>
    <row r="2" spans="1:26" x14ac:dyDescent="0.15">
      <c r="A2" t="s">
        <v>62</v>
      </c>
      <c r="B2">
        <f ca="1">OFFSET(stats_raw!$G$2,(ROW(C1)-1)*6,0)/numbers!$O$11</f>
        <v>2.774548915</v>
      </c>
      <c r="C2">
        <f ca="1">OFFSET(stats_raw!$H$3,(ROW(C1)-1)*6,0)*numbers!$O$6 + OFFSET(stats_raw!$J$3,(ROW(C1)-1)*6,0)*numbers!$O$5</f>
        <v>2.4655999999999997E-2</v>
      </c>
      <c r="D2" s="2">
        <f ca="1">OFFSET(stats_raw!$H$3,(ROW(C1)-1)*6,0)*numbers!$O$6*numbers!$O$14 + OFFSET(stats_raw!$J$3,(ROW(C1)-1)*6,0)*numbers!$O$5*numbers!$O$14</f>
        <v>9.8623999999999989E-2</v>
      </c>
      <c r="E2" s="2">
        <f ca="1">OFFSET(stats_raw!$H$3,(ROW(C1)-1)*6,0)*numbers!$O$6*numbers!$O$14*numbers!$O$15 + OFFSET(stats_raw!$J$3,(ROW(C1)-1)*6,0)*numbers!$O$5*numbers!$O$14</f>
        <v>8.628799999999999E-2</v>
      </c>
      <c r="F2" s="2">
        <f ca="1">OFFSET(stats_raw!$H$3,(ROW(C1)-1)*6,0)*numbers!$O$6/numbers!$O$16 + OFFSET(stats_raw!$J$3,(ROW(C1)-1)*6,0)*numbers!$O$5/numbers!$O$16</f>
        <v>2.4655999999999997E-2</v>
      </c>
      <c r="G2" s="2">
        <f ca="1">OFFSET(stats_raw!$H$3,(ROW(C1)-1)*6,0)*numbers!$O$6/numbers!$O$16 * numbers!$O$17 + OFFSET(stats_raw!$J$3,(ROW(C1)-1)*6,0)*numbers!$O$5/numbers!$O$16</f>
        <v>2.4655999999999997E-2</v>
      </c>
      <c r="I2" s="2">
        <f>stats_raw!$H3*numbers!$O$6 / stats_raw!$J3*numbers!$O$5</f>
        <v>5.0195312499999992E-12</v>
      </c>
      <c r="L2" s="2" t="s">
        <v>62</v>
      </c>
      <c r="M2">
        <f t="shared" ref="M2:M15" ca="1" si="0">$B2/B2</f>
        <v>1</v>
      </c>
      <c r="N2" s="2">
        <f t="shared" ref="N2:N15" ca="1" si="1">$B2/C2</f>
        <v>112.53037455386114</v>
      </c>
      <c r="O2" s="2">
        <f t="shared" ref="O2:O15" ca="1" si="2">$B2/D2</f>
        <v>28.132593638465284</v>
      </c>
      <c r="P2" s="2">
        <f t="shared" ref="P2:P15" ca="1" si="3">$B2/E2</f>
        <v>32.154516444928618</v>
      </c>
      <c r="Q2" s="2">
        <f t="shared" ref="Q2:Q15" ca="1" si="4">$B2/F2</f>
        <v>112.53037455386114</v>
      </c>
      <c r="R2" s="2">
        <f t="shared" ref="R2:R15" ca="1" si="5">$B2/G2</f>
        <v>112.53037455386114</v>
      </c>
      <c r="T2" s="2"/>
      <c r="V2" s="2"/>
      <c r="W2" s="2"/>
      <c r="X2" s="2"/>
      <c r="Y2" s="2"/>
      <c r="Z2" s="2"/>
    </row>
    <row r="3" spans="1:26" x14ac:dyDescent="0.15">
      <c r="A3" t="s">
        <v>32</v>
      </c>
      <c r="B3" s="2">
        <f ca="1">OFFSET(stats_raw!$G$2,(ROW(C2)-1)*6,0)/numbers!$O$11</f>
        <v>6.0051740599999999</v>
      </c>
      <c r="C3" s="2">
        <f ca="1">OFFSET(stats_raw!$H$3,(ROW(C2)-1)*6,0)*numbers!$O$6 + OFFSET(stats_raw!$J$3,(ROW(C2)-1)*6,0)*numbers!$O$5</f>
        <v>4.9311999999999995E-2</v>
      </c>
      <c r="D3" s="2">
        <f ca="1">OFFSET(stats_raw!$H$3,(ROW(C2)-1)*6,0)*numbers!$O$6*numbers!$O$14 + OFFSET(stats_raw!$J$3,(ROW(C2)-1)*6,0)*numbers!$O$5*numbers!$O$14</f>
        <v>0.19724799999999998</v>
      </c>
      <c r="E3" s="2">
        <f ca="1">OFFSET(stats_raw!$H$3,(ROW(C2)-1)*6,0)*numbers!$O$6*numbers!$O$14*numbers!$O$15 + OFFSET(stats_raw!$J$3,(ROW(C2)-1)*6,0)*numbers!$O$5*numbers!$O$14</f>
        <v>0.17257599999999998</v>
      </c>
      <c r="F3" s="2">
        <f ca="1">OFFSET(stats_raw!$H$3,(ROW(C2)-1)*6,0)*numbers!$O$6/numbers!$O$16 + OFFSET(stats_raw!$J$3,(ROW(C2)-1)*6,0)*numbers!$O$5/numbers!$O$16</f>
        <v>4.9311999999999995E-2</v>
      </c>
      <c r="G3" s="2">
        <f ca="1">OFFSET(stats_raw!$H$3,(ROW(C2)-1)*6,0)*numbers!$O$6/numbers!$O$16 * numbers!$O$17 + OFFSET(stats_raw!$J$3,(ROW(C2)-1)*6,0)*numbers!$O$5/numbers!$O$16</f>
        <v>4.9311999999999995E-2</v>
      </c>
      <c r="I3" s="2">
        <f>stats_raw!$H4*numbers!$O$6 / stats_raw!$J4*numbers!$O$5</f>
        <v>3.7695312499999995E-12</v>
      </c>
      <c r="L3" s="2" t="s">
        <v>32</v>
      </c>
      <c r="M3" s="2">
        <f t="shared" ca="1" si="0"/>
        <v>1</v>
      </c>
      <c r="N3" s="2">
        <f t="shared" ca="1" si="1"/>
        <v>121.77916247566516</v>
      </c>
      <c r="O3" s="2">
        <f t="shared" ca="1" si="2"/>
        <v>30.44479061891629</v>
      </c>
      <c r="P3" s="2">
        <f t="shared" ca="1" si="3"/>
        <v>34.797272274244392</v>
      </c>
      <c r="Q3" s="2">
        <f t="shared" ca="1" si="4"/>
        <v>121.77916247566516</v>
      </c>
      <c r="R3" s="2">
        <f t="shared" ca="1" si="5"/>
        <v>121.77916247566516</v>
      </c>
      <c r="T3" s="2"/>
      <c r="U3" s="2"/>
      <c r="V3" s="2"/>
      <c r="W3" s="2"/>
      <c r="X3" s="2"/>
      <c r="Y3" s="2"/>
      <c r="Z3" s="2"/>
    </row>
    <row r="4" spans="1:26" x14ac:dyDescent="0.15">
      <c r="A4" t="s">
        <v>25</v>
      </c>
      <c r="B4" s="2">
        <f ca="1">OFFSET(stats_raw!$G$2,(ROW(C3)-1)*6,0)/numbers!$O$11</f>
        <v>9.3094463100000002</v>
      </c>
      <c r="C4" s="2">
        <f ca="1">OFFSET(stats_raw!$H$3,(ROW(C3)-1)*6,0)*numbers!$O$6 + OFFSET(stats_raw!$J$3,(ROW(C3)-1)*6,0)*numbers!$O$5</f>
        <v>7.3967999999999992E-2</v>
      </c>
      <c r="D4" s="2">
        <f ca="1">OFFSET(stats_raw!$H$3,(ROW(C3)-1)*6,0)*numbers!$O$6*numbers!$O$14 + OFFSET(stats_raw!$J$3,(ROW(C3)-1)*6,0)*numbers!$O$5*numbers!$O$14</f>
        <v>0.29587199999999997</v>
      </c>
      <c r="E4" s="2">
        <f ca="1">OFFSET(stats_raw!$H$3,(ROW(C3)-1)*6,0)*numbers!$O$6*numbers!$O$14*numbers!$O$15 + OFFSET(stats_raw!$J$3,(ROW(C3)-1)*6,0)*numbers!$O$5*numbers!$O$14</f>
        <v>0.25886399999999998</v>
      </c>
      <c r="F4" s="2">
        <f ca="1">OFFSET(stats_raw!$H$3,(ROW(C3)-1)*6,0)*numbers!$O$6/numbers!$O$16 + OFFSET(stats_raw!$J$3,(ROW(C3)-1)*6,0)*numbers!$O$5/numbers!$O$16</f>
        <v>7.3967999999999992E-2</v>
      </c>
      <c r="G4" s="2">
        <f ca="1">OFFSET(stats_raw!$H$3,(ROW(C3)-1)*6,0)*numbers!$O$6/numbers!$O$16 * numbers!$O$17 + OFFSET(stats_raw!$J$3,(ROW(C3)-1)*6,0)*numbers!$O$5/numbers!$O$16</f>
        <v>7.3967999999999992E-2</v>
      </c>
      <c r="I4" s="2">
        <f>stats_raw!$H5*numbers!$O$6 / stats_raw!$J5*numbers!$O$5</f>
        <v>3.7695312499999995E-12</v>
      </c>
      <c r="L4" s="2" t="s">
        <v>25</v>
      </c>
      <c r="M4" s="2">
        <f t="shared" ca="1" si="0"/>
        <v>1</v>
      </c>
      <c r="N4" s="2">
        <f t="shared" ca="1" si="1"/>
        <v>125.85775348799483</v>
      </c>
      <c r="O4" s="2">
        <f t="shared" ca="1" si="2"/>
        <v>31.464438371998707</v>
      </c>
      <c r="P4" s="2">
        <f t="shared" ca="1" si="3"/>
        <v>35.962692031336921</v>
      </c>
      <c r="Q4" s="2">
        <f t="shared" ca="1" si="4"/>
        <v>125.85775348799483</v>
      </c>
      <c r="R4" s="2">
        <f t="shared" ca="1" si="5"/>
        <v>125.85775348799483</v>
      </c>
      <c r="T4" s="2"/>
      <c r="U4" s="2"/>
      <c r="V4" s="2"/>
      <c r="W4" s="2"/>
      <c r="X4" s="2"/>
      <c r="Y4" s="2"/>
      <c r="Z4" s="2"/>
    </row>
    <row r="5" spans="1:26" x14ac:dyDescent="0.15">
      <c r="A5" t="s">
        <v>39</v>
      </c>
      <c r="B5" s="2">
        <f ca="1">OFFSET(stats_raw!$G$2,(ROW(C4)-1)*6,0)/numbers!$O$11</f>
        <v>2.7758848280000001</v>
      </c>
      <c r="C5" s="2">
        <f ca="1">OFFSET(stats_raw!$H$3,(ROW(C4)-1)*6,0)*numbers!$O$6 + OFFSET(stats_raw!$J$3,(ROW(C4)-1)*6,0)*numbers!$O$5</f>
        <v>2.4655999999999997E-2</v>
      </c>
      <c r="D5" s="2">
        <f ca="1">OFFSET(stats_raw!$H$3,(ROW(C4)-1)*6,0)*numbers!$O$6*numbers!$O$14 + OFFSET(stats_raw!$J$3,(ROW(C4)-1)*6,0)*numbers!$O$5*numbers!$O$14</f>
        <v>9.8623999999999989E-2</v>
      </c>
      <c r="E5" s="2">
        <f ca="1">OFFSET(stats_raw!$H$3,(ROW(C4)-1)*6,0)*numbers!$O$6*numbers!$O$14*numbers!$O$15 + OFFSET(stats_raw!$J$3,(ROW(C4)-1)*6,0)*numbers!$O$5*numbers!$O$14</f>
        <v>8.628799999999999E-2</v>
      </c>
      <c r="F5" s="2">
        <f ca="1">OFFSET(stats_raw!$H$3,(ROW(C4)-1)*6,0)*numbers!$O$6/numbers!$O$16 + OFFSET(stats_raw!$J$3,(ROW(C4)-1)*6,0)*numbers!$O$5/numbers!$O$16</f>
        <v>2.4655999999999997E-2</v>
      </c>
      <c r="G5" s="2">
        <f ca="1">OFFSET(stats_raw!$H$3,(ROW(C4)-1)*6,0)*numbers!$O$6/numbers!$O$16 * numbers!$O$17 + OFFSET(stats_raw!$J$3,(ROW(C4)-1)*6,0)*numbers!$O$5/numbers!$O$16</f>
        <v>2.4655999999999997E-2</v>
      </c>
      <c r="I5" s="2">
        <f>stats_raw!$H6*numbers!$O$6 / stats_raw!$J6*numbers!$O$5</f>
        <v>5.0390624999999996E-12</v>
      </c>
      <c r="L5" s="2" t="s">
        <v>39</v>
      </c>
      <c r="M5" s="2">
        <f t="shared" ca="1" si="0"/>
        <v>1</v>
      </c>
      <c r="N5" s="2">
        <f t="shared" ca="1" si="1"/>
        <v>112.58455661907854</v>
      </c>
      <c r="O5" s="2">
        <f t="shared" ca="1" si="2"/>
        <v>28.146139154769635</v>
      </c>
      <c r="P5" s="2">
        <f t="shared" ca="1" si="3"/>
        <v>32.169998470239207</v>
      </c>
      <c r="Q5" s="2">
        <f t="shared" ca="1" si="4"/>
        <v>112.58455661907854</v>
      </c>
      <c r="R5" s="2">
        <f t="shared" ca="1" si="5"/>
        <v>112.58455661907854</v>
      </c>
      <c r="T5" s="2"/>
      <c r="U5" s="2"/>
      <c r="V5" s="2"/>
      <c r="W5" s="2"/>
      <c r="X5" s="2"/>
      <c r="Y5" s="2"/>
      <c r="Z5" s="2"/>
    </row>
    <row r="6" spans="1:26" x14ac:dyDescent="0.15">
      <c r="A6" t="s">
        <v>46</v>
      </c>
      <c r="B6" s="2">
        <f ca="1">OFFSET(stats_raw!$G$2,(ROW(C5)-1)*6,0)/numbers!$O$11</f>
        <v>8.9485498079999992</v>
      </c>
      <c r="C6" s="2">
        <f ca="1">OFFSET(stats_raw!$H$3,(ROW(C5)-1)*6,0)*numbers!$O$6 + OFFSET(stats_raw!$J$3,(ROW(C5)-1)*6,0)*numbers!$O$5</f>
        <v>7.3967999999999992E-2</v>
      </c>
      <c r="D6" s="2">
        <f ca="1">OFFSET(stats_raw!$H$3,(ROW(C5)-1)*6,0)*numbers!$O$6*numbers!$O$14 + OFFSET(stats_raw!$J$3,(ROW(C5)-1)*6,0)*numbers!$O$5*numbers!$O$14</f>
        <v>0.29587199999999997</v>
      </c>
      <c r="E6" s="2">
        <f ca="1">OFFSET(stats_raw!$H$3,(ROW(C5)-1)*6,0)*numbers!$O$6*numbers!$O$14*numbers!$O$15 + OFFSET(stats_raw!$J$3,(ROW(C5)-1)*6,0)*numbers!$O$5*numbers!$O$14</f>
        <v>0.25886399999999998</v>
      </c>
      <c r="F6" s="2">
        <f ca="1">OFFSET(stats_raw!$H$3,(ROW(C5)-1)*6,0)*numbers!$O$6/numbers!$O$16 + OFFSET(stats_raw!$J$3,(ROW(C5)-1)*6,0)*numbers!$O$5/numbers!$O$16</f>
        <v>7.3967999999999992E-2</v>
      </c>
      <c r="G6" s="2">
        <f ca="1">OFFSET(stats_raw!$H$3,(ROW(C5)-1)*6,0)*numbers!$O$6/numbers!$O$16 * numbers!$O$17 + OFFSET(stats_raw!$J$3,(ROW(C5)-1)*6,0)*numbers!$O$5/numbers!$O$16</f>
        <v>7.3967999999999992E-2</v>
      </c>
      <c r="I6" s="2">
        <f>stats_raw!$H7*numbers!$O$6 / stats_raw!$J7*numbers!$O$5</f>
        <v>5.0390624999999996E-12</v>
      </c>
      <c r="L6" s="2" t="s">
        <v>46</v>
      </c>
      <c r="M6" s="2">
        <f t="shared" ca="1" si="0"/>
        <v>1</v>
      </c>
      <c r="N6" s="2">
        <f t="shared" ca="1" si="1"/>
        <v>120.97866385463985</v>
      </c>
      <c r="O6" s="2">
        <f t="shared" ca="1" si="2"/>
        <v>30.244665963659962</v>
      </c>
      <c r="P6" s="2">
        <f t="shared" ca="1" si="3"/>
        <v>34.568537177823103</v>
      </c>
      <c r="Q6" s="2">
        <f t="shared" ca="1" si="4"/>
        <v>120.97866385463985</v>
      </c>
      <c r="R6" s="2">
        <f t="shared" ca="1" si="5"/>
        <v>120.97866385463985</v>
      </c>
      <c r="T6" s="2"/>
      <c r="U6" s="2"/>
      <c r="V6" s="2"/>
      <c r="W6" s="2"/>
      <c r="X6" s="2"/>
      <c r="Y6" s="2"/>
      <c r="Z6" s="2"/>
    </row>
    <row r="7" spans="1:26" x14ac:dyDescent="0.15">
      <c r="A7" s="2" t="s">
        <v>127</v>
      </c>
      <c r="B7" s="2">
        <f ca="1">OFFSET(stats_raw!$G$2,(ROW(C6)-1)*6,0)  /numbers!$O$11</f>
        <v>7.6189500000000002E-3</v>
      </c>
      <c r="C7" s="2">
        <f ca="1">(OFFSET(stats_raw!$H$3,(ROW(C6)-1)*6,0)*numbers!$O$6 + OFFSET(stats_raw!$J$3,(ROW(C6)-1)*6,0)*numbers!$O$5)*8</f>
        <v>6.5119999999999996E-3</v>
      </c>
      <c r="D7" s="2">
        <f ca="1">(OFFSET(stats_raw!$H$3,(ROW(C6)-1)*6,0)*numbers!$O$6*numbers!$O$14 + OFFSET(stats_raw!$J$3,(ROW(C6)-1)*6,0)*numbers!$O$5*numbers!$O$14)*8</f>
        <v>2.6047999999999998E-2</v>
      </c>
      <c r="E7" s="2">
        <f ca="1">(OFFSET(stats_raw!$H$3,(ROW(C6)-1)*6,0)*numbers!$O$6*numbers!$O$14*numbers!$O$15 + OFFSET(stats_raw!$J$3,(ROW(C6)-1)*6,0)*numbers!$O$5*numbers!$O$14)*8</f>
        <v>2.2783999999999999E-2</v>
      </c>
      <c r="F7" s="2">
        <f ca="1">(OFFSET(stats_raw!$H$3,(ROW(C6)-1)*6,0)*numbers!$O$6/numbers!$O$16 + OFFSET(stats_raw!$J$3,(ROW(C6)-1)*6,0)*numbers!$O$5/numbers!$O$16)*8</f>
        <v>6.5119999999999996E-3</v>
      </c>
      <c r="G7" s="2">
        <f ca="1">(OFFSET(stats_raw!$H$3,(ROW(C6)-1)*6,0)*numbers!$O$6/numbers!$O$16 * numbers!$O$17 + OFFSET(stats_raw!$J$3,(ROW(C6)-1)*6,0)*numbers!$O$5/numbers!$O$16)*8</f>
        <v>6.5119999999999996E-3</v>
      </c>
      <c r="L7" s="2" t="s">
        <v>127</v>
      </c>
      <c r="M7" s="2">
        <f t="shared" ca="1" si="0"/>
        <v>1</v>
      </c>
      <c r="N7" s="2">
        <f t="shared" ca="1" si="1"/>
        <v>1.1699861793611794</v>
      </c>
      <c r="O7" s="2">
        <f t="shared" ca="1" si="2"/>
        <v>0.29249654484029486</v>
      </c>
      <c r="P7" s="2">
        <f t="shared" ca="1" si="3"/>
        <v>0.33439913974719104</v>
      </c>
      <c r="Q7" s="2">
        <f t="shared" ca="1" si="4"/>
        <v>1.1699861793611794</v>
      </c>
      <c r="R7" s="2">
        <f t="shared" ca="1" si="5"/>
        <v>1.1699861793611794</v>
      </c>
      <c r="T7" s="2"/>
      <c r="U7" s="2"/>
      <c r="V7" s="2"/>
      <c r="W7" s="2"/>
      <c r="X7" s="2"/>
      <c r="Y7" s="2"/>
      <c r="Z7" s="2"/>
    </row>
    <row r="8" spans="1:26" s="2" customFormat="1" x14ac:dyDescent="0.15">
      <c r="A8" s="2" t="s">
        <v>128</v>
      </c>
      <c r="B8" s="2">
        <f ca="1">OFFSET(stats_raw!$G$2,(ROW(C7)-1)*6,0)  /numbers!$O$11</f>
        <v>2.14259143</v>
      </c>
      <c r="C8" s="2">
        <f ca="1">(OFFSET(stats_raw!$H$3,(ROW(C7)-1)*6,0)*numbers!$O$6 + OFFSET(stats_raw!$J$3,(ROW(C7)-1)*6,0)*numbers!$O$5)</f>
        <v>0.140067</v>
      </c>
      <c r="D8" s="2">
        <f ca="1">(OFFSET(stats_raw!$H$3,(ROW(C7)-1)*6,0)*numbers!$O$6*numbers!$O$14 + OFFSET(stats_raw!$J$3,(ROW(C7)-1)*6,0)*numbers!$O$5*numbers!$O$14)</f>
        <v>0.56026799999999999</v>
      </c>
      <c r="E8" s="2">
        <f ca="1">(OFFSET(stats_raw!$H$3,(ROW(C7)-1)*6,0)*numbers!$O$6*numbers!$O$14*numbers!$O$15 + OFFSET(stats_raw!$J$3,(ROW(C7)-1)*6,0)*numbers!$O$5*numbers!$O$14)</f>
        <v>0.48651899999999992</v>
      </c>
      <c r="F8" s="2">
        <f ca="1">(OFFSET(stats_raw!$H$3,(ROW(C7)-1)*6,0)*numbers!$O$6/numbers!$O$16 + OFFSET(stats_raw!$J$3,(ROW(C7)-1)*6,0)*numbers!$O$5/numbers!$O$16)</f>
        <v>0.140067</v>
      </c>
      <c r="G8" s="2">
        <f ca="1">(OFFSET(stats_raw!$H$3,(ROW(C7)-1)*6,0)*numbers!$O$6/numbers!$O$16 * numbers!$O$17 + OFFSET(stats_raw!$J$3,(ROW(C7)-1)*6,0)*numbers!$O$5/numbers!$O$16)</f>
        <v>0.140067</v>
      </c>
      <c r="I8" s="2">
        <f>stats_raw!$H9*numbers!$O$6 / stats_raw!$J9*numbers!$O$5</f>
        <v>5.0195312499999992E-12</v>
      </c>
      <c r="L8" s="2" t="s">
        <v>128</v>
      </c>
      <c r="M8" s="2">
        <f t="shared" ca="1" si="0"/>
        <v>1</v>
      </c>
      <c r="N8" s="2">
        <f t="shared" ca="1" si="1"/>
        <v>15.296903838877109</v>
      </c>
      <c r="O8" s="2">
        <f t="shared" ca="1" si="2"/>
        <v>3.8242259597192771</v>
      </c>
      <c r="P8" s="2">
        <f t="shared" ca="1" si="3"/>
        <v>4.4039213884760926</v>
      </c>
      <c r="Q8" s="2">
        <f t="shared" ca="1" si="4"/>
        <v>15.296903838877109</v>
      </c>
      <c r="R8" s="2">
        <f t="shared" ca="1" si="5"/>
        <v>15.296903838877109</v>
      </c>
    </row>
    <row r="9" spans="1:26" s="2" customFormat="1" x14ac:dyDescent="0.15">
      <c r="A9" s="2" t="s">
        <v>129</v>
      </c>
      <c r="B9" s="2">
        <f ca="1">OFFSET(stats_raw!$G$2,(ROW(C8)-1)*6,0) * scalability_analysis!$H$15 /numbers!$O$11</f>
        <v>78.254968405732726</v>
      </c>
      <c r="C9" s="2">
        <f ca="1">(OFFSET(stats_raw!$H$3,(ROW(C8)-1)*6,0)*numbers!$O$6 + OFFSET(stats_raw!$J$3,(ROW(C8)-1)*6,0)*numbers!$O$5)*8</f>
        <v>0.52634399999999992</v>
      </c>
      <c r="D9" s="2">
        <f ca="1">(OFFSET(stats_raw!$H$3,(ROW(C8)-1)*6,0)*numbers!$O$6*numbers!$O$14 + OFFSET(stats_raw!$J$3,(ROW(C8)-1)*6,0)*numbers!$O$5*numbers!$O$14)*8</f>
        <v>2.1053759999999997</v>
      </c>
      <c r="E9" s="2">
        <f ca="1">(OFFSET(stats_raw!$H$3,(ROW(C8)-1)*6,0)*numbers!$O$6*numbers!$O$14*numbers!$O$15 + OFFSET(stats_raw!$J$3,(ROW(C8)-1)*6,0)*numbers!$O$5*numbers!$O$14)*8</f>
        <v>1.810152</v>
      </c>
      <c r="F9" s="2">
        <f ca="1">(OFFSET(stats_raw!$H$3,(ROW(C8)-1)*6,0)*numbers!$O$6/numbers!$O$16 + OFFSET(stats_raw!$J$3,(ROW(C8)-1)*6,0)*numbers!$O$5/numbers!$O$16)*8</f>
        <v>0.52634399999999992</v>
      </c>
      <c r="G9" s="2">
        <f ca="1">(OFFSET(stats_raw!$H$3,(ROW(C8)-1)*6,0)*numbers!$O$6/numbers!$O$16 * numbers!$O$17 + OFFSET(stats_raw!$J$3,(ROW(C8)-1)*6,0)*numbers!$O$5/numbers!$O$16)*8</f>
        <v>0.52634399999999992</v>
      </c>
      <c r="I9" s="2">
        <f>stats_raw!$H10*numbers!$O$6 / stats_raw!$J10*numbers!$O$5</f>
        <v>3.7695312499999995E-12</v>
      </c>
      <c r="L9" s="2" t="s">
        <v>129</v>
      </c>
      <c r="M9" s="2">
        <f t="shared" ca="1" si="0"/>
        <v>1</v>
      </c>
      <c r="N9" s="2">
        <f t="shared" ca="1" si="1"/>
        <v>148.67647091205131</v>
      </c>
      <c r="O9" s="2">
        <f t="shared" ca="1" si="2"/>
        <v>37.169117728012829</v>
      </c>
      <c r="P9" s="2">
        <f t="shared" ca="1" si="3"/>
        <v>43.231158712490846</v>
      </c>
      <c r="Q9" s="2">
        <f t="shared" ca="1" si="4"/>
        <v>148.67647091205131</v>
      </c>
      <c r="R9" s="2">
        <f t="shared" ca="1" si="5"/>
        <v>148.67647091205131</v>
      </c>
    </row>
    <row r="10" spans="1:26" s="2" customFormat="1" x14ac:dyDescent="0.15">
      <c r="A10" t="s">
        <v>53</v>
      </c>
      <c r="B10" s="2">
        <f ca="1">OFFSET(stats_raw!$G$2,(ROW(C9)-1)*6,0) * scalability_analysis!$H$15 /numbers!$O$11</f>
        <v>64.234484267895397</v>
      </c>
      <c r="C10" s="2">
        <f ca="1">(OFFSET(stats_raw!$H$3,(ROW(C9)-1)*6,0)*numbers!$O$6 + OFFSET(stats_raw!$J$3,(ROW(C9)-1)*6,0)*numbers!$O$5)*8</f>
        <v>0.34610399999999997</v>
      </c>
      <c r="D10" s="2">
        <f ca="1">(OFFSET(stats_raw!$H$3,(ROW(C9)-1)*6,0)*numbers!$O$6*numbers!$O$14 + OFFSET(stats_raw!$J$3,(ROW(C9)-1)*6,0)*numbers!$O$5*numbers!$O$14)*8</f>
        <v>1.3844159999999999</v>
      </c>
      <c r="E10" s="2">
        <f ca="1">(OFFSET(stats_raw!$H$3,(ROW(C9)-1)*6,0)*numbers!$O$6*numbers!$O$14*numbers!$O$15 + OFFSET(stats_raw!$J$3,(ROW(C9)-1)*6,0)*numbers!$O$5*numbers!$O$14)*8</f>
        <v>1.2111599999999998</v>
      </c>
      <c r="F10" s="2">
        <f ca="1">(OFFSET(stats_raw!$H$3,(ROW(C9)-1)*6,0)*numbers!$O$6/numbers!$O$16 + OFFSET(stats_raw!$J$3,(ROW(C9)-1)*6,0)*numbers!$O$5/numbers!$O$16)*8</f>
        <v>0.34610399999999997</v>
      </c>
      <c r="G10" s="2">
        <f ca="1">(OFFSET(stats_raw!$H$3,(ROW(C9)-1)*6,0)*numbers!$O$6/numbers!$O$16 * numbers!$O$17 + OFFSET(stats_raw!$J$3,(ROW(C9)-1)*6,0)*numbers!$O$5/numbers!$O$16)*8</f>
        <v>0.34610399999999997</v>
      </c>
      <c r="I10" s="2">
        <f>stats_raw!$H11*numbers!$O$6 / stats_raw!$J11*numbers!$O$5</f>
        <v>3.7695312499999995E-12</v>
      </c>
      <c r="L10" s="2" t="s">
        <v>53</v>
      </c>
      <c r="M10" s="2">
        <f t="shared" ca="1" si="0"/>
        <v>1</v>
      </c>
      <c r="N10" s="2">
        <f t="shared" ca="1" si="1"/>
        <v>185.59301327894332</v>
      </c>
      <c r="O10" s="2">
        <f t="shared" ca="1" si="2"/>
        <v>46.398253319735829</v>
      </c>
      <c r="P10" s="2">
        <f t="shared" ca="1" si="3"/>
        <v>53.035506677809217</v>
      </c>
      <c r="Q10" s="2">
        <f t="shared" ca="1" si="4"/>
        <v>185.59301327894332</v>
      </c>
      <c r="R10" s="2">
        <f t="shared" ca="1" si="5"/>
        <v>185.59301327894332</v>
      </c>
    </row>
    <row r="11" spans="1:26" s="2" customFormat="1" x14ac:dyDescent="0.15">
      <c r="A11" s="12" t="s">
        <v>180</v>
      </c>
      <c r="B11" s="2">
        <f ca="1">OFFSET(stats_raw!$G$2,(ROW(C10)-1)*6,0)/numbers!$O$11</f>
        <v>6.7752230000000004E-3</v>
      </c>
      <c r="C11" s="2">
        <f ca="1">OFFSET(stats_raw!$H$3,(ROW(C10)-1)*6,0)*numbers!$O$6 + OFFSET(stats_raw!$J$3,(ROW(C10)-1)*6,0)*numbers!$O$5</f>
        <v>5.2719999999999998E-3</v>
      </c>
      <c r="D11" s="2">
        <f ca="1">OFFSET(stats_raw!$H$3,(ROW(C10)-1)*6,0)*numbers!$O$6*numbers!$O$14 + OFFSET(stats_raw!$J$3,(ROW(C10)-1)*6,0)*numbers!$O$5*numbers!$O$14</f>
        <v>2.1087999999999999E-2</v>
      </c>
      <c r="E11" s="2">
        <f ca="1">OFFSET(stats_raw!$H$3,(ROW(C10)-1)*6,0)*numbers!$O$6*numbers!$O$14*numbers!$O$15 + OFFSET(stats_raw!$J$3,(ROW(C10)-1)*6,0)*numbers!$O$5*numbers!$O$14</f>
        <v>1.7943999999999998E-2</v>
      </c>
      <c r="F11" s="2">
        <f ca="1">OFFSET(stats_raw!$H$3,(ROW(C10)-1)*6,0)*numbers!$O$6/numbers!$O$16 + OFFSET(stats_raw!$J$3,(ROW(C10)-1)*6,0)*numbers!$O$5/numbers!$O$16</f>
        <v>5.2719999999999998E-3</v>
      </c>
      <c r="G11" s="2">
        <f ca="1">OFFSET(stats_raw!$H$3,(ROW(C10)-1)*6,0)*numbers!$O$6/numbers!$O$16 * numbers!$O$17 + OFFSET(stats_raw!$J$3,(ROW(C10)-1)*6,0)*numbers!$O$5/numbers!$O$16</f>
        <v>5.2719999999999998E-3</v>
      </c>
      <c r="I11" s="2">
        <f>stats_raw!$H12*numbers!$O$6 / stats_raw!$J12*numbers!$O$5</f>
        <v>5.0390624999999996E-12</v>
      </c>
      <c r="L11" s="12" t="s">
        <v>180</v>
      </c>
      <c r="M11" s="2">
        <f t="shared" ca="1" si="0"/>
        <v>1</v>
      </c>
      <c r="N11" s="2">
        <f t="shared" ca="1" si="1"/>
        <v>1.2851333459787557</v>
      </c>
      <c r="O11" s="2">
        <f t="shared" ca="1" si="2"/>
        <v>0.32128333649468893</v>
      </c>
      <c r="P11" s="2">
        <f t="shared" ca="1" si="3"/>
        <v>0.37757595853767284</v>
      </c>
      <c r="Q11" s="2">
        <f t="shared" ca="1" si="4"/>
        <v>1.2851333459787557</v>
      </c>
      <c r="R11" s="2">
        <f t="shared" ca="1" si="5"/>
        <v>1.2851333459787557</v>
      </c>
    </row>
    <row r="12" spans="1:26" s="2" customFormat="1" x14ac:dyDescent="0.15">
      <c r="A12" s="12" t="s">
        <v>182</v>
      </c>
      <c r="B12" s="2">
        <f ca="1">OFFSET(stats_raw!$G$2,(ROW(C11)-1)*6,0)/numbers!$O$11</f>
        <v>1.3149654E-2</v>
      </c>
      <c r="C12" s="2">
        <f ca="1">OFFSET(stats_raw!$H$3,(ROW(C11)-1)*6,0)*numbers!$O$6 + OFFSET(stats_raw!$J$3,(ROW(C11)-1)*6,0)*numbers!$O$5</f>
        <v>1.0432E-2</v>
      </c>
      <c r="D12" s="2">
        <f ca="1">OFFSET(stats_raw!$H$3,(ROW(C11)-1)*6,0)*numbers!$O$6*numbers!$O$14 + OFFSET(stats_raw!$J$3,(ROW(C11)-1)*6,0)*numbers!$O$5*numbers!$O$14</f>
        <v>4.1728000000000001E-2</v>
      </c>
      <c r="E12" s="2">
        <f ca="1">OFFSET(stats_raw!$H$3,(ROW(C11)-1)*6,0)*numbers!$O$6*numbers!$O$14*numbers!$O$15 + OFFSET(stats_raw!$J$3,(ROW(C11)-1)*6,0)*numbers!$O$5*numbers!$O$14</f>
        <v>3.5487999999999999E-2</v>
      </c>
      <c r="F12" s="2">
        <f ca="1">OFFSET(stats_raw!$H$3,(ROW(C11)-1)*6,0)*numbers!$O$6/numbers!$O$16 + OFFSET(stats_raw!$J$3,(ROW(C11)-1)*6,0)*numbers!$O$5/numbers!$O$16</f>
        <v>1.0432E-2</v>
      </c>
      <c r="G12" s="2">
        <f ca="1">OFFSET(stats_raw!$H$3,(ROW(C11)-1)*6,0)*numbers!$O$6/numbers!$O$16 * numbers!$O$17 + OFFSET(stats_raw!$J$3,(ROW(C11)-1)*6,0)*numbers!$O$5/numbers!$O$16</f>
        <v>1.0432E-2</v>
      </c>
      <c r="I12" s="2">
        <f>stats_raw!$H13*numbers!$O$6 / stats_raw!$J13*numbers!$O$5</f>
        <v>5.0390624999999996E-12</v>
      </c>
      <c r="L12" s="12" t="s">
        <v>182</v>
      </c>
      <c r="M12" s="2">
        <f t="shared" ca="1" si="0"/>
        <v>1</v>
      </c>
      <c r="N12" s="2">
        <f t="shared" ca="1" si="1"/>
        <v>1.2605113113496933</v>
      </c>
      <c r="O12" s="2">
        <f t="shared" ca="1" si="2"/>
        <v>0.31512782783742332</v>
      </c>
      <c r="P12" s="2">
        <f t="shared" ca="1" si="3"/>
        <v>0.37053804102795312</v>
      </c>
      <c r="Q12" s="2">
        <f t="shared" ca="1" si="4"/>
        <v>1.2605113113496933</v>
      </c>
      <c r="R12" s="2">
        <f t="shared" ca="1" si="5"/>
        <v>1.2605113113496933</v>
      </c>
    </row>
    <row r="13" spans="1:26" s="2" customFormat="1" x14ac:dyDescent="0.15">
      <c r="A13" s="12" t="s">
        <v>184</v>
      </c>
      <c r="B13" s="2">
        <f ca="1">OFFSET(stats_raw!$G$2,(ROW(C12)-1)*6,0)/numbers!$O$11</f>
        <v>0.122820258</v>
      </c>
      <c r="C13" s="2">
        <f ca="1">OFFSET(stats_raw!$H$3,(ROW(C12)-1)*6,0)*numbers!$O$6 + OFFSET(stats_raw!$J$3,(ROW(C12)-1)*6,0)*numbers!$O$5</f>
        <v>5.193999999999999E-3</v>
      </c>
      <c r="D13" s="2">
        <f ca="1">OFFSET(stats_raw!$H$3,(ROW(C12)-1)*6,0)*numbers!$O$6*numbers!$O$14 + OFFSET(stats_raw!$J$3,(ROW(C12)-1)*6,0)*numbers!$O$5*numbers!$O$14</f>
        <v>2.0775999999999996E-2</v>
      </c>
      <c r="E13" s="2">
        <f ca="1">OFFSET(stats_raw!$H$3,(ROW(C12)-1)*6,0)*numbers!$O$6*numbers!$O$14*numbers!$O$15 + OFFSET(stats_raw!$J$3,(ROW(C12)-1)*6,0)*numbers!$O$5*numbers!$O$14</f>
        <v>1.7697999999999995E-2</v>
      </c>
      <c r="F13" s="2">
        <f ca="1">OFFSET(stats_raw!$H$3,(ROW(C12)-1)*6,0)*numbers!$O$6/numbers!$O$16 + OFFSET(stats_raw!$J$3,(ROW(C12)-1)*6,0)*numbers!$O$5/numbers!$O$16</f>
        <v>5.193999999999999E-3</v>
      </c>
      <c r="G13" s="2">
        <f ca="1">OFFSET(stats_raw!$H$3,(ROW(C12)-1)*6,0)*numbers!$O$6/numbers!$O$16 * numbers!$O$17 + OFFSET(stats_raw!$J$3,(ROW(C12)-1)*6,0)*numbers!$O$5/numbers!$O$16</f>
        <v>5.193999999999999E-3</v>
      </c>
      <c r="L13" s="12" t="s">
        <v>184</v>
      </c>
      <c r="M13" s="2">
        <f t="shared" ca="1" si="0"/>
        <v>1</v>
      </c>
      <c r="N13" s="2">
        <f t="shared" ca="1" si="1"/>
        <v>23.646564882556802</v>
      </c>
      <c r="O13" s="2">
        <f t="shared" ca="1" si="2"/>
        <v>5.9116412206392006</v>
      </c>
      <c r="P13" s="2">
        <f t="shared" ca="1" si="3"/>
        <v>6.9397817832523465</v>
      </c>
      <c r="Q13" s="2">
        <f t="shared" ca="1" si="4"/>
        <v>23.646564882556802</v>
      </c>
      <c r="R13" s="2">
        <f t="shared" ca="1" si="5"/>
        <v>23.646564882556802</v>
      </c>
    </row>
    <row r="14" spans="1:26" s="2" customFormat="1" x14ac:dyDescent="0.15">
      <c r="A14" s="12" t="s">
        <v>185</v>
      </c>
      <c r="B14" s="2">
        <f ca="1">OFFSET(stats_raw!$G$2,(ROW(C13)-1)*6,0)/numbers!$O$11</f>
        <v>0.123723582</v>
      </c>
      <c r="C14" s="2">
        <f ca="1">OFFSET(stats_raw!$H$3,(ROW(C13)-1)*6,0)*numbers!$O$6 + OFFSET(stats_raw!$J$3,(ROW(C13)-1)*6,0)*numbers!$O$5</f>
        <v>3.7539999999999995E-3</v>
      </c>
      <c r="D14" s="2">
        <f ca="1">OFFSET(stats_raw!$H$3,(ROW(C13)-1)*6,0)*numbers!$O$6*numbers!$O$14 + OFFSET(stats_raw!$J$3,(ROW(C13)-1)*6,0)*numbers!$O$5*numbers!$O$14</f>
        <v>1.5015999999999998E-2</v>
      </c>
      <c r="E14" s="2">
        <f ca="1">OFFSET(stats_raw!$H$3,(ROW(C13)-1)*6,0)*numbers!$O$6*numbers!$O$14*numbers!$O$15 + OFFSET(stats_raw!$J$3,(ROW(C13)-1)*6,0)*numbers!$O$5*numbers!$O$14</f>
        <v>1.3377999999999998E-2</v>
      </c>
      <c r="F14" s="2">
        <f ca="1">OFFSET(stats_raw!$H$3,(ROW(C13)-1)*6,0)*numbers!$O$6/numbers!$O$16 + OFFSET(stats_raw!$J$3,(ROW(C13)-1)*6,0)*numbers!$O$5/numbers!$O$16</f>
        <v>3.7539999999999995E-3</v>
      </c>
      <c r="G14" s="2">
        <f ca="1">OFFSET(stats_raw!$H$3,(ROW(C13)-1)*6,0)*numbers!$O$6/numbers!$O$16 * numbers!$O$17 + OFFSET(stats_raw!$J$3,(ROW(C13)-1)*6,0)*numbers!$O$5/numbers!$O$16</f>
        <v>3.7539999999999995E-3</v>
      </c>
      <c r="I14" s="2">
        <f>stats_raw!$H15*numbers!$O$6 / stats_raw!$J15*numbers!$O$5</f>
        <v>5.0195312499999992E-12</v>
      </c>
      <c r="L14" s="12" t="s">
        <v>185</v>
      </c>
      <c r="M14" s="2">
        <f t="shared" ca="1" si="0"/>
        <v>1</v>
      </c>
      <c r="N14" s="2">
        <f t="shared" ca="1" si="1"/>
        <v>32.957800213106026</v>
      </c>
      <c r="O14" s="2">
        <f t="shared" ca="1" si="2"/>
        <v>8.2394500532765065</v>
      </c>
      <c r="P14" s="2">
        <f t="shared" ca="1" si="3"/>
        <v>9.248286888922113</v>
      </c>
      <c r="Q14" s="2">
        <f t="shared" ca="1" si="4"/>
        <v>32.957800213106026</v>
      </c>
      <c r="R14" s="2">
        <f t="shared" ca="1" si="5"/>
        <v>32.957800213106026</v>
      </c>
    </row>
    <row r="15" spans="1:26" s="2" customFormat="1" x14ac:dyDescent="0.15">
      <c r="A15" s="12" t="s">
        <v>186</v>
      </c>
      <c r="B15" s="2">
        <f ca="1">OFFSET(stats_raw!$G$2,(ROW(C14)-1)*6,0)/numbers!$O$11</f>
        <v>52.831468481000002</v>
      </c>
      <c r="C15" s="2">
        <f ca="1">OFFSET(stats_raw!$H$3,(ROW(C14)-1)*6,0)*numbers!$O$6 + OFFSET(stats_raw!$J$3,(ROW(C14)-1)*6,0)*numbers!$O$5</f>
        <v>9.8463999999999982E-2</v>
      </c>
      <c r="D15" s="2">
        <f ca="1">OFFSET(stats_raw!$H$3,(ROW(C14)-1)*6,0)*numbers!$O$6*numbers!$O$14 + OFFSET(stats_raw!$J$3,(ROW(C14)-1)*6,0)*numbers!$O$5*numbers!$O$14</f>
        <v>0.39385599999999993</v>
      </c>
      <c r="E15" s="2">
        <f ca="1">OFFSET(stats_raw!$H$3,(ROW(C14)-1)*6,0)*numbers!$O$6*numbers!$O$14*numbers!$O$15 + OFFSET(stats_raw!$J$3,(ROW(C14)-1)*6,0)*numbers!$O$5*numbers!$O$14</f>
        <v>0.34460799999999991</v>
      </c>
      <c r="F15" s="2">
        <f ca="1">OFFSET(stats_raw!$H$3,(ROW(C14)-1)*6,0)*numbers!$O$6/numbers!$O$16 + OFFSET(stats_raw!$J$3,(ROW(C14)-1)*6,0)*numbers!$O$5/numbers!$O$16</f>
        <v>9.8463999999999982E-2</v>
      </c>
      <c r="G15" s="2">
        <f ca="1">OFFSET(stats_raw!$H$3,(ROW(C14)-1)*6,0)*numbers!$O$6/numbers!$O$16 * numbers!$O$17 + OFFSET(stats_raw!$J$3,(ROW(C14)-1)*6,0)*numbers!$O$5/numbers!$O$16</f>
        <v>9.8463999999999982E-2</v>
      </c>
      <c r="I15" s="2">
        <f>stats_raw!$H16*numbers!$O$6 / stats_raw!$J16*numbers!$O$5</f>
        <v>3.7695312499999995E-12</v>
      </c>
      <c r="L15" s="12" t="s">
        <v>186</v>
      </c>
      <c r="M15" s="2">
        <f t="shared" ca="1" si="0"/>
        <v>1</v>
      </c>
      <c r="N15" s="2">
        <f t="shared" ca="1" si="1"/>
        <v>536.55618785545994</v>
      </c>
      <c r="O15" s="2">
        <f t="shared" ca="1" si="2"/>
        <v>134.13904696386498</v>
      </c>
      <c r="P15" s="2">
        <f t="shared" ca="1" si="3"/>
        <v>153.30888569330955</v>
      </c>
      <c r="Q15" s="2">
        <f t="shared" ca="1" si="4"/>
        <v>536.55618785545994</v>
      </c>
      <c r="R15" s="2">
        <f t="shared" ca="1" si="5"/>
        <v>536.55618785545994</v>
      </c>
    </row>
    <row r="16" spans="1:26" s="2" customFormat="1" x14ac:dyDescent="0.15">
      <c r="A16" s="12" t="s">
        <v>187</v>
      </c>
      <c r="B16" s="2">
        <f ca="1">OFFSET(stats_raw!$G$2,(ROW(C15)-1)*6,0)/numbers!$O$11</f>
        <v>52.875676513999998</v>
      </c>
      <c r="C16" s="2">
        <f ca="1">OFFSET(stats_raw!$H$3,(ROW(C15)-1)*6,0)*numbers!$O$6 + OFFSET(stats_raw!$J$3,(ROW(C15)-1)*6,0)*numbers!$O$5</f>
        <v>9.8463999999999982E-2</v>
      </c>
      <c r="D16" s="2">
        <f ca="1">OFFSET(stats_raw!$H$3,(ROW(C15)-1)*6,0)*numbers!$O$6*numbers!$O$14 + OFFSET(stats_raw!$J$3,(ROW(C15)-1)*6,0)*numbers!$O$5*numbers!$O$14</f>
        <v>0.39385599999999993</v>
      </c>
      <c r="E16" s="2">
        <f ca="1">OFFSET(stats_raw!$H$3,(ROW(C15)-1)*6,0)*numbers!$O$6*numbers!$O$14*numbers!$O$15 + OFFSET(stats_raw!$J$3,(ROW(C15)-1)*6,0)*numbers!$O$5*numbers!$O$14</f>
        <v>0.34460799999999991</v>
      </c>
      <c r="F16" s="2">
        <f ca="1">OFFSET(stats_raw!$H$3,(ROW(C15)-1)*6,0)*numbers!$O$6/numbers!$O$16 + OFFSET(stats_raw!$J$3,(ROW(C15)-1)*6,0)*numbers!$O$5/numbers!$O$16</f>
        <v>9.8463999999999982E-2</v>
      </c>
      <c r="G16" s="2">
        <f ca="1">OFFSET(stats_raw!$H$3,(ROW(C15)-1)*6,0)*numbers!$O$6/numbers!$O$16 * numbers!$O$17 + OFFSET(stats_raw!$J$3,(ROW(C15)-1)*6,0)*numbers!$O$5/numbers!$O$16</f>
        <v>9.8463999999999982E-2</v>
      </c>
      <c r="I16" s="2">
        <f>stats_raw!$H17*numbers!$O$6 / stats_raw!$J17*numbers!$O$5</f>
        <v>3.7695312499999995E-12</v>
      </c>
      <c r="L16" s="12" t="s">
        <v>187</v>
      </c>
      <c r="N16" s="2">
        <f t="shared" ref="N16:R21" ca="1" si="6">$B16/C16</f>
        <v>537.00516446620088</v>
      </c>
      <c r="O16" s="2">
        <f t="shared" ca="1" si="6"/>
        <v>134.25129111655022</v>
      </c>
      <c r="P16" s="2">
        <f t="shared" ca="1" si="6"/>
        <v>153.43717068088964</v>
      </c>
      <c r="Q16" s="2">
        <f t="shared" ca="1" si="6"/>
        <v>537.00516446620088</v>
      </c>
      <c r="R16" s="2">
        <f t="shared" ca="1" si="6"/>
        <v>537.00516446620088</v>
      </c>
    </row>
    <row r="17" spans="1:25" s="2" customFormat="1" x14ac:dyDescent="0.15">
      <c r="A17" s="12" t="s">
        <v>188</v>
      </c>
      <c r="B17" s="2">
        <f ca="1">OFFSET(stats_raw!$G$2,(ROW(C16)-1)*6,0)/numbers!$O$11</f>
        <v>1.562376054</v>
      </c>
      <c r="C17" s="2">
        <f ca="1">OFFSET(stats_raw!$H$3,(ROW(C16)-1)*6,0)*numbers!$O$6 + OFFSET(stats_raw!$J$3,(ROW(C16)-1)*6,0)*numbers!$O$5</f>
        <v>1.0172E-2</v>
      </c>
      <c r="D17" s="2">
        <f ca="1">OFFSET(stats_raw!$H$3,(ROW(C16)-1)*6,0)*numbers!$O$6*numbers!$O$14 + OFFSET(stats_raw!$J$3,(ROW(C16)-1)*6,0)*numbers!$O$5*numbers!$O$14</f>
        <v>4.0688000000000002E-2</v>
      </c>
      <c r="E17" s="2">
        <f ca="1">OFFSET(stats_raw!$H$3,(ROW(C16)-1)*6,0)*numbers!$O$6*numbers!$O$14*numbers!$O$15 + OFFSET(stats_raw!$J$3,(ROW(C16)-1)*6,0)*numbers!$O$5*numbers!$O$14</f>
        <v>3.6428000000000002E-2</v>
      </c>
      <c r="F17" s="2">
        <f ca="1">OFFSET(stats_raw!$H$3,(ROW(C16)-1)*6,0)*numbers!$O$6/numbers!$O$16 + OFFSET(stats_raw!$J$3,(ROW(C16)-1)*6,0)*numbers!$O$5/numbers!$O$16</f>
        <v>1.0172E-2</v>
      </c>
      <c r="G17" s="2">
        <f ca="1">OFFSET(stats_raw!$H$3,(ROW(C16)-1)*6,0)*numbers!$O$6/numbers!$O$16 * numbers!$O$17 + OFFSET(stats_raw!$J$3,(ROW(C16)-1)*6,0)*numbers!$O$5/numbers!$O$16</f>
        <v>1.0172E-2</v>
      </c>
      <c r="L17" s="12" t="s">
        <v>188</v>
      </c>
      <c r="M17" s="2">
        <f ca="1">$B17/B17</f>
        <v>1</v>
      </c>
      <c r="N17" s="2">
        <f t="shared" ca="1" si="6"/>
        <v>153.59575835627211</v>
      </c>
      <c r="O17" s="2">
        <f t="shared" ca="1" si="6"/>
        <v>38.398939589068029</v>
      </c>
      <c r="P17" s="2">
        <f t="shared" ca="1" si="6"/>
        <v>42.889427198858016</v>
      </c>
      <c r="Q17" s="2">
        <f t="shared" ca="1" si="6"/>
        <v>153.59575835627211</v>
      </c>
      <c r="R17" s="2">
        <f t="shared" ca="1" si="6"/>
        <v>153.59575835627211</v>
      </c>
    </row>
    <row r="18" spans="1:25" s="2" customFormat="1" x14ac:dyDescent="0.15">
      <c r="A18" s="2" t="s">
        <v>178</v>
      </c>
      <c r="B18" s="2">
        <f ca="1">OFFSET(stats_raw!$G$2,(ROW(C17)-1)*6,0)/numbers!$O$11</f>
        <v>2.8975978360000001</v>
      </c>
      <c r="C18" s="2">
        <f ca="1">B18</f>
        <v>2.8975978360000001</v>
      </c>
      <c r="D18" s="2">
        <f t="shared" ref="D18:G18" ca="1" si="7">C18</f>
        <v>2.8975978360000001</v>
      </c>
      <c r="E18" s="2">
        <f t="shared" ca="1" si="7"/>
        <v>2.8975978360000001</v>
      </c>
      <c r="F18" s="2">
        <f t="shared" ca="1" si="7"/>
        <v>2.8975978360000001</v>
      </c>
      <c r="G18" s="2">
        <f t="shared" ca="1" si="7"/>
        <v>2.8975978360000001</v>
      </c>
      <c r="L18" s="2" t="s">
        <v>178</v>
      </c>
      <c r="M18" s="2">
        <f ca="1">$B18/B18</f>
        <v>1</v>
      </c>
      <c r="N18" s="2">
        <f t="shared" ca="1" si="6"/>
        <v>1</v>
      </c>
      <c r="O18" s="2">
        <f t="shared" ca="1" si="6"/>
        <v>1</v>
      </c>
      <c r="P18" s="2">
        <f t="shared" ca="1" si="6"/>
        <v>1</v>
      </c>
      <c r="Q18" s="2">
        <f t="shared" ca="1" si="6"/>
        <v>1</v>
      </c>
      <c r="R18" s="2">
        <f t="shared" ca="1" si="6"/>
        <v>1</v>
      </c>
    </row>
    <row r="19" spans="1:25" s="2" customFormat="1" x14ac:dyDescent="0.15">
      <c r="A19" s="2" t="s">
        <v>179</v>
      </c>
      <c r="B19" s="2">
        <f>stats_raw!G99/numbers!$O$11</f>
        <v>1.2264384E-2</v>
      </c>
      <c r="C19" s="2">
        <f t="shared" ref="C19:G21" si="8">B19</f>
        <v>1.2264384E-2</v>
      </c>
      <c r="D19" s="2">
        <f t="shared" si="8"/>
        <v>1.2264384E-2</v>
      </c>
      <c r="E19" s="2">
        <f t="shared" si="8"/>
        <v>1.2264384E-2</v>
      </c>
      <c r="F19" s="2">
        <f t="shared" si="8"/>
        <v>1.2264384E-2</v>
      </c>
      <c r="G19" s="2">
        <f t="shared" si="8"/>
        <v>1.2264384E-2</v>
      </c>
      <c r="L19" s="2" t="s">
        <v>179</v>
      </c>
      <c r="M19" s="2">
        <f>$B19/B19</f>
        <v>1</v>
      </c>
      <c r="N19" s="2">
        <f t="shared" si="6"/>
        <v>1</v>
      </c>
      <c r="O19" s="2">
        <f t="shared" si="6"/>
        <v>1</v>
      </c>
      <c r="P19" s="2">
        <f t="shared" si="6"/>
        <v>1</v>
      </c>
      <c r="Q19" s="2">
        <f t="shared" si="6"/>
        <v>1</v>
      </c>
      <c r="R19" s="2">
        <f t="shared" si="6"/>
        <v>1</v>
      </c>
    </row>
    <row r="20" spans="1:25" s="2" customFormat="1" x14ac:dyDescent="0.15">
      <c r="A20" s="2" t="s">
        <v>181</v>
      </c>
      <c r="B20" s="2">
        <f>stats_raw!G100/numbers!$O$11</f>
        <v>2.3550254E-2</v>
      </c>
      <c r="C20" s="2">
        <f t="shared" si="8"/>
        <v>2.3550254E-2</v>
      </c>
      <c r="D20" s="2">
        <f t="shared" si="8"/>
        <v>2.3550254E-2</v>
      </c>
      <c r="E20" s="2">
        <f t="shared" si="8"/>
        <v>2.3550254E-2</v>
      </c>
      <c r="F20" s="2">
        <f t="shared" si="8"/>
        <v>2.3550254E-2</v>
      </c>
      <c r="G20" s="2">
        <f t="shared" si="8"/>
        <v>2.3550254E-2</v>
      </c>
      <c r="L20" s="2" t="s">
        <v>181</v>
      </c>
      <c r="M20" s="2">
        <f>$B20/B20</f>
        <v>1</v>
      </c>
      <c r="N20" s="2">
        <f t="shared" si="6"/>
        <v>1</v>
      </c>
      <c r="O20" s="2">
        <f t="shared" si="6"/>
        <v>1</v>
      </c>
      <c r="P20" s="2">
        <f t="shared" si="6"/>
        <v>1</v>
      </c>
      <c r="Q20" s="2">
        <f t="shared" si="6"/>
        <v>1</v>
      </c>
      <c r="R20" s="2">
        <f t="shared" si="6"/>
        <v>1</v>
      </c>
    </row>
    <row r="21" spans="1:25" s="2" customFormat="1" x14ac:dyDescent="0.15">
      <c r="A21" s="2" t="s">
        <v>183</v>
      </c>
      <c r="B21" s="2">
        <f>stats_raw!G101/numbers!$O$11</f>
        <v>13.718909751</v>
      </c>
      <c r="C21" s="2">
        <f t="shared" si="8"/>
        <v>13.718909751</v>
      </c>
      <c r="D21" s="2">
        <f t="shared" si="8"/>
        <v>13.718909751</v>
      </c>
      <c r="E21" s="2">
        <f t="shared" si="8"/>
        <v>13.718909751</v>
      </c>
      <c r="F21" s="2">
        <f t="shared" si="8"/>
        <v>13.718909751</v>
      </c>
      <c r="G21" s="2">
        <f t="shared" si="8"/>
        <v>13.718909751</v>
      </c>
      <c r="L21" s="2" t="s">
        <v>183</v>
      </c>
      <c r="M21" s="2">
        <f>$B21/B21</f>
        <v>1</v>
      </c>
      <c r="N21" s="2">
        <f t="shared" si="6"/>
        <v>1</v>
      </c>
      <c r="O21" s="2">
        <f t="shared" si="6"/>
        <v>1</v>
      </c>
      <c r="P21" s="2">
        <f t="shared" si="6"/>
        <v>1</v>
      </c>
      <c r="Q21" s="2">
        <f t="shared" si="6"/>
        <v>1</v>
      </c>
      <c r="R21" s="2">
        <f t="shared" si="6"/>
        <v>1</v>
      </c>
    </row>
    <row r="22" spans="1:25" s="2" customFormat="1" x14ac:dyDescent="0.15">
      <c r="L22" t="s">
        <v>107</v>
      </c>
      <c r="M22">
        <f t="shared" ref="M22:R22" ca="1" si="9">GEOMEAN(M2:M21)</f>
        <v>1</v>
      </c>
      <c r="N22" s="2">
        <f t="shared" ca="1" si="9"/>
        <v>21.907086781014488</v>
      </c>
      <c r="O22" s="2">
        <f t="shared" ca="1" si="9"/>
        <v>7.2266435773842286</v>
      </c>
      <c r="P22" s="2">
        <f t="shared" ca="1" si="9"/>
        <v>8.0689422331335958</v>
      </c>
      <c r="Q22" s="2">
        <f t="shared" ca="1" si="9"/>
        <v>21.907086781014488</v>
      </c>
      <c r="R22" s="2">
        <f t="shared" ca="1" si="9"/>
        <v>21.907086781014488</v>
      </c>
    </row>
    <row r="23" spans="1:25" s="2" customFormat="1" x14ac:dyDescent="0.15"/>
    <row r="24" spans="1:25" x14ac:dyDescent="0.15">
      <c r="A24" s="2"/>
      <c r="H24" s="2"/>
    </row>
    <row r="25" spans="1:25" x14ac:dyDescent="0.15">
      <c r="A25" s="2"/>
      <c r="B25" s="21" t="s">
        <v>78</v>
      </c>
      <c r="C25" s="21"/>
      <c r="D25" s="21"/>
      <c r="E25" s="21"/>
      <c r="F25" s="21"/>
      <c r="G25" s="21"/>
      <c r="H25" s="2"/>
      <c r="L25" s="21" t="s">
        <v>77</v>
      </c>
      <c r="M25" s="21"/>
      <c r="N25" s="21"/>
      <c r="O25" s="21"/>
      <c r="P25" s="21"/>
      <c r="Q25" s="21"/>
    </row>
    <row r="26" spans="1:25" x14ac:dyDescent="0.15">
      <c r="B26" s="21"/>
      <c r="C26" s="21"/>
      <c r="D26" s="21"/>
      <c r="E26" s="21"/>
      <c r="F26" s="21"/>
      <c r="G26" s="21"/>
      <c r="L26" s="21"/>
      <c r="M26" s="21"/>
      <c r="N26" s="21"/>
      <c r="O26" s="21"/>
      <c r="P26" s="21"/>
      <c r="Q26" s="21"/>
    </row>
    <row r="27" spans="1:25" x14ac:dyDescent="0.15">
      <c r="A27" s="1" t="s">
        <v>0</v>
      </c>
      <c r="B27" s="1" t="s">
        <v>63</v>
      </c>
      <c r="C27" s="1" t="s">
        <v>64</v>
      </c>
      <c r="D27" s="1" t="s">
        <v>65</v>
      </c>
      <c r="E27" s="1" t="s">
        <v>66</v>
      </c>
      <c r="F27" s="1" t="s">
        <v>67</v>
      </c>
      <c r="G27" s="1" t="s">
        <v>68</v>
      </c>
      <c r="K27" s="1" t="s">
        <v>0</v>
      </c>
      <c r="L27" s="1" t="s">
        <v>63</v>
      </c>
      <c r="M27" s="1" t="s">
        <v>64</v>
      </c>
      <c r="N27" s="1" t="s">
        <v>65</v>
      </c>
      <c r="O27" s="1" t="s">
        <v>66</v>
      </c>
      <c r="P27" s="1" t="s">
        <v>67</v>
      </c>
      <c r="Q27" s="1" t="s">
        <v>68</v>
      </c>
      <c r="S27" t="s">
        <v>0</v>
      </c>
      <c r="T27" t="s">
        <v>63</v>
      </c>
      <c r="U27" t="s">
        <v>64</v>
      </c>
      <c r="V27" t="s">
        <v>65</v>
      </c>
      <c r="W27" t="s">
        <v>66</v>
      </c>
      <c r="X27" t="s">
        <v>67</v>
      </c>
      <c r="Y27" t="s">
        <v>68</v>
      </c>
    </row>
    <row r="28" spans="1:25" x14ac:dyDescent="0.15">
      <c r="A28" s="2" t="s">
        <v>62</v>
      </c>
      <c r="B28">
        <f ca="1">B2*numbers!$O$11</f>
        <v>2774548915</v>
      </c>
      <c r="C28" s="2">
        <f>stats_raw!G3</f>
        <v>13211963</v>
      </c>
      <c r="D28" s="2">
        <f ca="1">D2*numbers!$O$11</f>
        <v>98623999.999999985</v>
      </c>
      <c r="E28" s="2">
        <f ca="1">E2*numbers!$O$11</f>
        <v>86287999.999999985</v>
      </c>
      <c r="F28" s="2">
        <f ca="1">F2*numbers!$O$11</f>
        <v>24655999.999999996</v>
      </c>
      <c r="G28" s="2">
        <f ca="1">G2*numbers!$O$11</f>
        <v>24655999.999999996</v>
      </c>
      <c r="I28" s="2">
        <f ca="1">B28/C28</f>
        <v>210.00277665022222</v>
      </c>
      <c r="K28" s="2" t="s">
        <v>62</v>
      </c>
      <c r="L28">
        <f t="shared" ref="L28:L41" ca="1" si="10">$B28/B28</f>
        <v>1</v>
      </c>
      <c r="M28" s="2">
        <f t="shared" ref="M28:M41" ca="1" si="11">ROUND($B28/C28,2)</f>
        <v>210</v>
      </c>
      <c r="N28" s="2">
        <f t="shared" ref="N28:N41" ca="1" si="12">ROUND($B28/D28,2)</f>
        <v>28.13</v>
      </c>
      <c r="O28" s="2">
        <f t="shared" ref="O28:O41" ca="1" si="13">ROUND($B28/E28,2)</f>
        <v>32.15</v>
      </c>
      <c r="P28" s="2">
        <f t="shared" ref="P28:P41" ca="1" si="14">ROUND($B28/F28,2)</f>
        <v>112.53</v>
      </c>
      <c r="Q28" s="2">
        <f t="shared" ref="Q28:Q41" ca="1" si="15">ROUND($B28/G28,2)</f>
        <v>112.53</v>
      </c>
      <c r="S28" t="s">
        <v>62</v>
      </c>
      <c r="T28">
        <v>1</v>
      </c>
      <c r="U28">
        <v>112.53037455386115</v>
      </c>
      <c r="V28">
        <v>28.132593638465288</v>
      </c>
      <c r="W28">
        <v>32.154516444928618</v>
      </c>
      <c r="X28">
        <v>112.53037455386115</v>
      </c>
      <c r="Y28">
        <v>128.61806577971447</v>
      </c>
    </row>
    <row r="29" spans="1:25" x14ac:dyDescent="0.15">
      <c r="A29" s="2" t="s">
        <v>32</v>
      </c>
      <c r="B29" s="2">
        <f ca="1">B3*numbers!$O$11</f>
        <v>6005174060</v>
      </c>
      <c r="C29" s="2">
        <f>stats_raw!G9</f>
        <v>26890776</v>
      </c>
      <c r="D29" s="2">
        <f ca="1">D3*numbers!$O$11</f>
        <v>197247999.99999997</v>
      </c>
      <c r="E29" s="2">
        <f ca="1">E3*numbers!$O$11</f>
        <v>172575999.99999997</v>
      </c>
      <c r="F29" s="2">
        <f ca="1">F3*numbers!$O$11</f>
        <v>49311999.999999993</v>
      </c>
      <c r="G29" s="2">
        <f ca="1">G3*numbers!$O$11</f>
        <v>49311999.999999993</v>
      </c>
      <c r="I29" s="2">
        <f t="shared" ref="I29:I32" ca="1" si="16">B29/C29</f>
        <v>223.31724677636674</v>
      </c>
      <c r="K29" s="2" t="s">
        <v>32</v>
      </c>
      <c r="L29" s="2">
        <f t="shared" ca="1" si="10"/>
        <v>1</v>
      </c>
      <c r="M29" s="2">
        <f t="shared" ca="1" si="11"/>
        <v>223.32</v>
      </c>
      <c r="N29" s="2">
        <f t="shared" ca="1" si="12"/>
        <v>30.44</v>
      </c>
      <c r="O29" s="2">
        <f t="shared" ca="1" si="13"/>
        <v>34.799999999999997</v>
      </c>
      <c r="P29" s="2">
        <f t="shared" ca="1" si="14"/>
        <v>121.78</v>
      </c>
      <c r="Q29" s="2">
        <f t="shared" ca="1" si="15"/>
        <v>121.78</v>
      </c>
      <c r="S29" t="s">
        <v>32</v>
      </c>
      <c r="T29">
        <v>1</v>
      </c>
      <c r="U29">
        <v>121.77916247566517</v>
      </c>
      <c r="V29">
        <v>30.444790618916294</v>
      </c>
      <c r="W29">
        <v>34.797272274244399</v>
      </c>
      <c r="X29">
        <v>121.77916247566517</v>
      </c>
      <c r="Y29">
        <v>139.1890890969776</v>
      </c>
    </row>
    <row r="30" spans="1:25" x14ac:dyDescent="0.15">
      <c r="A30" s="2" t="s">
        <v>25</v>
      </c>
      <c r="B30" s="2">
        <f ca="1">B4*numbers!$O$11</f>
        <v>9309446310</v>
      </c>
      <c r="C30" s="2">
        <f>stats_raw!G15</f>
        <v>43522202</v>
      </c>
      <c r="D30" s="2">
        <f ca="1">D4*numbers!$O$11</f>
        <v>295871999.99999994</v>
      </c>
      <c r="E30" s="2">
        <f ca="1">E4*numbers!$O$11</f>
        <v>258863999.99999997</v>
      </c>
      <c r="F30" s="2">
        <f ca="1">F4*numbers!$O$11</f>
        <v>73967999.999999985</v>
      </c>
      <c r="G30" s="2">
        <f ca="1">G4*numbers!$O$11</f>
        <v>73967999.999999985</v>
      </c>
      <c r="I30" s="2">
        <f t="shared" ca="1" si="16"/>
        <v>213.9010868521772</v>
      </c>
      <c r="K30" s="2" t="s">
        <v>25</v>
      </c>
      <c r="L30" s="2">
        <f t="shared" ca="1" si="10"/>
        <v>1</v>
      </c>
      <c r="M30" s="2">
        <f t="shared" ca="1" si="11"/>
        <v>213.9</v>
      </c>
      <c r="N30" s="2">
        <f t="shared" ca="1" si="12"/>
        <v>31.46</v>
      </c>
      <c r="O30" s="2">
        <f t="shared" ca="1" si="13"/>
        <v>35.96</v>
      </c>
      <c r="P30" s="2">
        <f t="shared" ca="1" si="14"/>
        <v>125.86</v>
      </c>
      <c r="Q30" s="2">
        <f t="shared" ca="1" si="15"/>
        <v>125.86</v>
      </c>
      <c r="S30" t="s">
        <v>25</v>
      </c>
      <c r="T30">
        <v>1</v>
      </c>
      <c r="U30">
        <v>125.85775348799483</v>
      </c>
      <c r="V30">
        <v>31.464438371998707</v>
      </c>
      <c r="W30">
        <v>35.962692031336921</v>
      </c>
      <c r="X30">
        <v>125.85775348799483</v>
      </c>
      <c r="Y30">
        <v>143.85076812534768</v>
      </c>
    </row>
    <row r="31" spans="1:25" x14ac:dyDescent="0.15">
      <c r="A31" s="2" t="s">
        <v>39</v>
      </c>
      <c r="B31" s="2">
        <f ca="1">B5*numbers!$O$11</f>
        <v>2775884828</v>
      </c>
      <c r="C31" s="2">
        <f>stats_raw!G21</f>
        <v>25268703</v>
      </c>
      <c r="D31" s="2">
        <f ca="1">D5*numbers!$O$11</f>
        <v>98623999.999999985</v>
      </c>
      <c r="E31" s="2">
        <f ca="1">E5*numbers!$O$11</f>
        <v>86287999.999999985</v>
      </c>
      <c r="F31" s="2">
        <f ca="1">F5*numbers!$O$11</f>
        <v>24655999.999999996</v>
      </c>
      <c r="G31" s="2">
        <f ca="1">G5*numbers!$O$11</f>
        <v>24655999.999999996</v>
      </c>
      <c r="I31" s="2">
        <f t="shared" ca="1" si="16"/>
        <v>109.85466202994273</v>
      </c>
      <c r="K31" s="2" t="s">
        <v>39</v>
      </c>
      <c r="L31" s="2">
        <f t="shared" ca="1" si="10"/>
        <v>1</v>
      </c>
      <c r="M31" s="2">
        <f t="shared" ca="1" si="11"/>
        <v>109.85</v>
      </c>
      <c r="N31" s="2">
        <f t="shared" ca="1" si="12"/>
        <v>28.15</v>
      </c>
      <c r="O31" s="2">
        <f t="shared" ca="1" si="13"/>
        <v>32.17</v>
      </c>
      <c r="P31" s="2">
        <f t="shared" ca="1" si="14"/>
        <v>112.58</v>
      </c>
      <c r="Q31" s="2">
        <f t="shared" ca="1" si="15"/>
        <v>112.58</v>
      </c>
      <c r="S31" t="s">
        <v>39</v>
      </c>
      <c r="T31">
        <v>1</v>
      </c>
      <c r="U31">
        <v>112.58455661907854</v>
      </c>
      <c r="V31">
        <v>28.146139154769635</v>
      </c>
      <c r="W31">
        <v>32.169998470239207</v>
      </c>
      <c r="X31">
        <v>112.58455661907854</v>
      </c>
      <c r="Y31">
        <v>128.67999388095683</v>
      </c>
    </row>
    <row r="32" spans="1:25" x14ac:dyDescent="0.15">
      <c r="A32" s="2" t="s">
        <v>46</v>
      </c>
      <c r="B32" s="2">
        <f ca="1">B6*numbers!$O$11</f>
        <v>8948549808</v>
      </c>
      <c r="C32" s="2">
        <f>stats_raw!G27</f>
        <v>166261252</v>
      </c>
      <c r="D32" s="2">
        <f ca="1">D6*numbers!$O$11</f>
        <v>295871999.99999994</v>
      </c>
      <c r="E32" s="2">
        <f ca="1">E6*numbers!$O$11</f>
        <v>258863999.99999997</v>
      </c>
      <c r="F32" s="2">
        <f ca="1">F6*numbers!$O$11</f>
        <v>73967999.999999985</v>
      </c>
      <c r="G32" s="2">
        <f ca="1">G6*numbers!$O$11</f>
        <v>73967999.999999985</v>
      </c>
      <c r="I32" s="2">
        <f t="shared" ca="1" si="16"/>
        <v>53.822220754117744</v>
      </c>
      <c r="K32" s="2" t="s">
        <v>46</v>
      </c>
      <c r="L32" s="2">
        <f t="shared" ca="1" si="10"/>
        <v>1</v>
      </c>
      <c r="M32" s="2">
        <f t="shared" ca="1" si="11"/>
        <v>53.82</v>
      </c>
      <c r="N32" s="2">
        <f t="shared" ca="1" si="12"/>
        <v>30.24</v>
      </c>
      <c r="O32" s="2">
        <f t="shared" ca="1" si="13"/>
        <v>34.57</v>
      </c>
      <c r="P32" s="2">
        <f t="shared" ca="1" si="14"/>
        <v>120.98</v>
      </c>
      <c r="Q32" s="2">
        <f t="shared" ca="1" si="15"/>
        <v>120.98</v>
      </c>
      <c r="S32" t="s">
        <v>46</v>
      </c>
      <c r="T32">
        <v>1</v>
      </c>
      <c r="U32">
        <v>120.97866385463986</v>
      </c>
      <c r="V32">
        <v>30.244665963659966</v>
      </c>
      <c r="W32">
        <v>34.56853717782311</v>
      </c>
      <c r="X32">
        <v>120.97866385463986</v>
      </c>
      <c r="Y32">
        <v>138.27414871129244</v>
      </c>
    </row>
    <row r="33" spans="1:25" x14ac:dyDescent="0.15">
      <c r="A33" s="2" t="s">
        <v>127</v>
      </c>
      <c r="B33" s="2">
        <f ca="1">B7*numbers!$O$11</f>
        <v>7618950</v>
      </c>
      <c r="C33" s="2">
        <f>stats_raw!G33</f>
        <v>3383448</v>
      </c>
      <c r="D33" s="2">
        <f ca="1">D7*numbers!$O$11</f>
        <v>26048000</v>
      </c>
      <c r="E33" s="2">
        <f ca="1">E7*numbers!$O$11</f>
        <v>22784000</v>
      </c>
      <c r="F33" s="2">
        <f ca="1">F7*numbers!$O$11</f>
        <v>6512000</v>
      </c>
      <c r="G33" s="2">
        <f ca="1">G7*numbers!$O$11</f>
        <v>6512000</v>
      </c>
      <c r="K33" s="2" t="s">
        <v>127</v>
      </c>
      <c r="L33" s="2">
        <f t="shared" ca="1" si="10"/>
        <v>1</v>
      </c>
      <c r="M33" s="2">
        <f t="shared" ca="1" si="11"/>
        <v>2.25</v>
      </c>
      <c r="N33" s="2">
        <f t="shared" ca="1" si="12"/>
        <v>0.28999999999999998</v>
      </c>
      <c r="O33" s="2">
        <f t="shared" ca="1" si="13"/>
        <v>0.33</v>
      </c>
      <c r="P33" s="2">
        <f t="shared" ca="1" si="14"/>
        <v>1.17</v>
      </c>
      <c r="Q33" s="2">
        <f t="shared" ca="1" si="15"/>
        <v>1.17</v>
      </c>
      <c r="S33" t="s">
        <v>127</v>
      </c>
      <c r="T33">
        <v>1</v>
      </c>
      <c r="U33">
        <v>59.015151456662394</v>
      </c>
      <c r="V33">
        <v>14.753787864165599</v>
      </c>
      <c r="W33">
        <v>16.932318365116821</v>
      </c>
      <c r="X33">
        <v>14.753787864165599</v>
      </c>
      <c r="Y33">
        <v>16.932318365116821</v>
      </c>
    </row>
    <row r="34" spans="1:25" x14ac:dyDescent="0.15">
      <c r="A34" t="s">
        <v>128</v>
      </c>
      <c r="B34" s="2">
        <f ca="1">B8*numbers!$O$11</f>
        <v>2142591430</v>
      </c>
      <c r="C34" s="2">
        <f>stats_raw!G39</f>
        <v>819527054</v>
      </c>
      <c r="D34" s="2">
        <f ca="1">D8*numbers!$O$11</f>
        <v>560268000</v>
      </c>
      <c r="E34" s="2">
        <f ca="1">E8*numbers!$O$11</f>
        <v>486518999.99999994</v>
      </c>
      <c r="F34" s="2">
        <f ca="1">F8*numbers!$O$11</f>
        <v>140067000</v>
      </c>
      <c r="G34" s="2">
        <f ca="1">G8*numbers!$O$11</f>
        <v>140067000</v>
      </c>
      <c r="K34" s="2" t="s">
        <v>128</v>
      </c>
      <c r="L34" s="2">
        <f t="shared" ca="1" si="10"/>
        <v>1</v>
      </c>
      <c r="M34" s="2">
        <f t="shared" ca="1" si="11"/>
        <v>2.61</v>
      </c>
      <c r="N34" s="2">
        <f t="shared" ca="1" si="12"/>
        <v>3.82</v>
      </c>
      <c r="O34" s="2">
        <f t="shared" ca="1" si="13"/>
        <v>4.4000000000000004</v>
      </c>
      <c r="P34" s="2">
        <f t="shared" ca="1" si="14"/>
        <v>15.3</v>
      </c>
      <c r="Q34" s="2">
        <f t="shared" ca="1" si="15"/>
        <v>15.3</v>
      </c>
      <c r="S34" t="s">
        <v>128</v>
      </c>
      <c r="T34">
        <v>1</v>
      </c>
      <c r="U34">
        <v>110.87590637116395</v>
      </c>
      <c r="V34">
        <v>27.718976592790987</v>
      </c>
      <c r="W34">
        <v>31.931226825119506</v>
      </c>
      <c r="X34">
        <v>27.718976592790987</v>
      </c>
      <c r="Y34">
        <v>31.931226825119506</v>
      </c>
    </row>
    <row r="35" spans="1:25" s="2" customFormat="1" x14ac:dyDescent="0.15">
      <c r="A35" s="2" t="s">
        <v>129</v>
      </c>
      <c r="B35" s="2">
        <f ca="1">B9*numbers!$O$11</f>
        <v>78254968405.732727</v>
      </c>
      <c r="C35" s="2">
        <f>stats_raw!G45</f>
        <v>500056258</v>
      </c>
      <c r="D35" s="2">
        <f ca="1">D9*numbers!$O$11</f>
        <v>2105375999.9999998</v>
      </c>
      <c r="E35" s="2">
        <f ca="1">E9*numbers!$O$11</f>
        <v>1810152000</v>
      </c>
      <c r="F35" s="2">
        <f ca="1">F9*numbers!$O$11</f>
        <v>526343999.99999994</v>
      </c>
      <c r="G35" s="2">
        <f ca="1">G9*numbers!$O$11</f>
        <v>526343999.99999994</v>
      </c>
      <c r="K35" s="2" t="s">
        <v>129</v>
      </c>
      <c r="L35" s="2">
        <f t="shared" ca="1" si="10"/>
        <v>1</v>
      </c>
      <c r="M35" s="2">
        <f t="shared" ca="1" si="11"/>
        <v>156.49</v>
      </c>
      <c r="N35" s="2">
        <f t="shared" ca="1" si="12"/>
        <v>37.17</v>
      </c>
      <c r="O35" s="2">
        <f t="shared" ca="1" si="13"/>
        <v>43.23</v>
      </c>
      <c r="P35" s="2">
        <f t="shared" ca="1" si="14"/>
        <v>148.68</v>
      </c>
      <c r="Q35" s="2">
        <f t="shared" ca="1" si="15"/>
        <v>148.68</v>
      </c>
      <c r="S35" s="2" t="s">
        <v>129</v>
      </c>
      <c r="T35" s="2">
        <v>1</v>
      </c>
      <c r="U35" s="2">
        <v>148.67647091205131</v>
      </c>
      <c r="V35" s="2">
        <v>37.169117728012829</v>
      </c>
      <c r="W35" s="2">
        <v>43.231158712490846</v>
      </c>
      <c r="X35" s="2">
        <v>37.169117728012829</v>
      </c>
      <c r="Y35" s="2">
        <v>43.231158712490846</v>
      </c>
    </row>
    <row r="36" spans="1:25" s="2" customFormat="1" x14ac:dyDescent="0.15">
      <c r="A36" t="s">
        <v>53</v>
      </c>
      <c r="B36" s="2">
        <f ca="1">B10*numbers!$O$11</f>
        <v>64234484267.895393</v>
      </c>
      <c r="C36" s="2">
        <f>stats_raw!G51</f>
        <v>211805254</v>
      </c>
      <c r="D36" s="2">
        <f ca="1">D10*numbers!$O$11</f>
        <v>1384415999.9999998</v>
      </c>
      <c r="E36" s="2">
        <f ca="1">E10*numbers!$O$11</f>
        <v>1211159999.9999998</v>
      </c>
      <c r="F36" s="2">
        <f ca="1">F10*numbers!$O$11</f>
        <v>346103999.99999994</v>
      </c>
      <c r="G36" s="2">
        <f ca="1">G10*numbers!$O$11</f>
        <v>346103999.99999994</v>
      </c>
      <c r="K36" s="2" t="s">
        <v>53</v>
      </c>
      <c r="L36" s="2">
        <f t="shared" ca="1" si="10"/>
        <v>1</v>
      </c>
      <c r="M36" s="2">
        <f t="shared" ca="1" si="11"/>
        <v>303.27</v>
      </c>
      <c r="N36" s="2">
        <f t="shared" ca="1" si="12"/>
        <v>46.4</v>
      </c>
      <c r="O36" s="2">
        <f t="shared" ca="1" si="13"/>
        <v>53.04</v>
      </c>
      <c r="P36" s="2">
        <f t="shared" ca="1" si="14"/>
        <v>185.59</v>
      </c>
      <c r="Q36" s="2">
        <f t="shared" ca="1" si="15"/>
        <v>185.59</v>
      </c>
      <c r="S36" s="2" t="s">
        <v>53</v>
      </c>
      <c r="T36" s="2">
        <v>1</v>
      </c>
      <c r="U36" s="2">
        <v>117.84542156045482</v>
      </c>
      <c r="V36" s="2">
        <v>40.567796598392853</v>
      </c>
      <c r="W36" s="2">
        <v>45.55216952049139</v>
      </c>
      <c r="X36" s="2">
        <v>117.84542156045482</v>
      </c>
      <c r="Y36" s="2">
        <v>128.01832457450323</v>
      </c>
    </row>
    <row r="37" spans="1:25" s="2" customFormat="1" x14ac:dyDescent="0.15">
      <c r="A37" s="12" t="s">
        <v>180</v>
      </c>
      <c r="B37" s="2">
        <f ca="1">B11*numbers!$O$11</f>
        <v>6775223</v>
      </c>
      <c r="C37" s="2">
        <f>stats_raw!G57</f>
        <v>966923</v>
      </c>
      <c r="D37" s="2">
        <f ca="1">D11*numbers!$O$11</f>
        <v>21088000</v>
      </c>
      <c r="E37" s="2">
        <f ca="1">E11*numbers!$O$11</f>
        <v>17944000</v>
      </c>
      <c r="F37" s="2">
        <f ca="1">F11*numbers!$O$11</f>
        <v>5272000</v>
      </c>
      <c r="G37" s="2">
        <f ca="1">G11*numbers!$O$11</f>
        <v>5272000</v>
      </c>
      <c r="K37" s="12" t="s">
        <v>180</v>
      </c>
      <c r="L37" s="2">
        <f t="shared" ca="1" si="10"/>
        <v>1</v>
      </c>
      <c r="M37" s="2">
        <f t="shared" ca="1" si="11"/>
        <v>7.01</v>
      </c>
      <c r="N37" s="2">
        <f t="shared" ca="1" si="12"/>
        <v>0.32</v>
      </c>
      <c r="O37" s="2">
        <f t="shared" ca="1" si="13"/>
        <v>0.38</v>
      </c>
      <c r="P37" s="2">
        <f t="shared" ca="1" si="14"/>
        <v>1.29</v>
      </c>
      <c r="Q37" s="2">
        <f t="shared" ca="1" si="15"/>
        <v>1.29</v>
      </c>
      <c r="S37" s="2" t="s">
        <v>180</v>
      </c>
      <c r="T37" s="2">
        <v>1</v>
      </c>
      <c r="U37" s="2">
        <v>1.2851333459787557</v>
      </c>
      <c r="V37" s="2">
        <v>0.32128333649468893</v>
      </c>
      <c r="W37" s="2">
        <v>0.37757595853767278</v>
      </c>
      <c r="X37" s="2">
        <v>1.2851333459787557</v>
      </c>
      <c r="Y37" s="2">
        <v>1.5103038341506911</v>
      </c>
    </row>
    <row r="38" spans="1:25" s="2" customFormat="1" x14ac:dyDescent="0.15">
      <c r="A38" s="12" t="s">
        <v>182</v>
      </c>
      <c r="B38" s="2">
        <f ca="1">B12*numbers!$O$11</f>
        <v>13149654</v>
      </c>
      <c r="C38" s="2">
        <f>stats_raw!G63</f>
        <v>10773921</v>
      </c>
      <c r="D38" s="2">
        <f ca="1">D12*numbers!$O$11</f>
        <v>41728000</v>
      </c>
      <c r="E38" s="2">
        <f ca="1">E12*numbers!$O$11</f>
        <v>35488000</v>
      </c>
      <c r="F38" s="2">
        <f ca="1">F12*numbers!$O$11</f>
        <v>10432000</v>
      </c>
      <c r="G38" s="2">
        <f ca="1">G12*numbers!$O$11</f>
        <v>10432000</v>
      </c>
      <c r="K38" s="12" t="s">
        <v>182</v>
      </c>
      <c r="L38" s="2">
        <f t="shared" ca="1" si="10"/>
        <v>1</v>
      </c>
      <c r="M38" s="2">
        <f t="shared" ca="1" si="11"/>
        <v>1.22</v>
      </c>
      <c r="N38" s="2">
        <f t="shared" ca="1" si="12"/>
        <v>0.32</v>
      </c>
      <c r="O38" s="2">
        <f t="shared" ca="1" si="13"/>
        <v>0.37</v>
      </c>
      <c r="P38" s="2">
        <f t="shared" ca="1" si="14"/>
        <v>1.26</v>
      </c>
      <c r="Q38" s="2">
        <f t="shared" ca="1" si="15"/>
        <v>1.26</v>
      </c>
      <c r="S38" s="2" t="s">
        <v>182</v>
      </c>
      <c r="T38" s="2">
        <v>1</v>
      </c>
      <c r="U38" s="2">
        <v>1.2605113113496933</v>
      </c>
      <c r="V38" s="2">
        <v>0.31512782783742332</v>
      </c>
      <c r="W38" s="2">
        <v>0.37053804102795312</v>
      </c>
      <c r="X38" s="2">
        <v>1.2605113113496933</v>
      </c>
      <c r="Y38" s="2">
        <v>1.4821521641118125</v>
      </c>
    </row>
    <row r="39" spans="1:25" s="2" customFormat="1" x14ac:dyDescent="0.15">
      <c r="A39" s="12" t="s">
        <v>184</v>
      </c>
      <c r="B39" s="2">
        <f ca="1">B13*numbers!$O$11</f>
        <v>122820258</v>
      </c>
      <c r="C39" s="2">
        <f>stats_raw!G69</f>
        <v>11296316</v>
      </c>
      <c r="D39" s="2">
        <f ca="1">D13*numbers!$O$11</f>
        <v>20775999.999999996</v>
      </c>
      <c r="E39" s="2">
        <f ca="1">E13*numbers!$O$11</f>
        <v>17697999.999999996</v>
      </c>
      <c r="F39" s="2">
        <f ca="1">F13*numbers!$O$11</f>
        <v>5193999.9999999991</v>
      </c>
      <c r="G39" s="2">
        <f ca="1">G13*numbers!$O$11</f>
        <v>5193999.9999999991</v>
      </c>
      <c r="K39" s="12" t="s">
        <v>184</v>
      </c>
      <c r="L39" s="2">
        <f t="shared" ca="1" si="10"/>
        <v>1</v>
      </c>
      <c r="M39" s="2">
        <f t="shared" ca="1" si="11"/>
        <v>10.87</v>
      </c>
      <c r="N39" s="2">
        <f t="shared" ca="1" si="12"/>
        <v>5.91</v>
      </c>
      <c r="O39" s="2">
        <f t="shared" ca="1" si="13"/>
        <v>6.94</v>
      </c>
      <c r="P39" s="2">
        <f t="shared" ca="1" si="14"/>
        <v>23.65</v>
      </c>
      <c r="Q39" s="2">
        <f t="shared" ca="1" si="15"/>
        <v>23.65</v>
      </c>
      <c r="S39" s="2" t="s">
        <v>184</v>
      </c>
      <c r="T39" s="2">
        <v>1</v>
      </c>
      <c r="U39" s="2">
        <v>6.6728515101328849</v>
      </c>
      <c r="V39" s="2">
        <v>3.6136398642072196</v>
      </c>
      <c r="W39" s="2">
        <v>3.9734844716572457</v>
      </c>
      <c r="X39" s="2">
        <v>6.6728515101328849</v>
      </c>
      <c r="Y39" s="2">
        <v>6.9639960121255609</v>
      </c>
    </row>
    <row r="40" spans="1:25" s="2" customFormat="1" x14ac:dyDescent="0.15">
      <c r="A40" s="12" t="s">
        <v>185</v>
      </c>
      <c r="B40" s="2">
        <f ca="1">B14*numbers!$O$11</f>
        <v>123723582</v>
      </c>
      <c r="C40" s="2">
        <f>stats_raw!G75</f>
        <v>16676630</v>
      </c>
      <c r="D40" s="2">
        <f ca="1">D14*numbers!$O$11</f>
        <v>15015999.999999998</v>
      </c>
      <c r="E40" s="2">
        <f ca="1">E14*numbers!$O$11</f>
        <v>13377999.999999998</v>
      </c>
      <c r="F40" s="2">
        <f ca="1">F14*numbers!$O$11</f>
        <v>3753999.9999999995</v>
      </c>
      <c r="G40" s="2">
        <f ca="1">G14*numbers!$O$11</f>
        <v>3753999.9999999995</v>
      </c>
      <c r="K40" s="12" t="s">
        <v>185</v>
      </c>
      <c r="L40" s="2">
        <f t="shared" ca="1" si="10"/>
        <v>1</v>
      </c>
      <c r="M40" s="2">
        <f t="shared" ca="1" si="11"/>
        <v>7.42</v>
      </c>
      <c r="N40" s="2">
        <f t="shared" ca="1" si="12"/>
        <v>8.24</v>
      </c>
      <c r="O40" s="2">
        <f t="shared" ca="1" si="13"/>
        <v>9.25</v>
      </c>
      <c r="P40" s="2">
        <f t="shared" ca="1" si="14"/>
        <v>32.96</v>
      </c>
      <c r="Q40" s="2">
        <f t="shared" ca="1" si="15"/>
        <v>32.96</v>
      </c>
      <c r="S40" s="2" t="s">
        <v>185</v>
      </c>
      <c r="T40" s="2">
        <v>1</v>
      </c>
      <c r="U40" s="2">
        <v>7.2217827457389694</v>
      </c>
      <c r="V40" s="2">
        <v>4.3573847291681345</v>
      </c>
      <c r="W40" s="2">
        <v>4.6241434444610565</v>
      </c>
      <c r="X40" s="2">
        <v>7.2217827457389694</v>
      </c>
      <c r="Y40" s="2">
        <v>7.3986295111376892</v>
      </c>
    </row>
    <row r="41" spans="1:25" s="2" customFormat="1" x14ac:dyDescent="0.15">
      <c r="A41" s="12" t="s">
        <v>186</v>
      </c>
      <c r="B41" s="2">
        <f ca="1">B15*numbers!$O$11</f>
        <v>52831468481</v>
      </c>
      <c r="C41" s="2">
        <f>stats_raw!G81</f>
        <v>427823379</v>
      </c>
      <c r="D41" s="2">
        <f ca="1">D15*numbers!$O$11</f>
        <v>393855999.99999994</v>
      </c>
      <c r="E41" s="2">
        <f ca="1">E15*numbers!$O$11</f>
        <v>344607999.99999994</v>
      </c>
      <c r="F41" s="2">
        <f ca="1">F15*numbers!$O$11</f>
        <v>98463999.999999985</v>
      </c>
      <c r="G41" s="2">
        <f ca="1">G15*numbers!$O$11</f>
        <v>98463999.999999985</v>
      </c>
      <c r="K41" s="12" t="s">
        <v>186</v>
      </c>
      <c r="L41" s="2">
        <f t="shared" ca="1" si="10"/>
        <v>1</v>
      </c>
      <c r="M41" s="2">
        <f t="shared" ca="1" si="11"/>
        <v>123.49</v>
      </c>
      <c r="N41" s="2">
        <f t="shared" ca="1" si="12"/>
        <v>134.13999999999999</v>
      </c>
      <c r="O41" s="2">
        <f t="shared" ca="1" si="13"/>
        <v>153.31</v>
      </c>
      <c r="P41" s="2">
        <f t="shared" ca="1" si="14"/>
        <v>536.55999999999995</v>
      </c>
      <c r="Q41" s="2">
        <f t="shared" ca="1" si="15"/>
        <v>536.55999999999995</v>
      </c>
      <c r="S41" s="2" t="s">
        <v>186</v>
      </c>
      <c r="T41" s="2">
        <v>1</v>
      </c>
      <c r="U41" s="2">
        <v>43.461950065247791</v>
      </c>
      <c r="V41" s="2">
        <v>14.762689037929579</v>
      </c>
      <c r="W41" s="2">
        <v>16.588985142855037</v>
      </c>
      <c r="X41" s="2">
        <v>43.461950065247791</v>
      </c>
      <c r="Y41" s="2">
        <v>47.294096088035822</v>
      </c>
    </row>
    <row r="42" spans="1:25" s="2" customFormat="1" x14ac:dyDescent="0.15">
      <c r="A42" s="12" t="s">
        <v>187</v>
      </c>
      <c r="B42" s="2">
        <f ca="1">B16*numbers!$O$11</f>
        <v>52875676514</v>
      </c>
      <c r="C42" s="2">
        <f>stats_raw!G87</f>
        <v>427827107</v>
      </c>
      <c r="D42" s="2">
        <f ca="1">D16*numbers!$O$11</f>
        <v>393855999.99999994</v>
      </c>
      <c r="E42" s="2">
        <f ca="1">E16*numbers!$O$11</f>
        <v>344607999.99999994</v>
      </c>
      <c r="F42" s="2">
        <f ca="1">F16*numbers!$O$11</f>
        <v>98463999.999999985</v>
      </c>
      <c r="G42" s="2">
        <f ca="1">G16*numbers!$O$11</f>
        <v>98463999.999999985</v>
      </c>
      <c r="K42" s="12"/>
    </row>
    <row r="43" spans="1:25" s="2" customFormat="1" x14ac:dyDescent="0.15">
      <c r="A43" s="12" t="s">
        <v>188</v>
      </c>
      <c r="B43" s="2">
        <f ca="1">B17*numbers!$O$11</f>
        <v>1562376054</v>
      </c>
      <c r="C43" s="2">
        <f>stats_raw!G93</f>
        <v>783638929</v>
      </c>
      <c r="D43" s="2">
        <f ca="1">D17*numbers!$O$11</f>
        <v>40688000</v>
      </c>
      <c r="E43" s="2">
        <f ca="1">E17*numbers!$O$11</f>
        <v>36428000</v>
      </c>
      <c r="F43" s="2">
        <f ca="1">F17*numbers!$O$11</f>
        <v>10172000</v>
      </c>
      <c r="G43" s="2">
        <f ca="1">G17*numbers!$O$11</f>
        <v>10172000</v>
      </c>
      <c r="K43" s="12" t="s">
        <v>188</v>
      </c>
      <c r="L43" s="2">
        <f ca="1">$B43/B43</f>
        <v>1</v>
      </c>
      <c r="M43" s="2">
        <f t="shared" ref="M43:Q47" ca="1" si="17">ROUND($B43/C43,2)</f>
        <v>1.99</v>
      </c>
      <c r="N43" s="2">
        <f t="shared" ca="1" si="17"/>
        <v>38.4</v>
      </c>
      <c r="O43" s="2">
        <f t="shared" ca="1" si="17"/>
        <v>42.89</v>
      </c>
      <c r="P43" s="2">
        <f t="shared" ca="1" si="17"/>
        <v>153.6</v>
      </c>
      <c r="Q43" s="2">
        <f t="shared" ca="1" si="17"/>
        <v>153.6</v>
      </c>
      <c r="S43" s="2" t="s">
        <v>188</v>
      </c>
      <c r="T43" s="2">
        <v>1</v>
      </c>
      <c r="U43" s="2">
        <v>28.728160250869966</v>
      </c>
      <c r="V43" s="2">
        <v>18.402365333822186</v>
      </c>
      <c r="W43" s="2">
        <v>19.37450411595476</v>
      </c>
      <c r="X43" s="2">
        <v>28.728160250869966</v>
      </c>
      <c r="Y43" s="2">
        <v>29.301971004107514</v>
      </c>
    </row>
    <row r="44" spans="1:25" s="2" customFormat="1" x14ac:dyDescent="0.15">
      <c r="A44" s="2" t="s">
        <v>178</v>
      </c>
      <c r="B44" s="2">
        <f ca="1">B18*numbers!$O$11</f>
        <v>2897597836</v>
      </c>
      <c r="C44" s="2">
        <f>stats_raw!G98</f>
        <v>2897597836</v>
      </c>
      <c r="D44" s="2">
        <f ca="1">D18*numbers!$O$11</f>
        <v>2897597836</v>
      </c>
      <c r="E44" s="2">
        <f ca="1">E18*numbers!$O$11</f>
        <v>2897597836</v>
      </c>
      <c r="F44" s="2">
        <f ca="1">F18*numbers!$O$11</f>
        <v>2897597836</v>
      </c>
      <c r="G44" s="2">
        <f ca="1">G18*numbers!$O$11</f>
        <v>2897597836</v>
      </c>
      <c r="K44" s="2" t="s">
        <v>178</v>
      </c>
      <c r="L44" s="2">
        <f ca="1">$B44/B44</f>
        <v>1</v>
      </c>
      <c r="M44" s="2">
        <f t="shared" ca="1" si="17"/>
        <v>1</v>
      </c>
      <c r="N44" s="2">
        <f t="shared" ca="1" si="17"/>
        <v>1</v>
      </c>
      <c r="O44" s="2">
        <f t="shared" ca="1" si="17"/>
        <v>1</v>
      </c>
      <c r="P44" s="2">
        <f t="shared" ca="1" si="17"/>
        <v>1</v>
      </c>
      <c r="Q44" s="2">
        <f t="shared" ca="1" si="17"/>
        <v>1</v>
      </c>
      <c r="S44" s="2" t="s">
        <v>178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</row>
    <row r="45" spans="1:25" s="2" customFormat="1" x14ac:dyDescent="0.15">
      <c r="A45" s="2" t="s">
        <v>179</v>
      </c>
      <c r="B45" s="2">
        <f>B19*numbers!$O$11</f>
        <v>12264384</v>
      </c>
      <c r="C45" s="2">
        <f>stats_raw!G99</f>
        <v>12264384</v>
      </c>
      <c r="D45" s="2">
        <f>D19*numbers!$O$11</f>
        <v>12264384</v>
      </c>
      <c r="E45" s="2">
        <f>E19*numbers!$O$11</f>
        <v>12264384</v>
      </c>
      <c r="F45" s="2">
        <f>F19*numbers!$O$11</f>
        <v>12264384</v>
      </c>
      <c r="G45" s="2">
        <f>G19*numbers!$O$11</f>
        <v>12264384</v>
      </c>
      <c r="K45" s="2" t="s">
        <v>179</v>
      </c>
      <c r="L45" s="2">
        <f>$B45/B45</f>
        <v>1</v>
      </c>
      <c r="M45" s="2">
        <f t="shared" si="17"/>
        <v>1</v>
      </c>
      <c r="N45" s="2">
        <f t="shared" si="17"/>
        <v>1</v>
      </c>
      <c r="O45" s="2">
        <f t="shared" si="17"/>
        <v>1</v>
      </c>
      <c r="P45" s="2">
        <f t="shared" si="17"/>
        <v>1</v>
      </c>
      <c r="Q45" s="2">
        <f t="shared" si="17"/>
        <v>1</v>
      </c>
      <c r="S45" s="2" t="s">
        <v>179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</row>
    <row r="46" spans="1:25" s="2" customFormat="1" x14ac:dyDescent="0.15">
      <c r="A46" s="2" t="s">
        <v>181</v>
      </c>
      <c r="B46" s="2">
        <f>B20*numbers!$O$11</f>
        <v>23550254</v>
      </c>
      <c r="C46" s="2">
        <f>stats_raw!G100</f>
        <v>23550254</v>
      </c>
      <c r="D46" s="2">
        <f>D20*numbers!$O$11</f>
        <v>23550254</v>
      </c>
      <c r="E46" s="2">
        <f>E20*numbers!$O$11</f>
        <v>23550254</v>
      </c>
      <c r="F46" s="2">
        <f>F20*numbers!$O$11</f>
        <v>23550254</v>
      </c>
      <c r="G46" s="2">
        <f>G20*numbers!$O$11</f>
        <v>23550254</v>
      </c>
      <c r="K46" s="2" t="s">
        <v>181</v>
      </c>
      <c r="L46" s="2">
        <f>$B46/B46</f>
        <v>1</v>
      </c>
      <c r="M46" s="2">
        <f t="shared" si="17"/>
        <v>1</v>
      </c>
      <c r="N46" s="2">
        <f t="shared" si="17"/>
        <v>1</v>
      </c>
      <c r="O46" s="2">
        <f t="shared" si="17"/>
        <v>1</v>
      </c>
      <c r="P46" s="2">
        <f t="shared" si="17"/>
        <v>1</v>
      </c>
      <c r="Q46" s="2">
        <f t="shared" si="17"/>
        <v>1</v>
      </c>
      <c r="S46" s="2" t="s">
        <v>181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</row>
    <row r="47" spans="1:25" s="2" customFormat="1" x14ac:dyDescent="0.15">
      <c r="A47" s="2" t="s">
        <v>183</v>
      </c>
      <c r="B47" s="2">
        <f>B21*numbers!$O$11</f>
        <v>13718909751</v>
      </c>
      <c r="C47" s="2">
        <f>stats_raw!G101</f>
        <v>13718909751</v>
      </c>
      <c r="D47" s="2">
        <f>D21*numbers!$O$11</f>
        <v>13718909751</v>
      </c>
      <c r="E47" s="2">
        <f>E21*numbers!$O$11</f>
        <v>13718909751</v>
      </c>
      <c r="F47" s="2">
        <f>F21*numbers!$O$11</f>
        <v>13718909751</v>
      </c>
      <c r="G47" s="2">
        <f>G21*numbers!$O$11</f>
        <v>13718909751</v>
      </c>
      <c r="K47" s="2" t="s">
        <v>183</v>
      </c>
      <c r="L47" s="2">
        <f>$B47/B47</f>
        <v>1</v>
      </c>
      <c r="M47" s="2">
        <f t="shared" si="17"/>
        <v>1</v>
      </c>
      <c r="N47" s="2">
        <f t="shared" si="17"/>
        <v>1</v>
      </c>
      <c r="O47" s="2">
        <f t="shared" si="17"/>
        <v>1</v>
      </c>
      <c r="P47" s="2">
        <f t="shared" si="17"/>
        <v>1</v>
      </c>
      <c r="Q47" s="2">
        <f t="shared" si="17"/>
        <v>1</v>
      </c>
      <c r="S47" s="2" t="s">
        <v>183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</row>
    <row r="48" spans="1:25" s="2" customFormat="1" x14ac:dyDescent="0.15">
      <c r="S48" s="2" t="s">
        <v>130</v>
      </c>
      <c r="T48" s="2">
        <v>1</v>
      </c>
      <c r="U48" s="2">
        <v>36.414603812631483</v>
      </c>
      <c r="V48" s="2">
        <v>11.284508332741861</v>
      </c>
      <c r="W48" s="2">
        <v>12.774384499366349</v>
      </c>
      <c r="X48" s="2">
        <v>27.597109130859121</v>
      </c>
      <c r="Y48" s="2">
        <v>30.859072813541445</v>
      </c>
    </row>
    <row r="49" spans="1:17" s="2" customFormat="1" x14ac:dyDescent="0.15"/>
    <row r="50" spans="1:17" s="2" customFormat="1" x14ac:dyDescent="0.15"/>
    <row r="51" spans="1:17" s="2" customFormat="1" x14ac:dyDescent="0.15"/>
    <row r="52" spans="1:17" s="2" customFormat="1" x14ac:dyDescent="0.15"/>
    <row r="53" spans="1:17" s="2" customFormat="1" x14ac:dyDescent="0.15"/>
    <row r="54" spans="1:17" s="2" customFormat="1" x14ac:dyDescent="0.15"/>
    <row r="55" spans="1:17" s="2" customFormat="1" x14ac:dyDescent="0.15"/>
    <row r="57" spans="1:17" x14ac:dyDescent="0.15">
      <c r="A57" s="1" t="s">
        <v>0</v>
      </c>
      <c r="B57" s="1" t="s">
        <v>63</v>
      </c>
      <c r="C57" s="1" t="s">
        <v>64</v>
      </c>
      <c r="D57" s="1" t="s">
        <v>65</v>
      </c>
      <c r="E57" s="1" t="s">
        <v>66</v>
      </c>
      <c r="F57" s="1" t="s">
        <v>67</v>
      </c>
      <c r="G57" s="1" t="s">
        <v>68</v>
      </c>
    </row>
    <row r="58" spans="1:17" x14ac:dyDescent="0.15">
      <c r="A58" t="s">
        <v>62</v>
      </c>
      <c r="B58">
        <f ca="1">B28*numbers!$O$20</f>
        <v>2774548915</v>
      </c>
      <c r="C58" s="2">
        <f ca="1">OFFSET(stats_raw!$H$3,(ROW(C1)-1)*6,0)*numbers!$O$6 * numbers!$O$20+ OFFSET(stats_raw!$J$3,(ROW(C1)-1)*6,0)*numbers!$O$5* numbers!$O$20</f>
        <v>2.4655999999999997E-2</v>
      </c>
      <c r="D58">
        <f ca="1">OFFSET(stats_raw!$H$3,(ROW(C1)-1)*6,0)*numbers!$O$6*numbers!$O$14 * numbers!$O$20 + OFFSET(stats_raw!$J$3,(ROW(C1)-1)*6,0)*numbers!$O$5*numbers!$O$14* numbers!$O$20</f>
        <v>9.8623999999999989E-2</v>
      </c>
      <c r="E58">
        <f ca="1">OFFSET(stats_raw!$H$3,(ROW(C1)-1)*6,0)*numbers!$O$6*numbers!$O$14*numbers!$O$15* numbers!$O$20 + OFFSET(stats_raw!$J$3,(ROW(C1)-1)*6,0)*numbers!$O$5*numbers!$O$14* numbers!$O$20</f>
        <v>8.628799999999999E-2</v>
      </c>
      <c r="F58">
        <f ca="1">OFFSET(stats_raw!$H$3,(ROW(C1)-1)*6,0)*numbers!$O$6/numbers!$O$16 * numbers!$O$20+ OFFSET(stats_raw!$J$3,(ROW(C1)-1)*6,0)*numbers!$O$5/numbers!$O$16* numbers!$O$20</f>
        <v>2.4655999999999997E-2</v>
      </c>
      <c r="G58">
        <f ca="1">OFFSET(stats_raw!$H$3,(ROW(C1)-1)*6,0)*numbers!$O$6/numbers!$O$16 * numbers!$O$21 * numbers!$O$20+ OFFSET(stats_raw!$J$3,(ROW(C1)-1)*6,0)*numbers!$O$5/numbers!$O$16* numbers!$O$20</f>
        <v>2.1571999999999997E-2</v>
      </c>
    </row>
    <row r="59" spans="1:17" x14ac:dyDescent="0.15">
      <c r="A59" t="s">
        <v>32</v>
      </c>
      <c r="B59" s="2">
        <f ca="1">B29*numbers!$O$20</f>
        <v>6005174060</v>
      </c>
      <c r="C59" s="2">
        <f ca="1">OFFSET(stats_raw!$H$3,(ROW(C2)-1)*6,0)*numbers!$O$6 * numbers!$O$20+ OFFSET(stats_raw!$J$3,(ROW(C2)-1)*6,0)*numbers!$O$5* numbers!$O$20</f>
        <v>4.9311999999999995E-2</v>
      </c>
      <c r="D59" s="2">
        <f ca="1">OFFSET(stats_raw!$H$3,(ROW(C2)-1)*6,0)*numbers!$O$6*numbers!$O$14 * numbers!$O$20 + OFFSET(stats_raw!$J$3,(ROW(C2)-1)*6,0)*numbers!$O$5*numbers!$O$14* numbers!$O$20</f>
        <v>0.19724799999999998</v>
      </c>
      <c r="E59" s="2">
        <f ca="1">OFFSET(stats_raw!$H$3,(ROW(C2)-1)*6,0)*numbers!$O$6*numbers!$O$14*numbers!$O$15* numbers!$O$20 + OFFSET(stats_raw!$J$3,(ROW(C2)-1)*6,0)*numbers!$O$5*numbers!$O$14* numbers!$O$20</f>
        <v>0.17257599999999998</v>
      </c>
      <c r="F59" s="2">
        <f ca="1">OFFSET(stats_raw!$H$3,(ROW(C2)-1)*6,0)*numbers!$O$6/numbers!$O$16 * numbers!$O$20+ OFFSET(stats_raw!$J$3,(ROW(C2)-1)*6,0)*numbers!$O$5/numbers!$O$16* numbers!$O$20</f>
        <v>4.9311999999999995E-2</v>
      </c>
      <c r="G59" s="2">
        <f ca="1">OFFSET(stats_raw!$H$3,(ROW(C2)-1)*6,0)*numbers!$O$6/numbers!$O$16 * numbers!$O$21 * numbers!$O$20+ OFFSET(stats_raw!$J$3,(ROW(C2)-1)*6,0)*numbers!$O$5/numbers!$O$16* numbers!$O$20</f>
        <v>4.3143999999999995E-2</v>
      </c>
      <c r="K59" s="2"/>
      <c r="L59" s="20"/>
      <c r="M59" s="20"/>
      <c r="N59" s="20"/>
      <c r="O59" s="20"/>
      <c r="P59" s="20"/>
      <c r="Q59" s="2"/>
    </row>
    <row r="60" spans="1:17" x14ac:dyDescent="0.15">
      <c r="A60" t="s">
        <v>25</v>
      </c>
      <c r="B60" s="2">
        <f ca="1">B30*numbers!$O$20</f>
        <v>9309446310</v>
      </c>
      <c r="C60" s="2">
        <f ca="1">OFFSET(stats_raw!$H$3,(ROW(C3)-1)*6,0)*numbers!$O$6 * numbers!$O$20+ OFFSET(stats_raw!$J$3,(ROW(C3)-1)*6,0)*numbers!$O$5* numbers!$O$20</f>
        <v>7.3967999999999992E-2</v>
      </c>
      <c r="D60" s="2">
        <f ca="1">OFFSET(stats_raw!$H$3,(ROW(C3)-1)*6,0)*numbers!$O$6*numbers!$O$14 * numbers!$O$20 + OFFSET(stats_raw!$J$3,(ROW(C3)-1)*6,0)*numbers!$O$5*numbers!$O$14* numbers!$O$20</f>
        <v>0.29587199999999997</v>
      </c>
      <c r="E60" s="2">
        <f ca="1">OFFSET(stats_raw!$H$3,(ROW(C3)-1)*6,0)*numbers!$O$6*numbers!$O$14*numbers!$O$15* numbers!$O$20 + OFFSET(stats_raw!$J$3,(ROW(C3)-1)*6,0)*numbers!$O$5*numbers!$O$14* numbers!$O$20</f>
        <v>0.25886399999999998</v>
      </c>
      <c r="F60" s="2">
        <f ca="1">OFFSET(stats_raw!$H$3,(ROW(C3)-1)*6,0)*numbers!$O$6/numbers!$O$16 * numbers!$O$20+ OFFSET(stats_raw!$J$3,(ROW(C3)-1)*6,0)*numbers!$O$5/numbers!$O$16* numbers!$O$20</f>
        <v>7.3967999999999992E-2</v>
      </c>
      <c r="G60" s="2">
        <f ca="1">OFFSET(stats_raw!$H$3,(ROW(C3)-1)*6,0)*numbers!$O$6/numbers!$O$16 * numbers!$O$21 * numbers!$O$20+ OFFSET(stats_raw!$J$3,(ROW(C3)-1)*6,0)*numbers!$O$5/numbers!$O$16* numbers!$O$20</f>
        <v>6.4715999999999996E-2</v>
      </c>
      <c r="K60" s="2"/>
      <c r="L60" s="2">
        <v>51038836</v>
      </c>
      <c r="M60" s="2">
        <f>L60/L61</f>
        <v>2070037151.2005193</v>
      </c>
      <c r="N60" s="2"/>
      <c r="O60" s="2"/>
      <c r="P60" s="2"/>
      <c r="Q60" s="2"/>
    </row>
    <row r="61" spans="1:17" x14ac:dyDescent="0.15">
      <c r="A61" t="s">
        <v>39</v>
      </c>
      <c r="B61" s="2">
        <f ca="1">B31*numbers!$O$20</f>
        <v>2775884828</v>
      </c>
      <c r="C61" s="2">
        <f ca="1">OFFSET(stats_raw!$H$3,(ROW(C4)-1)*6,0)*numbers!$O$6 * numbers!$O$20+ OFFSET(stats_raw!$J$3,(ROW(C4)-1)*6,0)*numbers!$O$5* numbers!$O$20</f>
        <v>2.4655999999999997E-2</v>
      </c>
      <c r="D61" s="2">
        <f ca="1">OFFSET(stats_raw!$H$3,(ROW(C4)-1)*6,0)*numbers!$O$6*numbers!$O$14 * numbers!$O$20 + OFFSET(stats_raw!$J$3,(ROW(C4)-1)*6,0)*numbers!$O$5*numbers!$O$14* numbers!$O$20</f>
        <v>9.8623999999999989E-2</v>
      </c>
      <c r="E61" s="2">
        <f ca="1">OFFSET(stats_raw!$H$3,(ROW(C4)-1)*6,0)*numbers!$O$6*numbers!$O$14*numbers!$O$15* numbers!$O$20 + OFFSET(stats_raw!$J$3,(ROW(C4)-1)*6,0)*numbers!$O$5*numbers!$O$14* numbers!$O$20</f>
        <v>8.628799999999999E-2</v>
      </c>
      <c r="F61" s="2">
        <f ca="1">OFFSET(stats_raw!$H$3,(ROW(C4)-1)*6,0)*numbers!$O$6/numbers!$O$16 * numbers!$O$20+ OFFSET(stats_raw!$J$3,(ROW(C4)-1)*6,0)*numbers!$O$5/numbers!$O$16* numbers!$O$20</f>
        <v>2.4655999999999997E-2</v>
      </c>
      <c r="G61" s="2">
        <f ca="1">OFFSET(stats_raw!$H$3,(ROW(C4)-1)*6,0)*numbers!$O$6/numbers!$O$16 * numbers!$O$21 * numbers!$O$20+ OFFSET(stats_raw!$J$3,(ROW(C4)-1)*6,0)*numbers!$O$5/numbers!$O$16* numbers!$O$20</f>
        <v>2.1571999999999997E-2</v>
      </c>
      <c r="K61" s="2"/>
      <c r="L61" s="2">
        <v>2.4655999999999997E-2</v>
      </c>
      <c r="M61" s="2"/>
      <c r="N61" s="2"/>
      <c r="O61" s="2"/>
      <c r="P61" s="2"/>
      <c r="Q61" s="2"/>
    </row>
    <row r="62" spans="1:17" x14ac:dyDescent="0.15">
      <c r="A62" t="s">
        <v>46</v>
      </c>
      <c r="B62" s="2">
        <f ca="1">B32*numbers!$O$20</f>
        <v>8948549808</v>
      </c>
      <c r="C62" s="2">
        <f ca="1">OFFSET(stats_raw!$H$3,(ROW(C5)-1)*6,0)*numbers!$O$6 * numbers!$O$20+ OFFSET(stats_raw!$J$3,(ROW(C5)-1)*6,0)*numbers!$O$5* numbers!$O$20</f>
        <v>7.3967999999999992E-2</v>
      </c>
      <c r="D62" s="2">
        <f ca="1">OFFSET(stats_raw!$H$3,(ROW(C5)-1)*6,0)*numbers!$O$6*numbers!$O$14 * numbers!$O$20 + OFFSET(stats_raw!$J$3,(ROW(C5)-1)*6,0)*numbers!$O$5*numbers!$O$14* numbers!$O$20</f>
        <v>0.29587199999999997</v>
      </c>
      <c r="E62" s="2">
        <f ca="1">OFFSET(stats_raw!$H$3,(ROW(C5)-1)*6,0)*numbers!$O$6*numbers!$O$14*numbers!$O$15* numbers!$O$20 + OFFSET(stats_raw!$J$3,(ROW(C5)-1)*6,0)*numbers!$O$5*numbers!$O$14* numbers!$O$20</f>
        <v>0.25886399999999998</v>
      </c>
      <c r="F62" s="2">
        <f ca="1">OFFSET(stats_raw!$H$3,(ROW(C5)-1)*6,0)*numbers!$O$6/numbers!$O$16 * numbers!$O$20+ OFFSET(stats_raw!$J$3,(ROW(C5)-1)*6,0)*numbers!$O$5/numbers!$O$16* numbers!$O$20</f>
        <v>7.3967999999999992E-2</v>
      </c>
      <c r="G62" s="2">
        <f ca="1">OFFSET(stats_raw!$H$3,(ROW(C5)-1)*6,0)*numbers!$O$6/numbers!$O$16 * numbers!$O$21 * numbers!$O$20+ OFFSET(stats_raw!$J$3,(ROW(C5)-1)*6,0)*numbers!$O$5/numbers!$O$16* numbers!$O$20</f>
        <v>6.4715999999999996E-2</v>
      </c>
      <c r="K62" s="2"/>
      <c r="L62" s="2"/>
      <c r="M62" s="2"/>
      <c r="N62" s="2"/>
      <c r="O62" s="2"/>
      <c r="P62" s="2"/>
      <c r="Q62" s="2"/>
    </row>
    <row r="63" spans="1:17" x14ac:dyDescent="0.15">
      <c r="A63" t="s">
        <v>127</v>
      </c>
      <c r="B63" s="2">
        <f ca="1">B33*numbers!$O$20</f>
        <v>7618950</v>
      </c>
      <c r="C63" s="2">
        <f ca="1">(OFFSET(stats_raw!$H$3,(ROW(C6)-1)*6,0)*numbers!$O$6 * numbers!$O$20+ OFFSET(stats_raw!$J$3,(ROW(C6)-1)*6,0)*numbers!$O$5* numbers!$O$20)</f>
        <v>8.1399999999999994E-4</v>
      </c>
      <c r="D63" s="2">
        <f ca="1">(OFFSET(stats_raw!$H$3,(ROW(C6)-1)*6,0)*numbers!$O$6*numbers!$O$14 * numbers!$O$20 + OFFSET(stats_raw!$J$3,(ROW(C6)-1)*6,0)*numbers!$O$5*numbers!$O$14* numbers!$O$20)</f>
        <v>3.2559999999999998E-3</v>
      </c>
      <c r="E63" s="2">
        <f ca="1">(OFFSET(stats_raw!$H$3,(ROW(C6)-1)*6,0)*numbers!$O$6*numbers!$O$14*numbers!$O$15* numbers!$O$20 + OFFSET(stats_raw!$J$3,(ROW(C6)-1)*6,0)*numbers!$O$5*numbers!$O$14* numbers!$O$20)</f>
        <v>2.8479999999999998E-3</v>
      </c>
      <c r="F63" s="2">
        <f ca="1">(OFFSET(stats_raw!$H$3,(ROW(C6)-1)*6,0)*numbers!$O$6/numbers!$O$16 * numbers!$O$20+ OFFSET(stats_raw!$J$3,(ROW(C6)-1)*6,0)*numbers!$O$5/numbers!$O$16* numbers!$O$20)</f>
        <v>8.1399999999999994E-4</v>
      </c>
      <c r="G63" s="2">
        <f ca="1">(OFFSET(stats_raw!$H$3,(ROW(C6)-1)*6,0)*numbers!$O$6/numbers!$O$16 * numbers!$O$21 * numbers!$O$20+ OFFSET(stats_raw!$J$3,(ROW(C6)-1)*6,0)*numbers!$O$5/numbers!$O$16* numbers!$O$20)</f>
        <v>7.1199999999999996E-4</v>
      </c>
      <c r="K63" s="2"/>
      <c r="L63" s="2"/>
      <c r="M63" s="2"/>
      <c r="N63" s="2"/>
      <c r="O63" s="2"/>
      <c r="P63" s="2"/>
      <c r="Q63" s="2"/>
    </row>
    <row r="64" spans="1:17" x14ac:dyDescent="0.15">
      <c r="A64" t="s">
        <v>128</v>
      </c>
      <c r="B64" s="2">
        <f ca="1">B34*numbers!$O$20</f>
        <v>2142591430</v>
      </c>
      <c r="C64" s="2">
        <f ca="1">(OFFSET(stats_raw!$H$3,(ROW(C7)-1)*6,0)*numbers!$O$6 * numbers!$O$20+ OFFSET(stats_raw!$J$3,(ROW(C7)-1)*6,0)*numbers!$O$5* numbers!$O$20)</f>
        <v>0.140067</v>
      </c>
      <c r="D64" s="2">
        <f ca="1">(OFFSET(stats_raw!$H$3,(ROW(C7)-1)*6,0)*numbers!$O$6*numbers!$O$14 * numbers!$O$20 + OFFSET(stats_raw!$J$3,(ROW(C7)-1)*6,0)*numbers!$O$5*numbers!$O$14* numbers!$O$20)</f>
        <v>0.56026799999999999</v>
      </c>
      <c r="E64" s="2">
        <f ca="1">(OFFSET(stats_raw!$H$3,(ROW(C7)-1)*6,0)*numbers!$O$6*numbers!$O$14*numbers!$O$15* numbers!$O$20 + OFFSET(stats_raw!$J$3,(ROW(C7)-1)*6,0)*numbers!$O$5*numbers!$O$14* numbers!$O$20)</f>
        <v>0.48651899999999992</v>
      </c>
      <c r="F64" s="2">
        <f ca="1">(OFFSET(stats_raw!$H$3,(ROW(C7)-1)*6,0)*numbers!$O$6/numbers!$O$16 * numbers!$O$20+ OFFSET(stats_raw!$J$3,(ROW(C7)-1)*6,0)*numbers!$O$5/numbers!$O$16* numbers!$O$20)</f>
        <v>0.140067</v>
      </c>
      <c r="G64" s="2">
        <f ca="1">(OFFSET(stats_raw!$H$3,(ROW(C7)-1)*6,0)*numbers!$O$6/numbers!$O$16 * numbers!$O$21 * numbers!$O$20+ OFFSET(stats_raw!$J$3,(ROW(C7)-1)*6,0)*numbers!$O$5/numbers!$O$16* numbers!$O$20)</f>
        <v>0.12162974999999998</v>
      </c>
      <c r="K64" s="2"/>
      <c r="L64" s="2"/>
      <c r="M64" s="2"/>
      <c r="N64" s="2"/>
      <c r="O64" s="2"/>
      <c r="P64" s="2"/>
      <c r="Q64" s="2"/>
    </row>
    <row r="65" spans="1:17" s="2" customFormat="1" x14ac:dyDescent="0.15">
      <c r="A65" s="2" t="s">
        <v>129</v>
      </c>
      <c r="B65" s="2">
        <f ca="1">B35*numbers!$O$20</f>
        <v>78254968405.732727</v>
      </c>
      <c r="C65" s="2">
        <f ca="1">(OFFSET(stats_raw!$H$3,(ROW(C8)-1)*6,0)*numbers!$O$6 * numbers!$O$20+ OFFSET(stats_raw!$J$3,(ROW(C8)-1)*6,0)*numbers!$O$5* numbers!$O$20)*8</f>
        <v>0.52634399999999992</v>
      </c>
      <c r="D65" s="2">
        <f ca="1">(OFFSET(stats_raw!$H$3,(ROW(C8)-1)*6,0)*numbers!$O$6*numbers!$O$14 * numbers!$O$20 + OFFSET(stats_raw!$J$3,(ROW(C8)-1)*6,0)*numbers!$O$5*numbers!$O$14* numbers!$O$20)*8</f>
        <v>2.1053759999999997</v>
      </c>
      <c r="E65" s="2">
        <f ca="1">(OFFSET(stats_raw!$H$3,(ROW(C8)-1)*6,0)*numbers!$O$6*numbers!$O$14*numbers!$O$15* numbers!$O$20 + OFFSET(stats_raw!$J$3,(ROW(C8)-1)*6,0)*numbers!$O$5*numbers!$O$14* numbers!$O$20)*8</f>
        <v>1.810152</v>
      </c>
      <c r="F65" s="2">
        <f ca="1">(OFFSET(stats_raw!$H$3,(ROW(C8)-1)*6,0)*numbers!$O$6/numbers!$O$16 * numbers!$O$20+ OFFSET(stats_raw!$J$3,(ROW(C8)-1)*6,0)*numbers!$O$5/numbers!$O$16* numbers!$O$20)*8</f>
        <v>0.52634399999999992</v>
      </c>
      <c r="G65" s="2">
        <f ca="1">(OFFSET(stats_raw!$H$3,(ROW(C8)-1)*6,0)*numbers!$O$6/numbers!$O$16 * numbers!$O$21 * numbers!$O$20+ OFFSET(stats_raw!$J$3,(ROW(C8)-1)*6,0)*numbers!$O$5/numbers!$O$16* numbers!$O$20)*8</f>
        <v>0.452538</v>
      </c>
    </row>
    <row r="66" spans="1:17" s="2" customFormat="1" x14ac:dyDescent="0.15">
      <c r="A66" t="s">
        <v>53</v>
      </c>
      <c r="B66" s="2">
        <f ca="1">B36*numbers!$O$20</f>
        <v>64234484267.895393</v>
      </c>
      <c r="C66" s="2">
        <f ca="1">(OFFSET(stats_raw!$H$3,(ROW(C9)-1)*6,0)*numbers!$O$6 * numbers!$O$20+ OFFSET(stats_raw!$J$3,(ROW(C9)-1)*6,0)*numbers!$O$5* numbers!$O$20)*8</f>
        <v>0.34610399999999997</v>
      </c>
      <c r="D66" s="2">
        <f ca="1">(OFFSET(stats_raw!$H$3,(ROW(C9)-1)*6,0)*numbers!$O$6*numbers!$O$14 * numbers!$O$20 + OFFSET(stats_raw!$J$3,(ROW(C9)-1)*6,0)*numbers!$O$5*numbers!$O$14* numbers!$O$20)*8</f>
        <v>1.3844159999999999</v>
      </c>
      <c r="E66" s="2">
        <f ca="1">(OFFSET(stats_raw!$H$3,(ROW(C9)-1)*6,0)*numbers!$O$6*numbers!$O$14*numbers!$O$15* numbers!$O$20 + OFFSET(stats_raw!$J$3,(ROW(C9)-1)*6,0)*numbers!$O$5*numbers!$O$14* numbers!$O$20)*8</f>
        <v>1.2111599999999998</v>
      </c>
      <c r="F66" s="2">
        <f ca="1">(OFFSET(stats_raw!$H$3,(ROW(C9)-1)*6,0)*numbers!$O$6/numbers!$O$16 * numbers!$O$20+ OFFSET(stats_raw!$J$3,(ROW(C9)-1)*6,0)*numbers!$O$5/numbers!$O$16* numbers!$O$20)*16</f>
        <v>0.69220799999999993</v>
      </c>
      <c r="G66" s="2">
        <f ca="1">(OFFSET(stats_raw!$H$3,(ROW(C9)-1)*6,0)*numbers!$O$6/numbers!$O$16 * numbers!$O$21 * numbers!$O$20+ OFFSET(stats_raw!$J$3,(ROW(C9)-1)*6,0)*numbers!$O$5/numbers!$O$16* numbers!$O$20)*16</f>
        <v>0.6055799999999999</v>
      </c>
      <c r="J66" s="19" t="s">
        <v>192</v>
      </c>
      <c r="K66" s="19"/>
      <c r="L66" s="19"/>
      <c r="M66" s="19"/>
      <c r="N66" s="19"/>
      <c r="O66" s="19"/>
    </row>
    <row r="67" spans="1:17" s="2" customFormat="1" x14ac:dyDescent="0.15">
      <c r="A67" s="12" t="s">
        <v>180</v>
      </c>
      <c r="B67" s="2">
        <f ca="1">B37*numbers!$O$20</f>
        <v>6775223</v>
      </c>
      <c r="C67" s="2">
        <f ca="1">OFFSET(stats_raw!$H$3,(ROW(C10)-1)*6,0)*numbers!$O$6 * numbers!$O$20+ OFFSET(stats_raw!$J$3,(ROW(C10)-1)*6,0)*numbers!$O$5* numbers!$O$20</f>
        <v>5.2719999999999998E-3</v>
      </c>
      <c r="D67" s="2">
        <f ca="1">OFFSET(stats_raw!$H$3,(ROW(C10)-1)*6,0)*numbers!$O$6*numbers!$O$14 * numbers!$O$20 + OFFSET(stats_raw!$J$3,(ROW(C10)-1)*6,0)*numbers!$O$5*numbers!$O$14* numbers!$O$20</f>
        <v>2.1087999999999999E-2</v>
      </c>
      <c r="E67" s="2">
        <f ca="1">OFFSET(stats_raw!$H$3,(ROW(C10)-1)*6,0)*numbers!$O$6*numbers!$O$14*numbers!$O$15* numbers!$O$20 + OFFSET(stats_raw!$J$3,(ROW(C10)-1)*6,0)*numbers!$O$5*numbers!$O$14* numbers!$O$20</f>
        <v>1.7943999999999998E-2</v>
      </c>
      <c r="F67" s="2">
        <f ca="1">OFFSET(stats_raw!$H$3,(ROW(C10)-1)*6,0)*numbers!$O$6/numbers!$O$16 * numbers!$O$20+ OFFSET(stats_raw!$J$3,(ROW(C10)-1)*6,0)*numbers!$O$5/numbers!$O$16* numbers!$O$20</f>
        <v>5.2719999999999998E-3</v>
      </c>
      <c r="G67" s="2">
        <f ca="1">OFFSET(stats_raw!$H$3,(ROW(C10)-1)*6,0)*numbers!$O$6/numbers!$O$16 * numbers!$O$21 * numbers!$O$20+ OFFSET(stats_raw!$J$3,(ROW(C10)-1)*6,0)*numbers!$O$5/numbers!$O$16* numbers!$O$20</f>
        <v>4.4859999999999995E-3</v>
      </c>
      <c r="J67" s="19"/>
      <c r="K67" s="19"/>
      <c r="L67" s="19"/>
      <c r="M67" s="19"/>
      <c r="N67" s="19"/>
      <c r="O67" s="19"/>
    </row>
    <row r="68" spans="1:17" s="2" customFormat="1" x14ac:dyDescent="0.15">
      <c r="A68" s="12" t="s">
        <v>182</v>
      </c>
      <c r="B68" s="2">
        <f ca="1">B38*numbers!$O$20</f>
        <v>13149654</v>
      </c>
      <c r="C68" s="2">
        <f ca="1">OFFSET(stats_raw!$H$3,(ROW(C11)-1)*6,0)*numbers!$O$6 * numbers!$O$20+ OFFSET(stats_raw!$J$3,(ROW(C11)-1)*6,0)*numbers!$O$5* numbers!$O$20</f>
        <v>1.0432E-2</v>
      </c>
      <c r="D68" s="2">
        <f ca="1">OFFSET(stats_raw!$H$3,(ROW(C11)-1)*6,0)*numbers!$O$6*numbers!$O$14 * numbers!$O$20 + OFFSET(stats_raw!$J$3,(ROW(C11)-1)*6,0)*numbers!$O$5*numbers!$O$14* numbers!$O$20</f>
        <v>4.1728000000000001E-2</v>
      </c>
      <c r="E68" s="2">
        <f ca="1">OFFSET(stats_raw!$H$3,(ROW(C11)-1)*6,0)*numbers!$O$6*numbers!$O$14*numbers!$O$15* numbers!$O$20 + OFFSET(stats_raw!$J$3,(ROW(C11)-1)*6,0)*numbers!$O$5*numbers!$O$14* numbers!$O$20</f>
        <v>3.5487999999999999E-2</v>
      </c>
      <c r="F68" s="2">
        <f ca="1">OFFSET(stats_raw!$H$3,(ROW(C11)-1)*6,0)*numbers!$O$6/numbers!$O$16 * numbers!$O$20+ OFFSET(stats_raw!$J$3,(ROW(C11)-1)*6,0)*numbers!$O$5/numbers!$O$16* numbers!$O$20</f>
        <v>1.0432E-2</v>
      </c>
      <c r="G68" s="2">
        <f ca="1">OFFSET(stats_raw!$H$3,(ROW(C11)-1)*6,0)*numbers!$O$6/numbers!$O$16 * numbers!$O$21 * numbers!$O$20+ OFFSET(stats_raw!$J$3,(ROW(C11)-1)*6,0)*numbers!$O$5/numbers!$O$16* numbers!$O$20</f>
        <v>8.8719999999999997E-3</v>
      </c>
      <c r="J68" s="19"/>
      <c r="K68" s="19"/>
      <c r="L68" s="19"/>
      <c r="M68" s="19"/>
      <c r="N68" s="19"/>
      <c r="O68" s="19"/>
    </row>
    <row r="69" spans="1:17" s="2" customFormat="1" x14ac:dyDescent="0.15">
      <c r="A69" s="12" t="s">
        <v>184</v>
      </c>
      <c r="B69" s="2">
        <f ca="1">B39*numbers!$O$20</f>
        <v>122820258</v>
      </c>
      <c r="C69" s="2">
        <f ca="1">OFFSET(stats_raw!$H$3,(ROW(C12)-1)*6,0)*numbers!$O$6 * numbers!$O$20+ OFFSET(stats_raw!$J$3,(ROW(C12)-1)*6,0)*numbers!$O$5* numbers!$O$20</f>
        <v>5.193999999999999E-3</v>
      </c>
      <c r="D69" s="2">
        <f ca="1">(OFFSET(stats_raw!$H$3,(ROW(C12)-1)*6,0)*numbers!$O$6*numbers!$O$14 * numbers!$O$20 + OFFSET(stats_raw!$J$3,(ROW(C12)-1)*6,0)*numbers!$O$5*numbers!$O$14* numbers!$O$20)</f>
        <v>2.0775999999999996E-2</v>
      </c>
      <c r="E69" s="2">
        <f ca="1">OFFSET(stats_raw!$H$3,(ROW(C12)-1)*6,0)*numbers!$O$6*numbers!$O$14*numbers!$O$15* numbers!$O$20 + OFFSET(stats_raw!$J$3,(ROW(C12)-1)*6,0)*numbers!$O$5*numbers!$O$14* numbers!$O$20</f>
        <v>1.7697999999999995E-2</v>
      </c>
      <c r="F69" s="2">
        <f ca="1">OFFSET(stats_raw!$H$3,(ROW(C12)-1)*6,0)*numbers!$O$6/numbers!$O$16 * numbers!$O$20+ OFFSET(stats_raw!$J$3,(ROW(C12)-1)*6,0)*numbers!$O$5/numbers!$O$16* numbers!$O$20</f>
        <v>5.193999999999999E-3</v>
      </c>
      <c r="G69" s="2">
        <f ca="1">OFFSET(stats_raw!$H$3,(ROW(C12)-1)*6,0)*numbers!$O$6/numbers!$O$16 * numbers!$O$21 * numbers!$O$20+ OFFSET(stats_raw!$J$3,(ROW(C12)-1)*6,0)*numbers!$O$5/numbers!$O$16* numbers!$O$20</f>
        <v>4.4244999999999987E-3</v>
      </c>
      <c r="J69" s="19" t="s">
        <v>191</v>
      </c>
      <c r="K69" s="19"/>
      <c r="L69" s="19"/>
      <c r="M69" s="19"/>
      <c r="N69" s="19"/>
      <c r="O69" s="19"/>
    </row>
    <row r="70" spans="1:17" s="2" customFormat="1" x14ac:dyDescent="0.15">
      <c r="A70" s="12" t="s">
        <v>185</v>
      </c>
      <c r="B70" s="2">
        <f ca="1">B40*numbers!$O$20</f>
        <v>123723582</v>
      </c>
      <c r="C70" s="2">
        <f ca="1">OFFSET(stats_raw!$H$3,(ROW(C13)-1)*6,0)*numbers!$O$6 * numbers!$O$20+ OFFSET(stats_raw!$J$3,(ROW(C13)-1)*6,0)*numbers!$O$5* numbers!$O$20</f>
        <v>3.7539999999999995E-3</v>
      </c>
      <c r="D70" s="2">
        <f ca="1">OFFSET(stats_raw!$H$3,(ROW(C13)-1)*6,0)*numbers!$O$6*numbers!$O$14 * numbers!$O$20 + OFFSET(stats_raw!$J$3,(ROW(C13)-1)*6,0)*numbers!$O$5*numbers!$O$14* numbers!$O$20</f>
        <v>1.5015999999999998E-2</v>
      </c>
      <c r="E70" s="2">
        <f ca="1">OFFSET(stats_raw!$H$3,(ROW(C13)-1)*6,0)*numbers!$O$6*numbers!$O$14*numbers!$O$15* numbers!$O$20 + OFFSET(stats_raw!$J$3,(ROW(C13)-1)*6,0)*numbers!$O$5*numbers!$O$14* numbers!$O$20</f>
        <v>1.3377999999999998E-2</v>
      </c>
      <c r="F70" s="2">
        <f ca="1">OFFSET(stats_raw!$H$3,(ROW(C13)-1)*6,0)*numbers!$O$6/numbers!$O$16 * numbers!$O$20+ OFFSET(stats_raw!$J$3,(ROW(C13)-1)*6,0)*numbers!$O$5/numbers!$O$16* numbers!$O$20</f>
        <v>3.7539999999999995E-3</v>
      </c>
      <c r="G70" s="2">
        <f ca="1">OFFSET(stats_raw!$H$3,(ROW(C13)-1)*6,0)*numbers!$O$6/numbers!$O$16 * numbers!$O$21 * numbers!$O$20+ OFFSET(stats_raw!$J$3,(ROW(C13)-1)*6,0)*numbers!$O$5/numbers!$O$16* numbers!$O$20</f>
        <v>3.3444999999999994E-3</v>
      </c>
      <c r="J70" s="19"/>
      <c r="K70" s="19"/>
      <c r="L70" s="19"/>
      <c r="M70" s="19"/>
      <c r="N70" s="19"/>
      <c r="O70" s="19"/>
    </row>
    <row r="71" spans="1:17" s="2" customFormat="1" x14ac:dyDescent="0.15">
      <c r="A71" s="12" t="s">
        <v>186</v>
      </c>
      <c r="B71" s="2">
        <f ca="1">B41*numbers!$O$20</f>
        <v>52831468481</v>
      </c>
      <c r="C71" s="2">
        <f ca="1">(OFFSET(stats_raw!$H$3,(ROW(C14)-1)*6,0)*numbers!$O$6 * numbers!$O$20+ OFFSET(stats_raw!$J$3,(ROW(C14)-1)*6,0)*numbers!$O$5* numbers!$O$20)*8</f>
        <v>0.78771199999999986</v>
      </c>
      <c r="D71" s="2">
        <f ca="1">(OFFSET(stats_raw!$H$3,(ROW(C14)-1)*6,0)*numbers!$O$6*numbers!$O$14 * numbers!$O$20 + OFFSET(stats_raw!$J$3,(ROW(C14)-1)*6,0)*numbers!$O$5*numbers!$O$14* numbers!$O$20)*8</f>
        <v>3.1508479999999994</v>
      </c>
      <c r="E71" s="2">
        <f ca="1">(OFFSET(stats_raw!$H$3,(ROW(C14)-1)*6,0)*numbers!$O$6*numbers!$O$14*numbers!$O$15* numbers!$O$20 + OFFSET(stats_raw!$J$3,(ROW(C14)-1)*6,0)*numbers!$O$5*numbers!$O$14* numbers!$O$20)*8</f>
        <v>2.7568639999999993</v>
      </c>
      <c r="F71" s="2">
        <f ca="1">(OFFSET(stats_raw!$H$3,(ROW(C14)-1)*6,0)*numbers!$O$6/numbers!$O$16 * numbers!$O$20+ OFFSET(stats_raw!$J$3,(ROW(C14)-1)*6,0)*numbers!$O$5/numbers!$O$16* numbers!$O$20)*8</f>
        <v>0.78771199999999986</v>
      </c>
      <c r="G71" s="2">
        <f ca="1">(OFFSET(stats_raw!$H$3,(ROW(C14)-1)*6,0)*numbers!$O$6/numbers!$O$16 * numbers!$O$21 * numbers!$O$20+ OFFSET(stats_raw!$J$3,(ROW(C14)-1)*6,0)*numbers!$O$5/numbers!$O$16* numbers!$O$20)*8</f>
        <v>0.68921599999999983</v>
      </c>
      <c r="J71" s="19"/>
      <c r="K71" s="19"/>
      <c r="L71" s="19"/>
      <c r="M71" s="19"/>
      <c r="N71" s="19"/>
      <c r="O71" s="19"/>
    </row>
    <row r="72" spans="1:17" s="2" customFormat="1" x14ac:dyDescent="0.15">
      <c r="A72" s="12" t="s">
        <v>187</v>
      </c>
      <c r="B72" s="2">
        <f ca="1">B42*numbers!$O$20</f>
        <v>52875676514</v>
      </c>
      <c r="C72" s="2">
        <f ca="1">(OFFSET(stats_raw!$H$3,(ROW(C15)-1)*6,0)*numbers!$O$6 * numbers!$O$20+ OFFSET(stats_raw!$J$3,(ROW(C15)-1)*6,0)*numbers!$O$5* numbers!$O$20)*8</f>
        <v>0.78771199999999986</v>
      </c>
      <c r="D72" s="2">
        <f ca="1">(OFFSET(stats_raw!$H$3,(ROW(C15)-1)*6,0)*numbers!$O$6*numbers!$O$14 * numbers!$O$20 + OFFSET(stats_raw!$J$3,(ROW(C15)-1)*6,0)*numbers!$O$5*numbers!$O$14* numbers!$O$20)*8</f>
        <v>3.1508479999999994</v>
      </c>
      <c r="E72" s="2">
        <f ca="1">(OFFSET(stats_raw!$H$3,(ROW(C15)-1)*6,0)*numbers!$O$6*numbers!$O$14*numbers!$O$15* numbers!$O$20 + OFFSET(stats_raw!$J$3,(ROW(C15)-1)*6,0)*numbers!$O$5*numbers!$O$14* numbers!$O$20)*8</f>
        <v>2.7568639999999993</v>
      </c>
      <c r="F72" s="2">
        <f ca="1">(OFFSET(stats_raw!$H$3,(ROW(C15)-1)*6,0)*numbers!$O$6/numbers!$O$16 * numbers!$O$20+ OFFSET(stats_raw!$J$3,(ROW(C15)-1)*6,0)*numbers!$O$5/numbers!$O$16* numbers!$O$20)*8</f>
        <v>0.78771199999999986</v>
      </c>
      <c r="G72" s="2">
        <f ca="1">(OFFSET(stats_raw!$H$3,(ROW(C15)-1)*6,0)*numbers!$O$6/numbers!$O$16 * numbers!$O$21 * numbers!$O$20+ OFFSET(stats_raw!$J$3,(ROW(C15)-1)*6,0)*numbers!$O$5/numbers!$O$16* numbers!$O$20)*8</f>
        <v>0.68921599999999983</v>
      </c>
    </row>
    <row r="73" spans="1:17" s="2" customFormat="1" x14ac:dyDescent="0.15">
      <c r="A73" s="12" t="s">
        <v>188</v>
      </c>
      <c r="B73" s="2">
        <f ca="1">B43*numbers!$O$20</f>
        <v>1562376054</v>
      </c>
      <c r="C73" s="2">
        <f ca="1">OFFSET(stats_raw!$H$3,(ROW(C16)-1)*6,0)*numbers!$O$6 * numbers!$O$20+ OFFSET(stats_raw!$J$3,(ROW(C16)-1)*6,0)*numbers!$O$5* numbers!$O$20</f>
        <v>1.0172E-2</v>
      </c>
      <c r="D73" s="2">
        <f ca="1">OFFSET(stats_raw!$H$3,(ROW(C16)-1)*6,0)*numbers!$O$6*numbers!$O$14 * numbers!$O$20 + OFFSET(stats_raw!$J$3,(ROW(C16)-1)*6,0)*numbers!$O$5*numbers!$O$14* numbers!$O$20</f>
        <v>4.0688000000000002E-2</v>
      </c>
      <c r="E73" s="2">
        <f ca="1">OFFSET(stats_raw!$H$3,(ROW(C16)-1)*6,0)*numbers!$O$6*numbers!$O$14*numbers!$O$15* numbers!$O$20 + OFFSET(stats_raw!$J$3,(ROW(C16)-1)*6,0)*numbers!$O$5*numbers!$O$14* numbers!$O$20</f>
        <v>3.6428000000000002E-2</v>
      </c>
      <c r="F73" s="2">
        <f ca="1">OFFSET(stats_raw!$H$3,(ROW(C16)-1)*6,0)*numbers!$O$6/numbers!$O$16 * numbers!$O$20+ OFFSET(stats_raw!$J$3,(ROW(C16)-1)*6,0)*numbers!$O$5/numbers!$O$16* numbers!$O$20</f>
        <v>1.0172E-2</v>
      </c>
      <c r="G73" s="2">
        <f ca="1">OFFSET(stats_raw!$H$3,(ROW(C16)-1)*6,0)*numbers!$O$6/numbers!$O$16 * numbers!$O$21 * numbers!$O$20+ OFFSET(stats_raw!$J$3,(ROW(C16)-1)*6,0)*numbers!$O$5/numbers!$O$16* numbers!$O$20</f>
        <v>9.1070000000000005E-3</v>
      </c>
    </row>
    <row r="74" spans="1:17" s="2" customFormat="1" x14ac:dyDescent="0.15">
      <c r="A74" s="2" t="s">
        <v>178</v>
      </c>
      <c r="B74" s="2">
        <f ca="1">B44*numbers!$O$20</f>
        <v>2897597836</v>
      </c>
      <c r="C74" s="2">
        <f ca="1">$B74/numbers!$O$11</f>
        <v>2.8975978360000001</v>
      </c>
      <c r="D74" s="2">
        <f ca="1">$B74/numbers!$O$11</f>
        <v>2.8975978360000001</v>
      </c>
      <c r="E74" s="2">
        <f ca="1">$B74/numbers!$O$11</f>
        <v>2.8975978360000001</v>
      </c>
      <c r="F74" s="2">
        <f ca="1">$B74/numbers!$O$11</f>
        <v>2.8975978360000001</v>
      </c>
      <c r="G74" s="2">
        <f ca="1">$B74/numbers!$O$11</f>
        <v>2.8975978360000001</v>
      </c>
    </row>
    <row r="75" spans="1:17" s="2" customFormat="1" x14ac:dyDescent="0.15">
      <c r="A75" s="2" t="s">
        <v>179</v>
      </c>
      <c r="B75" s="2">
        <f>B45*numbers!$O$20</f>
        <v>12264384</v>
      </c>
      <c r="C75" s="2">
        <f>$B75/numbers!$O$11</f>
        <v>1.2264384E-2</v>
      </c>
      <c r="D75" s="2">
        <f>$B75/numbers!$O$11</f>
        <v>1.2264384E-2</v>
      </c>
      <c r="E75" s="2">
        <f>$B75/numbers!$O$11</f>
        <v>1.2264384E-2</v>
      </c>
      <c r="F75" s="2">
        <f>$B75/numbers!$O$11</f>
        <v>1.2264384E-2</v>
      </c>
      <c r="G75" s="2">
        <f>$B75/numbers!$O$11</f>
        <v>1.2264384E-2</v>
      </c>
      <c r="H75" s="2" t="s">
        <v>226</v>
      </c>
      <c r="I75" s="2">
        <f ca="1">C89/C81</f>
        <v>22.107157527579496</v>
      </c>
    </row>
    <row r="76" spans="1:17" s="2" customFormat="1" x14ac:dyDescent="0.15">
      <c r="A76" s="2" t="s">
        <v>181</v>
      </c>
      <c r="B76" s="2">
        <f>B46*numbers!$O$20</f>
        <v>23550254</v>
      </c>
      <c r="C76" s="2">
        <f>$B76/numbers!$O$11</f>
        <v>2.3550254E-2</v>
      </c>
      <c r="D76" s="2">
        <f>$B76/numbers!$O$11</f>
        <v>2.3550254E-2</v>
      </c>
      <c r="E76" s="2">
        <f>$B76/numbers!$O$11</f>
        <v>2.3550254E-2</v>
      </c>
      <c r="F76" s="2">
        <f>$B76/numbers!$O$11</f>
        <v>2.3550254E-2</v>
      </c>
      <c r="G76" s="2">
        <f>$B76/numbers!$O$11</f>
        <v>2.3550254E-2</v>
      </c>
      <c r="H76" s="2" t="s">
        <v>186</v>
      </c>
      <c r="I76" s="2">
        <f ca="1">C94/C81</f>
        <v>49.301581683971456</v>
      </c>
    </row>
    <row r="77" spans="1:17" s="2" customFormat="1" x14ac:dyDescent="0.15">
      <c r="A77" s="2" t="s">
        <v>183</v>
      </c>
      <c r="B77" s="2">
        <f>B47*numbers!$O$20</f>
        <v>13718909751</v>
      </c>
      <c r="C77" s="2">
        <f>$B77/numbers!$O$11</f>
        <v>13.718909751</v>
      </c>
      <c r="D77" s="2">
        <f>$B77/numbers!$O$11</f>
        <v>13.718909751</v>
      </c>
      <c r="E77" s="2">
        <f>$B77/numbers!$O$11</f>
        <v>13.718909751</v>
      </c>
      <c r="F77" s="2">
        <f>$B77/numbers!$O$11</f>
        <v>13.718909751</v>
      </c>
      <c r="G77" s="2">
        <f>$B77/numbers!$O$11</f>
        <v>13.718909751</v>
      </c>
      <c r="H77" s="2" t="s">
        <v>227</v>
      </c>
      <c r="I77" s="2">
        <f ca="1">D81/D92</f>
        <v>2.9017331812441949</v>
      </c>
    </row>
    <row r="78" spans="1:17" s="2" customFormat="1" x14ac:dyDescent="0.15"/>
    <row r="79" spans="1:17" x14ac:dyDescent="0.15">
      <c r="K79" s="2"/>
      <c r="L79" s="2"/>
      <c r="M79" s="2"/>
      <c r="N79" s="2"/>
      <c r="O79" s="2"/>
      <c r="P79" s="2"/>
      <c r="Q79" s="2"/>
    </row>
    <row r="80" spans="1:17" x14ac:dyDescent="0.15">
      <c r="A80" s="1" t="s">
        <v>0</v>
      </c>
      <c r="B80" s="1" t="s">
        <v>63</v>
      </c>
      <c r="C80" s="1" t="s">
        <v>64</v>
      </c>
      <c r="D80" s="1" t="s">
        <v>65</v>
      </c>
      <c r="E80" s="1" t="s">
        <v>66</v>
      </c>
      <c r="F80" s="1" t="s">
        <v>67</v>
      </c>
      <c r="G80" s="1" t="s">
        <v>68</v>
      </c>
      <c r="H80" s="1" t="s">
        <v>223</v>
      </c>
      <c r="I80" s="1" t="s">
        <v>224</v>
      </c>
      <c r="J80" s="1" t="s">
        <v>225</v>
      </c>
      <c r="K80" s="1" t="s">
        <v>219</v>
      </c>
      <c r="L80" s="1" t="s">
        <v>222</v>
      </c>
      <c r="M80" s="1"/>
      <c r="N80" s="2"/>
      <c r="O80" s="2"/>
      <c r="P80" s="2"/>
      <c r="Q80" s="2"/>
    </row>
    <row r="81" spans="1:21" ht="14" x14ac:dyDescent="0.15">
      <c r="A81" s="2" t="s">
        <v>62</v>
      </c>
      <c r="B81">
        <f t="shared" ref="B81:B100" ca="1" si="18">B58</f>
        <v>2774548915</v>
      </c>
      <c r="C81">
        <f ca="1">C58*numbers!$O$11</f>
        <v>24655999.999999996</v>
      </c>
      <c r="D81" s="2">
        <f ca="1">D58*numbers!$O$11</f>
        <v>98623999.999999985</v>
      </c>
      <c r="E81" s="2">
        <f ca="1">E58*numbers!$O$11</f>
        <v>86287999.999999985</v>
      </c>
      <c r="F81" s="2">
        <f ca="1">F58*numbers!$O$11</f>
        <v>24655999.999999996</v>
      </c>
      <c r="G81" s="2">
        <f ca="1">G58*numbers!$O$11</f>
        <v>21571999.999999996</v>
      </c>
      <c r="H81" s="2">
        <v>5740522</v>
      </c>
      <c r="I81" s="2">
        <v>0</v>
      </c>
      <c r="J81" s="2">
        <f t="shared" ref="J81:J96" si="19">H81+I81</f>
        <v>5740522</v>
      </c>
      <c r="K81" s="2">
        <f ca="1">ROUNDUP((D81/(D81+J81))*100,2)</f>
        <v>94.5</v>
      </c>
      <c r="L81">
        <f ca="1">100-K81</f>
        <v>5.5</v>
      </c>
      <c r="M81" s="14" t="s">
        <v>220</v>
      </c>
      <c r="N81" s="14" t="s">
        <v>221</v>
      </c>
    </row>
    <row r="82" spans="1:21" x14ac:dyDescent="0.15">
      <c r="A82" s="2" t="s">
        <v>32</v>
      </c>
      <c r="B82" s="2">
        <f t="shared" ca="1" si="18"/>
        <v>6005174060</v>
      </c>
      <c r="C82" s="2">
        <f ca="1">C59*numbers!$O$11</f>
        <v>49311999.999999993</v>
      </c>
      <c r="D82" s="2">
        <f ca="1">D59*numbers!$O$11</f>
        <v>197247999.99999997</v>
      </c>
      <c r="E82" s="2">
        <f ca="1">E59*numbers!$O$11</f>
        <v>172575999.99999997</v>
      </c>
      <c r="F82" s="2">
        <f ca="1">F59*numbers!$O$11</f>
        <v>49311999.999999993</v>
      </c>
      <c r="G82" s="2">
        <f ca="1">G59*numbers!$O$11</f>
        <v>43143999.999999993</v>
      </c>
      <c r="H82" s="2">
        <v>10842603</v>
      </c>
      <c r="I82" s="2">
        <v>0</v>
      </c>
      <c r="J82" s="2">
        <f t="shared" si="19"/>
        <v>10842603</v>
      </c>
      <c r="K82" s="2">
        <f t="shared" ref="K82:K96" ca="1" si="20">ROUNDUP((D82/(D82+J82))*100,2)</f>
        <v>94.79</v>
      </c>
      <c r="L82" s="2">
        <f t="shared" ref="L82:L96" ca="1" si="21">100-K82</f>
        <v>5.2099999999999937</v>
      </c>
      <c r="M82" s="2">
        <f>1*64*64</f>
        <v>4096</v>
      </c>
      <c r="N82" s="2">
        <v>1276672</v>
      </c>
    </row>
    <row r="83" spans="1:21" x14ac:dyDescent="0.15">
      <c r="A83" s="2" t="s">
        <v>25</v>
      </c>
      <c r="B83" s="2">
        <f t="shared" ca="1" si="18"/>
        <v>9309446310</v>
      </c>
      <c r="C83" s="2">
        <f ca="1">C60*numbers!$O$11</f>
        <v>73967999.999999985</v>
      </c>
      <c r="D83" s="2">
        <f ca="1">D60*numbers!$O$11</f>
        <v>295871999.99999994</v>
      </c>
      <c r="E83" s="2">
        <f ca="1">E60*numbers!$O$11</f>
        <v>258863999.99999997</v>
      </c>
      <c r="F83" s="2">
        <f ca="1">F60*numbers!$O$11</f>
        <v>73967999.999999985</v>
      </c>
      <c r="G83" s="2">
        <f ca="1">G60*numbers!$O$11</f>
        <v>64715999.999999993</v>
      </c>
      <c r="H83" s="2">
        <v>15944711</v>
      </c>
      <c r="I83" s="2">
        <v>0</v>
      </c>
      <c r="J83" s="2">
        <f t="shared" si="19"/>
        <v>15944711</v>
      </c>
      <c r="K83" s="2">
        <f t="shared" ca="1" si="20"/>
        <v>94.89</v>
      </c>
      <c r="L83" s="2">
        <f t="shared" ca="1" si="21"/>
        <v>5.1099999999999994</v>
      </c>
      <c r="M83" s="2">
        <f>8*64*64</f>
        <v>32768</v>
      </c>
      <c r="N83" s="2">
        <v>5740522</v>
      </c>
    </row>
    <row r="84" spans="1:21" x14ac:dyDescent="0.15">
      <c r="A84" s="2" t="s">
        <v>39</v>
      </c>
      <c r="B84" s="2">
        <f t="shared" ca="1" si="18"/>
        <v>2775884828</v>
      </c>
      <c r="C84" s="2">
        <f ca="1">C61*numbers!$O$11</f>
        <v>24655999.999999996</v>
      </c>
      <c r="D84" s="2">
        <f ca="1">D61*numbers!$O$11</f>
        <v>98623999.999999985</v>
      </c>
      <c r="E84" s="2">
        <f ca="1">E61*numbers!$O$11</f>
        <v>86287999.999999985</v>
      </c>
      <c r="F84" s="2">
        <f ca="1">F61*numbers!$O$11</f>
        <v>24655999.999999996</v>
      </c>
      <c r="G84" s="2">
        <f ca="1">G61*numbers!$O$11</f>
        <v>21571999.999999996</v>
      </c>
      <c r="H84" s="2">
        <v>5740522</v>
      </c>
      <c r="I84" s="2">
        <v>0</v>
      </c>
      <c r="J84" s="2">
        <f t="shared" si="19"/>
        <v>5740522</v>
      </c>
      <c r="K84" s="2">
        <f t="shared" ca="1" si="20"/>
        <v>94.5</v>
      </c>
      <c r="L84" s="2">
        <f t="shared" ca="1" si="21"/>
        <v>5.5</v>
      </c>
      <c r="M84" s="2">
        <f>16*64*64</f>
        <v>65536</v>
      </c>
      <c r="N84" s="2">
        <v>10842603</v>
      </c>
      <c r="O84" s="11"/>
      <c r="P84" s="11"/>
      <c r="Q84" s="2"/>
    </row>
    <row r="85" spans="1:21" x14ac:dyDescent="0.15">
      <c r="A85" s="2" t="s">
        <v>46</v>
      </c>
      <c r="B85" s="2">
        <f t="shared" ca="1" si="18"/>
        <v>8948549808</v>
      </c>
      <c r="C85" s="2">
        <f ca="1">C62*numbers!$O$11</f>
        <v>73967999.999999985</v>
      </c>
      <c r="D85" s="2">
        <f ca="1">D62*numbers!$O$11</f>
        <v>295871999.99999994</v>
      </c>
      <c r="E85" s="2">
        <f ca="1">E62*numbers!$O$11</f>
        <v>258863999.99999997</v>
      </c>
      <c r="F85" s="2">
        <f ca="1">F62*numbers!$O$11</f>
        <v>73967999.999999985</v>
      </c>
      <c r="G85" s="2">
        <f ca="1">G62*numbers!$O$11</f>
        <v>64715999.999999993</v>
      </c>
      <c r="H85" s="2">
        <v>15944711</v>
      </c>
      <c r="I85" s="2">
        <v>0</v>
      </c>
      <c r="J85" s="2">
        <f t="shared" si="19"/>
        <v>15944711</v>
      </c>
      <c r="K85" s="2">
        <f t="shared" ca="1" si="20"/>
        <v>94.89</v>
      </c>
      <c r="L85" s="2">
        <f t="shared" ca="1" si="21"/>
        <v>5.1099999999999994</v>
      </c>
      <c r="M85">
        <f>24*64*64</f>
        <v>98304</v>
      </c>
      <c r="N85" s="2">
        <v>15944711</v>
      </c>
      <c r="O85" s="2"/>
      <c r="P85" s="2"/>
      <c r="Q85" s="2"/>
    </row>
    <row r="86" spans="1:21" x14ac:dyDescent="0.15">
      <c r="A86" s="2" t="s">
        <v>127</v>
      </c>
      <c r="B86" s="2">
        <f t="shared" ca="1" si="18"/>
        <v>7618950</v>
      </c>
      <c r="C86" s="2">
        <f ca="1">C63*numbers!$O$11+I86</f>
        <v>4187335</v>
      </c>
      <c r="D86" s="2">
        <f ca="1">D63*numbers!$O$11+I86</f>
        <v>6629335</v>
      </c>
      <c r="E86" s="2">
        <f ca="1">E63*numbers!$O$11+I86</f>
        <v>6221335</v>
      </c>
      <c r="F86" s="2">
        <f ca="1">F63*numbers!$O$11+I86</f>
        <v>4187335</v>
      </c>
      <c r="G86" s="2">
        <f ca="1">G63*numbers!$O$11+I86</f>
        <v>4085335</v>
      </c>
      <c r="H86">
        <f>N82/16</f>
        <v>79792</v>
      </c>
      <c r="I86" s="2">
        <f>3373335</f>
        <v>3373335</v>
      </c>
      <c r="J86" s="2">
        <f t="shared" si="19"/>
        <v>3453127</v>
      </c>
      <c r="K86" s="2">
        <f t="shared" ca="1" si="20"/>
        <v>65.760000000000005</v>
      </c>
      <c r="L86" s="2">
        <f t="shared" ca="1" si="21"/>
        <v>34.239999999999995</v>
      </c>
      <c r="M86" s="2">
        <f>1024*64*64</f>
        <v>4194304</v>
      </c>
      <c r="N86" s="2">
        <v>653690353</v>
      </c>
      <c r="P86" s="2"/>
      <c r="Q86" s="2"/>
    </row>
    <row r="87" spans="1:21" x14ac:dyDescent="0.15">
      <c r="A87" s="2" t="s">
        <v>128</v>
      </c>
      <c r="B87" s="2">
        <f t="shared" ca="1" si="18"/>
        <v>2142591430</v>
      </c>
      <c r="C87" s="2">
        <f ca="1">C64*numbers!$O$11+I87</f>
        <v>1555343644</v>
      </c>
      <c r="D87" s="2">
        <f ca="1">D64*numbers!$O$11+I87</f>
        <v>1975544644</v>
      </c>
      <c r="E87" s="2">
        <f ca="1">E64*numbers!$O$11+I87</f>
        <v>1901795644</v>
      </c>
      <c r="F87" s="2">
        <f ca="1">F64*numbers!$O$11+I87</f>
        <v>1555343644</v>
      </c>
      <c r="G87" s="2">
        <f ca="1">G64*numbers!$O$11+I87</f>
        <v>1536906394</v>
      </c>
      <c r="H87">
        <f>N83*1.2</f>
        <v>6888626.3999999994</v>
      </c>
      <c r="I87" s="2">
        <f>1415276644</f>
        <v>1415276644</v>
      </c>
      <c r="J87" s="2">
        <f t="shared" si="19"/>
        <v>1422165270.4000001</v>
      </c>
      <c r="K87" s="2">
        <f t="shared" ca="1" si="20"/>
        <v>58.15</v>
      </c>
      <c r="L87" s="2">
        <f t="shared" ca="1" si="21"/>
        <v>41.85</v>
      </c>
      <c r="M87">
        <f>57344*64*64</f>
        <v>234881024</v>
      </c>
      <c r="N87" s="2">
        <v>36571533041</v>
      </c>
      <c r="O87" s="2"/>
      <c r="P87" s="2"/>
      <c r="Q87" s="2"/>
    </row>
    <row r="88" spans="1:21" x14ac:dyDescent="0.15">
      <c r="A88" s="2" t="s">
        <v>129</v>
      </c>
      <c r="B88" s="2">
        <f t="shared" ca="1" si="18"/>
        <v>78254968405.732727</v>
      </c>
      <c r="C88" s="2">
        <f ca="1">C65*numbers!$O$11</f>
        <v>526343999.99999994</v>
      </c>
      <c r="D88" s="2">
        <f ca="1">D65*numbers!$O$11</f>
        <v>2105375999.9999998</v>
      </c>
      <c r="E88" s="2">
        <f ca="1">E65*numbers!$O$11</f>
        <v>1810152000</v>
      </c>
      <c r="F88" s="2">
        <f ca="1">F65*numbers!$O$11</f>
        <v>526343999.99999994</v>
      </c>
      <c r="G88" s="2">
        <f ca="1">G65*numbers!$O$11</f>
        <v>452538000</v>
      </c>
      <c r="H88">
        <f>N86/2</f>
        <v>326845176.5</v>
      </c>
      <c r="I88" s="2">
        <f>(I87+I87*0.06)</f>
        <v>1500193242.6400001</v>
      </c>
      <c r="J88" s="2">
        <f t="shared" si="19"/>
        <v>1827038419.1400001</v>
      </c>
      <c r="K88" s="2">
        <f t="shared" ca="1" si="20"/>
        <v>53.54</v>
      </c>
      <c r="L88" s="2">
        <f t="shared" ca="1" si="21"/>
        <v>46.46</v>
      </c>
      <c r="O88" s="2"/>
      <c r="P88" s="2"/>
      <c r="Q88" s="2"/>
      <c r="R88" s="2"/>
      <c r="S88" s="2"/>
      <c r="T88" s="2"/>
      <c r="U88" s="2"/>
    </row>
    <row r="89" spans="1:21" ht="15" customHeight="1" x14ac:dyDescent="0.15">
      <c r="A89" s="2" t="s">
        <v>53</v>
      </c>
      <c r="B89" s="2">
        <f t="shared" ca="1" si="18"/>
        <v>64234484267.895393</v>
      </c>
      <c r="C89" s="2">
        <f ca="1">C66*numbers!$O$11+I89</f>
        <v>545074076</v>
      </c>
      <c r="D89" s="2">
        <f ca="1">D66*numbers!$O$11+I89</f>
        <v>1583386075.9999998</v>
      </c>
      <c r="E89" s="2">
        <f ca="1">E66*numbers!$O$11+I89</f>
        <v>1410130075.9999998</v>
      </c>
      <c r="F89" s="2">
        <f ca="1">F66*numbers!$O$11+I89</f>
        <v>891178075.99999988</v>
      </c>
      <c r="G89" s="2">
        <f ca="1">G66*numbers!$O$11+I89</f>
        <v>804550075.99999988</v>
      </c>
      <c r="H89">
        <f>H81*8</f>
        <v>45924176</v>
      </c>
      <c r="I89" s="2">
        <f>198970076</f>
        <v>198970076</v>
      </c>
      <c r="J89" s="2">
        <f t="shared" si="19"/>
        <v>244894252</v>
      </c>
      <c r="K89" s="2">
        <f t="shared" ca="1" si="20"/>
        <v>86.61</v>
      </c>
      <c r="L89" s="2">
        <f t="shared" ca="1" si="21"/>
        <v>13.39</v>
      </c>
      <c r="M89" s="2"/>
      <c r="O89" s="2"/>
      <c r="P89" s="2"/>
      <c r="Q89" s="2"/>
      <c r="R89" s="2"/>
      <c r="S89" s="2"/>
      <c r="T89" s="2"/>
      <c r="U89" s="2"/>
    </row>
    <row r="90" spans="1:21" s="2" customFormat="1" ht="15" customHeight="1" x14ac:dyDescent="0.15">
      <c r="A90" s="12" t="s">
        <v>180</v>
      </c>
      <c r="B90" s="2">
        <f t="shared" ca="1" si="18"/>
        <v>6775223</v>
      </c>
      <c r="C90" s="2">
        <f ca="1">C67*numbers!$O$11</f>
        <v>5272000</v>
      </c>
      <c r="D90" s="2">
        <f ca="1">D67*numbers!$O$11</f>
        <v>21088000</v>
      </c>
      <c r="E90" s="2">
        <f ca="1">E67*numbers!$O$11</f>
        <v>17944000</v>
      </c>
      <c r="F90" s="2">
        <f ca="1">F67*numbers!$O$11</f>
        <v>5272000</v>
      </c>
      <c r="G90" s="2">
        <f ca="1">G67*numbers!$O$11</f>
        <v>4486000</v>
      </c>
      <c r="H90" s="2">
        <f>N82/16</f>
        <v>79792</v>
      </c>
      <c r="I90" s="2">
        <v>0</v>
      </c>
      <c r="J90" s="2">
        <f t="shared" si="19"/>
        <v>79792</v>
      </c>
      <c r="K90" s="2">
        <f t="shared" ca="1" si="20"/>
        <v>99.63000000000001</v>
      </c>
      <c r="L90" s="2">
        <f t="shared" ca="1" si="21"/>
        <v>0.36999999999999034</v>
      </c>
    </row>
    <row r="91" spans="1:21" s="2" customFormat="1" ht="15" customHeight="1" x14ac:dyDescent="0.15">
      <c r="A91" s="12" t="s">
        <v>182</v>
      </c>
      <c r="B91" s="2">
        <f t="shared" ca="1" si="18"/>
        <v>13149654</v>
      </c>
      <c r="C91" s="2">
        <f ca="1">C68*numbers!$O$11</f>
        <v>10432000</v>
      </c>
      <c r="D91" s="2">
        <f ca="1">D68*numbers!$O$11</f>
        <v>41728000</v>
      </c>
      <c r="E91" s="2">
        <f ca="1">E68*numbers!$O$11</f>
        <v>35488000</v>
      </c>
      <c r="F91" s="2">
        <f ca="1">F68*numbers!$O$11</f>
        <v>10432000</v>
      </c>
      <c r="G91" s="2">
        <f ca="1">G68*numbers!$O$11</f>
        <v>8872000</v>
      </c>
      <c r="H91" s="2">
        <f>ROUNDUP(N82/15,2)</f>
        <v>85111.47</v>
      </c>
      <c r="I91" s="2">
        <v>0</v>
      </c>
      <c r="J91" s="2">
        <f t="shared" si="19"/>
        <v>85111.47</v>
      </c>
      <c r="K91" s="2">
        <f t="shared" ca="1" si="20"/>
        <v>99.800000000000011</v>
      </c>
      <c r="L91" s="2">
        <f t="shared" ca="1" si="21"/>
        <v>0.19999999999998863</v>
      </c>
    </row>
    <row r="92" spans="1:21" s="2" customFormat="1" ht="15" customHeight="1" x14ac:dyDescent="0.15">
      <c r="A92" s="12" t="s">
        <v>184</v>
      </c>
      <c r="B92" s="2">
        <f t="shared" ca="1" si="18"/>
        <v>122820258</v>
      </c>
      <c r="C92" s="2">
        <f ca="1">C69*numbers!$O$11+I92</f>
        <v>18405963</v>
      </c>
      <c r="D92" s="2">
        <f ca="1">D69*numbers!$O$11+I92</f>
        <v>33987963</v>
      </c>
      <c r="E92" s="2">
        <f ca="1">E69*numbers!$O$11+I92</f>
        <v>30909962.999999996</v>
      </c>
      <c r="F92" s="2">
        <f ca="1">F69*numbers!$O$11+I92</f>
        <v>18405963</v>
      </c>
      <c r="G92" s="2">
        <f ca="1">G69*numbers!$O$11+I92</f>
        <v>17636463</v>
      </c>
      <c r="H92" s="2">
        <f ca="1">H81/I77</f>
        <v>1978308.0116065666</v>
      </c>
      <c r="I92" s="2">
        <f>13211963</f>
        <v>13211963</v>
      </c>
      <c r="J92" s="2">
        <f t="shared" ca="1" si="19"/>
        <v>15190271.011606567</v>
      </c>
      <c r="K92" s="2">
        <f t="shared" ca="1" si="20"/>
        <v>69.12</v>
      </c>
      <c r="L92" s="2">
        <f t="shared" ca="1" si="21"/>
        <v>30.879999999999995</v>
      </c>
    </row>
    <row r="93" spans="1:21" s="2" customFormat="1" ht="15" customHeight="1" x14ac:dyDescent="0.15">
      <c r="A93" s="12" t="s">
        <v>196</v>
      </c>
      <c r="B93" s="2">
        <f t="shared" ca="1" si="18"/>
        <v>123723582</v>
      </c>
      <c r="C93" s="2">
        <f ca="1">C70*numbers!$O$11+I93</f>
        <v>17132000</v>
      </c>
      <c r="D93" s="2">
        <f ca="1">D70*numbers!$O$11+I93</f>
        <v>28394000</v>
      </c>
      <c r="E93" s="2">
        <f ca="1">E70*numbers!$O$11+I93</f>
        <v>26756000</v>
      </c>
      <c r="F93" s="2">
        <f ca="1">F70*numbers!$O$11+I93</f>
        <v>17132000</v>
      </c>
      <c r="G93" s="2">
        <f ca="1">G70*numbers!$O$11+I93</f>
        <v>16722500</v>
      </c>
      <c r="H93" s="2">
        <f ca="1">H81/I77</f>
        <v>1978308.0116065666</v>
      </c>
      <c r="I93" s="2">
        <f>13378000</f>
        <v>13378000</v>
      </c>
      <c r="J93" s="2">
        <f t="shared" ca="1" si="19"/>
        <v>15356308.011606567</v>
      </c>
      <c r="K93" s="2">
        <f t="shared" ca="1" si="20"/>
        <v>64.910000000000011</v>
      </c>
      <c r="L93" s="2">
        <f t="shared" ca="1" si="21"/>
        <v>35.089999999999989</v>
      </c>
    </row>
    <row r="94" spans="1:21" s="2" customFormat="1" ht="15" customHeight="1" x14ac:dyDescent="0.15">
      <c r="A94" s="12" t="s">
        <v>186</v>
      </c>
      <c r="B94" s="2">
        <f t="shared" ca="1" si="18"/>
        <v>52831468481</v>
      </c>
      <c r="C94" s="2">
        <f ca="1">C71*numbers!$O$11+I94</f>
        <v>1215579798</v>
      </c>
      <c r="D94" s="2">
        <f ca="1">D71*numbers!$O$11+I94</f>
        <v>3578715797.9999995</v>
      </c>
      <c r="E94" s="2">
        <f ca="1">E71*numbers!$O$11+I94</f>
        <v>3184731797.9999995</v>
      </c>
      <c r="F94" s="2">
        <f ca="1">F71*numbers!$O$11+I94</f>
        <v>1215579798</v>
      </c>
      <c r="G94" s="2">
        <f ca="1">G71*numbers!$O$11+I94</f>
        <v>1117083798</v>
      </c>
      <c r="H94" s="2">
        <f>H81*100</f>
        <v>574052200</v>
      </c>
      <c r="I94" s="2">
        <f>427867798</f>
        <v>427867798</v>
      </c>
      <c r="J94" s="2">
        <f t="shared" si="19"/>
        <v>1001919998</v>
      </c>
      <c r="K94" s="2">
        <f t="shared" ca="1" si="20"/>
        <v>78.13000000000001</v>
      </c>
      <c r="L94" s="2">
        <f t="shared" ca="1" si="21"/>
        <v>21.86999999999999</v>
      </c>
    </row>
    <row r="95" spans="1:21" s="2" customFormat="1" ht="15" customHeight="1" x14ac:dyDescent="0.15">
      <c r="A95" s="12" t="s">
        <v>187</v>
      </c>
      <c r="B95" s="2">
        <f t="shared" ca="1" si="18"/>
        <v>52875676514</v>
      </c>
      <c r="C95" s="2">
        <f ca="1">C72*numbers!$O$11+I95</f>
        <v>1215586170</v>
      </c>
      <c r="D95" s="2">
        <f ca="1">D72*numbers!$O$11+I95</f>
        <v>3578722169.9999995</v>
      </c>
      <c r="E95" s="2">
        <f ca="1">E72*numbers!$O$11+I95</f>
        <v>3184738169.9999995</v>
      </c>
      <c r="F95" s="2">
        <f ca="1">F72*numbers!$O$11+I95</f>
        <v>1215586170</v>
      </c>
      <c r="G95" s="2">
        <f ca="1">G72*numbers!$O$11+I95</f>
        <v>1117090170</v>
      </c>
      <c r="H95" s="2">
        <f>N84*1048</f>
        <v>11363047944</v>
      </c>
      <c r="I95" s="2">
        <f>427874170</f>
        <v>427874170</v>
      </c>
      <c r="J95" s="2">
        <f t="shared" si="19"/>
        <v>11790922114</v>
      </c>
      <c r="K95" s="2">
        <f t="shared" ca="1" si="20"/>
        <v>23.290000000000003</v>
      </c>
      <c r="L95" s="2">
        <f t="shared" ca="1" si="21"/>
        <v>76.709999999999994</v>
      </c>
    </row>
    <row r="96" spans="1:21" s="2" customFormat="1" ht="15" customHeight="1" x14ac:dyDescent="0.15">
      <c r="A96" s="12" t="s">
        <v>188</v>
      </c>
      <c r="B96" s="2">
        <f t="shared" ca="1" si="18"/>
        <v>1562376054</v>
      </c>
      <c r="C96" s="2">
        <f ca="1">C73*numbers!$O$11+I96</f>
        <v>795812163</v>
      </c>
      <c r="D96" s="2">
        <f ca="1">D73*numbers!$O$11+I96</f>
        <v>826328163</v>
      </c>
      <c r="E96" s="2">
        <f ca="1">E73*numbers!$O$11+I96</f>
        <v>822068163</v>
      </c>
      <c r="F96" s="2">
        <f ca="1">F73*numbers!$O$11+I96</f>
        <v>795812163</v>
      </c>
      <c r="G96" s="2">
        <f ca="1">G73*numbers!$O$11+I96</f>
        <v>794747163</v>
      </c>
      <c r="H96" s="2">
        <f>N82*2.6</f>
        <v>3319347.2000000002</v>
      </c>
      <c r="I96" s="2">
        <f>785640163</f>
        <v>785640163</v>
      </c>
      <c r="J96" s="2">
        <f t="shared" si="19"/>
        <v>788959510.20000005</v>
      </c>
      <c r="K96" s="2">
        <f t="shared" ca="1" si="20"/>
        <v>51.16</v>
      </c>
      <c r="L96" s="2">
        <f t="shared" ca="1" si="21"/>
        <v>48.84</v>
      </c>
    </row>
    <row r="97" spans="1:21" s="2" customFormat="1" ht="15" customHeight="1" x14ac:dyDescent="0.15">
      <c r="A97" s="2" t="s">
        <v>178</v>
      </c>
      <c r="B97" s="2">
        <f t="shared" ca="1" si="18"/>
        <v>2897597836</v>
      </c>
      <c r="C97" s="2">
        <f ca="1">C74*numbers!$O$11</f>
        <v>2897597836</v>
      </c>
      <c r="D97" s="2">
        <f ca="1">D74*numbers!$O$11</f>
        <v>2897597836</v>
      </c>
      <c r="E97" s="2">
        <f ca="1">E74*numbers!$O$11</f>
        <v>2897597836</v>
      </c>
      <c r="F97" s="2">
        <f ca="1">F74*numbers!$O$11</f>
        <v>2897597836</v>
      </c>
      <c r="G97" s="2">
        <f ca="1">G74*numbers!$O$11</f>
        <v>2897597836</v>
      </c>
    </row>
    <row r="98" spans="1:21" s="2" customFormat="1" ht="15" customHeight="1" x14ac:dyDescent="0.15">
      <c r="A98" s="2" t="s">
        <v>179</v>
      </c>
      <c r="B98" s="2">
        <f t="shared" si="18"/>
        <v>12264384</v>
      </c>
      <c r="C98" s="2">
        <f>C75*numbers!$O$11</f>
        <v>12264384</v>
      </c>
      <c r="D98" s="2">
        <f>D75*numbers!$O$11</f>
        <v>12264384</v>
      </c>
      <c r="E98" s="2">
        <f>E75*numbers!$O$11</f>
        <v>12264384</v>
      </c>
      <c r="F98" s="2">
        <f>F75*numbers!$O$11</f>
        <v>12264384</v>
      </c>
      <c r="G98" s="2">
        <f>G75*numbers!$O$11</f>
        <v>12264384</v>
      </c>
      <c r="H98" s="2">
        <f>H94/H89</f>
        <v>12.5</v>
      </c>
    </row>
    <row r="99" spans="1:21" s="2" customFormat="1" ht="15" customHeight="1" x14ac:dyDescent="0.15">
      <c r="A99" s="2" t="s">
        <v>181</v>
      </c>
      <c r="B99" s="2">
        <f t="shared" si="18"/>
        <v>23550254</v>
      </c>
      <c r="C99" s="2">
        <f>C76*numbers!$O$11</f>
        <v>23550254</v>
      </c>
      <c r="D99" s="2">
        <f>D76*numbers!$O$11</f>
        <v>23550254</v>
      </c>
      <c r="E99" s="2">
        <f>E76*numbers!$O$11</f>
        <v>23550254</v>
      </c>
      <c r="F99" s="2">
        <f>F76*numbers!$O$11</f>
        <v>23550254</v>
      </c>
      <c r="G99" s="2">
        <f>G76*numbers!$O$11</f>
        <v>23550254</v>
      </c>
    </row>
    <row r="100" spans="1:21" s="2" customFormat="1" ht="15" customHeight="1" x14ac:dyDescent="0.15">
      <c r="A100" s="2" t="s">
        <v>183</v>
      </c>
      <c r="B100" s="2">
        <f t="shared" si="18"/>
        <v>13718909751</v>
      </c>
      <c r="C100" s="2">
        <f>C77*numbers!$O$11</f>
        <v>13718909751</v>
      </c>
      <c r="D100" s="2">
        <f>D77*numbers!$O$11</f>
        <v>13718909751</v>
      </c>
      <c r="E100" s="2">
        <f>E77*numbers!$O$11</f>
        <v>13718909751</v>
      </c>
      <c r="F100" s="2">
        <f>F77*numbers!$O$11</f>
        <v>13718909751</v>
      </c>
      <c r="G100" s="2">
        <f>G77*numbers!$O$11</f>
        <v>13718909751</v>
      </c>
    </row>
    <row r="101" spans="1:21" s="2" customFormat="1" ht="15" customHeight="1" x14ac:dyDescent="0.15"/>
    <row r="102" spans="1:21" x14ac:dyDescent="0.15">
      <c r="B102" s="18" t="s">
        <v>218</v>
      </c>
      <c r="C102" s="18"/>
      <c r="D102" s="18"/>
      <c r="E102" s="18"/>
      <c r="F102" s="18"/>
      <c r="G102" s="18"/>
      <c r="P102" s="2"/>
      <c r="Q102" s="2"/>
      <c r="R102" s="2"/>
      <c r="S102" s="2"/>
      <c r="T102" s="2"/>
      <c r="U102" s="2"/>
    </row>
    <row r="103" spans="1:21" x14ac:dyDescent="0.15">
      <c r="B103" s="18"/>
      <c r="C103" s="18"/>
      <c r="D103" s="18"/>
      <c r="E103" s="18"/>
      <c r="F103" s="18"/>
      <c r="G103" s="18"/>
      <c r="P103" s="2"/>
      <c r="Q103" s="2"/>
      <c r="R103" s="2"/>
      <c r="S103" s="2"/>
      <c r="T103" s="2"/>
      <c r="U103" s="2"/>
    </row>
    <row r="104" spans="1:21" x14ac:dyDescent="0.15">
      <c r="A104" s="1" t="s">
        <v>0</v>
      </c>
      <c r="B104" s="1" t="s">
        <v>63</v>
      </c>
      <c r="C104" s="1" t="s">
        <v>64</v>
      </c>
      <c r="D104" s="1" t="s">
        <v>65</v>
      </c>
      <c r="E104" s="1" t="s">
        <v>66</v>
      </c>
      <c r="F104" s="1" t="s">
        <v>67</v>
      </c>
      <c r="G104" s="1" t="s">
        <v>68</v>
      </c>
    </row>
    <row r="105" spans="1:21" x14ac:dyDescent="0.15">
      <c r="A105" s="2" t="s">
        <v>62</v>
      </c>
      <c r="B105" s="2">
        <f ca="1">ROUND($B81/B81,2)</f>
        <v>1</v>
      </c>
      <c r="C105" s="2"/>
      <c r="D105" s="2">
        <f t="shared" ref="D105:G105" ca="1" si="22">ROUND($B81/D81,2)</f>
        <v>28.13</v>
      </c>
      <c r="E105" s="2">
        <f t="shared" ca="1" si="22"/>
        <v>32.15</v>
      </c>
      <c r="F105" s="2">
        <f t="shared" ca="1" si="22"/>
        <v>112.53</v>
      </c>
      <c r="G105" s="2">
        <f t="shared" ca="1" si="22"/>
        <v>128.62</v>
      </c>
      <c r="I105" s="2">
        <f ca="1">F105/G105</f>
        <v>0.87490281449230289</v>
      </c>
      <c r="S105" s="2"/>
    </row>
    <row r="106" spans="1:21" ht="19" x14ac:dyDescent="0.2">
      <c r="A106" s="2" t="s">
        <v>32</v>
      </c>
      <c r="B106" s="2">
        <f t="shared" ref="B106:G106" ca="1" si="23">ROUND($B82/B82,2)</f>
        <v>1</v>
      </c>
      <c r="C106" s="2"/>
      <c r="D106" s="2">
        <f t="shared" ca="1" si="23"/>
        <v>30.44</v>
      </c>
      <c r="E106" s="2">
        <f t="shared" ca="1" si="23"/>
        <v>34.799999999999997</v>
      </c>
      <c r="F106" s="2">
        <f t="shared" ca="1" si="23"/>
        <v>121.78</v>
      </c>
      <c r="G106" s="2">
        <f t="shared" ca="1" si="23"/>
        <v>139.19</v>
      </c>
      <c r="I106" s="2">
        <f t="shared" ref="I106:I109" ca="1" si="24">F106/G106</f>
        <v>0.87491917522810547</v>
      </c>
      <c r="S106" s="9"/>
      <c r="T106" s="2"/>
    </row>
    <row r="107" spans="1:21" x14ac:dyDescent="0.15">
      <c r="A107" s="2" t="s">
        <v>25</v>
      </c>
      <c r="B107" s="2">
        <f t="shared" ref="B107:G107" ca="1" si="25">ROUND($B83/B83,2)</f>
        <v>1</v>
      </c>
      <c r="C107" s="2"/>
      <c r="D107" s="2">
        <f t="shared" ca="1" si="25"/>
        <v>31.46</v>
      </c>
      <c r="E107" s="2">
        <f t="shared" ca="1" si="25"/>
        <v>35.96</v>
      </c>
      <c r="F107" s="2">
        <f t="shared" ca="1" si="25"/>
        <v>125.86</v>
      </c>
      <c r="G107" s="2">
        <f t="shared" ca="1" si="25"/>
        <v>143.85</v>
      </c>
      <c r="I107" s="2">
        <f t="shared" ca="1" si="24"/>
        <v>0.87493917274939181</v>
      </c>
      <c r="P107" s="8"/>
    </row>
    <row r="108" spans="1:21" x14ac:dyDescent="0.15">
      <c r="A108" s="2" t="s">
        <v>39</v>
      </c>
      <c r="B108" s="2">
        <f t="shared" ref="B108:G108" ca="1" si="26">ROUND($B84/B84,2)</f>
        <v>1</v>
      </c>
      <c r="C108" s="2"/>
      <c r="D108" s="2">
        <f t="shared" ca="1" si="26"/>
        <v>28.15</v>
      </c>
      <c r="E108" s="2">
        <f t="shared" ca="1" si="26"/>
        <v>32.17</v>
      </c>
      <c r="F108" s="2">
        <f t="shared" ca="1" si="26"/>
        <v>112.58</v>
      </c>
      <c r="G108" s="2">
        <f t="shared" ca="1" si="26"/>
        <v>128.68</v>
      </c>
      <c r="I108" s="2">
        <f t="shared" ca="1" si="24"/>
        <v>0.87488343176872851</v>
      </c>
    </row>
    <row r="109" spans="1:21" x14ac:dyDescent="0.15">
      <c r="A109" s="2" t="s">
        <v>46</v>
      </c>
      <c r="B109" s="2">
        <f t="shared" ref="B109:G109" ca="1" si="27">ROUND($B85/B85,2)</f>
        <v>1</v>
      </c>
      <c r="C109" s="2"/>
      <c r="D109" s="2">
        <f t="shared" ca="1" si="27"/>
        <v>30.24</v>
      </c>
      <c r="E109" s="2">
        <f t="shared" ca="1" si="27"/>
        <v>34.57</v>
      </c>
      <c r="F109" s="2">
        <f t="shared" ca="1" si="27"/>
        <v>120.98</v>
      </c>
      <c r="G109" s="2">
        <f t="shared" ca="1" si="27"/>
        <v>138.27000000000001</v>
      </c>
      <c r="I109" s="2">
        <f t="shared" ca="1" si="24"/>
        <v>0.87495479858248348</v>
      </c>
      <c r="Q109" s="2"/>
    </row>
    <row r="110" spans="1:21" x14ac:dyDescent="0.15">
      <c r="A110" s="2" t="s">
        <v>128</v>
      </c>
      <c r="B110" s="2">
        <f ca="1">ROUND($B87/B87,2)</f>
        <v>1</v>
      </c>
      <c r="C110" s="2"/>
      <c r="D110" s="2">
        <f ca="1">ROUND($B87/D87,2)</f>
        <v>1.08</v>
      </c>
      <c r="E110" s="2">
        <f ca="1">ROUND($B87/E87,2)</f>
        <v>1.1299999999999999</v>
      </c>
      <c r="F110" s="2">
        <f ca="1">D110</f>
        <v>1.08</v>
      </c>
      <c r="G110" s="2">
        <f ca="1">E110</f>
        <v>1.1299999999999999</v>
      </c>
      <c r="I110" s="2" t="e">
        <f>P110/Q110</f>
        <v>#DIV/0!</v>
      </c>
      <c r="K110" s="2" t="s">
        <v>127</v>
      </c>
      <c r="L110" s="2">
        <f ca="1">ROUND($B86/B86,2)</f>
        <v>1</v>
      </c>
      <c r="M110" s="2"/>
      <c r="N110" s="2"/>
      <c r="O110" s="2"/>
      <c r="P110" s="2"/>
      <c r="Q110" s="2"/>
      <c r="U110" s="2"/>
    </row>
    <row r="111" spans="1:21" x14ac:dyDescent="0.15">
      <c r="A111" s="2" t="s">
        <v>53</v>
      </c>
      <c r="B111" s="2">
        <f t="shared" ref="B111:B116" ca="1" si="28">ROUND($B89/B89,2)</f>
        <v>1</v>
      </c>
      <c r="C111" s="2"/>
      <c r="D111" s="2">
        <f ca="1">ROUND($B89/D89,2)</f>
        <v>40.57</v>
      </c>
      <c r="E111" s="2">
        <f ca="1">ROUND($B89/E89,2)</f>
        <v>45.55</v>
      </c>
      <c r="F111" s="2">
        <f ca="1">ROUND($B89/F89,2)</f>
        <v>72.08</v>
      </c>
      <c r="G111" s="2">
        <f ca="1">ROUND($B89/G89,2)</f>
        <v>79.84</v>
      </c>
      <c r="I111" s="2">
        <f ca="1">F110/G110</f>
        <v>0.95575221238938068</v>
      </c>
      <c r="Q111" s="2"/>
      <c r="T111" s="2"/>
      <c r="U111" s="2"/>
    </row>
    <row r="112" spans="1:21" x14ac:dyDescent="0.15">
      <c r="A112" s="12" t="s">
        <v>180</v>
      </c>
      <c r="B112" s="2">
        <f t="shared" ca="1" si="28"/>
        <v>1</v>
      </c>
      <c r="C112" s="2"/>
      <c r="D112" s="2">
        <f t="shared" ref="D112:E116" ca="1" si="29">ROUND($B90/D90,2)</f>
        <v>0.32</v>
      </c>
      <c r="E112" s="2">
        <f t="shared" ca="1" si="29"/>
        <v>0.38</v>
      </c>
      <c r="F112" s="2">
        <f ca="1">D112</f>
        <v>0.32</v>
      </c>
      <c r="G112" s="2">
        <f ca="1">E112</f>
        <v>0.38</v>
      </c>
      <c r="I112" s="2" t="e">
        <f>P112/Q112</f>
        <v>#DIV/0!</v>
      </c>
      <c r="K112" s="2" t="s">
        <v>129</v>
      </c>
      <c r="L112" s="2">
        <f ca="1">ROUND($B88/B88,2)</f>
        <v>1</v>
      </c>
      <c r="M112" s="2"/>
      <c r="N112" s="2"/>
      <c r="O112" s="2"/>
      <c r="P112" s="2"/>
      <c r="Q112" s="2"/>
    </row>
    <row r="113" spans="1:17" x14ac:dyDescent="0.15">
      <c r="A113" s="12" t="s">
        <v>182</v>
      </c>
      <c r="B113" s="2">
        <f t="shared" ca="1" si="28"/>
        <v>1</v>
      </c>
      <c r="C113" s="2"/>
      <c r="D113" s="2">
        <f t="shared" ca="1" si="29"/>
        <v>0.32</v>
      </c>
      <c r="E113" s="2">
        <f t="shared" ca="1" si="29"/>
        <v>0.37</v>
      </c>
      <c r="F113" s="2">
        <f t="shared" ref="F113:G116" ca="1" si="30">ROUND($B91/F91,2)</f>
        <v>1.26</v>
      </c>
      <c r="G113" s="2">
        <f t="shared" ca="1" si="30"/>
        <v>1.48</v>
      </c>
      <c r="I113" s="2">
        <f ca="1">F111/G111</f>
        <v>0.90280561122244485</v>
      </c>
      <c r="Q113" s="2"/>
    </row>
    <row r="114" spans="1:17" x14ac:dyDescent="0.15">
      <c r="A114" s="12" t="s">
        <v>184</v>
      </c>
      <c r="B114" s="2">
        <f t="shared" ca="1" si="28"/>
        <v>1</v>
      </c>
      <c r="C114" s="2"/>
      <c r="D114" s="2">
        <f t="shared" ca="1" si="29"/>
        <v>3.61</v>
      </c>
      <c r="E114" s="2">
        <f t="shared" ca="1" si="29"/>
        <v>3.97</v>
      </c>
      <c r="F114" s="2">
        <f t="shared" ca="1" si="30"/>
        <v>6.67</v>
      </c>
      <c r="G114" s="2">
        <f t="shared" ca="1" si="30"/>
        <v>6.96</v>
      </c>
      <c r="P114" s="1"/>
      <c r="Q114" s="2"/>
    </row>
    <row r="115" spans="1:17" x14ac:dyDescent="0.15">
      <c r="A115" s="12" t="s">
        <v>185</v>
      </c>
      <c r="B115" s="2">
        <f t="shared" ca="1" si="28"/>
        <v>1</v>
      </c>
      <c r="C115" s="2"/>
      <c r="D115" s="2">
        <f t="shared" ca="1" si="29"/>
        <v>4.3600000000000003</v>
      </c>
      <c r="E115" s="2">
        <f t="shared" ca="1" si="29"/>
        <v>4.62</v>
      </c>
      <c r="F115" s="2">
        <f t="shared" ca="1" si="30"/>
        <v>7.22</v>
      </c>
      <c r="G115" s="2">
        <f t="shared" ca="1" si="30"/>
        <v>7.4</v>
      </c>
      <c r="P115" s="2"/>
      <c r="Q115" s="2"/>
    </row>
    <row r="116" spans="1:17" x14ac:dyDescent="0.15">
      <c r="A116" s="12" t="s">
        <v>186</v>
      </c>
      <c r="B116" s="2">
        <f t="shared" ca="1" si="28"/>
        <v>1</v>
      </c>
      <c r="C116" s="2"/>
      <c r="D116" s="2">
        <f t="shared" ca="1" si="29"/>
        <v>14.76</v>
      </c>
      <c r="E116" s="2">
        <f t="shared" ca="1" si="29"/>
        <v>16.59</v>
      </c>
      <c r="F116" s="2">
        <f t="shared" ca="1" si="30"/>
        <v>43.46</v>
      </c>
      <c r="G116" s="2">
        <f t="shared" ca="1" si="30"/>
        <v>47.29</v>
      </c>
      <c r="P116" s="2"/>
    </row>
    <row r="117" spans="1:17" x14ac:dyDescent="0.15">
      <c r="A117" s="12" t="s">
        <v>188</v>
      </c>
      <c r="B117" s="2">
        <f ca="1">ROUND($B96/B96,2)</f>
        <v>1</v>
      </c>
      <c r="C117" s="2"/>
      <c r="D117" s="2">
        <f ca="1">ROUND($B96/D96,2)</f>
        <v>1.89</v>
      </c>
      <c r="E117" s="2">
        <f ca="1">ROUND($B96/E96,2)</f>
        <v>1.9</v>
      </c>
      <c r="F117" s="2">
        <f ca="1">ROUND($B96/F96,2)</f>
        <v>1.96</v>
      </c>
      <c r="G117" s="2">
        <f ca="1">ROUND($B96/G96,2)</f>
        <v>1.97</v>
      </c>
      <c r="P117" s="2"/>
    </row>
    <row r="118" spans="1:17" x14ac:dyDescent="0.15">
      <c r="P118" s="2"/>
    </row>
    <row r="119" spans="1:17" x14ac:dyDescent="0.15">
      <c r="P119" s="11"/>
    </row>
    <row r="120" spans="1:17" x14ac:dyDescent="0.15">
      <c r="A120" s="2" t="s">
        <v>178</v>
      </c>
      <c r="B120" s="2">
        <f ca="1">$B97/B97</f>
        <v>1</v>
      </c>
      <c r="C120" s="2"/>
      <c r="D120" s="2">
        <f t="shared" ref="D120:G123" ca="1" si="31">$B97/D97</f>
        <v>1</v>
      </c>
      <c r="E120" s="2">
        <f t="shared" ca="1" si="31"/>
        <v>1</v>
      </c>
      <c r="F120" s="2">
        <f t="shared" ca="1" si="31"/>
        <v>1</v>
      </c>
      <c r="G120" s="2">
        <f t="shared" ca="1" si="31"/>
        <v>1</v>
      </c>
      <c r="P120" s="2"/>
    </row>
    <row r="121" spans="1:17" x14ac:dyDescent="0.15">
      <c r="A121" s="2" t="s">
        <v>179</v>
      </c>
      <c r="B121" s="2">
        <f>$B98/B98</f>
        <v>1</v>
      </c>
      <c r="C121" s="2"/>
      <c r="D121" s="2">
        <f t="shared" si="31"/>
        <v>1</v>
      </c>
      <c r="E121" s="2">
        <f t="shared" si="31"/>
        <v>1</v>
      </c>
      <c r="F121" s="2">
        <f t="shared" si="31"/>
        <v>1</v>
      </c>
      <c r="G121" s="2">
        <f t="shared" si="31"/>
        <v>1</v>
      </c>
    </row>
    <row r="122" spans="1:17" x14ac:dyDescent="0.15">
      <c r="A122" s="2" t="s">
        <v>181</v>
      </c>
      <c r="B122" s="2">
        <f>$B99/B99</f>
        <v>1</v>
      </c>
      <c r="C122" s="2"/>
      <c r="D122" s="2">
        <f t="shared" si="31"/>
        <v>1</v>
      </c>
      <c r="E122" s="2">
        <f t="shared" si="31"/>
        <v>1</v>
      </c>
      <c r="F122" s="2">
        <f t="shared" si="31"/>
        <v>1</v>
      </c>
      <c r="G122" s="2">
        <f t="shared" si="31"/>
        <v>1</v>
      </c>
    </row>
    <row r="123" spans="1:17" x14ac:dyDescent="0.15">
      <c r="A123" s="2" t="s">
        <v>183</v>
      </c>
      <c r="B123" s="2">
        <f>$B100/B100</f>
        <v>1</v>
      </c>
      <c r="C123" s="2"/>
      <c r="D123" s="2">
        <f t="shared" si="31"/>
        <v>1</v>
      </c>
      <c r="E123" s="2">
        <f t="shared" si="31"/>
        <v>1</v>
      </c>
      <c r="F123" s="2">
        <f t="shared" si="31"/>
        <v>1</v>
      </c>
      <c r="G123" s="2">
        <f t="shared" si="31"/>
        <v>1</v>
      </c>
    </row>
    <row r="125" spans="1:17" x14ac:dyDescent="0.15">
      <c r="A125" t="s">
        <v>130</v>
      </c>
      <c r="B125">
        <f ca="1">ROUND(GEOMEAN(B105:B117),2)</f>
        <v>1</v>
      </c>
      <c r="C125" s="2"/>
      <c r="D125" s="2">
        <f ca="1">ROUND(GEOMEAN(D105:D117),2)</f>
        <v>6.6</v>
      </c>
      <c r="E125" s="2">
        <f ca="1">ROUND(GEOMEAN(E105:E117),2)</f>
        <v>7.36</v>
      </c>
      <c r="F125" s="2">
        <f ca="1">ROUND(GEOMEAN(F105:F117),2)</f>
        <v>15.52</v>
      </c>
      <c r="G125" s="2">
        <f ca="1">ROUND(GEOMEAN(G105:G117),2)</f>
        <v>17.16</v>
      </c>
    </row>
    <row r="126" spans="1:17" x14ac:dyDescent="0.15">
      <c r="P126" s="1"/>
    </row>
    <row r="127" spans="1:17" x14ac:dyDescent="0.15">
      <c r="C127" s="2"/>
      <c r="D127" s="2"/>
      <c r="E127" s="2"/>
      <c r="F127" s="2"/>
      <c r="G127" s="2"/>
      <c r="P127" s="2"/>
    </row>
    <row r="128" spans="1:17" x14ac:dyDescent="0.15">
      <c r="P128" s="2"/>
    </row>
    <row r="129" spans="16:16" x14ac:dyDescent="0.15">
      <c r="P129" s="2"/>
    </row>
    <row r="130" spans="16:16" x14ac:dyDescent="0.15">
      <c r="P130" s="11"/>
    </row>
    <row r="131" spans="16:16" x14ac:dyDescent="0.15">
      <c r="P131" s="2"/>
    </row>
    <row r="132" spans="16:16" x14ac:dyDescent="0.15">
      <c r="P132" s="2"/>
    </row>
    <row r="140" spans="16:16" x14ac:dyDescent="0.15">
      <c r="P140" s="11"/>
    </row>
    <row r="158" spans="1:1" x14ac:dyDescent="0.15">
      <c r="A158" s="12"/>
    </row>
    <row r="159" spans="1:1" x14ac:dyDescent="0.15">
      <c r="A159" s="12"/>
    </row>
    <row r="160" spans="1:1" x14ac:dyDescent="0.15">
      <c r="A160" s="12"/>
    </row>
    <row r="161" spans="1:1" x14ac:dyDescent="0.15">
      <c r="A161" s="12"/>
    </row>
    <row r="162" spans="1:1" x14ac:dyDescent="0.15">
      <c r="A162" s="12"/>
    </row>
    <row r="164" spans="1:1" x14ac:dyDescent="0.15">
      <c r="A164" s="12"/>
    </row>
    <row r="165" spans="1:1" x14ac:dyDescent="0.15">
      <c r="A165" s="12"/>
    </row>
    <row r="166" spans="1:1" x14ac:dyDescent="0.15">
      <c r="A166" s="12"/>
    </row>
    <row r="167" spans="1:1" x14ac:dyDescent="0.15">
      <c r="A167" s="12"/>
    </row>
    <row r="168" spans="1:1" x14ac:dyDescent="0.15">
      <c r="A168" s="12"/>
    </row>
    <row r="170" spans="1:1" x14ac:dyDescent="0.15">
      <c r="A170" s="12"/>
    </row>
    <row r="171" spans="1:1" x14ac:dyDescent="0.15">
      <c r="A171" s="12"/>
    </row>
    <row r="172" spans="1:1" x14ac:dyDescent="0.15">
      <c r="A172" s="12"/>
    </row>
    <row r="173" spans="1:1" x14ac:dyDescent="0.15">
      <c r="A173" s="12"/>
    </row>
    <row r="174" spans="1:1" x14ac:dyDescent="0.15">
      <c r="A174" s="12"/>
    </row>
    <row r="176" spans="1:1" x14ac:dyDescent="0.15">
      <c r="A176" s="12"/>
    </row>
    <row r="177" spans="1:1" x14ac:dyDescent="0.15">
      <c r="A177" s="12"/>
    </row>
    <row r="178" spans="1:1" x14ac:dyDescent="0.15">
      <c r="A178" s="12"/>
    </row>
    <row r="179" spans="1:1" x14ac:dyDescent="0.15">
      <c r="A179" s="12"/>
    </row>
    <row r="180" spans="1:1" x14ac:dyDescent="0.15">
      <c r="A180" s="12"/>
    </row>
    <row r="182" spans="1:1" x14ac:dyDescent="0.15">
      <c r="A182" s="12"/>
    </row>
    <row r="183" spans="1:1" x14ac:dyDescent="0.15">
      <c r="A183" s="12"/>
    </row>
    <row r="184" spans="1:1" x14ac:dyDescent="0.15">
      <c r="A184" s="12"/>
    </row>
    <row r="185" spans="1:1" x14ac:dyDescent="0.15">
      <c r="A185" s="12"/>
    </row>
    <row r="186" spans="1:1" x14ac:dyDescent="0.15">
      <c r="A186" s="12"/>
    </row>
  </sheetData>
  <mergeCells count="6">
    <mergeCell ref="B102:G103"/>
    <mergeCell ref="J66:O68"/>
    <mergeCell ref="J69:O71"/>
    <mergeCell ref="L59:P59"/>
    <mergeCell ref="B25:G26"/>
    <mergeCell ref="L25:Q26"/>
  </mergeCells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49EC-98D4-BE4C-98F6-A4959CCB6328}">
  <dimension ref="A1:AE215"/>
  <sheetViews>
    <sheetView topLeftCell="G161" workbookViewId="0">
      <selection activeCell="Q169" sqref="Q169"/>
    </sheetView>
  </sheetViews>
  <sheetFormatPr baseColWidth="10" defaultRowHeight="13" x14ac:dyDescent="0.15"/>
  <cols>
    <col min="2" max="7" width="12.1640625" bestFit="1" customWidth="1"/>
    <col min="10" max="15" width="12.33203125" bestFit="1" customWidth="1"/>
    <col min="17" max="17" width="12.33203125" bestFit="1" customWidth="1"/>
  </cols>
  <sheetData>
    <row r="1" spans="1:23" x14ac:dyDescent="0.15">
      <c r="B1" s="22" t="s">
        <v>81</v>
      </c>
      <c r="C1" s="22"/>
      <c r="D1" s="22"/>
      <c r="E1" s="22"/>
      <c r="F1" s="22"/>
      <c r="G1" s="22"/>
      <c r="J1" s="22" t="s">
        <v>83</v>
      </c>
      <c r="K1" s="22"/>
      <c r="L1" s="22"/>
      <c r="M1" s="22"/>
      <c r="N1" s="22"/>
      <c r="O1" s="22"/>
    </row>
    <row r="2" spans="1:23" x14ac:dyDescent="0.15">
      <c r="A2" s="1" t="s">
        <v>0</v>
      </c>
      <c r="B2" s="1" t="s">
        <v>63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I2" s="1" t="s">
        <v>0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</row>
    <row r="3" spans="1:23" x14ac:dyDescent="0.15">
      <c r="A3" s="2" t="s">
        <v>62</v>
      </c>
      <c r="B3" s="2">
        <f ca="1">OFFSET(stats_raw!$G$2,(ROW(C1)-1)*6,0)/numbers!$O$11</f>
        <v>2.774548915</v>
      </c>
      <c r="C3" s="2">
        <f ca="1">OFFSET(stats_raw!$H$3,(ROW(C1)-1)*6,0)*numbers!$O$6 + OFFSET(stats_raw!$J$3,(ROW(C1)-1)*6,0)*numbers!$O$5</f>
        <v>2.4655999999999997E-2</v>
      </c>
      <c r="D3" s="2">
        <f ca="1">OFFSET(stats_raw!$H$3,(ROW(C1)-1)*6,0)*numbers!$O$6*numbers!$O$14 + OFFSET(stats_raw!$J$3,(ROW(C1)-1)*6,0)*numbers!$O$5*numbers!$O$14</f>
        <v>9.8623999999999989E-2</v>
      </c>
      <c r="E3" s="2">
        <f ca="1">OFFSET(stats_raw!$H$3,(ROW(C1)-1)*6,0)*numbers!$O$6*numbers!$O$14*numbers!$O$15 + OFFSET(stats_raw!$J$3,(ROW(C1)-1)*6,0)*numbers!$O$5*numbers!$O$14</f>
        <v>8.628799999999999E-2</v>
      </c>
      <c r="F3" s="2">
        <f ca="1">OFFSET(stats_raw!$H$3,(ROW(C1)-1)*6,0)*numbers!$O$6/numbers!$O$16 + OFFSET(stats_raw!$J$3,(ROW(C1)-1)*6,0)*numbers!$O$5/numbers!$O$16</f>
        <v>2.4655999999999997E-2</v>
      </c>
      <c r="G3" s="2">
        <f ca="1">OFFSET(stats_raw!$H$3,(ROW(C1)-1)*6,0)*numbers!$O$6/numbers!$O$16 * numbers!$O$17 + OFFSET(stats_raw!$J$3,(ROW(C1)-1)*6,0)*numbers!$O$5/numbers!$O$16</f>
        <v>2.4655999999999997E-2</v>
      </c>
      <c r="I3" s="2" t="s">
        <v>62</v>
      </c>
      <c r="J3" s="2">
        <f ca="1">OFFSET(stats_raw!$N$2,(ROW(K1)-1)*6,0)/10^12 *stats_raw!F126</f>
        <v>1.6757627292293247</v>
      </c>
      <c r="K3" s="2">
        <f ca="1">OFFSET(stats_raw!$H$3,(ROW(K1)-1)*6,0)*numbers!$R$6 + OFFSET(stats_raw!$J$3,(ROW(K1)-1)*6,0)*numbers!$R$5</f>
        <v>1.6456192000000002E-6</v>
      </c>
      <c r="L3" s="2">
        <f ca="1">OFFSET(stats_raw!$H$3,(ROW(K1)-1)*6,0)*numbers!$R$6*numbers!$O$14 + OFFSET(stats_raw!$J$3,(ROW(K1)-1)*6,0)*numbers!$R$5*numbers!$O$14</f>
        <v>6.5824768000000006E-6</v>
      </c>
      <c r="M3" s="2">
        <f ca="1">OFFSET(stats_raw!$H$3,(ROW(K1)-1)*6,0)*numbers!$R$6*numbers!$O$14*numbers!$O$15 + OFFSET(stats_raw!$J$3,(ROW(K1)-1)*6,0)*numbers!$R$5*numbers!$O$14</f>
        <v>5.5955968000000005E-6</v>
      </c>
      <c r="N3" s="2">
        <f ca="1">OFFSET(stats_raw!$H$3,(ROW(K1)-1)*6,0)*numbers!$R$6/numbers!$O$16 + OFFSET(stats_raw!$J$3,(ROW(K1)-1)*6,0)*numbers!$R$5/numbers!$O$16</f>
        <v>1.6456192000000002E-6</v>
      </c>
      <c r="O3" s="2">
        <f ca="1">OFFSET(stats_raw!$H$3,(ROW(K1)-1)*6,0)*numbers!$R$6/numbers!$O$16 * numbers!$O$17 + OFFSET(stats_raw!$J$3,(ROW(K1)-1)*6,0)*numbers!$R$5/numbers!$O$16</f>
        <v>1.6456192000000002E-6</v>
      </c>
    </row>
    <row r="4" spans="1:23" x14ac:dyDescent="0.15">
      <c r="A4" s="2" t="s">
        <v>32</v>
      </c>
      <c r="B4" s="2">
        <f ca="1">OFFSET(stats_raw!$G$2,(ROW(C2)-1)*6,0)/numbers!$O$11</f>
        <v>6.0051740599999999</v>
      </c>
      <c r="C4" s="2">
        <f ca="1">OFFSET(stats_raw!$H$3,(ROW(C2)-1)*6,0)*numbers!$O$6 + OFFSET(stats_raw!$J$3,(ROW(C2)-1)*6,0)*numbers!$O$5</f>
        <v>4.9311999999999995E-2</v>
      </c>
      <c r="D4" s="2">
        <f ca="1">OFFSET(stats_raw!$H$3,(ROW(C2)-1)*6,0)*numbers!$O$6*numbers!$O$14 + OFFSET(stats_raw!$J$3,(ROW(C2)-1)*6,0)*numbers!$O$5*numbers!$O$14</f>
        <v>0.19724799999999998</v>
      </c>
      <c r="E4" s="2">
        <f ca="1">OFFSET(stats_raw!$H$3,(ROW(C2)-1)*6,0)*numbers!$O$6*numbers!$O$14*numbers!$O$15 + OFFSET(stats_raw!$J$3,(ROW(C2)-1)*6,0)*numbers!$O$5*numbers!$O$14</f>
        <v>0.17257599999999998</v>
      </c>
      <c r="F4" s="2">
        <f ca="1">OFFSET(stats_raw!$H$3,(ROW(C2)-1)*6,0)*numbers!$O$6/numbers!$O$16 + OFFSET(stats_raw!$J$3,(ROW(C2)-1)*6,0)*numbers!$O$5/numbers!$O$16</f>
        <v>4.9311999999999995E-2</v>
      </c>
      <c r="G4" s="2">
        <f ca="1">OFFSET(stats_raw!$H$3,(ROW(C2)-1)*6,0)*numbers!$O$6/numbers!$O$16 * numbers!$O$17 + OFFSET(stats_raw!$J$3,(ROW(C2)-1)*6,0)*numbers!$O$5/numbers!$O$16</f>
        <v>4.9311999999999995E-2</v>
      </c>
      <c r="I4" s="2" t="s">
        <v>32</v>
      </c>
      <c r="J4" s="2">
        <f ca="1">OFFSET(stats_raw!$N$2,(ROW(K2)-1)*6,0)/10^12 *stats_raw!F127</f>
        <v>3.5841583734217184</v>
      </c>
      <c r="K4" s="2">
        <f ca="1">OFFSET(stats_raw!$H$3,(ROW(K2)-1)*6,0)*numbers!$R$6 + OFFSET(stats_raw!$J$3,(ROW(K2)-1)*6,0)*numbers!$R$5</f>
        <v>3.2912384000000003E-6</v>
      </c>
      <c r="L4" s="2">
        <f ca="1">OFFSET(stats_raw!$H$3,(ROW(K2)-1)*6,0)*numbers!$R$6*numbers!$O$14 + OFFSET(stats_raw!$J$3,(ROW(K2)-1)*6,0)*numbers!$R$5*numbers!$O$14</f>
        <v>1.3164953600000001E-5</v>
      </c>
      <c r="M4" s="2">
        <f ca="1">OFFSET(stats_raw!$H$3,(ROW(K2)-1)*6,0)*numbers!$R$6*numbers!$O$14*numbers!$O$15 + OFFSET(stats_raw!$J$3,(ROW(K2)-1)*6,0)*numbers!$R$5*numbers!$O$14</f>
        <v>1.1191193600000001E-5</v>
      </c>
      <c r="N4" s="2">
        <f ca="1">OFFSET(stats_raw!$H$3,(ROW(K2)-1)*6,0)*numbers!$R$6/numbers!$O$16 + OFFSET(stats_raw!$J$3,(ROW(K2)-1)*6,0)*numbers!$R$5/numbers!$O$16</f>
        <v>3.2912384000000003E-6</v>
      </c>
      <c r="O4" s="2">
        <f ca="1">OFFSET(stats_raw!$H$3,(ROW(K2)-1)*6,0)*numbers!$R$6/numbers!$O$16 * numbers!$O$17 + OFFSET(stats_raw!$J$3,(ROW(K2)-1)*6,0)*numbers!$R$5/numbers!$O$16</f>
        <v>3.2912384000000003E-6</v>
      </c>
    </row>
    <row r="5" spans="1:23" x14ac:dyDescent="0.15">
      <c r="A5" s="2" t="s">
        <v>25</v>
      </c>
      <c r="B5" s="2">
        <f ca="1">OFFSET(stats_raw!$G$2,(ROW(C3)-1)*6,0)/numbers!$O$11</f>
        <v>9.3094463100000002</v>
      </c>
      <c r="C5" s="2">
        <f ca="1">OFFSET(stats_raw!$H$3,(ROW(C3)-1)*6,0)*numbers!$O$6 + OFFSET(stats_raw!$J$3,(ROW(C3)-1)*6,0)*numbers!$O$5</f>
        <v>7.3967999999999992E-2</v>
      </c>
      <c r="D5" s="2">
        <f ca="1">OFFSET(stats_raw!$H$3,(ROW(C3)-1)*6,0)*numbers!$O$6*numbers!$O$14 + OFFSET(stats_raw!$J$3,(ROW(C3)-1)*6,0)*numbers!$O$5*numbers!$O$14</f>
        <v>0.29587199999999997</v>
      </c>
      <c r="E5" s="2">
        <f ca="1">OFFSET(stats_raw!$H$3,(ROW(C3)-1)*6,0)*numbers!$O$6*numbers!$O$14*numbers!$O$15 + OFFSET(stats_raw!$J$3,(ROW(C3)-1)*6,0)*numbers!$O$5*numbers!$O$14</f>
        <v>0.25886399999999998</v>
      </c>
      <c r="F5" s="2">
        <f ca="1">OFFSET(stats_raw!$H$3,(ROW(C3)-1)*6,0)*numbers!$O$6/numbers!$O$16 + OFFSET(stats_raw!$J$3,(ROW(C3)-1)*6,0)*numbers!$O$5/numbers!$O$16</f>
        <v>7.3967999999999992E-2</v>
      </c>
      <c r="G5" s="2">
        <f ca="1">OFFSET(stats_raw!$H$3,(ROW(C3)-1)*6,0)*numbers!$O$6/numbers!$O$16 * numbers!$O$17 + OFFSET(stats_raw!$J$3,(ROW(C3)-1)*6,0)*numbers!$O$5/numbers!$O$16</f>
        <v>7.3967999999999992E-2</v>
      </c>
      <c r="I5" s="2" t="s">
        <v>25</v>
      </c>
      <c r="J5" s="2">
        <f ca="1">OFFSET(stats_raw!$N$2,(ROW(K3)-1)*6,0)/10^12 *stats_raw!F128</f>
        <v>5.6391293901160129</v>
      </c>
      <c r="K5" s="2">
        <f ca="1">OFFSET(stats_raw!$H$3,(ROW(K3)-1)*6,0)*numbers!$R$6 + OFFSET(stats_raw!$J$3,(ROW(K3)-1)*6,0)*numbers!$R$5</f>
        <v>4.9368576000000005E-6</v>
      </c>
      <c r="L5" s="2">
        <f ca="1">OFFSET(stats_raw!$H$3,(ROW(K3)-1)*6,0)*numbers!$R$6*numbers!$O$14 + OFFSET(stats_raw!$J$3,(ROW(K3)-1)*6,0)*numbers!$R$5*numbers!$O$14</f>
        <v>1.9747430400000002E-5</v>
      </c>
      <c r="M5" s="2">
        <f ca="1">OFFSET(stats_raw!$H$3,(ROW(K3)-1)*6,0)*numbers!$R$6*numbers!$O$14*numbers!$O$15 + OFFSET(stats_raw!$J$3,(ROW(K3)-1)*6,0)*numbers!$R$5*numbers!$O$14</f>
        <v>1.6786790400000002E-5</v>
      </c>
      <c r="N5" s="2">
        <f ca="1">OFFSET(stats_raw!$H$3,(ROW(K3)-1)*6,0)*numbers!$R$6/numbers!$O$16 + OFFSET(stats_raw!$J$3,(ROW(K3)-1)*6,0)*numbers!$R$5/numbers!$O$16</f>
        <v>4.9368576000000005E-6</v>
      </c>
      <c r="O5" s="2">
        <f ca="1">OFFSET(stats_raw!$H$3,(ROW(K3)-1)*6,0)*numbers!$R$6/numbers!$O$16 * numbers!$O$17 + OFFSET(stats_raw!$J$3,(ROW(K3)-1)*6,0)*numbers!$R$5/numbers!$O$16</f>
        <v>4.9368576000000005E-6</v>
      </c>
    </row>
    <row r="6" spans="1:23" x14ac:dyDescent="0.15">
      <c r="A6" s="2" t="s">
        <v>39</v>
      </c>
      <c r="B6" s="2">
        <f ca="1">OFFSET(stats_raw!$G$2,(ROW(C4)-1)*6,0)/numbers!$O$11</f>
        <v>2.7758848280000001</v>
      </c>
      <c r="C6" s="2">
        <f ca="1">OFFSET(stats_raw!$H$3,(ROW(C4)-1)*6,0)*numbers!$O$6 + OFFSET(stats_raw!$J$3,(ROW(C4)-1)*6,0)*numbers!$O$5</f>
        <v>2.4655999999999997E-2</v>
      </c>
      <c r="D6" s="2">
        <f ca="1">OFFSET(stats_raw!$H$3,(ROW(C4)-1)*6,0)*numbers!$O$6*numbers!$O$14 + OFFSET(stats_raw!$J$3,(ROW(C4)-1)*6,0)*numbers!$O$5*numbers!$O$14</f>
        <v>9.8623999999999989E-2</v>
      </c>
      <c r="E6" s="2">
        <f ca="1">OFFSET(stats_raw!$H$3,(ROW(C4)-1)*6,0)*numbers!$O$6*numbers!$O$14*numbers!$O$15 + OFFSET(stats_raw!$J$3,(ROW(C4)-1)*6,0)*numbers!$O$5*numbers!$O$14</f>
        <v>8.628799999999999E-2</v>
      </c>
      <c r="F6" s="2">
        <f ca="1">OFFSET(stats_raw!$H$3,(ROW(C4)-1)*6,0)*numbers!$O$6/numbers!$O$16 + OFFSET(stats_raw!$J$3,(ROW(C4)-1)*6,0)*numbers!$O$5/numbers!$O$16</f>
        <v>2.4655999999999997E-2</v>
      </c>
      <c r="G6" s="2">
        <f ca="1">OFFSET(stats_raw!$H$3,(ROW(C4)-1)*6,0)*numbers!$O$6/numbers!$O$16 * numbers!$O$17 + OFFSET(stats_raw!$J$3,(ROW(C4)-1)*6,0)*numbers!$O$5/numbers!$O$16</f>
        <v>2.4655999999999997E-2</v>
      </c>
      <c r="I6" s="2" t="s">
        <v>39</v>
      </c>
      <c r="J6" s="2">
        <f ca="1">OFFSET(stats_raw!$N$2,(ROW(K4)-1)*6,0)/10^12 *stats_raw!F129</f>
        <v>1.676379555225755</v>
      </c>
      <c r="K6" s="2">
        <f ca="1">OFFSET(stats_raw!$H$3,(ROW(K4)-1)*6,0)*numbers!$R$6 + OFFSET(stats_raw!$J$3,(ROW(K4)-1)*6,0)*numbers!$R$5</f>
        <v>1.6456192000000002E-6</v>
      </c>
      <c r="L6" s="2">
        <f ca="1">OFFSET(stats_raw!$H$3,(ROW(K4)-1)*6,0)*numbers!$R$6*numbers!$O$14 + OFFSET(stats_raw!$J$3,(ROW(K4)-1)*6,0)*numbers!$R$5*numbers!$O$14</f>
        <v>6.5824768000000006E-6</v>
      </c>
      <c r="M6" s="2">
        <f ca="1">OFFSET(stats_raw!$H$3,(ROW(K4)-1)*6,0)*numbers!$R$6*numbers!$O$14*numbers!$O$15 + OFFSET(stats_raw!$J$3,(ROW(K4)-1)*6,0)*numbers!$R$5*numbers!$O$14</f>
        <v>5.5955968000000005E-6</v>
      </c>
      <c r="N6" s="2">
        <f ca="1">OFFSET(stats_raw!$H$3,(ROW(K4)-1)*6,0)*numbers!$R$6/numbers!$O$16 + OFFSET(stats_raw!$J$3,(ROW(K4)-1)*6,0)*numbers!$R$5/numbers!$O$16</f>
        <v>1.6456192000000002E-6</v>
      </c>
      <c r="O6" s="2">
        <f ca="1">OFFSET(stats_raw!$H$3,(ROW(K4)-1)*6,0)*numbers!$R$6/numbers!$O$16 * numbers!$O$17 + OFFSET(stats_raw!$J$3,(ROW(K4)-1)*6,0)*numbers!$R$5/numbers!$O$16</f>
        <v>1.6456192000000002E-6</v>
      </c>
    </row>
    <row r="7" spans="1:23" x14ac:dyDescent="0.15">
      <c r="A7" s="2" t="s">
        <v>46</v>
      </c>
      <c r="B7" s="2">
        <f ca="1">OFFSET(stats_raw!$G$2,(ROW(C5)-1)*6,0)/numbers!$O$11</f>
        <v>8.9485498079999992</v>
      </c>
      <c r="C7" s="2">
        <f ca="1">OFFSET(stats_raw!$H$3,(ROW(C5)-1)*6,0)*numbers!$O$6 + OFFSET(stats_raw!$J$3,(ROW(C5)-1)*6,0)*numbers!$O$5</f>
        <v>7.3967999999999992E-2</v>
      </c>
      <c r="D7" s="2">
        <f ca="1">OFFSET(stats_raw!$H$3,(ROW(C5)-1)*6,0)*numbers!$O$6*numbers!$O$14 + OFFSET(stats_raw!$J$3,(ROW(C5)-1)*6,0)*numbers!$O$5*numbers!$O$14</f>
        <v>0.29587199999999997</v>
      </c>
      <c r="E7" s="2">
        <f ca="1">OFFSET(stats_raw!$H$3,(ROW(C5)-1)*6,0)*numbers!$O$6*numbers!$O$14*numbers!$O$15 + OFFSET(stats_raw!$J$3,(ROW(C5)-1)*6,0)*numbers!$O$5*numbers!$O$14</f>
        <v>0.25886399999999998</v>
      </c>
      <c r="F7" s="2">
        <f ca="1">OFFSET(stats_raw!$H$3,(ROW(C5)-1)*6,0)*numbers!$O$6/numbers!$O$16 + OFFSET(stats_raw!$J$3,(ROW(C5)-1)*6,0)*numbers!$O$5/numbers!$O$16</f>
        <v>7.3967999999999992E-2</v>
      </c>
      <c r="G7" s="2">
        <f ca="1">OFFSET(stats_raw!$H$3,(ROW(C5)-1)*6,0)*numbers!$O$6/numbers!$O$16 * numbers!$O$17 + OFFSET(stats_raw!$J$3,(ROW(C5)-1)*6,0)*numbers!$O$5/numbers!$O$16</f>
        <v>7.3967999999999992E-2</v>
      </c>
      <c r="I7" s="2" t="s">
        <v>46</v>
      </c>
      <c r="J7" s="2">
        <f ca="1">OFFSET(stats_raw!$N$2,(ROW(K5)-1)*6,0)/10^12 *stats_raw!F130</f>
        <v>5.4257679516826558</v>
      </c>
      <c r="K7" s="2">
        <f ca="1">OFFSET(stats_raw!$H$3,(ROW(K5)-1)*6,0)*numbers!$R$6 + OFFSET(stats_raw!$J$3,(ROW(K5)-1)*6,0)*numbers!$R$5</f>
        <v>4.9368576000000005E-6</v>
      </c>
      <c r="L7" s="2">
        <f ca="1">OFFSET(stats_raw!$H$3,(ROW(K5)-1)*6,0)*numbers!$R$6*numbers!$O$14 + OFFSET(stats_raw!$J$3,(ROW(K5)-1)*6,0)*numbers!$R$5*numbers!$O$14</f>
        <v>1.9747430400000002E-5</v>
      </c>
      <c r="M7" s="2">
        <f ca="1">OFFSET(stats_raw!$H$3,(ROW(K5)-1)*6,0)*numbers!$R$6*numbers!$O$14*numbers!$O$15 + OFFSET(stats_raw!$J$3,(ROW(K5)-1)*6,0)*numbers!$R$5*numbers!$O$14</f>
        <v>1.6786790400000002E-5</v>
      </c>
      <c r="N7" s="2">
        <f ca="1">OFFSET(stats_raw!$H$3,(ROW(K5)-1)*6,0)*numbers!$R$6/numbers!$O$16 + OFFSET(stats_raw!$J$3,(ROW(K5)-1)*6,0)*numbers!$R$5/numbers!$O$16</f>
        <v>4.9368576000000005E-6</v>
      </c>
      <c r="O7" s="2">
        <f ca="1">OFFSET(stats_raw!$H$3,(ROW(K5)-1)*6,0)*numbers!$R$6/numbers!$O$16 * numbers!$O$17 + OFFSET(stats_raw!$J$3,(ROW(K5)-1)*6,0)*numbers!$R$5/numbers!$O$16</f>
        <v>4.9368576000000005E-6</v>
      </c>
    </row>
    <row r="8" spans="1:23" x14ac:dyDescent="0.15">
      <c r="A8" s="2" t="s">
        <v>127</v>
      </c>
      <c r="B8" s="2">
        <f ca="1">OFFSET(stats_raw!$G$2,(ROW(C6)-1)*6,0)/numbers!$O$11</f>
        <v>7.6189500000000002E-3</v>
      </c>
      <c r="C8" s="2">
        <f ca="1">OFFSET(stats_raw!$H$3,(ROW(C6)-1)*6,0)*numbers!$O$6 + OFFSET(stats_raw!$J$3,(ROW(C6)-1)*6,0)*numbers!$O$5</f>
        <v>8.1399999999999994E-4</v>
      </c>
      <c r="D8" s="2">
        <f ca="1">OFFSET(stats_raw!$H$3,(ROW(C6)-1)*6,0)*numbers!$O$6*numbers!$O$14 + OFFSET(stats_raw!$J$3,(ROW(C6)-1)*6,0)*numbers!$O$5*numbers!$O$14</f>
        <v>3.2559999999999998E-3</v>
      </c>
      <c r="E8" s="2">
        <f ca="1">OFFSET(stats_raw!$H$3,(ROW(C6)-1)*6,0)*numbers!$O$6*numbers!$O$14*numbers!$O$15 + OFFSET(stats_raw!$J$3,(ROW(C6)-1)*6,0)*numbers!$O$5*numbers!$O$14</f>
        <v>2.8479999999999998E-3</v>
      </c>
      <c r="F8" s="2">
        <f ca="1">OFFSET(stats_raw!$H$3,(ROW(C6)-1)*6,0)*numbers!$O$6/numbers!$O$16 + OFFSET(stats_raw!$J$3,(ROW(C6)-1)*6,0)*numbers!$O$5/numbers!$O$16</f>
        <v>8.1399999999999994E-4</v>
      </c>
      <c r="G8" s="2">
        <f ca="1">OFFSET(stats_raw!$H$3,(ROW(C6)-1)*6,0)*numbers!$O$6/numbers!$O$16 * numbers!$O$17 + OFFSET(stats_raw!$J$3,(ROW(C6)-1)*6,0)*numbers!$O$5/numbers!$O$16</f>
        <v>8.1399999999999994E-4</v>
      </c>
      <c r="I8" s="2" t="s">
        <v>127</v>
      </c>
      <c r="J8" s="2">
        <f ca="1">OFFSET(stats_raw!$N$2,(ROW(K6)-1)*6,0)/10^12 *stats_raw!F131</f>
        <v>4.5626772184636788E-3</v>
      </c>
      <c r="K8" s="2">
        <f ca="1">OFFSET(stats_raw!$H$3,(ROW(K6)-1)*6,0)*numbers!$R$6 + OFFSET(stats_raw!$J$3,(ROW(K6)-1)*6,0)*numbers!$R$5</f>
        <v>5.4426800000000004E-8</v>
      </c>
      <c r="L8" s="2">
        <f ca="1">OFFSET(stats_raw!$H$3,(ROW(K6)-1)*6,0)*numbers!$R$6*numbers!$O$14 + OFFSET(stats_raw!$J$3,(ROW(K6)-1)*6,0)*numbers!$R$5*numbers!$O$14</f>
        <v>2.1770720000000002E-7</v>
      </c>
      <c r="M8" s="2">
        <f ca="1">OFFSET(stats_raw!$H$3,(ROW(K6)-1)*6,0)*numbers!$R$6*numbers!$O$14*numbers!$O$15 + OFFSET(stats_raw!$J$3,(ROW(K6)-1)*6,0)*numbers!$R$5*numbers!$O$14</f>
        <v>1.8506720000000001E-7</v>
      </c>
      <c r="N8" s="2">
        <f ca="1">OFFSET(stats_raw!$H$3,(ROW(K6)-1)*6,0)*numbers!$R$6/numbers!$O$16 + OFFSET(stats_raw!$J$3,(ROW(K6)-1)*6,0)*numbers!$R$5/numbers!$O$16</f>
        <v>5.4426800000000004E-8</v>
      </c>
      <c r="O8" s="2">
        <f ca="1">OFFSET(stats_raw!$H$3,(ROW(K6)-1)*6,0)*numbers!$R$6/numbers!$O$16 * numbers!$O$17 + OFFSET(stats_raw!$J$3,(ROW(K6)-1)*6,0)*numbers!$R$5/numbers!$O$16</f>
        <v>5.4426800000000004E-8</v>
      </c>
    </row>
    <row r="9" spans="1:23" s="2" customFormat="1" x14ac:dyDescent="0.15">
      <c r="A9" s="2" t="s">
        <v>128</v>
      </c>
      <c r="B9" s="2">
        <f ca="1">OFFSET(stats_raw!$G$2,(ROW(C7)-1)*6,0)/numbers!$O$11</f>
        <v>2.14259143</v>
      </c>
      <c r="C9" s="2">
        <f ca="1">OFFSET(stats_raw!$H$3,(ROW(C7)-1)*6,0)*numbers!$O$6 + OFFSET(stats_raw!$J$3,(ROW(C7)-1)*6,0)*numbers!$O$5</f>
        <v>0.140067</v>
      </c>
      <c r="D9" s="2">
        <f ca="1">OFFSET(stats_raw!$H$3,(ROW(C7)-1)*6,0)*numbers!$O$6*numbers!$O$14 + OFFSET(stats_raw!$J$3,(ROW(C7)-1)*6,0)*numbers!$O$5*numbers!$O$14</f>
        <v>0.56026799999999999</v>
      </c>
      <c r="E9" s="2">
        <f ca="1">OFFSET(stats_raw!$H$3,(ROW(C7)-1)*6,0)*numbers!$O$6*numbers!$O$14*numbers!$O$15 + OFFSET(stats_raw!$J$3,(ROW(C7)-1)*6,0)*numbers!$O$5*numbers!$O$14</f>
        <v>0.48651899999999992</v>
      </c>
      <c r="F9" s="2">
        <f ca="1">OFFSET(stats_raw!$H$3,(ROW(C7)-1)*6,0)*numbers!$O$6/numbers!$O$16 + OFFSET(stats_raw!$J$3,(ROW(C7)-1)*6,0)*numbers!$O$5/numbers!$O$16</f>
        <v>0.140067</v>
      </c>
      <c r="G9" s="2">
        <f ca="1">OFFSET(stats_raw!$H$3,(ROW(C7)-1)*6,0)*numbers!$O$6/numbers!$O$16 * numbers!$O$17 + OFFSET(stats_raw!$J$3,(ROW(C7)-1)*6,0)*numbers!$O$5/numbers!$O$16</f>
        <v>0.140067</v>
      </c>
      <c r="I9" s="2" t="s">
        <v>128</v>
      </c>
      <c r="J9" s="2">
        <f ca="1">OFFSET(stats_raw!$N$2,(ROW(K7)-1)*6,0)/10^12 *stats_raw!F132</f>
        <v>1.3069007097562166</v>
      </c>
      <c r="K9" s="2">
        <f ca="1">OFFSET(stats_raw!$H$3,(ROW(K7)-1)*6,0)*numbers!$R$6 + OFFSET(stats_raw!$J$3,(ROW(K7)-1)*6,0)*numbers!$R$5</f>
        <v>9.8366304000000018E-6</v>
      </c>
      <c r="L9" s="2">
        <f ca="1">OFFSET(stats_raw!$H$3,(ROW(K7)-1)*6,0)*numbers!$R$6*numbers!$O$14 + OFFSET(stats_raw!$J$3,(ROW(K7)-1)*6,0)*numbers!$R$5*numbers!$O$14</f>
        <v>3.9346521600000007E-5</v>
      </c>
      <c r="M9" s="2">
        <f ca="1">OFFSET(stats_raw!$H$3,(ROW(K7)-1)*6,0)*numbers!$R$6*numbers!$O$14*numbers!$O$15 + OFFSET(stats_raw!$J$3,(ROW(K7)-1)*6,0)*numbers!$R$5*numbers!$O$14</f>
        <v>3.3446601600000005E-5</v>
      </c>
      <c r="N9" s="2">
        <f ca="1">OFFSET(stats_raw!$H$3,(ROW(K7)-1)*6,0)*numbers!$R$6/numbers!$O$16 + OFFSET(stats_raw!$J$3,(ROW(K7)-1)*6,0)*numbers!$R$5/numbers!$O$16</f>
        <v>9.8366304000000018E-6</v>
      </c>
      <c r="O9" s="2">
        <f ca="1">OFFSET(stats_raw!$H$3,(ROW(K7)-1)*6,0)*numbers!$R$6/numbers!$O$16 * numbers!$O$17 + OFFSET(stats_raw!$J$3,(ROW(K7)-1)*6,0)*numbers!$R$5/numbers!$O$16</f>
        <v>9.8366304000000018E-6</v>
      </c>
    </row>
    <row r="10" spans="1:23" s="2" customFormat="1" x14ac:dyDescent="0.15">
      <c r="A10" s="2" t="s">
        <v>129</v>
      </c>
      <c r="B10" s="2">
        <f ca="1">OFFSET(stats_raw!$G$2,(ROW(C8)-1)*6,0)/numbers!$O$11</f>
        <v>1.3683183510000001</v>
      </c>
      <c r="C10" s="2">
        <f ca="1">OFFSET(stats_raw!$H$3,(ROW(C8)-1)*6,0)*numbers!$O$6 + OFFSET(stats_raw!$J$3,(ROW(C8)-1)*6,0)*numbers!$O$5</f>
        <v>6.579299999999999E-2</v>
      </c>
      <c r="D10" s="2">
        <f ca="1">OFFSET(stats_raw!$H$3,(ROW(C8)-1)*6,0)*numbers!$O$6*numbers!$O$14 + OFFSET(stats_raw!$J$3,(ROW(C8)-1)*6,0)*numbers!$O$5*numbers!$O$14</f>
        <v>0.26317199999999996</v>
      </c>
      <c r="E10" s="2">
        <f ca="1">OFFSET(stats_raw!$H$3,(ROW(C8)-1)*6,0)*numbers!$O$6*numbers!$O$14*numbers!$O$15 + OFFSET(stats_raw!$J$3,(ROW(C8)-1)*6,0)*numbers!$O$5*numbers!$O$14</f>
        <v>0.226269</v>
      </c>
      <c r="F10" s="2">
        <f ca="1">OFFSET(stats_raw!$H$3,(ROW(C8)-1)*6,0)*numbers!$O$6/numbers!$O$16 + OFFSET(stats_raw!$J$3,(ROW(C8)-1)*6,0)*numbers!$O$5/numbers!$O$16</f>
        <v>6.579299999999999E-2</v>
      </c>
      <c r="G10" s="2">
        <f ca="1">OFFSET(stats_raw!$H$3,(ROW(C8)-1)*6,0)*numbers!$O$6/numbers!$O$16 * numbers!$O$17 + OFFSET(stats_raw!$J$3,(ROW(C8)-1)*6,0)*numbers!$O$5/numbers!$O$16</f>
        <v>6.579299999999999E-2</v>
      </c>
      <c r="I10" s="2" t="s">
        <v>129</v>
      </c>
      <c r="J10" s="2">
        <f ca="1">OFFSET(stats_raw!$N$2,(ROW(K8)-1)*6,0)/10^12 *stats_raw!F133</f>
        <v>0.83455150689523594</v>
      </c>
      <c r="K10" s="2">
        <f ca="1">OFFSET(stats_raw!$H$3,(ROW(K8)-1)*6,0)*numbers!$R$6 + OFFSET(stats_raw!$J$3,(ROW(K8)-1)*6,0)*numbers!$R$5</f>
        <v>4.9212576000000001E-6</v>
      </c>
      <c r="L10" s="2">
        <f ca="1">OFFSET(stats_raw!$H$3,(ROW(K8)-1)*6,0)*numbers!$R$6*numbers!$O$14 + OFFSET(stats_raw!$J$3,(ROW(K8)-1)*6,0)*numbers!$R$5*numbers!$O$14</f>
        <v>1.9685030400000001E-5</v>
      </c>
      <c r="M10" s="2">
        <f ca="1">OFFSET(stats_raw!$H$3,(ROW(K8)-1)*6,0)*numbers!$R$6*numbers!$O$14*numbers!$O$15 + OFFSET(stats_raw!$J$3,(ROW(K8)-1)*6,0)*numbers!$R$5*numbers!$O$14</f>
        <v>1.6732790399999999E-5</v>
      </c>
      <c r="N10" s="2">
        <f ca="1">OFFSET(stats_raw!$H$3,(ROW(K8)-1)*6,0)*numbers!$R$6/numbers!$O$16 + OFFSET(stats_raw!$J$3,(ROW(K8)-1)*6,0)*numbers!$R$5/numbers!$O$16</f>
        <v>4.9212576000000001E-6</v>
      </c>
      <c r="O10" s="2">
        <f ca="1">OFFSET(stats_raw!$H$3,(ROW(K8)-1)*6,0)*numbers!$R$6/numbers!$O$16 * numbers!$O$17 + OFFSET(stats_raw!$J$3,(ROW(K8)-1)*6,0)*numbers!$R$5/numbers!$O$16</f>
        <v>4.9212576000000001E-6</v>
      </c>
    </row>
    <row r="11" spans="1:23" s="2" customFormat="1" x14ac:dyDescent="0.15">
      <c r="A11" s="2" t="s">
        <v>53</v>
      </c>
      <c r="B11" s="2">
        <f ca="1">OFFSET(stats_raw!$G$2,(ROW(C9)-1)*6,0)/numbers!$O$11</f>
        <v>1.12316477</v>
      </c>
      <c r="C11" s="2">
        <f ca="1">OFFSET(stats_raw!$H$3,(ROW(C9)-1)*6,0)*numbers!$O$6 + OFFSET(stats_raw!$J$3,(ROW(C9)-1)*6,0)*numbers!$O$5</f>
        <v>4.3262999999999996E-2</v>
      </c>
      <c r="D11" s="2">
        <f ca="1">OFFSET(stats_raw!$H$3,(ROW(C9)-1)*6,0)*numbers!$O$6*numbers!$O$14 + OFFSET(stats_raw!$J$3,(ROW(C9)-1)*6,0)*numbers!$O$5*numbers!$O$14</f>
        <v>0.17305199999999998</v>
      </c>
      <c r="E11" s="2">
        <f ca="1">OFFSET(stats_raw!$H$3,(ROW(C9)-1)*6,0)*numbers!$O$6*numbers!$O$14*numbers!$O$15 + OFFSET(stats_raw!$J$3,(ROW(C9)-1)*6,0)*numbers!$O$5*numbers!$O$14</f>
        <v>0.15139499999999997</v>
      </c>
      <c r="F11" s="2">
        <f ca="1">OFFSET(stats_raw!$H$3,(ROW(C9)-1)*6,0)*numbers!$O$6/numbers!$O$16 + OFFSET(stats_raw!$J$3,(ROW(C9)-1)*6,0)*numbers!$O$5/numbers!$O$16</f>
        <v>4.3262999999999996E-2</v>
      </c>
      <c r="G11" s="2">
        <f ca="1">OFFSET(stats_raw!$H$3,(ROW(C9)-1)*6,0)*numbers!$O$6/numbers!$O$16 * numbers!$O$17 + OFFSET(stats_raw!$J$3,(ROW(C9)-1)*6,0)*numbers!$O$5/numbers!$O$16</f>
        <v>4.3262999999999996E-2</v>
      </c>
      <c r="I11" s="2" t="s">
        <v>53</v>
      </c>
      <c r="J11" s="2">
        <f ca="1">OFFSET(stats_raw!$N$2,(ROW(K9)-1)*6,0)/10^12 *stats_raw!F134</f>
        <v>0.68535115481508835</v>
      </c>
      <c r="K11" s="2">
        <f ca="1">OFFSET(stats_raw!$H$3,(ROW(K9)-1)*6,0)*numbers!$R$6 + OFFSET(stats_raw!$J$3,(ROW(K9)-1)*6,0)*numbers!$R$5</f>
        <v>2.8890336000000001E-6</v>
      </c>
      <c r="L11" s="2">
        <f ca="1">OFFSET(stats_raw!$H$3,(ROW(K9)-1)*6,0)*numbers!$R$6*numbers!$O$14 + OFFSET(stats_raw!$J$3,(ROW(K9)-1)*6,0)*numbers!$R$5*numbers!$O$14</f>
        <v>1.15561344E-5</v>
      </c>
      <c r="M11" s="2">
        <f ca="1">OFFSET(stats_raw!$H$3,(ROW(K9)-1)*6,0)*numbers!$R$6*numbers!$O$14*numbers!$O$15 + OFFSET(stats_raw!$J$3,(ROW(K9)-1)*6,0)*numbers!$R$5*numbers!$O$14</f>
        <v>9.8235744000000006E-6</v>
      </c>
      <c r="N11" s="2">
        <f ca="1">OFFSET(stats_raw!$H$3,(ROW(K9)-1)*6,0)*numbers!$R$6/numbers!$O$16 + OFFSET(stats_raw!$J$3,(ROW(K9)-1)*6,0)*numbers!$R$5/numbers!$O$16</f>
        <v>2.8890336000000001E-6</v>
      </c>
      <c r="O11" s="2">
        <f ca="1">OFFSET(stats_raw!$H$3,(ROW(K9)-1)*6,0)*numbers!$R$6/numbers!$O$16 * numbers!$O$17 + OFFSET(stats_raw!$J$3,(ROW(K9)-1)*6,0)*numbers!$R$5/numbers!$O$16</f>
        <v>2.8890336000000001E-6</v>
      </c>
    </row>
    <row r="12" spans="1:23" s="2" customFormat="1" x14ac:dyDescent="0.15">
      <c r="A12" s="12" t="s">
        <v>180</v>
      </c>
      <c r="B12" s="2">
        <f ca="1">OFFSET(stats_raw!$G$2,(ROW(C10)-1)*6,0)/numbers!$O$11</f>
        <v>6.7752230000000004E-3</v>
      </c>
      <c r="C12" s="2">
        <f ca="1">OFFSET(stats_raw!$H$3,(ROW(C10)-1)*6,0)*numbers!$O$6 + OFFSET(stats_raw!$J$3,(ROW(C10)-1)*6,0)*numbers!$O$5</f>
        <v>5.2719999999999998E-3</v>
      </c>
      <c r="D12" s="2">
        <f ca="1">OFFSET(stats_raw!$H$3,(ROW(C10)-1)*6,0)*numbers!$O$6*numbers!$O$14 + OFFSET(stats_raw!$J$3,(ROW(C10)-1)*6,0)*numbers!$O$5*numbers!$O$14</f>
        <v>2.1087999999999999E-2</v>
      </c>
      <c r="E12" s="2">
        <f ca="1">OFFSET(stats_raw!$H$3,(ROW(C10)-1)*6,0)*numbers!$O$6*numbers!$O$14*numbers!$O$15 + OFFSET(stats_raw!$J$3,(ROW(C10)-1)*6,0)*numbers!$O$5*numbers!$O$14</f>
        <v>1.7943999999999998E-2</v>
      </c>
      <c r="F12" s="2">
        <f ca="1">OFFSET(stats_raw!$H$3,(ROW(C10)-1)*6,0)*numbers!$O$6/numbers!$O$16 + OFFSET(stats_raw!$J$3,(ROW(C10)-1)*6,0)*numbers!$O$5/numbers!$O$16</f>
        <v>5.2719999999999998E-3</v>
      </c>
      <c r="G12" s="2">
        <f ca="1">OFFSET(stats_raw!$H$3,(ROW(C10)-1)*6,0)*numbers!$O$6/numbers!$O$16 * numbers!$O$17 + OFFSET(stats_raw!$J$3,(ROW(C10)-1)*6,0)*numbers!$O$5/numbers!$O$16</f>
        <v>5.2719999999999998E-3</v>
      </c>
      <c r="I12" s="12" t="s">
        <v>180</v>
      </c>
      <c r="J12" s="2">
        <f ca="1">OFFSET(stats_raw!$N$2,(ROW(K10)-1)*6,0)/10^12 *stats_raw!F135</f>
        <v>3.9906015082446806E-3</v>
      </c>
      <c r="K12" s="2">
        <f ca="1">OFFSET(stats_raw!$H$3,(ROW(K10)-1)*6,0)*numbers!$R$6 + OFFSET(stats_raw!$J$3,(ROW(K10)-1)*6,0)*numbers!$R$5</f>
        <v>4.1920639999999997E-7</v>
      </c>
      <c r="L12" s="2">
        <f ca="1">OFFSET(stats_raw!$H$3,(ROW(K10)-1)*6,0)*numbers!$R$6*numbers!$O$14 + OFFSET(stats_raw!$J$3,(ROW(K10)-1)*6,0)*numbers!$R$5*numbers!$O$14</f>
        <v>1.6768255999999999E-6</v>
      </c>
      <c r="M12" s="2">
        <f ca="1">OFFSET(stats_raw!$H$3,(ROW(K10)-1)*6,0)*numbers!$R$6*numbers!$O$14*numbers!$O$15 + OFFSET(stats_raw!$J$3,(ROW(K10)-1)*6,0)*numbers!$R$5*numbers!$O$14</f>
        <v>1.4253055999999999E-6</v>
      </c>
      <c r="N12" s="2">
        <f ca="1">OFFSET(stats_raw!$H$3,(ROW(K10)-1)*6,0)*numbers!$R$6/numbers!$O$16 + OFFSET(stats_raw!$J$3,(ROW(K10)-1)*6,0)*numbers!$R$5/numbers!$O$16</f>
        <v>4.1920639999999997E-7</v>
      </c>
      <c r="O12" s="2">
        <f ca="1">OFFSET(stats_raw!$H$3,(ROW(K10)-1)*6,0)*numbers!$R$6/numbers!$O$16 * numbers!$O$17 + OFFSET(stats_raw!$J$3,(ROW(K10)-1)*6,0)*numbers!$R$5/numbers!$O$16</f>
        <v>4.1920639999999997E-7</v>
      </c>
    </row>
    <row r="13" spans="1:23" s="2" customFormat="1" x14ac:dyDescent="0.15">
      <c r="A13" s="12" t="s">
        <v>182</v>
      </c>
      <c r="B13" s="2">
        <f ca="1">OFFSET(stats_raw!$G$2,(ROW(C11)-1)*6,0)/numbers!$O$11</f>
        <v>1.3149654E-2</v>
      </c>
      <c r="C13" s="2">
        <f ca="1">OFFSET(stats_raw!$H$3,(ROW(C11)-1)*6,0)*numbers!$O$6 + OFFSET(stats_raw!$J$3,(ROW(C11)-1)*6,0)*numbers!$O$5</f>
        <v>1.0432E-2</v>
      </c>
      <c r="D13" s="2">
        <f ca="1">OFFSET(stats_raw!$H$3,(ROW(C11)-1)*6,0)*numbers!$O$6*numbers!$O$14 + OFFSET(stats_raw!$J$3,(ROW(C11)-1)*6,0)*numbers!$O$5*numbers!$O$14</f>
        <v>4.1728000000000001E-2</v>
      </c>
      <c r="E13" s="2">
        <f ca="1">OFFSET(stats_raw!$H$3,(ROW(C11)-1)*6,0)*numbers!$O$6*numbers!$O$14*numbers!$O$15 + OFFSET(stats_raw!$J$3,(ROW(C11)-1)*6,0)*numbers!$O$5*numbers!$O$14</f>
        <v>3.5487999999999999E-2</v>
      </c>
      <c r="F13" s="2">
        <f ca="1">OFFSET(stats_raw!$H$3,(ROW(C11)-1)*6,0)*numbers!$O$6/numbers!$O$16 + OFFSET(stats_raw!$J$3,(ROW(C11)-1)*6,0)*numbers!$O$5/numbers!$O$16</f>
        <v>1.0432E-2</v>
      </c>
      <c r="G13" s="2">
        <f ca="1">OFFSET(stats_raw!$H$3,(ROW(C11)-1)*6,0)*numbers!$O$6/numbers!$O$16 * numbers!$O$17 + OFFSET(stats_raw!$J$3,(ROW(C11)-1)*6,0)*numbers!$O$5/numbers!$O$16</f>
        <v>1.0432E-2</v>
      </c>
      <c r="I13" s="12" t="s">
        <v>182</v>
      </c>
      <c r="J13" s="2">
        <f ca="1">OFFSET(stats_raw!$N$2,(ROW(K11)-1)*6,0)/10^12 *stats_raw!F136</f>
        <v>7.887169558639882E-3</v>
      </c>
      <c r="K13" s="2">
        <f ca="1">OFFSET(stats_raw!$H$3,(ROW(K11)-1)*6,0)*numbers!$R$6 + OFFSET(stats_raw!$J$3,(ROW(K11)-1)*6,0)*numbers!$R$5</f>
        <v>8.3200640000000007E-7</v>
      </c>
      <c r="L13" s="2">
        <f ca="1">OFFSET(stats_raw!$H$3,(ROW(K11)-1)*6,0)*numbers!$R$6*numbers!$O$14 + OFFSET(stats_raw!$J$3,(ROW(K11)-1)*6,0)*numbers!$R$5*numbers!$O$14</f>
        <v>3.3280256000000003E-6</v>
      </c>
      <c r="M13" s="2">
        <f ca="1">OFFSET(stats_raw!$H$3,(ROW(K11)-1)*6,0)*numbers!$R$6*numbers!$O$14*numbers!$O$15 + OFFSET(stats_raw!$J$3,(ROW(K11)-1)*6,0)*numbers!$R$5*numbers!$O$14</f>
        <v>2.8288256E-6</v>
      </c>
      <c r="N13" s="2">
        <f ca="1">OFFSET(stats_raw!$H$3,(ROW(K11)-1)*6,0)*numbers!$R$6/numbers!$O$16 + OFFSET(stats_raw!$J$3,(ROW(K11)-1)*6,0)*numbers!$R$5/numbers!$O$16</f>
        <v>8.3200640000000007E-7</v>
      </c>
      <c r="O13" s="2">
        <f ca="1">OFFSET(stats_raw!$H$3,(ROW(K11)-1)*6,0)*numbers!$R$6/numbers!$O$16 * numbers!$O$17 + OFFSET(stats_raw!$J$3,(ROW(K11)-1)*6,0)*numbers!$R$5/numbers!$O$16</f>
        <v>8.3200640000000007E-7</v>
      </c>
    </row>
    <row r="14" spans="1:23" s="2" customFormat="1" x14ac:dyDescent="0.15">
      <c r="A14" s="12" t="s">
        <v>184</v>
      </c>
      <c r="B14" s="2">
        <f ca="1">OFFSET(stats_raw!$G$2,(ROW(C12)-1)*6,0)/numbers!$O$11</f>
        <v>0.122820258</v>
      </c>
      <c r="C14" s="2">
        <f ca="1">OFFSET(stats_raw!$H$3,(ROW(C12)-1)*6,0)*numbers!$O$6 + OFFSET(stats_raw!$J$3,(ROW(C12)-1)*6,0)*numbers!$O$5</f>
        <v>5.193999999999999E-3</v>
      </c>
      <c r="D14" s="2">
        <f ca="1">OFFSET(stats_raw!$H$3,(ROW(C12)-1)*6,0)*numbers!$O$6*numbers!$O$14 + OFFSET(stats_raw!$J$3,(ROW(C12)-1)*6,0)*numbers!$O$5*numbers!$O$14</f>
        <v>2.0775999999999996E-2</v>
      </c>
      <c r="E14" s="2">
        <f ca="1">OFFSET(stats_raw!$H$3,(ROW(C12)-1)*6,0)*numbers!$O$6*numbers!$O$14*numbers!$O$15 + OFFSET(stats_raw!$J$3,(ROW(C12)-1)*6,0)*numbers!$O$5*numbers!$O$14</f>
        <v>1.7697999999999995E-2</v>
      </c>
      <c r="F14" s="2">
        <f ca="1">OFFSET(stats_raw!$H$3,(ROW(C12)-1)*6,0)*numbers!$O$6/numbers!$O$16 + OFFSET(stats_raw!$J$3,(ROW(C12)-1)*6,0)*numbers!$O$5/numbers!$O$16</f>
        <v>5.193999999999999E-3</v>
      </c>
      <c r="G14" s="2">
        <f ca="1">OFFSET(stats_raw!$H$3,(ROW(C12)-1)*6,0)*numbers!$O$6/numbers!$O$16 * numbers!$O$17 + OFFSET(stats_raw!$J$3,(ROW(C12)-1)*6,0)*numbers!$O$5/numbers!$O$16</f>
        <v>5.193999999999999E-3</v>
      </c>
      <c r="I14" s="12" t="s">
        <v>184</v>
      </c>
      <c r="J14" s="2">
        <f ca="1">OFFSET(stats_raw!$N$2,(ROW(K12)-1)*6,0)/10^12 *stats_raw!F137</f>
        <v>7.4436255895119083E-2</v>
      </c>
      <c r="K14" s="2">
        <f ca="1">OFFSET(stats_raw!$H$3,(ROW(K12)-1)*6,0)*numbers!$R$6 + OFFSET(stats_raw!$J$3,(ROW(K12)-1)*6,0)*numbers!$R$5</f>
        <v>4.1041280000000003E-7</v>
      </c>
      <c r="L14" s="2">
        <f ca="1">OFFSET(stats_raw!$H$3,(ROW(K12)-1)*6,0)*numbers!$R$6*numbers!$O$14 + OFFSET(stats_raw!$J$3,(ROW(K12)-1)*6,0)*numbers!$R$5*numbers!$O$14</f>
        <v>1.6416512000000001E-6</v>
      </c>
      <c r="M14" s="2">
        <f ca="1">OFFSET(stats_raw!$H$3,(ROW(K12)-1)*6,0)*numbers!$R$6*numbers!$O$14*numbers!$O$15 + OFFSET(stats_raw!$J$3,(ROW(K12)-1)*6,0)*numbers!$R$5*numbers!$O$14</f>
        <v>1.3954112E-6</v>
      </c>
      <c r="N14" s="2">
        <f ca="1">OFFSET(stats_raw!$H$3,(ROW(K12)-1)*6,0)*numbers!$R$6/numbers!$O$16 + OFFSET(stats_raw!$J$3,(ROW(K12)-1)*6,0)*numbers!$R$5/numbers!$O$16</f>
        <v>4.1041280000000003E-7</v>
      </c>
      <c r="O14" s="2">
        <f ca="1">OFFSET(stats_raw!$H$3,(ROW(K12)-1)*6,0)*numbers!$R$6/numbers!$O$16 * numbers!$O$17 + OFFSET(stats_raw!$J$3,(ROW(K12)-1)*6,0)*numbers!$R$5/numbers!$O$16</f>
        <v>4.1041280000000003E-7</v>
      </c>
    </row>
    <row r="15" spans="1:23" s="2" customFormat="1" x14ac:dyDescent="0.15">
      <c r="A15" s="12" t="s">
        <v>185</v>
      </c>
      <c r="B15" s="2">
        <f ca="1">OFFSET(stats_raw!$G$2,(ROW(C13)-1)*6,0)/numbers!$O$11</f>
        <v>0.123723582</v>
      </c>
      <c r="C15" s="2">
        <f ca="1">OFFSET(stats_raw!$H$3,(ROW(C13)-1)*6,0)*numbers!$O$6 + OFFSET(stats_raw!$J$3,(ROW(C13)-1)*6,0)*numbers!$O$5</f>
        <v>3.7539999999999995E-3</v>
      </c>
      <c r="D15" s="2">
        <f ca="1">OFFSET(stats_raw!$H$3,(ROW(C13)-1)*6,0)*numbers!$O$6*numbers!$O$14 + OFFSET(stats_raw!$J$3,(ROW(C13)-1)*6,0)*numbers!$O$5*numbers!$O$14</f>
        <v>1.5015999999999998E-2</v>
      </c>
      <c r="E15" s="2">
        <f ca="1">OFFSET(stats_raw!$H$3,(ROW(C13)-1)*6,0)*numbers!$O$6*numbers!$O$14*numbers!$O$15 + OFFSET(stats_raw!$J$3,(ROW(C13)-1)*6,0)*numbers!$O$5*numbers!$O$14</f>
        <v>1.3377999999999998E-2</v>
      </c>
      <c r="F15" s="2">
        <f ca="1">OFFSET(stats_raw!$H$3,(ROW(C13)-1)*6,0)*numbers!$O$6/numbers!$O$16 + OFFSET(stats_raw!$J$3,(ROW(C13)-1)*6,0)*numbers!$O$5/numbers!$O$16</f>
        <v>3.7539999999999995E-3</v>
      </c>
      <c r="G15" s="2">
        <f ca="1">OFFSET(stats_raw!$H$3,(ROW(C13)-1)*6,0)*numbers!$O$6/numbers!$O$16 * numbers!$O$17 + OFFSET(stats_raw!$J$3,(ROW(C13)-1)*6,0)*numbers!$O$5/numbers!$O$16</f>
        <v>3.7539999999999995E-3</v>
      </c>
      <c r="I15" s="12" t="s">
        <v>185</v>
      </c>
      <c r="J15" s="2">
        <f ca="1">OFFSET(stats_raw!$N$2,(ROW(K13)-1)*6,0)/10^12 *stats_raw!F138</f>
        <v>7.5034921229050811E-2</v>
      </c>
      <c r="K15" s="2">
        <f ca="1">OFFSET(stats_raw!$H$3,(ROW(K13)-1)*6,0)*numbers!$R$6 + OFFSET(stats_raw!$J$3,(ROW(K13)-1)*6,0)*numbers!$R$5</f>
        <v>2.1860480000000001E-7</v>
      </c>
      <c r="L15" s="2">
        <f ca="1">OFFSET(stats_raw!$H$3,(ROW(K13)-1)*6,0)*numbers!$R$6*numbers!$O$14 + OFFSET(stats_raw!$J$3,(ROW(K13)-1)*6,0)*numbers!$R$5*numbers!$O$14</f>
        <v>8.7441920000000003E-7</v>
      </c>
      <c r="M15" s="2">
        <f ca="1">OFFSET(stats_raw!$H$3,(ROW(K13)-1)*6,0)*numbers!$R$6*numbers!$O$14*numbers!$O$15 + OFFSET(stats_raw!$J$3,(ROW(K13)-1)*6,0)*numbers!$R$5*numbers!$O$14</f>
        <v>7.4337919999999999E-7</v>
      </c>
      <c r="N15" s="2">
        <f ca="1">OFFSET(stats_raw!$H$3,(ROW(K13)-1)*6,0)*numbers!$R$6/numbers!$O$16 + OFFSET(stats_raw!$J$3,(ROW(K13)-1)*6,0)*numbers!$R$5/numbers!$O$16</f>
        <v>2.1860480000000001E-7</v>
      </c>
      <c r="O15" s="2">
        <f ca="1">OFFSET(stats_raw!$H$3,(ROW(K13)-1)*6,0)*numbers!$R$6/numbers!$O$16 * numbers!$O$17 + OFFSET(stats_raw!$J$3,(ROW(K13)-1)*6,0)*numbers!$R$5/numbers!$O$16</f>
        <v>2.1860480000000001E-7</v>
      </c>
      <c r="Q15" s="1" t="s">
        <v>0</v>
      </c>
      <c r="R15" s="1" t="s">
        <v>63</v>
      </c>
      <c r="S15" s="1" t="s">
        <v>64</v>
      </c>
      <c r="T15" s="1" t="s">
        <v>65</v>
      </c>
      <c r="U15" s="1" t="s">
        <v>66</v>
      </c>
      <c r="V15" s="1" t="s">
        <v>67</v>
      </c>
      <c r="W15" s="1" t="s">
        <v>68</v>
      </c>
    </row>
    <row r="16" spans="1:23" s="2" customFormat="1" x14ac:dyDescent="0.15">
      <c r="A16" s="12" t="s">
        <v>186</v>
      </c>
      <c r="B16" s="2">
        <f ca="1">OFFSET(stats_raw!$G$2,(ROW(C14)-1)*6,0)/numbers!$O$11</f>
        <v>52.831468481000002</v>
      </c>
      <c r="C16" s="2">
        <f ca="1">OFFSET(stats_raw!$H$3,(ROW(C14)-1)*6,0)*numbers!$O$6 + OFFSET(stats_raw!$J$3,(ROW(C14)-1)*6,0)*numbers!$O$5</f>
        <v>9.8463999999999982E-2</v>
      </c>
      <c r="D16" s="2">
        <f ca="1">OFFSET(stats_raw!$H$3,(ROW(C14)-1)*6,0)*numbers!$O$6*numbers!$O$14 + OFFSET(stats_raw!$J$3,(ROW(C14)-1)*6,0)*numbers!$O$5*numbers!$O$14</f>
        <v>0.39385599999999993</v>
      </c>
      <c r="E16" s="2">
        <f ca="1">OFFSET(stats_raw!$H$3,(ROW(C14)-1)*6,0)*numbers!$O$6*numbers!$O$14*numbers!$O$15 + OFFSET(stats_raw!$J$3,(ROW(C14)-1)*6,0)*numbers!$O$5*numbers!$O$14</f>
        <v>0.34460799999999991</v>
      </c>
      <c r="F16" s="2">
        <f ca="1">OFFSET(stats_raw!$H$3,(ROW(C14)-1)*6,0)*numbers!$O$6/numbers!$O$16 + OFFSET(stats_raw!$J$3,(ROW(C14)-1)*6,0)*numbers!$O$5/numbers!$O$16</f>
        <v>9.8463999999999982E-2</v>
      </c>
      <c r="G16" s="2">
        <f ca="1">OFFSET(stats_raw!$H$3,(ROW(C14)-1)*6,0)*numbers!$O$6/numbers!$O$16 * numbers!$O$17 + OFFSET(stats_raw!$J$3,(ROW(C14)-1)*6,0)*numbers!$O$5/numbers!$O$16</f>
        <v>9.8463999999999982E-2</v>
      </c>
      <c r="I16" s="12" t="s">
        <v>186</v>
      </c>
      <c r="J16" s="2">
        <f ca="1">OFFSET(stats_raw!$N$2,(ROW(K14)-1)*6,0)/10^12 *stats_raw!F139</f>
        <v>32.309189923102593</v>
      </c>
      <c r="K16" s="2">
        <f ca="1">OFFSET(stats_raw!$H$3,(ROW(K14)-1)*6,0)*numbers!$R$6 + OFFSET(stats_raw!$J$3,(ROW(K14)-1)*6,0)*numbers!$R$5</f>
        <v>6.5696768000000005E-6</v>
      </c>
      <c r="L16" s="2">
        <f ca="1">OFFSET(stats_raw!$H$3,(ROW(K14)-1)*6,0)*numbers!$R$6*numbers!$O$14 + OFFSET(stats_raw!$J$3,(ROW(K14)-1)*6,0)*numbers!$R$5*numbers!$O$14</f>
        <v>2.6278707200000002E-5</v>
      </c>
      <c r="M16" s="2">
        <f ca="1">OFFSET(stats_raw!$H$3,(ROW(K14)-1)*6,0)*numbers!$R$6*numbers!$O$14*numbers!$O$15 + OFFSET(stats_raw!$J$3,(ROW(K14)-1)*6,0)*numbers!$R$5*numbers!$O$14</f>
        <v>2.23388672E-5</v>
      </c>
      <c r="N16" s="2">
        <f ca="1">OFFSET(stats_raw!$H$3,(ROW(K14)-1)*6,0)*numbers!$R$6/numbers!$O$16 + OFFSET(stats_raw!$J$3,(ROW(K14)-1)*6,0)*numbers!$R$5/numbers!$O$16</f>
        <v>6.5696768000000005E-6</v>
      </c>
      <c r="O16" s="2">
        <f ca="1">OFFSET(stats_raw!$H$3,(ROW(K14)-1)*6,0)*numbers!$R$6/numbers!$O$16 * numbers!$O$17 + OFFSET(stats_raw!$J$3,(ROW(K14)-1)*6,0)*numbers!$R$5/numbers!$O$16</f>
        <v>6.5696768000000005E-6</v>
      </c>
      <c r="Q16" s="2" t="s">
        <v>62</v>
      </c>
      <c r="R16">
        <f t="shared" ref="R16:R24" ca="1" si="0">J53/$J53</f>
        <v>1</v>
      </c>
      <c r="S16" s="2">
        <f t="shared" ref="S16:S24" ca="1" si="1">K53/$J53</f>
        <v>3.0898912307837891E-2</v>
      </c>
      <c r="T16" s="2">
        <f t="shared" ref="T16:T24" ca="1" si="2">L53/$J53</f>
        <v>0.12359564923135156</v>
      </c>
      <c r="U16" s="2">
        <f t="shared" ref="U16:U24" ca="1" si="3">M53/$J53</f>
        <v>0.10813606988391357</v>
      </c>
      <c r="V16" s="2">
        <f t="shared" ref="V16:V24" ca="1" si="4">N53/$J53</f>
        <v>3.0898912307837891E-2</v>
      </c>
      <c r="W16" s="2">
        <f t="shared" ref="W16:W24" ca="1" si="5">O53/$J53</f>
        <v>3.0898912307837891E-2</v>
      </c>
    </row>
    <row r="17" spans="1:23" s="2" customFormat="1" x14ac:dyDescent="0.15">
      <c r="A17" s="12" t="s">
        <v>187</v>
      </c>
      <c r="B17" s="2">
        <f ca="1">OFFSET(stats_raw!$G$2,(ROW(C15)-1)*6,0)/numbers!$O$11</f>
        <v>52.875676513999998</v>
      </c>
      <c r="C17" s="2">
        <f ca="1">OFFSET(stats_raw!$H$3,(ROW(C15)-1)*6,0)*numbers!$O$6 + OFFSET(stats_raw!$J$3,(ROW(C15)-1)*6,0)*numbers!$O$5</f>
        <v>9.8463999999999982E-2</v>
      </c>
      <c r="D17" s="2">
        <f ca="1">OFFSET(stats_raw!$H$3,(ROW(C15)-1)*6,0)*numbers!$O$6*numbers!$O$14 + OFFSET(stats_raw!$J$3,(ROW(C15)-1)*6,0)*numbers!$O$5*numbers!$O$14</f>
        <v>0.39385599999999993</v>
      </c>
      <c r="E17" s="2">
        <f ca="1">OFFSET(stats_raw!$H$3,(ROW(C15)-1)*6,0)*numbers!$O$6*numbers!$O$14*numbers!$O$15 + OFFSET(stats_raw!$J$3,(ROW(C15)-1)*6,0)*numbers!$O$5*numbers!$O$14</f>
        <v>0.34460799999999991</v>
      </c>
      <c r="F17" s="2">
        <f ca="1">OFFSET(stats_raw!$H$3,(ROW(C15)-1)*6,0)*numbers!$O$6/numbers!$O$16 + OFFSET(stats_raw!$J$3,(ROW(C15)-1)*6,0)*numbers!$O$5/numbers!$O$16</f>
        <v>9.8463999999999982E-2</v>
      </c>
      <c r="G17" s="2">
        <f ca="1">OFFSET(stats_raw!$H$3,(ROW(C15)-1)*6,0)*numbers!$O$6/numbers!$O$16 * numbers!$O$17 + OFFSET(stats_raw!$J$3,(ROW(C15)-1)*6,0)*numbers!$O$5/numbers!$O$16</f>
        <v>9.8463999999999982E-2</v>
      </c>
      <c r="I17" s="12" t="s">
        <v>187</v>
      </c>
      <c r="J17" s="2">
        <f ca="1">OFFSET(stats_raw!$N$2,(ROW(K15)-1)*6,0)/10^12 *stats_raw!F140</f>
        <v>32.358743973866595</v>
      </c>
      <c r="K17" s="2">
        <f ca="1">OFFSET(stats_raw!$H$3,(ROW(K15)-1)*6,0)*numbers!$R$6 + OFFSET(stats_raw!$J$3,(ROW(K15)-1)*6,0)*numbers!$R$5</f>
        <v>6.5696768000000005E-6</v>
      </c>
      <c r="L17" s="2">
        <f ca="1">OFFSET(stats_raw!$H$3,(ROW(K15)-1)*6,0)*numbers!$R$6*numbers!$O$14 + OFFSET(stats_raw!$J$3,(ROW(K15)-1)*6,0)*numbers!$R$5*numbers!$O$14</f>
        <v>2.6278707200000002E-5</v>
      </c>
      <c r="M17" s="2">
        <f ca="1">OFFSET(stats_raw!$H$3,(ROW(K15)-1)*6,0)*numbers!$R$6*numbers!$O$14*numbers!$O$15 + OFFSET(stats_raw!$J$3,(ROW(K15)-1)*6,0)*numbers!$R$5*numbers!$O$14</f>
        <v>2.23388672E-5</v>
      </c>
      <c r="N17" s="2">
        <f ca="1">OFFSET(stats_raw!$H$3,(ROW(K15)-1)*6,0)*numbers!$R$6/numbers!$O$16 + OFFSET(stats_raw!$J$3,(ROW(K15)-1)*6,0)*numbers!$R$5/numbers!$O$16</f>
        <v>6.5696768000000005E-6</v>
      </c>
      <c r="O17" s="2">
        <f ca="1">OFFSET(stats_raw!$H$3,(ROW(K15)-1)*6,0)*numbers!$R$6/numbers!$O$16 * numbers!$O$17 + OFFSET(stats_raw!$J$3,(ROW(K15)-1)*6,0)*numbers!$R$5/numbers!$O$16</f>
        <v>6.5696768000000005E-6</v>
      </c>
      <c r="Q17" s="2" t="s">
        <v>32</v>
      </c>
      <c r="R17" s="2">
        <f t="shared" ca="1" si="0"/>
        <v>1</v>
      </c>
      <c r="S17" s="2">
        <f t="shared" ca="1" si="1"/>
        <v>2.8893391543838211E-2</v>
      </c>
      <c r="T17" s="2">
        <f t="shared" ca="1" si="2"/>
        <v>0.11557356617535285</v>
      </c>
      <c r="U17" s="2">
        <f t="shared" ca="1" si="3"/>
        <v>0.10111740426459022</v>
      </c>
      <c r="V17" s="2">
        <f t="shared" ca="1" si="4"/>
        <v>2.8893391543838211E-2</v>
      </c>
      <c r="W17" s="2">
        <f t="shared" ca="1" si="5"/>
        <v>2.8893391543838211E-2</v>
      </c>
    </row>
    <row r="18" spans="1:23" s="2" customFormat="1" x14ac:dyDescent="0.15">
      <c r="A18" s="12" t="s">
        <v>188</v>
      </c>
      <c r="B18" s="2">
        <f ca="1">OFFSET(stats_raw!$G$2,(ROW(C16)-1)*6,0)/numbers!$O$11</f>
        <v>1.562376054</v>
      </c>
      <c r="C18" s="2">
        <f ca="1">OFFSET(stats_raw!$H$3,(ROW(C16)-1)*6,0)*numbers!$O$6 + OFFSET(stats_raw!$J$3,(ROW(C16)-1)*6,0)*numbers!$O$5</f>
        <v>1.0172E-2</v>
      </c>
      <c r="D18" s="2">
        <f ca="1">OFFSET(stats_raw!$H$3,(ROW(C16)-1)*6,0)*numbers!$O$6*numbers!$O$14 + OFFSET(stats_raw!$J$3,(ROW(C16)-1)*6,0)*numbers!$O$5*numbers!$O$14</f>
        <v>4.0688000000000002E-2</v>
      </c>
      <c r="E18" s="2">
        <f ca="1">OFFSET(stats_raw!$H$3,(ROW(C16)-1)*6,0)*numbers!$O$6*numbers!$O$14*numbers!$O$15 + OFFSET(stats_raw!$J$3,(ROW(C16)-1)*6,0)*numbers!$O$5*numbers!$O$14</f>
        <v>3.6428000000000002E-2</v>
      </c>
      <c r="F18" s="2">
        <f ca="1">OFFSET(stats_raw!$H$3,(ROW(C16)-1)*6,0)*numbers!$O$6/numbers!$O$16 + OFFSET(stats_raw!$J$3,(ROW(C16)-1)*6,0)*numbers!$O$5/numbers!$O$16</f>
        <v>1.0172E-2</v>
      </c>
      <c r="G18" s="2">
        <f ca="1">OFFSET(stats_raw!$H$3,(ROW(C16)-1)*6,0)*numbers!$O$6/numbers!$O$16 * numbers!$O$17 + OFFSET(stats_raw!$J$3,(ROW(C16)-1)*6,0)*numbers!$O$5/numbers!$O$16</f>
        <v>1.0172E-2</v>
      </c>
      <c r="I18" s="12" t="s">
        <v>188</v>
      </c>
      <c r="J18" s="2">
        <f ca="1">OFFSET(stats_raw!$N$2,(ROW(K16)-1)*6,0)/10^12 *stats_raw!F141</f>
        <v>0.9519094492489184</v>
      </c>
      <c r="K18" s="2">
        <f ca="1">OFFSET(stats_raw!$H$3,(ROW(K16)-1)*6,0)*numbers!$R$6 + OFFSET(stats_raw!$J$3,(ROW(K16)-1)*6,0)*numbers!$R$5</f>
        <v>5.6861439999999998E-7</v>
      </c>
      <c r="L18" s="2">
        <f ca="1">OFFSET(stats_raw!$H$3,(ROW(K16)-1)*6,0)*numbers!$R$6*numbers!$O$14 + OFFSET(stats_raw!$J$3,(ROW(K16)-1)*6,0)*numbers!$R$5*numbers!$O$14</f>
        <v>2.2744575999999999E-6</v>
      </c>
      <c r="M18" s="2">
        <f ca="1">OFFSET(stats_raw!$H$3,(ROW(K16)-1)*6,0)*numbers!$R$6*numbers!$O$14*numbers!$O$15 + OFFSET(stats_raw!$J$3,(ROW(K16)-1)*6,0)*numbers!$R$5*numbers!$O$14</f>
        <v>1.9336575999999997E-6</v>
      </c>
      <c r="N18" s="2">
        <f ca="1">OFFSET(stats_raw!$H$3,(ROW(K16)-1)*6,0)*numbers!$R$6/numbers!$O$16 + OFFSET(stats_raw!$J$3,(ROW(K16)-1)*6,0)*numbers!$R$5/numbers!$O$16</f>
        <v>5.6861439999999998E-7</v>
      </c>
      <c r="O18" s="2">
        <f ca="1">OFFSET(stats_raw!$H$3,(ROW(K16)-1)*6,0)*numbers!$R$6/numbers!$O$16 * numbers!$O$17 + OFFSET(stats_raw!$J$3,(ROW(K16)-1)*6,0)*numbers!$R$5/numbers!$O$16</f>
        <v>5.6861439999999998E-7</v>
      </c>
      <c r="Q18" s="2" t="s">
        <v>25</v>
      </c>
      <c r="R18" s="2">
        <f t="shared" ca="1" si="0"/>
        <v>1</v>
      </c>
      <c r="S18" s="2">
        <f t="shared" ca="1" si="1"/>
        <v>2.7546404083202684E-2</v>
      </c>
      <c r="T18" s="2">
        <f t="shared" ca="1" si="2"/>
        <v>0.11018561633281074</v>
      </c>
      <c r="U18" s="2">
        <f t="shared" ca="1" si="3"/>
        <v>9.6403389456402575E-2</v>
      </c>
      <c r="V18" s="2">
        <f t="shared" ca="1" si="4"/>
        <v>2.7546404083202684E-2</v>
      </c>
      <c r="W18" s="2">
        <f t="shared" ca="1" si="5"/>
        <v>2.7546404083202684E-2</v>
      </c>
    </row>
    <row r="19" spans="1:23" s="2" customFormat="1" x14ac:dyDescent="0.15">
      <c r="A19" s="2" t="s">
        <v>178</v>
      </c>
      <c r="B19" s="2">
        <f>stats_raw!G98/numbers!$O$11</f>
        <v>2.8975978360000001</v>
      </c>
      <c r="C19" s="2">
        <f>B19</f>
        <v>2.8975978360000001</v>
      </c>
      <c r="D19" s="2">
        <f t="shared" ref="D19:G19" si="6">C19</f>
        <v>2.8975978360000001</v>
      </c>
      <c r="E19" s="2">
        <f t="shared" si="6"/>
        <v>2.8975978360000001</v>
      </c>
      <c r="F19" s="2">
        <f t="shared" si="6"/>
        <v>2.8975978360000001</v>
      </c>
      <c r="G19" s="2">
        <f t="shared" si="6"/>
        <v>2.8975978360000001</v>
      </c>
      <c r="I19" s="2" t="s">
        <v>178</v>
      </c>
      <c r="J19" s="2">
        <f>stats_raw!N98/10^12</f>
        <v>3.79505506905</v>
      </c>
      <c r="K19" s="2">
        <f>J19</f>
        <v>3.79505506905</v>
      </c>
      <c r="L19" s="2">
        <f t="shared" ref="L19:O19" si="7">K19</f>
        <v>3.79505506905</v>
      </c>
      <c r="M19" s="2">
        <f t="shared" si="7"/>
        <v>3.79505506905</v>
      </c>
      <c r="N19" s="2">
        <f t="shared" si="7"/>
        <v>3.79505506905</v>
      </c>
      <c r="O19" s="2">
        <f t="shared" si="7"/>
        <v>3.79505506905</v>
      </c>
      <c r="Q19" s="2" t="s">
        <v>39</v>
      </c>
      <c r="R19" s="2">
        <f t="shared" ca="1" si="0"/>
        <v>1</v>
      </c>
      <c r="S19" s="2">
        <f t="shared" ca="1" si="1"/>
        <v>3.0887543013626756E-2</v>
      </c>
      <c r="T19" s="2">
        <f t="shared" ca="1" si="2"/>
        <v>0.12355017205450702</v>
      </c>
      <c r="U19" s="2">
        <f t="shared" ca="1" si="3"/>
        <v>0.10809628107901657</v>
      </c>
      <c r="V19" s="2">
        <f t="shared" ca="1" si="4"/>
        <v>3.0887543013626756E-2</v>
      </c>
      <c r="W19" s="2">
        <f t="shared" ca="1" si="5"/>
        <v>3.0887543013626756E-2</v>
      </c>
    </row>
    <row r="20" spans="1:23" s="2" customFormat="1" x14ac:dyDescent="0.15">
      <c r="A20" s="2" t="s">
        <v>179</v>
      </c>
      <c r="B20" s="2">
        <f>stats_raw!G99/numbers!$O$11</f>
        <v>1.2264384E-2</v>
      </c>
      <c r="C20" s="2">
        <f t="shared" ref="C20:G22" si="8">B20</f>
        <v>1.2264384E-2</v>
      </c>
      <c r="D20" s="2">
        <f t="shared" si="8"/>
        <v>1.2264384E-2</v>
      </c>
      <c r="E20" s="2">
        <f t="shared" si="8"/>
        <v>1.2264384E-2</v>
      </c>
      <c r="F20" s="2">
        <f t="shared" si="8"/>
        <v>1.2264384E-2</v>
      </c>
      <c r="G20" s="2">
        <f t="shared" si="8"/>
        <v>1.2264384E-2</v>
      </c>
      <c r="I20" s="2" t="s">
        <v>179</v>
      </c>
      <c r="J20" s="2">
        <f>stats_raw!N99/10^12</f>
        <v>6.5685756420000005E-2</v>
      </c>
      <c r="K20" s="2">
        <f t="shared" ref="K20:O22" si="9">J20</f>
        <v>6.5685756420000005E-2</v>
      </c>
      <c r="L20" s="2">
        <f t="shared" si="9"/>
        <v>6.5685756420000005E-2</v>
      </c>
      <c r="M20" s="2">
        <f t="shared" si="9"/>
        <v>6.5685756420000005E-2</v>
      </c>
      <c r="N20" s="2">
        <f t="shared" si="9"/>
        <v>6.5685756420000005E-2</v>
      </c>
      <c r="O20" s="2">
        <f t="shared" si="9"/>
        <v>6.5685756420000005E-2</v>
      </c>
      <c r="Q20" s="2" t="s">
        <v>46</v>
      </c>
      <c r="R20" s="2">
        <f t="shared" ca="1" si="0"/>
        <v>1</v>
      </c>
      <c r="S20" s="2">
        <f t="shared" ca="1" si="1"/>
        <v>2.8629631462478263E-2</v>
      </c>
      <c r="T20" s="2">
        <f t="shared" ca="1" si="2"/>
        <v>0.11451852584991305</v>
      </c>
      <c r="U20" s="2">
        <f t="shared" ca="1" si="3"/>
        <v>0.10019433039369244</v>
      </c>
      <c r="V20" s="2">
        <f t="shared" ca="1" si="4"/>
        <v>2.8629631462478263E-2</v>
      </c>
      <c r="W20" s="2">
        <f t="shared" ca="1" si="5"/>
        <v>2.8629631462478263E-2</v>
      </c>
    </row>
    <row r="21" spans="1:23" s="2" customFormat="1" x14ac:dyDescent="0.15">
      <c r="A21" s="2" t="s">
        <v>181</v>
      </c>
      <c r="B21" s="2">
        <f>stats_raw!G100/numbers!$O$11</f>
        <v>2.3550254E-2</v>
      </c>
      <c r="C21" s="2">
        <f t="shared" si="8"/>
        <v>2.3550254E-2</v>
      </c>
      <c r="D21" s="2">
        <f t="shared" si="8"/>
        <v>2.3550254E-2</v>
      </c>
      <c r="E21" s="2">
        <f t="shared" si="8"/>
        <v>2.3550254E-2</v>
      </c>
      <c r="F21" s="2">
        <f t="shared" si="8"/>
        <v>2.3550254E-2</v>
      </c>
      <c r="G21" s="2">
        <f t="shared" si="8"/>
        <v>2.3550254E-2</v>
      </c>
      <c r="I21" s="2" t="s">
        <v>181</v>
      </c>
      <c r="J21" s="2">
        <f>stats_raw!N100/10^12</f>
        <v>5.6708901795000002E-2</v>
      </c>
      <c r="K21" s="2">
        <f t="shared" si="9"/>
        <v>5.6708901795000002E-2</v>
      </c>
      <c r="L21" s="2">
        <f t="shared" si="9"/>
        <v>5.6708901795000002E-2</v>
      </c>
      <c r="M21" s="2">
        <f t="shared" si="9"/>
        <v>5.6708901795000002E-2</v>
      </c>
      <c r="N21" s="2">
        <f t="shared" si="9"/>
        <v>5.6708901795000002E-2</v>
      </c>
      <c r="O21" s="2">
        <f t="shared" si="9"/>
        <v>5.6708901795000002E-2</v>
      </c>
      <c r="Q21" s="2" t="s">
        <v>127</v>
      </c>
      <c r="R21" s="2">
        <f t="shared" ca="1" si="0"/>
        <v>1</v>
      </c>
      <c r="S21" s="2">
        <f t="shared" ca="1" si="1"/>
        <v>0.37466039015041241</v>
      </c>
      <c r="T21" s="2">
        <f t="shared" ca="1" si="2"/>
        <v>1.4986415606016497</v>
      </c>
      <c r="U21" s="2">
        <f t="shared" ca="1" si="3"/>
        <v>1.3108499200857093</v>
      </c>
      <c r="V21" s="2">
        <f t="shared" ca="1" si="4"/>
        <v>0.37466039015041241</v>
      </c>
      <c r="W21" s="2">
        <f t="shared" ca="1" si="5"/>
        <v>0.37466039015041241</v>
      </c>
    </row>
    <row r="22" spans="1:23" s="2" customFormat="1" x14ac:dyDescent="0.15">
      <c r="A22" s="2" t="s">
        <v>183</v>
      </c>
      <c r="B22" s="2">
        <f>stats_raw!G101/numbers!$O$11</f>
        <v>13.718909751</v>
      </c>
      <c r="C22" s="2">
        <f t="shared" si="8"/>
        <v>13.718909751</v>
      </c>
      <c r="D22" s="2">
        <f t="shared" si="8"/>
        <v>13.718909751</v>
      </c>
      <c r="E22" s="2">
        <f t="shared" si="8"/>
        <v>13.718909751</v>
      </c>
      <c r="F22" s="2">
        <f t="shared" si="8"/>
        <v>13.718909751</v>
      </c>
      <c r="G22" s="2">
        <f t="shared" si="8"/>
        <v>13.718909751</v>
      </c>
      <c r="I22" s="2" t="s">
        <v>183</v>
      </c>
      <c r="J22" s="2">
        <f>stats_raw!N101/10^12</f>
        <v>16.986913823070001</v>
      </c>
      <c r="K22" s="2">
        <f t="shared" si="9"/>
        <v>16.986913823070001</v>
      </c>
      <c r="L22" s="2">
        <f t="shared" si="9"/>
        <v>16.986913823070001</v>
      </c>
      <c r="M22" s="2">
        <f t="shared" si="9"/>
        <v>16.986913823070001</v>
      </c>
      <c r="N22" s="2">
        <f t="shared" si="9"/>
        <v>16.986913823070001</v>
      </c>
      <c r="O22" s="2">
        <f t="shared" si="9"/>
        <v>16.986913823070001</v>
      </c>
      <c r="Q22" t="s">
        <v>128</v>
      </c>
      <c r="R22" s="2">
        <f t="shared" ca="1" si="0"/>
        <v>1</v>
      </c>
      <c r="S22" s="2">
        <f t="shared" ca="1" si="1"/>
        <v>0.22507489240347076</v>
      </c>
      <c r="T22" s="2">
        <f t="shared" ca="1" si="2"/>
        <v>0.90029956961388302</v>
      </c>
      <c r="U22" s="2">
        <f t="shared" ca="1" si="3"/>
        <v>0.78179110239536687</v>
      </c>
      <c r="V22" s="2">
        <f t="shared" ca="1" si="4"/>
        <v>0.22507489240347076</v>
      </c>
      <c r="W22" s="2">
        <f t="shared" ca="1" si="5"/>
        <v>0.22507489240347076</v>
      </c>
    </row>
    <row r="23" spans="1:23" s="2" customFormat="1" x14ac:dyDescent="0.15">
      <c r="Q23" t="s">
        <v>129</v>
      </c>
      <c r="R23" s="2">
        <f t="shared" ca="1" si="0"/>
        <v>1</v>
      </c>
      <c r="S23" s="2">
        <f t="shared" ca="1" si="1"/>
        <v>0.16556224524910593</v>
      </c>
      <c r="T23" s="2">
        <f t="shared" ca="1" si="2"/>
        <v>0.66224898099642371</v>
      </c>
      <c r="U23" s="2">
        <f t="shared" ca="1" si="3"/>
        <v>0.56938562672807103</v>
      </c>
      <c r="V23" s="2">
        <f t="shared" ca="1" si="4"/>
        <v>0.16556224524910593</v>
      </c>
      <c r="W23" s="2">
        <f t="shared" ca="1" si="5"/>
        <v>0.16556224524910593</v>
      </c>
    </row>
    <row r="24" spans="1:23" s="2" customFormat="1" x14ac:dyDescent="0.15">
      <c r="Q24" t="s">
        <v>53</v>
      </c>
      <c r="R24" s="2">
        <f t="shared" ca="1" si="0"/>
        <v>1</v>
      </c>
      <c r="S24" s="2">
        <f t="shared" ca="1" si="1"/>
        <v>0.13256735382333054</v>
      </c>
      <c r="T24" s="2">
        <f t="shared" ca="1" si="2"/>
        <v>0.53026941529332217</v>
      </c>
      <c r="U24" s="2">
        <f t="shared" ca="1" si="3"/>
        <v>0.46390718296838912</v>
      </c>
      <c r="V24" s="2">
        <f t="shared" ca="1" si="4"/>
        <v>0.13256735382333054</v>
      </c>
      <c r="W24" s="2">
        <f t="shared" ca="1" si="5"/>
        <v>0.13256735382333054</v>
      </c>
    </row>
    <row r="25" spans="1:23" x14ac:dyDescent="0.15">
      <c r="Q25" s="12" t="s">
        <v>180</v>
      </c>
      <c r="R25" s="2">
        <f t="shared" ref="R25:R35" ca="1" si="10">J62/$J62</f>
        <v>1</v>
      </c>
      <c r="S25" s="2">
        <f t="shared" ref="S25:S35" ca="1" si="11">K62/$J62</f>
        <v>2.7744236510525453</v>
      </c>
      <c r="T25" s="2">
        <f t="shared" ref="T25:T35" ca="1" si="12">L62/$J62</f>
        <v>11.097694604210181</v>
      </c>
      <c r="U25" s="2">
        <f t="shared" ref="U25:U35" ca="1" si="13">M62/$J62</f>
        <v>9.4431441545201391</v>
      </c>
      <c r="V25" s="2">
        <f t="shared" ref="V25:V35" ca="1" si="14">N62/$J62</f>
        <v>2.7744236510525453</v>
      </c>
      <c r="W25" s="2">
        <f t="shared" ref="W25:W35" ca="1" si="15">O62/$J62</f>
        <v>2.7744236510525453</v>
      </c>
    </row>
    <row r="26" spans="1:23" x14ac:dyDescent="0.15">
      <c r="Q26" s="12" t="s">
        <v>182</v>
      </c>
      <c r="R26" s="2">
        <f t="shared" ca="1" si="10"/>
        <v>1</v>
      </c>
      <c r="S26" s="2">
        <f t="shared" ca="1" si="11"/>
        <v>2.7776798563181866</v>
      </c>
      <c r="T26" s="2">
        <f t="shared" ca="1" si="12"/>
        <v>11.110719425272746</v>
      </c>
      <c r="U26" s="2">
        <f t="shared" ca="1" si="13"/>
        <v>9.4492236120320037</v>
      </c>
      <c r="V26" s="2">
        <f t="shared" ca="1" si="14"/>
        <v>2.7776798563181866</v>
      </c>
      <c r="W26" s="2">
        <f t="shared" ca="1" si="15"/>
        <v>2.7776798563181866</v>
      </c>
    </row>
    <row r="27" spans="1:23" x14ac:dyDescent="0.15">
      <c r="B27" s="22" t="s">
        <v>82</v>
      </c>
      <c r="C27" s="22"/>
      <c r="D27" s="22"/>
      <c r="E27" s="22"/>
      <c r="F27" s="22"/>
      <c r="G27" s="22"/>
      <c r="J27" s="22" t="s">
        <v>84</v>
      </c>
      <c r="K27" s="22"/>
      <c r="L27" s="22"/>
      <c r="M27" s="22"/>
      <c r="N27" s="22"/>
      <c r="O27" s="22"/>
      <c r="Q27" s="12" t="s">
        <v>184</v>
      </c>
      <c r="R27" s="2">
        <f t="shared" ca="1" si="10"/>
        <v>1</v>
      </c>
      <c r="S27" s="2">
        <f t="shared" ca="1" si="11"/>
        <v>0.14653894505614493</v>
      </c>
      <c r="T27" s="2">
        <f t="shared" ca="1" si="12"/>
        <v>0.5861557802245797</v>
      </c>
      <c r="U27" s="2">
        <f t="shared" ca="1" si="13"/>
        <v>0.49931575633745862</v>
      </c>
      <c r="V27" s="2">
        <f t="shared" ca="1" si="14"/>
        <v>0.14653894505614493</v>
      </c>
      <c r="W27" s="2">
        <f t="shared" ca="1" si="15"/>
        <v>0.14653894505614493</v>
      </c>
    </row>
    <row r="28" spans="1:23" x14ac:dyDescent="0.15">
      <c r="A28" s="1" t="s">
        <v>0</v>
      </c>
      <c r="B28" s="1" t="s">
        <v>63</v>
      </c>
      <c r="C28" s="1" t="s">
        <v>64</v>
      </c>
      <c r="D28" s="1" t="s">
        <v>65</v>
      </c>
      <c r="E28" s="1" t="s">
        <v>66</v>
      </c>
      <c r="F28" s="1" t="s">
        <v>67</v>
      </c>
      <c r="G28" s="1" t="s">
        <v>68</v>
      </c>
      <c r="I28" s="1" t="s">
        <v>0</v>
      </c>
      <c r="J28" s="1" t="s">
        <v>63</v>
      </c>
      <c r="K28" s="1" t="s">
        <v>64</v>
      </c>
      <c r="L28" s="1" t="s">
        <v>65</v>
      </c>
      <c r="M28" s="1" t="s">
        <v>66</v>
      </c>
      <c r="N28" s="1" t="s">
        <v>67</v>
      </c>
      <c r="O28" s="1" t="s">
        <v>68</v>
      </c>
      <c r="Q28" s="12" t="s">
        <v>185</v>
      </c>
      <c r="R28" s="2">
        <f t="shared" ca="1" si="10"/>
        <v>1</v>
      </c>
      <c r="S28" s="2">
        <f t="shared" ca="1" si="11"/>
        <v>0.10506599428197638</v>
      </c>
      <c r="T28" s="2">
        <f t="shared" ca="1" si="12"/>
        <v>0.42026397712790553</v>
      </c>
      <c r="U28" s="2">
        <f t="shared" ca="1" si="13"/>
        <v>0.37441957583241664</v>
      </c>
      <c r="V28" s="2">
        <f t="shared" ca="1" si="14"/>
        <v>0.10506599428197638</v>
      </c>
      <c r="W28" s="2">
        <f t="shared" ca="1" si="15"/>
        <v>0.10506599428197638</v>
      </c>
    </row>
    <row r="29" spans="1:23" x14ac:dyDescent="0.15">
      <c r="A29" s="2" t="s">
        <v>62</v>
      </c>
      <c r="B29" s="2">
        <f ca="1">B3*numbers!$O$11</f>
        <v>2774548915</v>
      </c>
      <c r="C29" s="2">
        <f ca="1">C3*numbers!$O$11</f>
        <v>24655999.999999996</v>
      </c>
      <c r="D29" s="2">
        <f ca="1">D3*numbers!$O$11</f>
        <v>98623999.999999985</v>
      </c>
      <c r="E29" s="2">
        <f ca="1">E3*numbers!$O$11</f>
        <v>86287999.999999985</v>
      </c>
      <c r="F29" s="2">
        <f ca="1">F3*numbers!$O$11</f>
        <v>24655999.999999996</v>
      </c>
      <c r="G29" s="2">
        <f ca="1">G3*numbers!$O$11</f>
        <v>24655999.999999996</v>
      </c>
      <c r="I29" s="2" t="s">
        <v>62</v>
      </c>
      <c r="K29" s="2">
        <f ca="1">C29*numbers!$R$7</f>
        <v>5.17776E-2</v>
      </c>
      <c r="L29" s="2">
        <f ca="1">D29*numbers!$R$7</f>
        <v>0.2071104</v>
      </c>
      <c r="M29" s="2">
        <f ca="1">E29*numbers!$R$7</f>
        <v>0.1812048</v>
      </c>
      <c r="N29" s="2">
        <f ca="1">F29*numbers!$R$7</f>
        <v>5.17776E-2</v>
      </c>
      <c r="O29" s="2">
        <f ca="1">G29*numbers!$R$7</f>
        <v>5.17776E-2</v>
      </c>
      <c r="Q29" s="12" t="s">
        <v>186</v>
      </c>
      <c r="R29" s="2">
        <f t="shared" ca="1" si="10"/>
        <v>1</v>
      </c>
      <c r="S29" s="2">
        <f t="shared" ca="1" si="11"/>
        <v>6.4000666735671338E-3</v>
      </c>
      <c r="T29" s="2">
        <f t="shared" ca="1" si="12"/>
        <v>2.5600266694268535E-2</v>
      </c>
      <c r="U29" s="2">
        <f t="shared" ca="1" si="13"/>
        <v>2.2399173132772388E-2</v>
      </c>
      <c r="V29" s="2">
        <f t="shared" ca="1" si="14"/>
        <v>6.4000666735671338E-3</v>
      </c>
      <c r="W29" s="2">
        <f t="shared" ca="1" si="15"/>
        <v>6.4000666735671338E-3</v>
      </c>
    </row>
    <row r="30" spans="1:23" x14ac:dyDescent="0.15">
      <c r="A30" s="2" t="s">
        <v>32</v>
      </c>
      <c r="B30" s="2">
        <f ca="1">B4*numbers!$O$11</f>
        <v>6005174060</v>
      </c>
      <c r="C30" s="2">
        <f ca="1">C4*numbers!$O$11</f>
        <v>49311999.999999993</v>
      </c>
      <c r="D30" s="2">
        <f ca="1">D4*numbers!$O$11</f>
        <v>197247999.99999997</v>
      </c>
      <c r="E30" s="2">
        <f ca="1">E4*numbers!$O$11</f>
        <v>172575999.99999997</v>
      </c>
      <c r="F30" s="2">
        <f ca="1">F4*numbers!$O$11</f>
        <v>49311999.999999993</v>
      </c>
      <c r="G30" s="2">
        <f ca="1">G4*numbers!$O$11</f>
        <v>49311999.999999993</v>
      </c>
      <c r="I30" s="2" t="s">
        <v>32</v>
      </c>
      <c r="J30" s="2"/>
      <c r="K30" s="2">
        <f ca="1">C30*numbers!$R$7</f>
        <v>0.1035552</v>
      </c>
      <c r="L30" s="2">
        <f ca="1">D30*numbers!$R$7</f>
        <v>0.4142208</v>
      </c>
      <c r="M30" s="2">
        <f ca="1">E30*numbers!$R$7</f>
        <v>0.3624096</v>
      </c>
      <c r="N30" s="2">
        <f ca="1">F30*numbers!$R$7</f>
        <v>0.1035552</v>
      </c>
      <c r="O30" s="2">
        <f ca="1">G30*numbers!$R$7</f>
        <v>0.1035552</v>
      </c>
      <c r="Q30" s="12" t="s">
        <v>187</v>
      </c>
      <c r="R30" s="2">
        <f t="shared" ca="1" si="10"/>
        <v>1</v>
      </c>
      <c r="S30" s="2">
        <f t="shared" ca="1" si="11"/>
        <v>6.3902656371273058E-3</v>
      </c>
      <c r="T30" s="2">
        <f t="shared" ca="1" si="12"/>
        <v>2.5561062548509223E-2</v>
      </c>
      <c r="U30" s="2">
        <f t="shared" ca="1" si="13"/>
        <v>2.2364871128856861E-2</v>
      </c>
      <c r="V30" s="2">
        <f t="shared" ca="1" si="14"/>
        <v>6.3902656371273058E-3</v>
      </c>
      <c r="W30" s="2">
        <f t="shared" ca="1" si="15"/>
        <v>6.3902656371273058E-3</v>
      </c>
    </row>
    <row r="31" spans="1:23" x14ac:dyDescent="0.15">
      <c r="A31" s="2" t="s">
        <v>25</v>
      </c>
      <c r="B31" s="2">
        <f ca="1">B5*numbers!$O$11</f>
        <v>9309446310</v>
      </c>
      <c r="C31" s="2">
        <f ca="1">C5*numbers!$O$11</f>
        <v>73967999.999999985</v>
      </c>
      <c r="D31" s="2">
        <f ca="1">D5*numbers!$O$11</f>
        <v>295871999.99999994</v>
      </c>
      <c r="E31" s="2">
        <f ca="1">E5*numbers!$O$11</f>
        <v>258863999.99999997</v>
      </c>
      <c r="F31" s="2">
        <f ca="1">F5*numbers!$O$11</f>
        <v>73967999.999999985</v>
      </c>
      <c r="G31" s="2">
        <f ca="1">G5*numbers!$O$11</f>
        <v>73967999.999999985</v>
      </c>
      <c r="I31" s="2" t="s">
        <v>25</v>
      </c>
      <c r="J31" s="2"/>
      <c r="K31" s="2">
        <f ca="1">C31*numbers!$R$7</f>
        <v>0.15533279999999999</v>
      </c>
      <c r="L31" s="2">
        <f ca="1">D31*numbers!$R$7</f>
        <v>0.62133119999999997</v>
      </c>
      <c r="M31" s="2">
        <f ca="1">E31*numbers!$R$7</f>
        <v>0.54361439999999994</v>
      </c>
      <c r="N31" s="2">
        <f ca="1">F31*numbers!$R$7</f>
        <v>0.15533279999999999</v>
      </c>
      <c r="O31" s="2">
        <f ca="1">G31*numbers!$R$7</f>
        <v>0.15533279999999999</v>
      </c>
      <c r="Q31" s="12" t="s">
        <v>188</v>
      </c>
      <c r="R31" s="2">
        <f t="shared" ca="1" si="10"/>
        <v>1</v>
      </c>
      <c r="S31" s="2">
        <f t="shared" ca="1" si="11"/>
        <v>2.2440967080697642E-2</v>
      </c>
      <c r="T31" s="2">
        <f t="shared" ca="1" si="12"/>
        <v>8.9763868322790569E-2</v>
      </c>
      <c r="U31" s="2">
        <f t="shared" ca="1" si="13"/>
        <v>8.0365557583193539E-2</v>
      </c>
      <c r="V31" s="2">
        <f t="shared" ca="1" si="14"/>
        <v>2.2440967080697642E-2</v>
      </c>
      <c r="W31" s="2">
        <f t="shared" ca="1" si="15"/>
        <v>2.2440967080697642E-2</v>
      </c>
    </row>
    <row r="32" spans="1:23" x14ac:dyDescent="0.15">
      <c r="A32" s="2" t="s">
        <v>39</v>
      </c>
      <c r="B32" s="2">
        <f ca="1">B6*numbers!$O$11</f>
        <v>2775884828</v>
      </c>
      <c r="C32" s="2">
        <f ca="1">C6*numbers!$O$11</f>
        <v>24655999.999999996</v>
      </c>
      <c r="D32" s="2">
        <f ca="1">D6*numbers!$O$11</f>
        <v>98623999.999999985</v>
      </c>
      <c r="E32" s="2">
        <f ca="1">E6*numbers!$O$11</f>
        <v>86287999.999999985</v>
      </c>
      <c r="F32" s="2">
        <f ca="1">F6*numbers!$O$11</f>
        <v>24655999.999999996</v>
      </c>
      <c r="G32" s="2">
        <f ca="1">G6*numbers!$O$11</f>
        <v>24655999.999999996</v>
      </c>
      <c r="I32" s="2" t="s">
        <v>39</v>
      </c>
      <c r="J32" s="2"/>
      <c r="K32" s="2">
        <f ca="1">C32*numbers!$R$7</f>
        <v>5.17776E-2</v>
      </c>
      <c r="L32" s="2">
        <f ca="1">D32*numbers!$R$7</f>
        <v>0.2071104</v>
      </c>
      <c r="M32" s="2">
        <f ca="1">E32*numbers!$R$7</f>
        <v>0.1812048</v>
      </c>
      <c r="N32" s="2">
        <f ca="1">F32*numbers!$R$7</f>
        <v>5.17776E-2</v>
      </c>
      <c r="O32" s="2">
        <f ca="1">G32*numbers!$R$7</f>
        <v>5.17776E-2</v>
      </c>
      <c r="Q32" s="2" t="s">
        <v>178</v>
      </c>
      <c r="R32" s="2">
        <f t="shared" si="10"/>
        <v>1</v>
      </c>
      <c r="S32" s="2">
        <f t="shared" si="11"/>
        <v>2.603390555574526</v>
      </c>
      <c r="T32" s="2">
        <f t="shared" si="12"/>
        <v>2.603390555574526</v>
      </c>
      <c r="U32" s="2">
        <f t="shared" si="13"/>
        <v>2.603390555574526</v>
      </c>
      <c r="V32" s="2">
        <f t="shared" si="14"/>
        <v>2.603390555574526</v>
      </c>
      <c r="W32" s="2">
        <f t="shared" si="15"/>
        <v>2.603390555574526</v>
      </c>
    </row>
    <row r="33" spans="1:23" x14ac:dyDescent="0.15">
      <c r="A33" s="2" t="s">
        <v>46</v>
      </c>
      <c r="B33" s="2">
        <f ca="1">B7*numbers!$O$11</f>
        <v>8948549808</v>
      </c>
      <c r="C33" s="2">
        <f ca="1">C7*numbers!$O$11</f>
        <v>73967999.999999985</v>
      </c>
      <c r="D33" s="2">
        <f ca="1">D7*numbers!$O$11</f>
        <v>295871999.99999994</v>
      </c>
      <c r="E33" s="2">
        <f ca="1">E7*numbers!$O$11</f>
        <v>258863999.99999997</v>
      </c>
      <c r="F33" s="2">
        <f ca="1">F7*numbers!$O$11</f>
        <v>73967999.999999985</v>
      </c>
      <c r="G33" s="2">
        <f ca="1">G7*numbers!$O$11</f>
        <v>73967999.999999985</v>
      </c>
      <c r="I33" s="2" t="s">
        <v>46</v>
      </c>
      <c r="J33" s="2"/>
      <c r="K33" s="2">
        <f ca="1">C33*numbers!$R$7</f>
        <v>0.15533279999999999</v>
      </c>
      <c r="L33" s="2">
        <f ca="1">D33*numbers!$R$7</f>
        <v>0.62133119999999997</v>
      </c>
      <c r="M33" s="2">
        <f ca="1">E33*numbers!$R$7</f>
        <v>0.54361439999999994</v>
      </c>
      <c r="N33" s="2">
        <f ca="1">F33*numbers!$R$7</f>
        <v>0.15533279999999999</v>
      </c>
      <c r="O33" s="2">
        <f ca="1">G33*numbers!$R$7</f>
        <v>0.15533279999999999</v>
      </c>
      <c r="Q33" s="2" t="s">
        <v>179</v>
      </c>
      <c r="R33" s="2">
        <f t="shared" si="10"/>
        <v>1</v>
      </c>
      <c r="S33" s="2">
        <f t="shared" si="11"/>
        <v>1.3920972795885782</v>
      </c>
      <c r="T33" s="2">
        <f t="shared" si="12"/>
        <v>1.3920972795885782</v>
      </c>
      <c r="U33" s="2">
        <f t="shared" si="13"/>
        <v>1.3920972795885782</v>
      </c>
      <c r="V33" s="2">
        <f t="shared" si="14"/>
        <v>1.3920972795885782</v>
      </c>
      <c r="W33" s="2">
        <f t="shared" si="15"/>
        <v>1.3920972795885782</v>
      </c>
    </row>
    <row r="34" spans="1:23" x14ac:dyDescent="0.15">
      <c r="A34" s="2" t="s">
        <v>127</v>
      </c>
      <c r="B34" s="2">
        <f ca="1">B8*numbers!$O$11</f>
        <v>7618950</v>
      </c>
      <c r="C34" s="2">
        <f ca="1">C8*numbers!$O$11</f>
        <v>814000</v>
      </c>
      <c r="D34" s="2">
        <f ca="1">D8*numbers!$O$11</f>
        <v>3256000</v>
      </c>
      <c r="E34" s="2">
        <f ca="1">E8*numbers!$O$11</f>
        <v>2848000</v>
      </c>
      <c r="F34" s="2">
        <f ca="1">F8*numbers!$O$11</f>
        <v>814000</v>
      </c>
      <c r="G34" s="2">
        <f ca="1">G8*numbers!$O$11</f>
        <v>814000</v>
      </c>
      <c r="I34" s="2" t="s">
        <v>127</v>
      </c>
      <c r="J34" s="2"/>
      <c r="K34" s="2">
        <f ca="1">C34*numbers!$R$7</f>
        <v>1.7094000000000002E-3</v>
      </c>
      <c r="L34" s="2">
        <f ca="1">D34*numbers!$R$7</f>
        <v>6.837600000000001E-3</v>
      </c>
      <c r="M34" s="2">
        <f ca="1">E34*numbers!$R$7</f>
        <v>5.9808000000000005E-3</v>
      </c>
      <c r="N34" s="2">
        <f ca="1">F34*numbers!$R$7</f>
        <v>1.7094000000000002E-3</v>
      </c>
      <c r="O34" s="2">
        <f ca="1">G34*numbers!$R$7</f>
        <v>1.7094000000000002E-3</v>
      </c>
      <c r="Q34" s="2" t="s">
        <v>181</v>
      </c>
      <c r="R34" s="2">
        <f t="shared" si="10"/>
        <v>1</v>
      </c>
      <c r="S34" s="2">
        <f t="shared" si="11"/>
        <v>1.8720947123747771</v>
      </c>
      <c r="T34" s="2">
        <f t="shared" si="12"/>
        <v>1.8720947123747771</v>
      </c>
      <c r="U34" s="2">
        <f t="shared" si="13"/>
        <v>1.8720947123747771</v>
      </c>
      <c r="V34" s="2">
        <f t="shared" si="14"/>
        <v>1.8720947123747771</v>
      </c>
      <c r="W34" s="2">
        <f t="shared" si="15"/>
        <v>1.8720947123747771</v>
      </c>
    </row>
    <row r="35" spans="1:23" x14ac:dyDescent="0.15">
      <c r="A35" s="2" t="s">
        <v>128</v>
      </c>
      <c r="B35" s="2">
        <f ca="1">B9*numbers!$O$11</f>
        <v>2142591430</v>
      </c>
      <c r="C35" s="2">
        <f ca="1">C9*numbers!$O$11</f>
        <v>140067000</v>
      </c>
      <c r="D35" s="2">
        <f ca="1">D9*numbers!$O$11</f>
        <v>560268000</v>
      </c>
      <c r="E35" s="2">
        <f ca="1">E9*numbers!$O$11</f>
        <v>486518999.99999994</v>
      </c>
      <c r="F35" s="2">
        <f ca="1">F9*numbers!$O$11</f>
        <v>140067000</v>
      </c>
      <c r="G35" s="2">
        <f ca="1">G9*numbers!$O$11</f>
        <v>140067000</v>
      </c>
      <c r="I35" s="2" t="s">
        <v>128</v>
      </c>
      <c r="K35" s="2">
        <f ca="1">C35*numbers!$R$7</f>
        <v>0.29414070000000003</v>
      </c>
      <c r="L35" s="2">
        <f ca="1">D35*numbers!$R$7</f>
        <v>1.1765628000000001</v>
      </c>
      <c r="M35" s="2">
        <f ca="1">E35*numbers!$R$7</f>
        <v>1.0216898999999999</v>
      </c>
      <c r="N35" s="2">
        <f ca="1">F35*numbers!$R$7</f>
        <v>0.29414070000000003</v>
      </c>
      <c r="O35" s="2">
        <f ca="1">G35*numbers!$R$7</f>
        <v>0.29414070000000003</v>
      </c>
      <c r="Q35" s="2" t="s">
        <v>183</v>
      </c>
      <c r="R35" s="2">
        <f t="shared" si="10"/>
        <v>1</v>
      </c>
      <c r="S35" s="2">
        <f t="shared" si="11"/>
        <v>2.6959943858650419</v>
      </c>
      <c r="T35" s="2">
        <f t="shared" si="12"/>
        <v>2.6959943858650419</v>
      </c>
      <c r="U35" s="2">
        <f t="shared" si="13"/>
        <v>2.6959943858650419</v>
      </c>
      <c r="V35" s="2">
        <f t="shared" si="14"/>
        <v>2.6959943858650419</v>
      </c>
      <c r="W35" s="2">
        <f t="shared" si="15"/>
        <v>2.6959943858650419</v>
      </c>
    </row>
    <row r="36" spans="1:23" x14ac:dyDescent="0.15">
      <c r="A36" s="2" t="s">
        <v>129</v>
      </c>
      <c r="B36" s="2">
        <f ca="1">B10*numbers!$O$11</f>
        <v>1368318351</v>
      </c>
      <c r="C36" s="2">
        <f ca="1">C10*numbers!$O$11</f>
        <v>65792999.999999993</v>
      </c>
      <c r="D36" s="2">
        <f ca="1">D10*numbers!$O$11</f>
        <v>263171999.99999997</v>
      </c>
      <c r="E36" s="2">
        <f ca="1">E10*numbers!$O$11</f>
        <v>226269000</v>
      </c>
      <c r="F36" s="2">
        <f ca="1">F10*numbers!$O$11</f>
        <v>65792999.999999993</v>
      </c>
      <c r="G36" s="2">
        <f ca="1">G10*numbers!$O$11</f>
        <v>65792999.999999993</v>
      </c>
      <c r="I36" s="2" t="s">
        <v>129</v>
      </c>
      <c r="K36" s="2">
        <f ca="1">C36*numbers!$R$7</f>
        <v>0.13816529999999999</v>
      </c>
      <c r="L36" s="2">
        <f ca="1">D36*numbers!$R$7</f>
        <v>0.55266119999999996</v>
      </c>
      <c r="M36" s="2">
        <f ca="1">E36*numbers!$R$7</f>
        <v>0.47516490000000006</v>
      </c>
      <c r="N36" s="2">
        <f ca="1">F36*numbers!$R$7</f>
        <v>0.13816529999999999</v>
      </c>
      <c r="O36" s="2">
        <f ca="1">G36*numbers!$R$7</f>
        <v>0.13816529999999999</v>
      </c>
      <c r="Q36" s="2" t="s">
        <v>107</v>
      </c>
      <c r="R36">
        <f ca="1">GEOMEAN(R16:R35)</f>
        <v>1</v>
      </c>
      <c r="S36" s="2">
        <f t="shared" ref="S36:W36" ca="1" si="16">GEOMEAN(S16:S35)</f>
        <v>0.15674798562321451</v>
      </c>
      <c r="T36" s="2">
        <f t="shared" ca="1" si="16"/>
        <v>0.47517103715247988</v>
      </c>
      <c r="U36" s="2">
        <f t="shared" ca="1" si="16"/>
        <v>0.4255687508786738</v>
      </c>
      <c r="V36" s="2">
        <f t="shared" ca="1" si="16"/>
        <v>0.15674798562321451</v>
      </c>
      <c r="W36" s="2">
        <f t="shared" ca="1" si="16"/>
        <v>0.15674798562321451</v>
      </c>
    </row>
    <row r="37" spans="1:23" x14ac:dyDescent="0.15">
      <c r="A37" s="2" t="s">
        <v>53</v>
      </c>
      <c r="B37" s="2">
        <f ca="1">B11*numbers!$O$11</f>
        <v>1123164770</v>
      </c>
      <c r="C37" s="2">
        <f ca="1">C11*numbers!$O$11</f>
        <v>43262999.999999993</v>
      </c>
      <c r="D37" s="2">
        <f ca="1">D11*numbers!$O$11</f>
        <v>173051999.99999997</v>
      </c>
      <c r="E37" s="2">
        <f ca="1">E11*numbers!$O$11</f>
        <v>151394999.99999997</v>
      </c>
      <c r="F37" s="2">
        <f ca="1">F11*numbers!$O$11</f>
        <v>43262999.999999993</v>
      </c>
      <c r="G37" s="2">
        <f ca="1">G11*numbers!$O$11</f>
        <v>43262999.999999993</v>
      </c>
      <c r="I37" s="2" t="s">
        <v>53</v>
      </c>
      <c r="K37" s="2">
        <f ca="1">C37*numbers!$R$7</f>
        <v>9.0852299999999997E-2</v>
      </c>
      <c r="L37" s="2">
        <f ca="1">D37*numbers!$R$7</f>
        <v>0.36340919999999999</v>
      </c>
      <c r="M37" s="2">
        <f ca="1">E37*numbers!$R$7</f>
        <v>0.31792949999999998</v>
      </c>
      <c r="N37" s="2">
        <f ca="1">F37*numbers!$R$7</f>
        <v>9.0852299999999997E-2</v>
      </c>
      <c r="O37" s="2">
        <f ca="1">G37*numbers!$R$7</f>
        <v>9.0852299999999997E-2</v>
      </c>
      <c r="R37">
        <f ca="1">1-R36</f>
        <v>0</v>
      </c>
      <c r="S37" s="2">
        <f t="shared" ref="S37:W37" ca="1" si="17">1-S36</f>
        <v>0.84325201437678543</v>
      </c>
      <c r="T37" s="2">
        <f t="shared" ca="1" si="17"/>
        <v>0.52482896284752012</v>
      </c>
      <c r="U37" s="2">
        <f t="shared" ca="1" si="17"/>
        <v>0.57443124912132615</v>
      </c>
      <c r="V37" s="2">
        <f t="shared" ca="1" si="17"/>
        <v>0.84325201437678543</v>
      </c>
      <c r="W37" s="2">
        <f t="shared" ca="1" si="17"/>
        <v>0.84325201437678543</v>
      </c>
    </row>
    <row r="38" spans="1:23" x14ac:dyDescent="0.15">
      <c r="A38" s="12" t="s">
        <v>180</v>
      </c>
      <c r="B38" s="2">
        <f ca="1">B12*numbers!$O$11</f>
        <v>6775223</v>
      </c>
      <c r="C38" s="2">
        <f ca="1">C12*numbers!$O$11</f>
        <v>5272000</v>
      </c>
      <c r="D38" s="2">
        <f ca="1">D12*numbers!$O$11</f>
        <v>21088000</v>
      </c>
      <c r="E38" s="2">
        <f ca="1">E12*numbers!$O$11</f>
        <v>17944000</v>
      </c>
      <c r="F38" s="2">
        <f ca="1">F12*numbers!$O$11</f>
        <v>5272000</v>
      </c>
      <c r="G38" s="2">
        <f ca="1">G12*numbers!$O$11</f>
        <v>5272000</v>
      </c>
      <c r="I38" s="12" t="s">
        <v>180</v>
      </c>
      <c r="K38" s="2">
        <f ca="1">C38*numbers!$R$7</f>
        <v>1.1071200000000002E-2</v>
      </c>
      <c r="L38" s="2">
        <f ca="1">D38*numbers!$R$7</f>
        <v>4.4284800000000006E-2</v>
      </c>
      <c r="M38" s="2">
        <f ca="1">E38*numbers!$R$7</f>
        <v>3.7682400000000005E-2</v>
      </c>
      <c r="N38" s="2">
        <f ca="1">F38*numbers!$R$7</f>
        <v>1.1071200000000002E-2</v>
      </c>
      <c r="O38" s="2">
        <f ca="1">G38*numbers!$R$7</f>
        <v>1.1071200000000002E-2</v>
      </c>
    </row>
    <row r="39" spans="1:23" x14ac:dyDescent="0.15">
      <c r="A39" s="12" t="s">
        <v>182</v>
      </c>
      <c r="B39" s="2">
        <f ca="1">B13*numbers!$O$11</f>
        <v>13149654</v>
      </c>
      <c r="C39" s="2">
        <f ca="1">C13*numbers!$O$11</f>
        <v>10432000</v>
      </c>
      <c r="D39" s="2">
        <f ca="1">D13*numbers!$O$11</f>
        <v>41728000</v>
      </c>
      <c r="E39" s="2">
        <f ca="1">E13*numbers!$O$11</f>
        <v>35488000</v>
      </c>
      <c r="F39" s="2">
        <f ca="1">F13*numbers!$O$11</f>
        <v>10432000</v>
      </c>
      <c r="G39" s="2">
        <f ca="1">G13*numbers!$O$11</f>
        <v>10432000</v>
      </c>
      <c r="I39" s="12" t="s">
        <v>182</v>
      </c>
      <c r="K39" s="2">
        <f ca="1">C39*numbers!$R$7</f>
        <v>2.1907200000000002E-2</v>
      </c>
      <c r="L39" s="2">
        <f ca="1">D39*numbers!$R$7</f>
        <v>8.7628800000000007E-2</v>
      </c>
      <c r="M39" s="2">
        <f ca="1">E39*numbers!$R$7</f>
        <v>7.4524800000000002E-2</v>
      </c>
      <c r="N39" s="2">
        <f ca="1">F39*numbers!$R$7</f>
        <v>2.1907200000000002E-2</v>
      </c>
      <c r="O39" s="2">
        <f ca="1">G39*numbers!$R$7</f>
        <v>2.1907200000000002E-2</v>
      </c>
    </row>
    <row r="40" spans="1:23" x14ac:dyDescent="0.15">
      <c r="A40" s="12" t="s">
        <v>184</v>
      </c>
      <c r="B40" s="2">
        <f ca="1">B14*numbers!$O$11</f>
        <v>122820258</v>
      </c>
      <c r="C40" s="2">
        <f ca="1">C14*numbers!$O$11</f>
        <v>5193999.9999999991</v>
      </c>
      <c r="D40" s="2">
        <f ca="1">D14*numbers!$O$11</f>
        <v>20775999.999999996</v>
      </c>
      <c r="E40" s="2">
        <f ca="1">E14*numbers!$O$11</f>
        <v>17697999.999999996</v>
      </c>
      <c r="F40" s="2">
        <f ca="1">F14*numbers!$O$11</f>
        <v>5193999.9999999991</v>
      </c>
      <c r="G40" s="2">
        <f ca="1">G14*numbers!$O$11</f>
        <v>5193999.9999999991</v>
      </c>
      <c r="I40" s="12" t="s">
        <v>184</v>
      </c>
      <c r="K40" s="2">
        <f ca="1">C40*numbers!$R$7</f>
        <v>1.0907399999999999E-2</v>
      </c>
      <c r="L40" s="2">
        <f ca="1">D40*numbers!$R$7</f>
        <v>4.3629599999999998E-2</v>
      </c>
      <c r="M40" s="2">
        <f ca="1">E40*numbers!$R$7</f>
        <v>3.7165799999999999E-2</v>
      </c>
      <c r="N40" s="2">
        <f ca="1">F40*numbers!$R$7</f>
        <v>1.0907399999999999E-2</v>
      </c>
      <c r="O40" s="2">
        <f ca="1">G40*numbers!$R$7</f>
        <v>1.0907399999999999E-2</v>
      </c>
    </row>
    <row r="41" spans="1:23" x14ac:dyDescent="0.15">
      <c r="A41" s="12" t="s">
        <v>185</v>
      </c>
      <c r="B41" s="2">
        <f ca="1">B15*numbers!$O$11</f>
        <v>123723582</v>
      </c>
      <c r="C41" s="2">
        <f ca="1">C15*numbers!$O$11</f>
        <v>3753999.9999999995</v>
      </c>
      <c r="D41" s="2">
        <f ca="1">D15*numbers!$O$11</f>
        <v>15015999.999999998</v>
      </c>
      <c r="E41" s="2">
        <f ca="1">E15*numbers!$O$11</f>
        <v>13377999.999999998</v>
      </c>
      <c r="F41" s="2">
        <f ca="1">F15*numbers!$O$11</f>
        <v>3753999.9999999995</v>
      </c>
      <c r="G41" s="2">
        <f ca="1">G15*numbers!$O$11</f>
        <v>3753999.9999999995</v>
      </c>
      <c r="I41" s="12" t="s">
        <v>185</v>
      </c>
      <c r="K41" s="2">
        <f ca="1">C41*numbers!$R$7</f>
        <v>7.8834000000000005E-3</v>
      </c>
      <c r="L41" s="2">
        <f ca="1">D41*numbers!$R$7</f>
        <v>3.1533600000000002E-2</v>
      </c>
      <c r="M41" s="2">
        <f ca="1">E41*numbers!$R$7</f>
        <v>2.8093799999999999E-2</v>
      </c>
      <c r="N41" s="2">
        <f ca="1">F41*numbers!$R$7</f>
        <v>7.8834000000000005E-3</v>
      </c>
      <c r="O41" s="2">
        <f ca="1">G41*numbers!$R$7</f>
        <v>7.8834000000000005E-3</v>
      </c>
      <c r="Q41" s="1" t="s">
        <v>0</v>
      </c>
      <c r="R41" s="1" t="s">
        <v>63</v>
      </c>
      <c r="S41" s="1" t="s">
        <v>64</v>
      </c>
      <c r="T41" s="1" t="s">
        <v>65</v>
      </c>
      <c r="U41" s="1" t="s">
        <v>66</v>
      </c>
      <c r="V41" s="1" t="s">
        <v>67</v>
      </c>
      <c r="W41" s="1" t="s">
        <v>68</v>
      </c>
    </row>
    <row r="42" spans="1:23" x14ac:dyDescent="0.15">
      <c r="A42" s="12" t="s">
        <v>186</v>
      </c>
      <c r="B42" s="2">
        <f ca="1">B16*numbers!$O$11</f>
        <v>52831468481</v>
      </c>
      <c r="C42" s="2">
        <f ca="1">C16*numbers!$O$11</f>
        <v>98463999.999999985</v>
      </c>
      <c r="D42" s="2">
        <f ca="1">D16*numbers!$O$11</f>
        <v>393855999.99999994</v>
      </c>
      <c r="E42" s="2">
        <f ca="1">E16*numbers!$O$11</f>
        <v>344607999.99999994</v>
      </c>
      <c r="F42" s="2">
        <f ca="1">F16*numbers!$O$11</f>
        <v>98463999.999999985</v>
      </c>
      <c r="G42" s="2">
        <f ca="1">G16*numbers!$O$11</f>
        <v>98463999.999999985</v>
      </c>
      <c r="I42" s="12" t="s">
        <v>186</v>
      </c>
      <c r="K42" s="2">
        <f ca="1">C42*numbers!$R$7</f>
        <v>0.2067744</v>
      </c>
      <c r="L42" s="2">
        <f ca="1">D42*numbers!$R$7</f>
        <v>0.82709759999999999</v>
      </c>
      <c r="M42" s="2">
        <f ca="1">E42*numbers!$R$7</f>
        <v>0.7236767999999999</v>
      </c>
      <c r="N42" s="2">
        <f ca="1">F42*numbers!$R$7</f>
        <v>0.2067744</v>
      </c>
      <c r="O42" s="2">
        <f ca="1">G42*numbers!$R$7</f>
        <v>0.2067744</v>
      </c>
      <c r="Q42" s="2" t="s">
        <v>62</v>
      </c>
      <c r="R42" s="2">
        <f ca="1">ROUND($J53/J53,2)</f>
        <v>1</v>
      </c>
      <c r="S42" s="2">
        <f t="shared" ref="S42:W42" ca="1" si="18">ROUND($J53/K53,2)</f>
        <v>32.36</v>
      </c>
      <c r="T42" s="2">
        <f t="shared" ca="1" si="18"/>
        <v>8.09</v>
      </c>
      <c r="U42" s="2">
        <f t="shared" ca="1" si="18"/>
        <v>9.25</v>
      </c>
      <c r="V42" s="2">
        <f t="shared" ca="1" si="18"/>
        <v>32.36</v>
      </c>
      <c r="W42" s="2">
        <f t="shared" ca="1" si="18"/>
        <v>32.36</v>
      </c>
    </row>
    <row r="43" spans="1:23" x14ac:dyDescent="0.15">
      <c r="A43" s="12" t="s">
        <v>187</v>
      </c>
      <c r="B43" s="2">
        <f ca="1">B17*numbers!$O$11</f>
        <v>52875676514</v>
      </c>
      <c r="C43" s="2">
        <f ca="1">C17*numbers!$O$11</f>
        <v>98463999.999999985</v>
      </c>
      <c r="D43" s="2">
        <f ca="1">D17*numbers!$O$11</f>
        <v>393855999.99999994</v>
      </c>
      <c r="E43" s="2">
        <f ca="1">E17*numbers!$O$11</f>
        <v>344607999.99999994</v>
      </c>
      <c r="F43" s="2">
        <f ca="1">F17*numbers!$O$11</f>
        <v>98463999.999999985</v>
      </c>
      <c r="G43" s="2">
        <f ca="1">G17*numbers!$O$11</f>
        <v>98463999.999999985</v>
      </c>
      <c r="I43" s="12" t="s">
        <v>187</v>
      </c>
      <c r="K43" s="2">
        <f ca="1">C43*numbers!$R$7</f>
        <v>0.2067744</v>
      </c>
      <c r="L43" s="2">
        <f ca="1">D43*numbers!$R$7</f>
        <v>0.82709759999999999</v>
      </c>
      <c r="M43" s="2">
        <f ca="1">E43*numbers!$R$7</f>
        <v>0.7236767999999999</v>
      </c>
      <c r="N43" s="2">
        <f ca="1">F43*numbers!$R$7</f>
        <v>0.2067744</v>
      </c>
      <c r="O43" s="2">
        <f ca="1">G43*numbers!$R$7</f>
        <v>0.2067744</v>
      </c>
      <c r="Q43" s="2" t="s">
        <v>32</v>
      </c>
      <c r="R43" s="2">
        <f t="shared" ref="R43:R58" ca="1" si="19">ROUND($J54/J54,2)</f>
        <v>1</v>
      </c>
      <c r="S43" s="2">
        <f t="shared" ref="S43:S54" ca="1" si="20">ROUND($J54/K54,2)</f>
        <v>34.61</v>
      </c>
      <c r="T43" s="2">
        <f t="shared" ref="T43:T54" ca="1" si="21">ROUND($J54/L54,2)</f>
        <v>8.65</v>
      </c>
      <c r="U43" s="2">
        <f t="shared" ref="U43:U54" ca="1" si="22">ROUND($J54/M54,2)</f>
        <v>9.89</v>
      </c>
      <c r="V43" s="2">
        <f t="shared" ref="V43:V54" ca="1" si="23">ROUND($J54/N54,2)</f>
        <v>34.61</v>
      </c>
      <c r="W43" s="2">
        <f t="shared" ref="W43:W54" ca="1" si="24">ROUND($J54/O54,2)</f>
        <v>34.61</v>
      </c>
    </row>
    <row r="44" spans="1:23" x14ac:dyDescent="0.15">
      <c r="A44" s="12" t="s">
        <v>188</v>
      </c>
      <c r="B44" s="2">
        <f ca="1">B18*numbers!$O$11</f>
        <v>1562376054</v>
      </c>
      <c r="C44" s="2">
        <f ca="1">C18*numbers!$O$11</f>
        <v>10172000</v>
      </c>
      <c r="D44" s="2">
        <f ca="1">D18*numbers!$O$11</f>
        <v>40688000</v>
      </c>
      <c r="E44" s="2">
        <f ca="1">E18*numbers!$O$11</f>
        <v>36428000</v>
      </c>
      <c r="F44" s="2">
        <f ca="1">F18*numbers!$O$11</f>
        <v>10172000</v>
      </c>
      <c r="G44" s="2">
        <f ca="1">G18*numbers!$O$11</f>
        <v>10172000</v>
      </c>
      <c r="I44" s="12" t="s">
        <v>188</v>
      </c>
      <c r="K44" s="2">
        <f ca="1">C44*numbers!$R$7</f>
        <v>2.13612E-2</v>
      </c>
      <c r="L44" s="2">
        <f ca="1">D44*numbers!$R$7</f>
        <v>8.5444800000000001E-2</v>
      </c>
      <c r="M44" s="2">
        <f ca="1">E44*numbers!$R$7</f>
        <v>7.6498800000000006E-2</v>
      </c>
      <c r="N44" s="2">
        <f ca="1">F44*numbers!$R$7</f>
        <v>2.13612E-2</v>
      </c>
      <c r="O44" s="2">
        <f ca="1">G44*numbers!$R$7</f>
        <v>2.13612E-2</v>
      </c>
      <c r="Q44" s="2" t="s">
        <v>25</v>
      </c>
      <c r="R44" s="2">
        <f t="shared" ca="1" si="19"/>
        <v>1</v>
      </c>
      <c r="S44" s="2">
        <f t="shared" ca="1" si="20"/>
        <v>36.299999999999997</v>
      </c>
      <c r="T44" s="2">
        <f t="shared" ca="1" si="21"/>
        <v>9.08</v>
      </c>
      <c r="U44" s="2">
        <f t="shared" ca="1" si="22"/>
        <v>10.37</v>
      </c>
      <c r="V44" s="2">
        <f t="shared" ca="1" si="23"/>
        <v>36.299999999999997</v>
      </c>
      <c r="W44" s="2">
        <f t="shared" ca="1" si="24"/>
        <v>36.299999999999997</v>
      </c>
    </row>
    <row r="45" spans="1:23" x14ac:dyDescent="0.15">
      <c r="A45" s="2" t="s">
        <v>178</v>
      </c>
      <c r="B45" s="2">
        <f>B19*numbers!$O$11</f>
        <v>2897597836</v>
      </c>
      <c r="C45" s="2">
        <f>C19*numbers!$O$11</f>
        <v>2897597836</v>
      </c>
      <c r="D45" s="2">
        <f>D19*numbers!$O$11</f>
        <v>2897597836</v>
      </c>
      <c r="E45" s="2">
        <f>E19*numbers!$O$11</f>
        <v>2897597836</v>
      </c>
      <c r="F45" s="2">
        <f>F19*numbers!$O$11</f>
        <v>2897597836</v>
      </c>
      <c r="G45" s="2">
        <f>G19*numbers!$O$11</f>
        <v>2897597836</v>
      </c>
      <c r="I45" s="2" t="s">
        <v>178</v>
      </c>
      <c r="K45" s="2">
        <f>C45*numbers!$R$7</f>
        <v>6.0849554556000003</v>
      </c>
      <c r="L45" s="2">
        <f>D45*numbers!$R$7</f>
        <v>6.0849554556000003</v>
      </c>
      <c r="M45" s="2">
        <f>E45*numbers!$R$7</f>
        <v>6.0849554556000003</v>
      </c>
      <c r="N45" s="2">
        <f>F45*numbers!$R$7</f>
        <v>6.0849554556000003</v>
      </c>
      <c r="O45" s="2">
        <f>G45*numbers!$R$7</f>
        <v>6.0849554556000003</v>
      </c>
      <c r="Q45" s="2" t="s">
        <v>39</v>
      </c>
      <c r="R45" s="2">
        <f t="shared" ca="1" si="19"/>
        <v>1</v>
      </c>
      <c r="S45" s="2">
        <f t="shared" ca="1" si="20"/>
        <v>32.380000000000003</v>
      </c>
      <c r="T45" s="2">
        <f t="shared" ca="1" si="21"/>
        <v>8.09</v>
      </c>
      <c r="U45" s="2">
        <f t="shared" ca="1" si="22"/>
        <v>9.25</v>
      </c>
      <c r="V45" s="2">
        <f t="shared" ca="1" si="23"/>
        <v>32.380000000000003</v>
      </c>
      <c r="W45" s="2">
        <f t="shared" ca="1" si="24"/>
        <v>32.380000000000003</v>
      </c>
    </row>
    <row r="46" spans="1:23" x14ac:dyDescent="0.15">
      <c r="A46" s="2" t="s">
        <v>179</v>
      </c>
      <c r="B46" s="2">
        <f>B20*numbers!$O$11</f>
        <v>12264384</v>
      </c>
      <c r="C46" s="2">
        <f>C20*numbers!$O$11</f>
        <v>12264384</v>
      </c>
      <c r="D46" s="2">
        <f>D20*numbers!$O$11</f>
        <v>12264384</v>
      </c>
      <c r="E46" s="2">
        <f>E20*numbers!$O$11</f>
        <v>12264384</v>
      </c>
      <c r="F46" s="2">
        <f>F20*numbers!$O$11</f>
        <v>12264384</v>
      </c>
      <c r="G46" s="2">
        <f>G20*numbers!$O$11</f>
        <v>12264384</v>
      </c>
      <c r="I46" s="2" t="s">
        <v>179</v>
      </c>
      <c r="K46" s="2">
        <f>C46*numbers!$R$7</f>
        <v>2.5755206400000001E-2</v>
      </c>
      <c r="L46" s="2">
        <f>D46*numbers!$R$7</f>
        <v>2.5755206400000001E-2</v>
      </c>
      <c r="M46" s="2">
        <f>E46*numbers!$R$7</f>
        <v>2.5755206400000001E-2</v>
      </c>
      <c r="N46" s="2">
        <f>F46*numbers!$R$7</f>
        <v>2.5755206400000001E-2</v>
      </c>
      <c r="O46" s="2">
        <f>G46*numbers!$R$7</f>
        <v>2.5755206400000001E-2</v>
      </c>
      <c r="Q46" s="2" t="s">
        <v>46</v>
      </c>
      <c r="R46" s="2">
        <f t="shared" ca="1" si="19"/>
        <v>1</v>
      </c>
      <c r="S46" s="2">
        <f t="shared" ca="1" si="20"/>
        <v>34.93</v>
      </c>
      <c r="T46" s="2">
        <f t="shared" ca="1" si="21"/>
        <v>8.73</v>
      </c>
      <c r="U46" s="2">
        <f t="shared" ca="1" si="22"/>
        <v>9.98</v>
      </c>
      <c r="V46" s="2">
        <f t="shared" ca="1" si="23"/>
        <v>34.93</v>
      </c>
      <c r="W46" s="2">
        <f t="shared" ca="1" si="24"/>
        <v>34.93</v>
      </c>
    </row>
    <row r="47" spans="1:23" x14ac:dyDescent="0.15">
      <c r="A47" s="2" t="s">
        <v>181</v>
      </c>
      <c r="B47" s="2">
        <f>B21*numbers!$O$11</f>
        <v>23550254</v>
      </c>
      <c r="C47" s="2">
        <f>C21*numbers!$O$11</f>
        <v>23550254</v>
      </c>
      <c r="D47" s="2">
        <f>D21*numbers!$O$11</f>
        <v>23550254</v>
      </c>
      <c r="E47" s="2">
        <f>E21*numbers!$O$11</f>
        <v>23550254</v>
      </c>
      <c r="F47" s="2">
        <f>F21*numbers!$O$11</f>
        <v>23550254</v>
      </c>
      <c r="G47" s="2">
        <f>G21*numbers!$O$11</f>
        <v>23550254</v>
      </c>
      <c r="I47" s="2" t="s">
        <v>181</v>
      </c>
      <c r="K47" s="2">
        <f>C47*numbers!$R$7</f>
        <v>4.9455533400000001E-2</v>
      </c>
      <c r="L47" s="2">
        <f>D47*numbers!$R$7</f>
        <v>4.9455533400000001E-2</v>
      </c>
      <c r="M47" s="2">
        <f>E47*numbers!$R$7</f>
        <v>4.9455533400000001E-2</v>
      </c>
      <c r="N47" s="2">
        <f>F47*numbers!$R$7</f>
        <v>4.9455533400000001E-2</v>
      </c>
      <c r="O47" s="2">
        <f>G47*numbers!$R$7</f>
        <v>4.9455533400000001E-2</v>
      </c>
      <c r="Q47" s="2" t="s">
        <v>53</v>
      </c>
      <c r="R47" s="2">
        <f t="shared" ca="1" si="19"/>
        <v>1</v>
      </c>
      <c r="S47" s="2">
        <f t="shared" ca="1" si="20"/>
        <v>2.67</v>
      </c>
      <c r="T47" s="2">
        <f t="shared" ca="1" si="21"/>
        <v>0.67</v>
      </c>
      <c r="U47" s="2">
        <f t="shared" ca="1" si="22"/>
        <v>0.76</v>
      </c>
      <c r="V47" s="2">
        <f t="shared" ca="1" si="23"/>
        <v>2.67</v>
      </c>
      <c r="W47" s="2">
        <f t="shared" ca="1" si="24"/>
        <v>2.67</v>
      </c>
    </row>
    <row r="48" spans="1:23" x14ac:dyDescent="0.15">
      <c r="A48" s="2" t="s">
        <v>183</v>
      </c>
      <c r="B48" s="2">
        <f>B22*numbers!$O$11</f>
        <v>13718909751</v>
      </c>
      <c r="C48" s="2">
        <f>C22*numbers!$O$11</f>
        <v>13718909751</v>
      </c>
      <c r="D48" s="2">
        <f>D22*numbers!$O$11</f>
        <v>13718909751</v>
      </c>
      <c r="E48" s="2">
        <f>E22*numbers!$O$11</f>
        <v>13718909751</v>
      </c>
      <c r="F48" s="2">
        <f>F22*numbers!$O$11</f>
        <v>13718909751</v>
      </c>
      <c r="G48" s="2">
        <f>G22*numbers!$O$11</f>
        <v>13718909751</v>
      </c>
      <c r="I48" s="2" t="s">
        <v>183</v>
      </c>
      <c r="K48" s="2">
        <f>C48*numbers!$R$7</f>
        <v>28.809710477100001</v>
      </c>
      <c r="L48" s="2">
        <f>D48*numbers!$R$7</f>
        <v>28.809710477100001</v>
      </c>
      <c r="M48" s="2">
        <f>E48*numbers!$R$7</f>
        <v>28.809710477100001</v>
      </c>
      <c r="N48" s="2">
        <f>F48*numbers!$R$7</f>
        <v>28.809710477100001</v>
      </c>
      <c r="O48" s="2">
        <f>G48*numbers!$R$7</f>
        <v>28.809710477100001</v>
      </c>
      <c r="Q48" s="12" t="s">
        <v>180</v>
      </c>
      <c r="R48" s="2">
        <f t="shared" ca="1" si="19"/>
        <v>1</v>
      </c>
      <c r="S48" s="2">
        <f t="shared" ca="1" si="20"/>
        <v>4.4400000000000004</v>
      </c>
      <c r="T48" s="2">
        <f t="shared" ca="1" si="21"/>
        <v>1.1100000000000001</v>
      </c>
      <c r="U48" s="2">
        <f t="shared" ca="1" si="22"/>
        <v>1.28</v>
      </c>
      <c r="V48" s="2">
        <f t="shared" ca="1" si="23"/>
        <v>4.4400000000000004</v>
      </c>
      <c r="W48" s="2">
        <f t="shared" ca="1" si="24"/>
        <v>4.4400000000000004</v>
      </c>
    </row>
    <row r="49" spans="9:23" x14ac:dyDescent="0.15">
      <c r="Q49" s="12" t="s">
        <v>182</v>
      </c>
      <c r="R49" s="2">
        <f t="shared" ca="1" si="19"/>
        <v>1</v>
      </c>
      <c r="S49" s="2">
        <f t="shared" ca="1" si="20"/>
        <v>6.04</v>
      </c>
      <c r="T49" s="2">
        <f t="shared" ca="1" si="21"/>
        <v>1.51</v>
      </c>
      <c r="U49" s="2">
        <f t="shared" ca="1" si="22"/>
        <v>1.76</v>
      </c>
      <c r="V49" s="2">
        <f t="shared" ca="1" si="23"/>
        <v>6.04</v>
      </c>
      <c r="W49" s="2">
        <f t="shared" ca="1" si="24"/>
        <v>6.04</v>
      </c>
    </row>
    <row r="50" spans="9:23" s="2" customFormat="1" x14ac:dyDescent="0.15">
      <c r="Q50" s="12" t="s">
        <v>184</v>
      </c>
      <c r="R50" s="2">
        <f t="shared" ca="1" si="19"/>
        <v>1</v>
      </c>
      <c r="S50" s="2">
        <f t="shared" ca="1" si="20"/>
        <v>7.54</v>
      </c>
      <c r="T50" s="2">
        <f t="shared" ca="1" si="21"/>
        <v>1.89</v>
      </c>
      <c r="U50" s="2">
        <f t="shared" ca="1" si="22"/>
        <v>2.16</v>
      </c>
      <c r="V50" s="2">
        <f t="shared" ca="1" si="23"/>
        <v>7.54</v>
      </c>
      <c r="W50" s="2">
        <f t="shared" ca="1" si="24"/>
        <v>7.54</v>
      </c>
    </row>
    <row r="51" spans="9:23" s="2" customFormat="1" x14ac:dyDescent="0.15">
      <c r="I51"/>
      <c r="J51" s="22" t="s">
        <v>85</v>
      </c>
      <c r="K51" s="22"/>
      <c r="L51" s="22"/>
      <c r="M51" s="22"/>
      <c r="N51" s="22"/>
      <c r="O51" s="22"/>
      <c r="Q51" s="12" t="s">
        <v>185</v>
      </c>
      <c r="R51" s="2">
        <f t="shared" ca="1" si="19"/>
        <v>1</v>
      </c>
      <c r="S51" s="2">
        <f t="shared" ca="1" si="20"/>
        <v>0.36</v>
      </c>
      <c r="T51" s="2">
        <f t="shared" ca="1" si="21"/>
        <v>0.09</v>
      </c>
      <c r="U51" s="2">
        <f t="shared" ca="1" si="22"/>
        <v>0.11</v>
      </c>
      <c r="V51" s="2">
        <f t="shared" ca="1" si="23"/>
        <v>0.36</v>
      </c>
      <c r="W51" s="2">
        <f t="shared" ca="1" si="24"/>
        <v>0.36</v>
      </c>
    </row>
    <row r="52" spans="9:23" s="2" customFormat="1" x14ac:dyDescent="0.15">
      <c r="I52" s="1" t="s">
        <v>0</v>
      </c>
      <c r="J52" s="1" t="s">
        <v>63</v>
      </c>
      <c r="K52" s="1" t="s">
        <v>64</v>
      </c>
      <c r="L52" s="1" t="s">
        <v>65</v>
      </c>
      <c r="M52" s="1" t="s">
        <v>66</v>
      </c>
      <c r="N52" s="1" t="s">
        <v>67</v>
      </c>
      <c r="O52" s="1" t="s">
        <v>68</v>
      </c>
      <c r="Q52" s="12" t="s">
        <v>186</v>
      </c>
      <c r="R52" s="2">
        <f t="shared" ca="1" si="19"/>
        <v>1</v>
      </c>
      <c r="S52" s="2">
        <f t="shared" ca="1" si="20"/>
        <v>0.36</v>
      </c>
      <c r="T52" s="2">
        <f t="shared" ca="1" si="21"/>
        <v>0.09</v>
      </c>
      <c r="U52" s="2">
        <f t="shared" ca="1" si="22"/>
        <v>0.11</v>
      </c>
      <c r="V52" s="2">
        <f t="shared" ca="1" si="23"/>
        <v>0.36</v>
      </c>
      <c r="W52" s="2">
        <f t="shared" ca="1" si="24"/>
        <v>0.36</v>
      </c>
    </row>
    <row r="53" spans="9:23" s="2" customFormat="1" x14ac:dyDescent="0.15">
      <c r="I53" s="2" t="s">
        <v>62</v>
      </c>
      <c r="J53">
        <f t="shared" ref="J53:O61" ca="1" si="25">J29+J3</f>
        <v>1.6757627292293247</v>
      </c>
      <c r="K53" s="2">
        <f t="shared" ca="1" si="25"/>
        <v>5.1779245619199998E-2</v>
      </c>
      <c r="L53" s="2">
        <f t="shared" ca="1" si="25"/>
        <v>0.20711698247679999</v>
      </c>
      <c r="M53" s="2">
        <f t="shared" ca="1" si="25"/>
        <v>0.18121039559679999</v>
      </c>
      <c r="N53" s="2">
        <f t="shared" ca="1" si="25"/>
        <v>5.1779245619199998E-2</v>
      </c>
      <c r="O53" s="2">
        <f t="shared" ca="1" si="25"/>
        <v>5.1779245619199998E-2</v>
      </c>
      <c r="Q53" s="12" t="s">
        <v>187</v>
      </c>
      <c r="R53" s="2">
        <f t="shared" ca="1" si="19"/>
        <v>1</v>
      </c>
      <c r="S53" s="2">
        <f t="shared" ca="1" si="20"/>
        <v>6.82</v>
      </c>
      <c r="T53" s="2">
        <f t="shared" ca="1" si="21"/>
        <v>1.71</v>
      </c>
      <c r="U53" s="2">
        <f t="shared" ca="1" si="22"/>
        <v>2</v>
      </c>
      <c r="V53" s="2">
        <f t="shared" ca="1" si="23"/>
        <v>6.82</v>
      </c>
      <c r="W53" s="2">
        <f t="shared" ca="1" si="24"/>
        <v>6.82</v>
      </c>
    </row>
    <row r="54" spans="9:23" s="2" customFormat="1" x14ac:dyDescent="0.15">
      <c r="I54" s="2" t="s">
        <v>32</v>
      </c>
      <c r="J54" s="2">
        <f t="shared" ca="1" si="25"/>
        <v>3.5841583734217184</v>
      </c>
      <c r="K54" s="2">
        <f t="shared" ca="1" si="25"/>
        <v>0.1035584912384</v>
      </c>
      <c r="L54" s="2">
        <f t="shared" ca="1" si="25"/>
        <v>0.41423396495359999</v>
      </c>
      <c r="M54" s="2">
        <f t="shared" ca="1" si="25"/>
        <v>0.36242079119359999</v>
      </c>
      <c r="N54" s="2">
        <f t="shared" ca="1" si="25"/>
        <v>0.1035584912384</v>
      </c>
      <c r="O54" s="2">
        <f t="shared" ca="1" si="25"/>
        <v>0.1035584912384</v>
      </c>
      <c r="Q54" s="12" t="s">
        <v>188</v>
      </c>
      <c r="R54" s="2">
        <f t="shared" ca="1" si="19"/>
        <v>1</v>
      </c>
      <c r="S54" s="2">
        <f t="shared" ca="1" si="20"/>
        <v>9.52</v>
      </c>
      <c r="T54" s="2">
        <f t="shared" ca="1" si="21"/>
        <v>2.38</v>
      </c>
      <c r="U54" s="2">
        <f t="shared" ca="1" si="22"/>
        <v>2.67</v>
      </c>
      <c r="V54" s="2">
        <f t="shared" ca="1" si="23"/>
        <v>9.52</v>
      </c>
      <c r="W54" s="2">
        <f t="shared" ca="1" si="24"/>
        <v>9.52</v>
      </c>
    </row>
    <row r="55" spans="9:23" s="2" customFormat="1" x14ac:dyDescent="0.15">
      <c r="I55" s="2" t="s">
        <v>25</v>
      </c>
      <c r="J55" s="2">
        <f t="shared" ca="1" si="25"/>
        <v>5.6391293901160129</v>
      </c>
      <c r="K55" s="2">
        <f t="shared" ca="1" si="25"/>
        <v>0.1553377368576</v>
      </c>
      <c r="L55" s="2">
        <f t="shared" ca="1" si="25"/>
        <v>0.62135094743039998</v>
      </c>
      <c r="M55" s="2">
        <f t="shared" ca="1" si="25"/>
        <v>0.5436311867903999</v>
      </c>
      <c r="N55" s="2">
        <f t="shared" ca="1" si="25"/>
        <v>0.1553377368576</v>
      </c>
      <c r="O55" s="2">
        <f t="shared" ca="1" si="25"/>
        <v>0.1553377368576</v>
      </c>
      <c r="Q55" s="2" t="s">
        <v>178</v>
      </c>
      <c r="R55" s="2">
        <f t="shared" ca="1" si="19"/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</row>
    <row r="56" spans="9:23" s="2" customFormat="1" x14ac:dyDescent="0.15">
      <c r="I56" s="2" t="s">
        <v>39</v>
      </c>
      <c r="J56" s="2">
        <f t="shared" ca="1" si="25"/>
        <v>1.676379555225755</v>
      </c>
      <c r="K56" s="2">
        <f t="shared" ca="1" si="25"/>
        <v>5.1779245619199998E-2</v>
      </c>
      <c r="L56" s="2">
        <f t="shared" ca="1" si="25"/>
        <v>0.20711698247679999</v>
      </c>
      <c r="M56" s="2">
        <f t="shared" ca="1" si="25"/>
        <v>0.18121039559679999</v>
      </c>
      <c r="N56" s="2">
        <f t="shared" ca="1" si="25"/>
        <v>5.1779245619199998E-2</v>
      </c>
      <c r="O56" s="2">
        <f t="shared" ca="1" si="25"/>
        <v>5.1779245619199998E-2</v>
      </c>
      <c r="Q56" s="2" t="s">
        <v>179</v>
      </c>
      <c r="R56" s="2">
        <f t="shared" ca="1" si="19"/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</row>
    <row r="57" spans="9:23" s="2" customFormat="1" x14ac:dyDescent="0.15">
      <c r="I57" s="2" t="s">
        <v>46</v>
      </c>
      <c r="J57" s="2">
        <f t="shared" ca="1" si="25"/>
        <v>5.4257679516826558</v>
      </c>
      <c r="K57" s="2">
        <f t="shared" ca="1" si="25"/>
        <v>0.1553377368576</v>
      </c>
      <c r="L57" s="2">
        <f t="shared" ca="1" si="25"/>
        <v>0.62135094743039998</v>
      </c>
      <c r="M57" s="2">
        <f t="shared" ca="1" si="25"/>
        <v>0.5436311867903999</v>
      </c>
      <c r="N57" s="2">
        <f t="shared" ca="1" si="25"/>
        <v>0.1553377368576</v>
      </c>
      <c r="O57" s="2">
        <f t="shared" ca="1" si="25"/>
        <v>0.1553377368576</v>
      </c>
      <c r="Q57" s="2" t="s">
        <v>181</v>
      </c>
      <c r="R57" s="2">
        <f t="shared" ca="1" si="19"/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</row>
    <row r="58" spans="9:23" s="2" customFormat="1" x14ac:dyDescent="0.15">
      <c r="I58" s="2" t="s">
        <v>127</v>
      </c>
      <c r="J58" s="2">
        <f t="shared" ca="1" si="25"/>
        <v>4.5626772184636788E-3</v>
      </c>
      <c r="K58" s="2">
        <f t="shared" ca="1" si="25"/>
        <v>1.7094544268000003E-3</v>
      </c>
      <c r="L58" s="2">
        <f t="shared" ca="1" si="25"/>
        <v>6.8378177072000012E-3</v>
      </c>
      <c r="M58" s="2">
        <f t="shared" ca="1" si="25"/>
        <v>5.9809850672000002E-3</v>
      </c>
      <c r="N58" s="2">
        <f t="shared" ca="1" si="25"/>
        <v>1.7094544268000003E-3</v>
      </c>
      <c r="O58" s="2">
        <f t="shared" ca="1" si="25"/>
        <v>1.7094544268000003E-3</v>
      </c>
      <c r="Q58" s="2" t="s">
        <v>183</v>
      </c>
      <c r="R58" s="2">
        <f t="shared" si="19"/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</row>
    <row r="59" spans="9:23" s="2" customFormat="1" x14ac:dyDescent="0.15">
      <c r="I59" s="2" t="s">
        <v>128</v>
      </c>
      <c r="J59" s="2">
        <f t="shared" ca="1" si="25"/>
        <v>1.3069007097562166</v>
      </c>
      <c r="K59" s="2">
        <f t="shared" ca="1" si="25"/>
        <v>0.29415053663040003</v>
      </c>
      <c r="L59" s="2">
        <f t="shared" ca="1" si="25"/>
        <v>1.1766021465216001</v>
      </c>
      <c r="M59" s="2">
        <f t="shared" ca="1" si="25"/>
        <v>1.0217233466016</v>
      </c>
      <c r="N59" s="2">
        <f t="shared" ca="1" si="25"/>
        <v>0.29415053663040003</v>
      </c>
      <c r="O59" s="2">
        <f t="shared" ca="1" si="25"/>
        <v>0.29415053663040003</v>
      </c>
      <c r="Q59" t="s">
        <v>107</v>
      </c>
      <c r="R59">
        <f ca="1">GEOMEAN(R42:R58)</f>
        <v>1</v>
      </c>
      <c r="S59" s="2">
        <f t="shared" ref="S59:W59" ca="1" si="26">GEOMEAN(S42:S58)</f>
        <v>4.6331643537411278</v>
      </c>
      <c r="T59" s="2">
        <f t="shared" ca="1" si="26"/>
        <v>1.60583331068337</v>
      </c>
      <c r="U59" s="2">
        <f t="shared" ca="1" si="26"/>
        <v>1.7953914664871418</v>
      </c>
      <c r="V59" s="2">
        <f t="shared" ca="1" si="26"/>
        <v>4.6331643537411278</v>
      </c>
      <c r="W59" s="2">
        <f t="shared" ca="1" si="26"/>
        <v>4.6331643537411278</v>
      </c>
    </row>
    <row r="60" spans="9:23" s="2" customFormat="1" x14ac:dyDescent="0.15">
      <c r="I60" s="2" t="s">
        <v>129</v>
      </c>
      <c r="J60" s="2">
        <f t="shared" ca="1" si="25"/>
        <v>0.83455150689523594</v>
      </c>
      <c r="K60" s="2">
        <f t="shared" ca="1" si="25"/>
        <v>0.13817022125759998</v>
      </c>
      <c r="L60" s="2">
        <f t="shared" ca="1" si="25"/>
        <v>0.55268088503039992</v>
      </c>
      <c r="M60" s="2">
        <f t="shared" ca="1" si="25"/>
        <v>0.47518163279040004</v>
      </c>
      <c r="N60" s="2">
        <f t="shared" ca="1" si="25"/>
        <v>0.13817022125759998</v>
      </c>
      <c r="O60" s="2">
        <f t="shared" ca="1" si="25"/>
        <v>0.13817022125759998</v>
      </c>
      <c r="Q60"/>
      <c r="R60"/>
      <c r="S60">
        <f ca="1">$W59/S59</f>
        <v>1</v>
      </c>
      <c r="T60" s="2">
        <f ca="1">$W59/T59</f>
        <v>2.8852087716186823</v>
      </c>
      <c r="U60" s="2">
        <f ca="1">$W59/U59</f>
        <v>2.5805872647965544</v>
      </c>
      <c r="V60" s="2">
        <f ca="1">$W59/V59</f>
        <v>1</v>
      </c>
      <c r="W60" s="2">
        <f ca="1">$W59/W59</f>
        <v>1</v>
      </c>
    </row>
    <row r="61" spans="9:23" s="2" customFormat="1" x14ac:dyDescent="0.15">
      <c r="I61" s="2" t="s">
        <v>53</v>
      </c>
      <c r="J61" s="2">
        <f t="shared" ca="1" si="25"/>
        <v>0.68535115481508835</v>
      </c>
      <c r="K61" s="2">
        <f t="shared" ca="1" si="25"/>
        <v>9.0855189033600001E-2</v>
      </c>
      <c r="L61" s="2">
        <f t="shared" ca="1" si="25"/>
        <v>0.3634207561344</v>
      </c>
      <c r="M61" s="2">
        <f t="shared" ca="1" si="25"/>
        <v>0.31793932357439997</v>
      </c>
      <c r="N61" s="2">
        <f t="shared" ca="1" si="25"/>
        <v>9.0855189033600001E-2</v>
      </c>
      <c r="O61" s="2">
        <f t="shared" ca="1" si="25"/>
        <v>9.0855189033600001E-2</v>
      </c>
    </row>
    <row r="62" spans="9:23" s="2" customFormat="1" x14ac:dyDescent="0.15">
      <c r="I62" s="12" t="s">
        <v>180</v>
      </c>
      <c r="J62" s="2">
        <f t="shared" ref="J62:O72" ca="1" si="27">J38+J12</f>
        <v>3.9906015082446806E-3</v>
      </c>
      <c r="K62" s="2">
        <f t="shared" ca="1" si="27"/>
        <v>1.1071619206400001E-2</v>
      </c>
      <c r="L62" s="2">
        <f t="shared" ca="1" si="27"/>
        <v>4.4286476825600003E-2</v>
      </c>
      <c r="M62" s="2">
        <f t="shared" ca="1" si="27"/>
        <v>3.7683825305600008E-2</v>
      </c>
      <c r="N62" s="2">
        <f t="shared" ca="1" si="27"/>
        <v>1.1071619206400001E-2</v>
      </c>
      <c r="O62" s="2">
        <f t="shared" ca="1" si="27"/>
        <v>1.1071619206400001E-2</v>
      </c>
    </row>
    <row r="63" spans="9:23" s="2" customFormat="1" x14ac:dyDescent="0.15">
      <c r="I63" s="12" t="s">
        <v>182</v>
      </c>
      <c r="J63" s="2">
        <f t="shared" ca="1" si="27"/>
        <v>7.887169558639882E-3</v>
      </c>
      <c r="K63" s="2">
        <f t="shared" ca="1" si="27"/>
        <v>2.1908032006400003E-2</v>
      </c>
      <c r="L63" s="2">
        <f t="shared" ca="1" si="27"/>
        <v>8.7632128025600012E-2</v>
      </c>
      <c r="M63" s="2">
        <f t="shared" ca="1" si="27"/>
        <v>7.4527628825600004E-2</v>
      </c>
      <c r="N63" s="2">
        <f t="shared" ca="1" si="27"/>
        <v>2.1908032006400003E-2</v>
      </c>
      <c r="O63" s="2">
        <f t="shared" ca="1" si="27"/>
        <v>2.1908032006400003E-2</v>
      </c>
    </row>
    <row r="64" spans="9:23" s="2" customFormat="1" x14ac:dyDescent="0.15">
      <c r="I64" s="12" t="s">
        <v>184</v>
      </c>
      <c r="J64" s="2">
        <f t="shared" ca="1" si="27"/>
        <v>7.4436255895119083E-2</v>
      </c>
      <c r="K64" s="2">
        <f t="shared" ca="1" si="27"/>
        <v>1.0907810412799999E-2</v>
      </c>
      <c r="L64" s="2">
        <f t="shared" ca="1" si="27"/>
        <v>4.3631241651199998E-2</v>
      </c>
      <c r="M64" s="2">
        <f t="shared" ca="1" si="27"/>
        <v>3.7167195411199998E-2</v>
      </c>
      <c r="N64" s="2">
        <f t="shared" ca="1" si="27"/>
        <v>1.0907810412799999E-2</v>
      </c>
      <c r="O64" s="2">
        <f t="shared" ca="1" si="27"/>
        <v>1.0907810412799999E-2</v>
      </c>
    </row>
    <row r="65" spans="1:22" s="2" customFormat="1" x14ac:dyDescent="0.15">
      <c r="I65" s="12" t="s">
        <v>185</v>
      </c>
      <c r="J65" s="2">
        <f t="shared" ca="1" si="27"/>
        <v>7.5034921229050811E-2</v>
      </c>
      <c r="K65" s="2">
        <f t="shared" ca="1" si="27"/>
        <v>7.8836186048000002E-3</v>
      </c>
      <c r="L65" s="2">
        <f t="shared" ca="1" si="27"/>
        <v>3.1534474419200001E-2</v>
      </c>
      <c r="M65" s="2">
        <f t="shared" ca="1" si="27"/>
        <v>2.8094543379199997E-2</v>
      </c>
      <c r="N65" s="2">
        <f t="shared" ca="1" si="27"/>
        <v>7.8836186048000002E-3</v>
      </c>
      <c r="O65" s="2">
        <f t="shared" ca="1" si="27"/>
        <v>7.8836186048000002E-3</v>
      </c>
    </row>
    <row r="66" spans="1:22" s="2" customFormat="1" x14ac:dyDescent="0.15">
      <c r="I66" s="12" t="s">
        <v>186</v>
      </c>
      <c r="J66" s="2">
        <f t="shared" ca="1" si="27"/>
        <v>32.309189923102593</v>
      </c>
      <c r="K66" s="2">
        <f t="shared" ca="1" si="27"/>
        <v>0.20678096967679999</v>
      </c>
      <c r="L66" s="2">
        <f t="shared" ca="1" si="27"/>
        <v>0.82712387870719994</v>
      </c>
      <c r="M66" s="2">
        <f t="shared" ca="1" si="27"/>
        <v>0.72369913886719994</v>
      </c>
      <c r="N66" s="2">
        <f t="shared" ca="1" si="27"/>
        <v>0.20678096967679999</v>
      </c>
      <c r="O66" s="2">
        <f t="shared" ca="1" si="27"/>
        <v>0.20678096967679999</v>
      </c>
    </row>
    <row r="67" spans="1:22" s="2" customFormat="1" x14ac:dyDescent="0.15">
      <c r="I67" s="12" t="s">
        <v>187</v>
      </c>
      <c r="J67" s="2">
        <f t="shared" ca="1" si="27"/>
        <v>32.358743973866595</v>
      </c>
      <c r="K67" s="2">
        <f t="shared" ca="1" si="27"/>
        <v>0.20678096967679999</v>
      </c>
      <c r="L67" s="2">
        <f t="shared" ca="1" si="27"/>
        <v>0.82712387870719994</v>
      </c>
      <c r="M67" s="2">
        <f t="shared" ca="1" si="27"/>
        <v>0.72369913886719994</v>
      </c>
      <c r="N67" s="2">
        <f t="shared" ca="1" si="27"/>
        <v>0.20678096967679999</v>
      </c>
      <c r="O67" s="2">
        <f t="shared" ca="1" si="27"/>
        <v>0.20678096967679999</v>
      </c>
    </row>
    <row r="68" spans="1:22" s="2" customFormat="1" x14ac:dyDescent="0.15">
      <c r="I68" s="12" t="s">
        <v>188</v>
      </c>
      <c r="J68" s="2">
        <f t="shared" ca="1" si="27"/>
        <v>0.9519094492489184</v>
      </c>
      <c r="K68" s="2">
        <f t="shared" ca="1" si="27"/>
        <v>2.1361768614399999E-2</v>
      </c>
      <c r="L68" s="2">
        <f t="shared" ca="1" si="27"/>
        <v>8.5447074457599997E-2</v>
      </c>
      <c r="M68" s="2">
        <f t="shared" ca="1" si="27"/>
        <v>7.6500733657600004E-2</v>
      </c>
      <c r="N68" s="2">
        <f t="shared" ca="1" si="27"/>
        <v>2.1361768614399999E-2</v>
      </c>
      <c r="O68" s="2">
        <f t="shared" ca="1" si="27"/>
        <v>2.1361768614399999E-2</v>
      </c>
    </row>
    <row r="69" spans="1:22" s="2" customFormat="1" x14ac:dyDescent="0.15">
      <c r="I69" s="2" t="s">
        <v>178</v>
      </c>
      <c r="J69" s="2">
        <f t="shared" si="27"/>
        <v>3.79505506905</v>
      </c>
      <c r="K69" s="2">
        <f t="shared" si="27"/>
        <v>9.8800105246500003</v>
      </c>
      <c r="L69" s="2">
        <f t="shared" si="27"/>
        <v>9.8800105246500003</v>
      </c>
      <c r="M69" s="2">
        <f t="shared" si="27"/>
        <v>9.8800105246500003</v>
      </c>
      <c r="N69" s="2">
        <f t="shared" si="27"/>
        <v>9.8800105246500003</v>
      </c>
      <c r="O69" s="2">
        <f t="shared" si="27"/>
        <v>9.8800105246500003</v>
      </c>
    </row>
    <row r="70" spans="1:22" s="2" customFormat="1" x14ac:dyDescent="0.15">
      <c r="I70" s="2" t="s">
        <v>179</v>
      </c>
      <c r="J70" s="2">
        <f t="shared" si="27"/>
        <v>6.5685756420000005E-2</v>
      </c>
      <c r="K70" s="2">
        <f t="shared" si="27"/>
        <v>9.1440962819999999E-2</v>
      </c>
      <c r="L70" s="2">
        <f t="shared" si="27"/>
        <v>9.1440962819999999E-2</v>
      </c>
      <c r="M70" s="2">
        <f t="shared" si="27"/>
        <v>9.1440962819999999E-2</v>
      </c>
      <c r="N70" s="2">
        <f t="shared" si="27"/>
        <v>9.1440962819999999E-2</v>
      </c>
      <c r="O70" s="2">
        <f t="shared" si="27"/>
        <v>9.1440962819999999E-2</v>
      </c>
    </row>
    <row r="71" spans="1:22" s="2" customFormat="1" x14ac:dyDescent="0.15">
      <c r="I71" s="2" t="s">
        <v>181</v>
      </c>
      <c r="J71" s="2">
        <f t="shared" si="27"/>
        <v>5.6708901795000002E-2</v>
      </c>
      <c r="K71" s="2">
        <f t="shared" si="27"/>
        <v>0.106164435195</v>
      </c>
      <c r="L71" s="2">
        <f t="shared" si="27"/>
        <v>0.106164435195</v>
      </c>
      <c r="M71" s="2">
        <f t="shared" si="27"/>
        <v>0.106164435195</v>
      </c>
      <c r="N71" s="2">
        <f t="shared" si="27"/>
        <v>0.106164435195</v>
      </c>
      <c r="O71" s="2">
        <f t="shared" si="27"/>
        <v>0.106164435195</v>
      </c>
    </row>
    <row r="72" spans="1:22" s="2" customFormat="1" x14ac:dyDescent="0.15">
      <c r="I72" s="2" t="s">
        <v>183</v>
      </c>
      <c r="J72" s="2">
        <f t="shared" si="27"/>
        <v>16.986913823070001</v>
      </c>
      <c r="K72" s="2">
        <f t="shared" si="27"/>
        <v>45.796624300170002</v>
      </c>
      <c r="L72" s="2">
        <f t="shared" si="27"/>
        <v>45.796624300170002</v>
      </c>
      <c r="M72" s="2">
        <f t="shared" si="27"/>
        <v>45.796624300170002</v>
      </c>
      <c r="N72" s="2">
        <f t="shared" si="27"/>
        <v>45.796624300170002</v>
      </c>
      <c r="O72" s="2">
        <f t="shared" si="27"/>
        <v>45.796624300170002</v>
      </c>
    </row>
    <row r="73" spans="1:22" s="2" customFormat="1" x14ac:dyDescent="0.15"/>
    <row r="74" spans="1:22" x14ac:dyDescent="0.15">
      <c r="A74" s="22" t="s">
        <v>108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1:22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7" spans="1:22" x14ac:dyDescent="0.15">
      <c r="J77" s="22" t="s">
        <v>83</v>
      </c>
      <c r="K77" s="22"/>
      <c r="L77" s="22"/>
      <c r="M77" s="22"/>
      <c r="N77" s="22"/>
      <c r="O77" s="22"/>
    </row>
    <row r="78" spans="1:22" x14ac:dyDescent="0.15">
      <c r="A78" s="1" t="s">
        <v>0</v>
      </c>
      <c r="B78" s="1" t="s">
        <v>63</v>
      </c>
      <c r="C78" s="1" t="s">
        <v>64</v>
      </c>
      <c r="D78" s="1" t="s">
        <v>65</v>
      </c>
      <c r="E78" s="1" t="s">
        <v>66</v>
      </c>
      <c r="F78" s="1" t="s">
        <v>67</v>
      </c>
      <c r="G78" s="1" t="s">
        <v>68</v>
      </c>
      <c r="I78" s="1" t="s">
        <v>0</v>
      </c>
      <c r="J78" s="1" t="s">
        <v>63</v>
      </c>
      <c r="K78" s="1" t="s">
        <v>64</v>
      </c>
      <c r="L78" s="1" t="s">
        <v>65</v>
      </c>
      <c r="M78" s="1" t="s">
        <v>66</v>
      </c>
      <c r="N78" s="1" t="s">
        <v>67</v>
      </c>
      <c r="O78" s="1" t="s">
        <v>68</v>
      </c>
    </row>
    <row r="79" spans="1:22" x14ac:dyDescent="0.15">
      <c r="A79" s="2" t="s">
        <v>62</v>
      </c>
      <c r="B79">
        <f ca="1">B29*numbers!$O$20</f>
        <v>2774548915</v>
      </c>
      <c r="C79" s="2">
        <f ca="1">OFFSET(stats_raw!$H$3,(ROW(C1)-1)*6,0)*numbers!$O$6 * numbers!$O$20+ OFFSET(stats_raw!$J$3,(ROW(C1)-1)*6,0)*numbers!$O$5* numbers!$O$20</f>
        <v>2.4655999999999997E-2</v>
      </c>
      <c r="D79" s="2">
        <f ca="1">OFFSET(stats_raw!$H$3,(ROW(C1)-1)*6,0)*numbers!$O$6*numbers!$O$14 * numbers!$O$20 + OFFSET(stats_raw!$J$3,(ROW(C1)-1)*6,0)*numbers!$O$5*numbers!$O$14* numbers!$O$20</f>
        <v>9.8623999999999989E-2</v>
      </c>
      <c r="E79" s="2">
        <f ca="1">OFFSET(stats_raw!$H$3,(ROW(C1)-1)*6,0)*numbers!$O$6*numbers!$O$14*numbers!$O$15* numbers!$O$20 + OFFSET(stats_raw!$J$3,(ROW(C1)-1)*6,0)*numbers!$O$5*numbers!$O$14* numbers!$O$20</f>
        <v>8.628799999999999E-2</v>
      </c>
      <c r="F79" s="2">
        <f ca="1">OFFSET(stats_raw!$H$3,(ROW(C1)-1)*6,0)*numbers!$O$6/numbers!$O$16 * numbers!$O$20+ OFFSET(stats_raw!$J$3,(ROW(C1)-1)*6,0)*numbers!$O$5/numbers!$O$16* numbers!$O$20</f>
        <v>2.4655999999999997E-2</v>
      </c>
      <c r="G79" s="2">
        <f ca="1">OFFSET(stats_raw!$H$3,(ROW(C1)-1)*6,0)*numbers!$O$6/numbers!$O$16 * numbers!$O$21 * numbers!$O$20+ OFFSET(stats_raw!$J$3,(ROW(C1)-1)*6,0)*numbers!$O$5/numbers!$O$16* numbers!$O$20</f>
        <v>2.1571999999999997E-2</v>
      </c>
      <c r="I79" s="2" t="s">
        <v>62</v>
      </c>
      <c r="J79">
        <f ca="1">J3*numbers!$O$20</f>
        <v>1.6757627292293247</v>
      </c>
      <c r="K79" s="2">
        <f ca="1">K3*numbers!$O$20</f>
        <v>1.6456192000000002E-6</v>
      </c>
      <c r="L79" s="2">
        <f ca="1">L3*numbers!$O$20</f>
        <v>6.5824768000000006E-6</v>
      </c>
      <c r="M79" s="2">
        <f ca="1">M3*numbers!$O$20</f>
        <v>5.5955968000000005E-6</v>
      </c>
      <c r="N79" s="2">
        <f ca="1">N3*numbers!$O$20</f>
        <v>1.6456192000000002E-6</v>
      </c>
      <c r="O79" s="2">
        <f ca="1">O3*numbers!$O$20</f>
        <v>1.6456192000000002E-6</v>
      </c>
      <c r="P79" s="2" t="s">
        <v>62</v>
      </c>
      <c r="Q79">
        <f ca="1">K79/$J$79</f>
        <v>9.8201205415089551E-7</v>
      </c>
      <c r="R79" s="2">
        <f t="shared" ref="R79:U79" ca="1" si="28">L79/$J$79</f>
        <v>3.928048216603582E-6</v>
      </c>
      <c r="S79" s="2">
        <f t="shared" ca="1" si="28"/>
        <v>3.3391342953267547E-6</v>
      </c>
      <c r="T79" s="2">
        <f t="shared" ca="1" si="28"/>
        <v>9.8201205415089551E-7</v>
      </c>
      <c r="U79" s="2">
        <f t="shared" ca="1" si="28"/>
        <v>9.8201205415089551E-7</v>
      </c>
      <c r="V79" s="2"/>
    </row>
    <row r="80" spans="1:22" x14ac:dyDescent="0.15">
      <c r="A80" s="2" t="s">
        <v>32</v>
      </c>
      <c r="B80" s="2">
        <f ca="1">B30*numbers!$O$20</f>
        <v>6005174060</v>
      </c>
      <c r="C80" s="2">
        <f ca="1">OFFSET(stats_raw!$H$3,(ROW(C2)-1)*6,0)*numbers!$O$6 * numbers!$O$20+ OFFSET(stats_raw!$J$3,(ROW(C2)-1)*6,0)*numbers!$O$5* numbers!$O$20</f>
        <v>4.9311999999999995E-2</v>
      </c>
      <c r="D80" s="2">
        <f ca="1">OFFSET(stats_raw!$H$3,(ROW(C2)-1)*6,0)*numbers!$O$6*numbers!$O$14 * numbers!$O$20 + OFFSET(stats_raw!$J$3,(ROW(C2)-1)*6,0)*numbers!$O$5*numbers!$O$14* numbers!$O$20</f>
        <v>0.19724799999999998</v>
      </c>
      <c r="E80" s="2">
        <f ca="1">OFFSET(stats_raw!$H$3,(ROW(C2)-1)*6,0)*numbers!$O$6*numbers!$O$14*numbers!$O$15* numbers!$O$20 + OFFSET(stats_raw!$J$3,(ROW(C2)-1)*6,0)*numbers!$O$5*numbers!$O$14* numbers!$O$20</f>
        <v>0.17257599999999998</v>
      </c>
      <c r="F80" s="2">
        <f ca="1">OFFSET(stats_raw!$H$3,(ROW(C2)-1)*6,0)*numbers!$O$6/numbers!$O$16 * numbers!$O$20+ OFFSET(stats_raw!$J$3,(ROW(C2)-1)*6,0)*numbers!$O$5/numbers!$O$16* numbers!$O$20</f>
        <v>4.9311999999999995E-2</v>
      </c>
      <c r="G80" s="2">
        <f ca="1">OFFSET(stats_raw!$H$3,(ROW(C2)-1)*6,0)*numbers!$O$6/numbers!$O$16 * numbers!$O$21 * numbers!$O$20+ OFFSET(stats_raw!$J$3,(ROW(C2)-1)*6,0)*numbers!$O$5/numbers!$O$16* numbers!$O$20</f>
        <v>4.3143999999999995E-2</v>
      </c>
      <c r="I80" s="2" t="s">
        <v>32</v>
      </c>
      <c r="J80" s="2">
        <f ca="1">J4*numbers!$O$20</f>
        <v>3.5841583734217184</v>
      </c>
      <c r="K80" s="2">
        <f ca="1">K4*numbers!$O$20</f>
        <v>3.2912384000000003E-6</v>
      </c>
      <c r="L80" s="2">
        <f ca="1">L4*numbers!$O$20</f>
        <v>1.3164953600000001E-5</v>
      </c>
      <c r="M80" s="2">
        <f ca="1">M4*numbers!$O$20</f>
        <v>1.1191193600000001E-5</v>
      </c>
      <c r="N80" s="2">
        <f ca="1">N4*numbers!$O$20</f>
        <v>3.2912384000000003E-6</v>
      </c>
      <c r="O80" s="2">
        <f ca="1">O4*numbers!$O$20</f>
        <v>3.2912384000000003E-6</v>
      </c>
      <c r="P80" s="2" t="s">
        <v>32</v>
      </c>
      <c r="Q80" s="2">
        <f t="shared" ref="Q80:Q98" ca="1" si="29">K80/$J$79</f>
        <v>1.964024108301791E-6</v>
      </c>
      <c r="R80" s="2">
        <f t="shared" ref="R80:R98" ca="1" si="30">L80/$J$79</f>
        <v>7.8560964332071641E-6</v>
      </c>
      <c r="S80" s="2">
        <f t="shared" ref="S80:S98" ca="1" si="31">M80/$J$79</f>
        <v>6.6782685906535095E-6</v>
      </c>
      <c r="T80" s="2">
        <f t="shared" ref="T80:T98" ca="1" si="32">N80/$J$79</f>
        <v>1.964024108301791E-6</v>
      </c>
      <c r="U80" s="2">
        <f t="shared" ref="U80:U98" ca="1" si="33">O80/$J$79</f>
        <v>1.964024108301791E-6</v>
      </c>
    </row>
    <row r="81" spans="1:23" x14ac:dyDescent="0.15">
      <c r="A81" s="2" t="s">
        <v>25</v>
      </c>
      <c r="B81" s="2">
        <f ca="1">B31*numbers!$O$20</f>
        <v>9309446310</v>
      </c>
      <c r="C81" s="2">
        <f ca="1">OFFSET(stats_raw!$H$3,(ROW(C3)-1)*6,0)*numbers!$O$6 * numbers!$O$20+ OFFSET(stats_raw!$J$3,(ROW(C3)-1)*6,0)*numbers!$O$5* numbers!$O$20</f>
        <v>7.3967999999999992E-2</v>
      </c>
      <c r="D81" s="2">
        <f ca="1">OFFSET(stats_raw!$H$3,(ROW(C3)-1)*6,0)*numbers!$O$6*numbers!$O$14 * numbers!$O$20 + OFFSET(stats_raw!$J$3,(ROW(C3)-1)*6,0)*numbers!$O$5*numbers!$O$14* numbers!$O$20</f>
        <v>0.29587199999999997</v>
      </c>
      <c r="E81" s="2">
        <f ca="1">OFFSET(stats_raw!$H$3,(ROW(C3)-1)*6,0)*numbers!$O$6*numbers!$O$14*numbers!$O$15* numbers!$O$20 + OFFSET(stats_raw!$J$3,(ROW(C3)-1)*6,0)*numbers!$O$5*numbers!$O$14* numbers!$O$20</f>
        <v>0.25886399999999998</v>
      </c>
      <c r="F81" s="2">
        <f ca="1">OFFSET(stats_raw!$H$3,(ROW(C3)-1)*6,0)*numbers!$O$6/numbers!$O$16 * numbers!$O$20+ OFFSET(stats_raw!$J$3,(ROW(C3)-1)*6,0)*numbers!$O$5/numbers!$O$16* numbers!$O$20</f>
        <v>7.3967999999999992E-2</v>
      </c>
      <c r="G81" s="2">
        <f ca="1">OFFSET(stats_raw!$H$3,(ROW(C3)-1)*6,0)*numbers!$O$6/numbers!$O$16 * numbers!$O$21 * numbers!$O$20+ OFFSET(stats_raw!$J$3,(ROW(C3)-1)*6,0)*numbers!$O$5/numbers!$O$16* numbers!$O$20</f>
        <v>6.4715999999999996E-2</v>
      </c>
      <c r="I81" s="2" t="s">
        <v>25</v>
      </c>
      <c r="J81" s="2">
        <f ca="1">J5*numbers!$O$20</f>
        <v>5.6391293901160129</v>
      </c>
      <c r="K81" s="2">
        <f ca="1">K5*numbers!$O$20</f>
        <v>4.9368576000000005E-6</v>
      </c>
      <c r="L81" s="2">
        <f ca="1">L5*numbers!$O$20</f>
        <v>1.9747430400000002E-5</v>
      </c>
      <c r="M81" s="2">
        <f ca="1">M5*numbers!$O$20</f>
        <v>1.6786790400000002E-5</v>
      </c>
      <c r="N81" s="2">
        <f ca="1">N5*numbers!$O$20</f>
        <v>4.9368576000000005E-6</v>
      </c>
      <c r="O81" s="2">
        <f ca="1">O5*numbers!$O$20</f>
        <v>4.9368576000000005E-6</v>
      </c>
      <c r="P81" s="2" t="s">
        <v>25</v>
      </c>
      <c r="Q81" s="2">
        <f t="shared" ca="1" si="29"/>
        <v>2.9460361624526869E-6</v>
      </c>
      <c r="R81" s="2">
        <f t="shared" ca="1" si="30"/>
        <v>1.1784144649810748E-5</v>
      </c>
      <c r="S81" s="2">
        <f t="shared" ca="1" si="31"/>
        <v>1.0017402885980265E-5</v>
      </c>
      <c r="T81" s="2">
        <f t="shared" ca="1" si="32"/>
        <v>2.9460361624526869E-6</v>
      </c>
      <c r="U81" s="2">
        <f t="shared" ca="1" si="33"/>
        <v>2.9460361624526869E-6</v>
      </c>
    </row>
    <row r="82" spans="1:23" x14ac:dyDescent="0.15">
      <c r="A82" s="2" t="s">
        <v>39</v>
      </c>
      <c r="B82" s="2">
        <f ca="1">B32*numbers!$O$20</f>
        <v>2775884828</v>
      </c>
      <c r="C82" s="2">
        <f ca="1">OFFSET(stats_raw!$H$3,(ROW(C4)-1)*6,0)*numbers!$O$6 * numbers!$O$20+ OFFSET(stats_raw!$J$3,(ROW(C4)-1)*6,0)*numbers!$O$5* numbers!$O$20</f>
        <v>2.4655999999999997E-2</v>
      </c>
      <c r="D82" s="2">
        <f ca="1">OFFSET(stats_raw!$H$3,(ROW(C4)-1)*6,0)*numbers!$O$6*numbers!$O$14 * numbers!$O$20 + OFFSET(stats_raw!$J$3,(ROW(C4)-1)*6,0)*numbers!$O$5*numbers!$O$14* numbers!$O$20</f>
        <v>9.8623999999999989E-2</v>
      </c>
      <c r="E82" s="2">
        <f ca="1">OFFSET(stats_raw!$H$3,(ROW(C4)-1)*6,0)*numbers!$O$6*numbers!$O$14*numbers!$O$15* numbers!$O$20 + OFFSET(stats_raw!$J$3,(ROW(C4)-1)*6,0)*numbers!$O$5*numbers!$O$14* numbers!$O$20</f>
        <v>8.628799999999999E-2</v>
      </c>
      <c r="F82" s="2">
        <f ca="1">OFFSET(stats_raw!$H$3,(ROW(C4)-1)*6,0)*numbers!$O$6/numbers!$O$16 * numbers!$O$20+ OFFSET(stats_raw!$J$3,(ROW(C4)-1)*6,0)*numbers!$O$5/numbers!$O$16* numbers!$O$20</f>
        <v>2.4655999999999997E-2</v>
      </c>
      <c r="G82" s="2">
        <f ca="1">OFFSET(stats_raw!$H$3,(ROW(C4)-1)*6,0)*numbers!$O$6/numbers!$O$16 * numbers!$O$21 * numbers!$O$20+ OFFSET(stats_raw!$J$3,(ROW(C4)-1)*6,0)*numbers!$O$5/numbers!$O$16* numbers!$O$20</f>
        <v>2.1571999999999997E-2</v>
      </c>
      <c r="I82" s="2" t="s">
        <v>39</v>
      </c>
      <c r="J82" s="2">
        <f ca="1">J6*numbers!$O$20</f>
        <v>1.676379555225755</v>
      </c>
      <c r="K82" s="2">
        <f ca="1">K6*numbers!$O$20</f>
        <v>1.6456192000000002E-6</v>
      </c>
      <c r="L82" s="2">
        <f ca="1">L6*numbers!$O$20</f>
        <v>6.5824768000000006E-6</v>
      </c>
      <c r="M82" s="2">
        <f ca="1">M6*numbers!$O$20</f>
        <v>5.5955968000000005E-6</v>
      </c>
      <c r="N82" s="2">
        <f ca="1">N6*numbers!$O$20</f>
        <v>1.6456192000000002E-6</v>
      </c>
      <c r="O82" s="2">
        <f ca="1">O6*numbers!$O$20</f>
        <v>1.6456192000000002E-6</v>
      </c>
      <c r="P82" s="2" t="s">
        <v>39</v>
      </c>
      <c r="Q82" s="2">
        <f t="shared" ca="1" si="29"/>
        <v>9.8201205415089551E-7</v>
      </c>
      <c r="R82" s="2">
        <f t="shared" ca="1" si="30"/>
        <v>3.928048216603582E-6</v>
      </c>
      <c r="S82" s="2">
        <f t="shared" ca="1" si="31"/>
        <v>3.3391342953267547E-6</v>
      </c>
      <c r="T82" s="2">
        <f t="shared" ca="1" si="32"/>
        <v>9.8201205415089551E-7</v>
      </c>
      <c r="U82" s="2">
        <f t="shared" ca="1" si="33"/>
        <v>9.8201205415089551E-7</v>
      </c>
    </row>
    <row r="83" spans="1:23" x14ac:dyDescent="0.15">
      <c r="A83" s="2" t="s">
        <v>46</v>
      </c>
      <c r="B83" s="2">
        <f ca="1">B33*numbers!$O$20</f>
        <v>8948549808</v>
      </c>
      <c r="C83" s="2">
        <f ca="1">OFFSET(stats_raw!$H$3,(ROW(C5)-1)*6,0)*numbers!$O$6 * numbers!$O$20+ OFFSET(stats_raw!$J$3,(ROW(C5)-1)*6,0)*numbers!$O$5* numbers!$O$20</f>
        <v>7.3967999999999992E-2</v>
      </c>
      <c r="D83" s="2">
        <f ca="1">OFFSET(stats_raw!$H$3,(ROW(C5)-1)*6,0)*numbers!$O$6*numbers!$O$14 * numbers!$O$20 + OFFSET(stats_raw!$J$3,(ROW(C5)-1)*6,0)*numbers!$O$5*numbers!$O$14* numbers!$O$20</f>
        <v>0.29587199999999997</v>
      </c>
      <c r="E83" s="2">
        <f ca="1">OFFSET(stats_raw!$H$3,(ROW(C5)-1)*6,0)*numbers!$O$6*numbers!$O$14*numbers!$O$15* numbers!$O$20 + OFFSET(stats_raw!$J$3,(ROW(C5)-1)*6,0)*numbers!$O$5*numbers!$O$14* numbers!$O$20</f>
        <v>0.25886399999999998</v>
      </c>
      <c r="F83" s="2">
        <f ca="1">OFFSET(stats_raw!$H$3,(ROW(C5)-1)*6,0)*numbers!$O$6/numbers!$O$16 * numbers!$O$20+ OFFSET(stats_raw!$J$3,(ROW(C5)-1)*6,0)*numbers!$O$5/numbers!$O$16* numbers!$O$20</f>
        <v>7.3967999999999992E-2</v>
      </c>
      <c r="G83" s="2">
        <f ca="1">OFFSET(stats_raw!$H$3,(ROW(C5)-1)*6,0)*numbers!$O$6/numbers!$O$16 * numbers!$O$21 * numbers!$O$20+ OFFSET(stats_raw!$J$3,(ROW(C5)-1)*6,0)*numbers!$O$5/numbers!$O$16* numbers!$O$20</f>
        <v>6.4715999999999996E-2</v>
      </c>
      <c r="I83" s="2" t="s">
        <v>46</v>
      </c>
      <c r="J83" s="2">
        <f ca="1">J7*numbers!$O$20</f>
        <v>5.4257679516826558</v>
      </c>
      <c r="K83" s="2">
        <f ca="1">K7*numbers!$O$20</f>
        <v>4.9368576000000005E-6</v>
      </c>
      <c r="L83" s="2">
        <f ca="1">L7*numbers!$O$20</f>
        <v>1.9747430400000002E-5</v>
      </c>
      <c r="M83" s="2">
        <f ca="1">M7*numbers!$O$20</f>
        <v>1.6786790400000002E-5</v>
      </c>
      <c r="N83" s="2">
        <f ca="1">N7*numbers!$O$20</f>
        <v>4.9368576000000005E-6</v>
      </c>
      <c r="O83" s="2">
        <f ca="1">O7*numbers!$O$20</f>
        <v>4.9368576000000005E-6</v>
      </c>
      <c r="P83" s="2" t="s">
        <v>46</v>
      </c>
      <c r="Q83" s="2">
        <f t="shared" ca="1" si="29"/>
        <v>2.9460361624526869E-6</v>
      </c>
      <c r="R83" s="2">
        <f t="shared" ca="1" si="30"/>
        <v>1.1784144649810748E-5</v>
      </c>
      <c r="S83" s="2">
        <f t="shared" ca="1" si="31"/>
        <v>1.0017402885980265E-5</v>
      </c>
      <c r="T83" s="2">
        <f t="shared" ca="1" si="32"/>
        <v>2.9460361624526869E-6</v>
      </c>
      <c r="U83" s="2">
        <f t="shared" ca="1" si="33"/>
        <v>2.9460361624526869E-6</v>
      </c>
    </row>
    <row r="84" spans="1:23" x14ac:dyDescent="0.15">
      <c r="A84" s="2" t="s">
        <v>127</v>
      </c>
      <c r="B84" s="2">
        <f ca="1">B34*numbers!$O$20</f>
        <v>7618950</v>
      </c>
      <c r="C84" s="2">
        <f ca="1">OFFSET(stats_raw!$H$3,(ROW(C6)-1)*6,0)*numbers!$O$6 * numbers!$O$20+ OFFSET(stats_raw!$J$3,(ROW(C6)-1)*6,0)*numbers!$O$5* numbers!$O$20</f>
        <v>8.1399999999999994E-4</v>
      </c>
      <c r="D84" s="2">
        <f ca="1">OFFSET(stats_raw!$H$3,(ROW(C6)-1)*6,0)*numbers!$O$6*numbers!$O$14 * numbers!$O$20 + OFFSET(stats_raw!$J$3,(ROW(C6)-1)*6,0)*numbers!$O$5*numbers!$O$14* numbers!$O$20</f>
        <v>3.2559999999999998E-3</v>
      </c>
      <c r="E84" s="2">
        <f ca="1">OFFSET(stats_raw!$H$3,(ROW(C6)-1)*6,0)*numbers!$O$6*numbers!$O$14*numbers!$O$15* numbers!$O$20 + OFFSET(stats_raw!$J$3,(ROW(C6)-1)*6,0)*numbers!$O$5*numbers!$O$14* numbers!$O$20</f>
        <v>2.8479999999999998E-3</v>
      </c>
      <c r="F84" s="2">
        <f ca="1">OFFSET(stats_raw!$H$3,(ROW(C6)-1)*6,0)*numbers!$O$6/numbers!$O$16 * numbers!$O$20+ OFFSET(stats_raw!$J$3,(ROW(C6)-1)*6,0)*numbers!$O$5/numbers!$O$16* numbers!$O$20</f>
        <v>8.1399999999999994E-4</v>
      </c>
      <c r="G84" s="2">
        <f ca="1">OFFSET(stats_raw!$H$3,(ROW(C6)-1)*6,0)*numbers!$O$6/numbers!$O$16 * numbers!$O$21 * numbers!$O$20+ OFFSET(stats_raw!$J$3,(ROW(C6)-1)*6,0)*numbers!$O$5/numbers!$O$16* numbers!$O$20</f>
        <v>7.1199999999999996E-4</v>
      </c>
      <c r="I84" s="2" t="s">
        <v>127</v>
      </c>
      <c r="J84" s="2">
        <f ca="1">J8*numbers!$O$20</f>
        <v>4.5626772184636788E-3</v>
      </c>
      <c r="K84" s="2">
        <f ca="1">K8*numbers!$O$20</f>
        <v>5.4426800000000004E-8</v>
      </c>
      <c r="L84" s="2">
        <f ca="1">L8*numbers!$O$20</f>
        <v>2.1770720000000002E-7</v>
      </c>
      <c r="M84" s="2">
        <f ca="1">M8*numbers!$O$20</f>
        <v>1.8506720000000001E-7</v>
      </c>
      <c r="N84" s="2">
        <f ca="1">N8*numbers!$O$20</f>
        <v>5.4426800000000004E-8</v>
      </c>
      <c r="O84" s="2">
        <f ca="1">O8*numbers!$O$20</f>
        <v>5.4426800000000004E-8</v>
      </c>
      <c r="P84" s="2" t="s">
        <v>127</v>
      </c>
      <c r="Q84" s="2">
        <f t="shared" ca="1" si="29"/>
        <v>3.2478822359911676E-8</v>
      </c>
      <c r="R84" s="2">
        <f t="shared" ca="1" si="30"/>
        <v>1.2991528943964671E-7</v>
      </c>
      <c r="S84" s="2">
        <f t="shared" ca="1" si="31"/>
        <v>1.1043759165422633E-7</v>
      </c>
      <c r="T84" s="2">
        <f t="shared" ca="1" si="32"/>
        <v>3.2478822359911676E-8</v>
      </c>
      <c r="U84" s="2">
        <f t="shared" ca="1" si="33"/>
        <v>3.2478822359911676E-8</v>
      </c>
    </row>
    <row r="85" spans="1:23" s="2" customFormat="1" x14ac:dyDescent="0.15">
      <c r="A85" s="2" t="s">
        <v>128</v>
      </c>
      <c r="B85" s="2">
        <f ca="1">B35*numbers!$O$20</f>
        <v>2142591430</v>
      </c>
      <c r="C85" s="2">
        <f ca="1">OFFSET(stats_raw!$H$3,(ROW(C7)-1)*6,0)*numbers!$O$6 * numbers!$O$20+ OFFSET(stats_raw!$J$3,(ROW(C7)-1)*6,0)*numbers!$O$5* numbers!$O$20</f>
        <v>0.140067</v>
      </c>
      <c r="D85" s="2">
        <f ca="1">OFFSET(stats_raw!$H$3,(ROW(C7)-1)*6,0)*numbers!$O$6*numbers!$O$14 * numbers!$O$20 + OFFSET(stats_raw!$J$3,(ROW(C7)-1)*6,0)*numbers!$O$5*numbers!$O$14* numbers!$O$20</f>
        <v>0.56026799999999999</v>
      </c>
      <c r="E85" s="2">
        <f ca="1">OFFSET(stats_raw!$H$3,(ROW(C7)-1)*6,0)*numbers!$O$6*numbers!$O$14*numbers!$O$15* numbers!$O$20 + OFFSET(stats_raw!$J$3,(ROW(C7)-1)*6,0)*numbers!$O$5*numbers!$O$14* numbers!$O$20</f>
        <v>0.48651899999999992</v>
      </c>
      <c r="F85" s="2">
        <f ca="1">OFFSET(stats_raw!$H$3,(ROW(C7)-1)*6,0)*numbers!$O$6/numbers!$O$16 * numbers!$O$20+ OFFSET(stats_raw!$J$3,(ROW(C7)-1)*6,0)*numbers!$O$5/numbers!$O$16* numbers!$O$20</f>
        <v>0.140067</v>
      </c>
      <c r="G85" s="2">
        <f ca="1">OFFSET(stats_raw!$H$3,(ROW(C7)-1)*6,0)*numbers!$O$6/numbers!$O$16 * numbers!$O$21 * numbers!$O$20+ OFFSET(stats_raw!$J$3,(ROW(C7)-1)*6,0)*numbers!$O$5/numbers!$O$16* numbers!$O$20</f>
        <v>0.12162974999999998</v>
      </c>
      <c r="I85" s="2" t="s">
        <v>128</v>
      </c>
      <c r="J85" s="2">
        <f ca="1">J9*numbers!$O$20</f>
        <v>1.3069007097562166</v>
      </c>
      <c r="K85" s="2">
        <f ca="1">K9*numbers!$O$20</f>
        <v>9.8366304000000018E-6</v>
      </c>
      <c r="L85" s="2">
        <f ca="1">L9*numbers!$O$20</f>
        <v>3.9346521600000007E-5</v>
      </c>
      <c r="M85" s="2">
        <f ca="1">M9*numbers!$O$20</f>
        <v>3.3446601600000005E-5</v>
      </c>
      <c r="N85" s="2">
        <f ca="1">N9*numbers!$O$20</f>
        <v>9.8366304000000018E-6</v>
      </c>
      <c r="O85" s="2">
        <f ca="1">O9*numbers!$O$20</f>
        <v>9.8366304000000018E-6</v>
      </c>
      <c r="P85" s="2" t="s">
        <v>128</v>
      </c>
      <c r="Q85" s="2">
        <f t="shared" ca="1" si="29"/>
        <v>5.8699422229803512E-6</v>
      </c>
      <c r="R85" s="2">
        <f t="shared" ca="1" si="30"/>
        <v>2.3479768891921405E-5</v>
      </c>
      <c r="S85" s="2">
        <f t="shared" ca="1" si="31"/>
        <v>1.9959031798840602E-5</v>
      </c>
      <c r="T85" s="2">
        <f t="shared" ca="1" si="32"/>
        <v>5.8699422229803512E-6</v>
      </c>
      <c r="U85" s="2">
        <f t="shared" ca="1" si="33"/>
        <v>5.8699422229803512E-6</v>
      </c>
    </row>
    <row r="86" spans="1:23" s="2" customFormat="1" x14ac:dyDescent="0.15">
      <c r="A86" s="2" t="s">
        <v>129</v>
      </c>
      <c r="B86" s="2">
        <f ca="1">B36*numbers!$O$20</f>
        <v>1368318351</v>
      </c>
      <c r="C86" s="2">
        <f ca="1">OFFSET(stats_raw!$H$3,(ROW(C8)-1)*6,0)*numbers!$O$6 * numbers!$O$20+ OFFSET(stats_raw!$J$3,(ROW(C8)-1)*6,0)*numbers!$O$5* numbers!$O$20</f>
        <v>6.579299999999999E-2</v>
      </c>
      <c r="D86" s="2">
        <f ca="1">OFFSET(stats_raw!$H$3,(ROW(C8)-1)*6,0)*numbers!$O$6*numbers!$O$14 * numbers!$O$20 + OFFSET(stats_raw!$J$3,(ROW(C8)-1)*6,0)*numbers!$O$5*numbers!$O$14* numbers!$O$20</f>
        <v>0.26317199999999996</v>
      </c>
      <c r="E86" s="2">
        <f ca="1">OFFSET(stats_raw!$H$3,(ROW(C8)-1)*6,0)*numbers!$O$6*numbers!$O$14*numbers!$O$15* numbers!$O$20 + OFFSET(stats_raw!$J$3,(ROW(C8)-1)*6,0)*numbers!$O$5*numbers!$O$14* numbers!$O$20</f>
        <v>0.226269</v>
      </c>
      <c r="F86" s="2">
        <f ca="1">OFFSET(stats_raw!$H$3,(ROW(C8)-1)*6,0)*numbers!$O$6/numbers!$O$16 * numbers!$O$20+ OFFSET(stats_raw!$J$3,(ROW(C8)-1)*6,0)*numbers!$O$5/numbers!$O$16* numbers!$O$20</f>
        <v>6.579299999999999E-2</v>
      </c>
      <c r="G86" s="2">
        <f ca="1">OFFSET(stats_raw!$H$3,(ROW(C8)-1)*6,0)*numbers!$O$6/numbers!$O$16 * numbers!$O$21 * numbers!$O$20+ OFFSET(stats_raw!$J$3,(ROW(C8)-1)*6,0)*numbers!$O$5/numbers!$O$16* numbers!$O$20</f>
        <v>5.6567249999999999E-2</v>
      </c>
      <c r="I86" s="2" t="s">
        <v>129</v>
      </c>
      <c r="J86" s="2">
        <f ca="1">J10*numbers!$O$20</f>
        <v>0.83455150689523594</v>
      </c>
      <c r="K86" s="2">
        <f ca="1">K10*numbers!$O$20</f>
        <v>4.9212576000000001E-6</v>
      </c>
      <c r="L86" s="2">
        <f ca="1">L10*numbers!$O$20</f>
        <v>1.9685030400000001E-5</v>
      </c>
      <c r="M86" s="2">
        <f ca="1">M10*numbers!$O$20</f>
        <v>1.6732790399999999E-5</v>
      </c>
      <c r="N86" s="2">
        <f ca="1">N10*numbers!$O$20</f>
        <v>4.9212576000000001E-6</v>
      </c>
      <c r="O86" s="2">
        <f ca="1">O10*numbers!$O$20</f>
        <v>4.9212576000000001E-6</v>
      </c>
      <c r="P86" s="2" t="s">
        <v>129</v>
      </c>
      <c r="Q86" s="2">
        <f t="shared" ca="1" si="29"/>
        <v>2.9367269686581842E-6</v>
      </c>
      <c r="R86" s="2">
        <f t="shared" ca="1" si="30"/>
        <v>1.1746907874632737E-5</v>
      </c>
      <c r="S86" s="2">
        <f t="shared" ca="1" si="31"/>
        <v>9.9851787536146783E-6</v>
      </c>
      <c r="T86" s="2">
        <f t="shared" ca="1" si="32"/>
        <v>2.9367269686581842E-6</v>
      </c>
      <c r="U86" s="2">
        <f t="shared" ca="1" si="33"/>
        <v>2.9367269686581842E-6</v>
      </c>
    </row>
    <row r="87" spans="1:23" s="2" customFormat="1" x14ac:dyDescent="0.15">
      <c r="A87" s="2" t="s">
        <v>53</v>
      </c>
      <c r="B87" s="2">
        <f ca="1">B37*numbers!$O$20</f>
        <v>1123164770</v>
      </c>
      <c r="C87" s="2">
        <f ca="1">OFFSET(stats_raw!$H$3,(ROW(C9)-1)*6,0)*numbers!$O$6 * numbers!$O$20+ OFFSET(stats_raw!$J$3,(ROW(C9)-1)*6,0)*numbers!$O$5* numbers!$O$20</f>
        <v>4.3262999999999996E-2</v>
      </c>
      <c r="D87" s="2">
        <f ca="1">OFFSET(stats_raw!$H$3,(ROW(C9)-1)*6,0)*numbers!$O$6*numbers!$O$14 * numbers!$O$20 + OFFSET(stats_raw!$J$3,(ROW(C9)-1)*6,0)*numbers!$O$5*numbers!$O$14* numbers!$O$20</f>
        <v>0.17305199999999998</v>
      </c>
      <c r="E87" s="2">
        <f ca="1">OFFSET(stats_raw!$H$3,(ROW(C9)-1)*6,0)*numbers!$O$6*numbers!$O$14*numbers!$O$15* numbers!$O$20 + OFFSET(stats_raw!$J$3,(ROW(C9)-1)*6,0)*numbers!$O$5*numbers!$O$14* numbers!$O$20</f>
        <v>0.15139499999999997</v>
      </c>
      <c r="F87" s="2">
        <f ca="1">OFFSET(stats_raw!$H$3,(ROW(C9)-1)*6,0)*numbers!$O$6/numbers!$O$16 * numbers!$O$20+ OFFSET(stats_raw!$J$3,(ROW(C9)-1)*6,0)*numbers!$O$5/numbers!$O$16* numbers!$O$20</f>
        <v>4.3262999999999996E-2</v>
      </c>
      <c r="G87" s="2">
        <f ca="1">OFFSET(stats_raw!$H$3,(ROW(C9)-1)*6,0)*numbers!$O$6/numbers!$O$16 * numbers!$O$21 * numbers!$O$20+ OFFSET(stats_raw!$J$3,(ROW(C9)-1)*6,0)*numbers!$O$5/numbers!$O$16* numbers!$O$20</f>
        <v>3.7848749999999994E-2</v>
      </c>
      <c r="I87" s="2" t="s">
        <v>53</v>
      </c>
      <c r="J87" s="2">
        <f ca="1">J11*numbers!$O$20*8</f>
        <v>5.4828092385207068</v>
      </c>
      <c r="K87" s="2">
        <f ca="1">K11*numbers!$O$20*8</f>
        <v>2.3112268800000001E-5</v>
      </c>
      <c r="L87" s="2">
        <f ca="1">L11*numbers!$O$20*8</f>
        <v>9.2449075200000004E-5</v>
      </c>
      <c r="M87" s="2">
        <f ca="1">M11*numbers!$O$20*8</f>
        <v>7.8588595200000005E-5</v>
      </c>
      <c r="N87" s="2">
        <f ca="1">N11*numbers!$O$20*8</f>
        <v>2.3112268800000001E-5</v>
      </c>
      <c r="O87" s="2">
        <f ca="1">O11*numbers!$O$20*8</f>
        <v>2.3112268800000001E-5</v>
      </c>
      <c r="P87" s="2" t="s">
        <v>53</v>
      </c>
      <c r="Q87" s="2">
        <f t="shared" ca="1" si="29"/>
        <v>1.3792089057040447E-5</v>
      </c>
      <c r="R87" s="2">
        <f t="shared" ca="1" si="30"/>
        <v>5.5168356228161787E-5</v>
      </c>
      <c r="S87" s="2">
        <f t="shared" ca="1" si="31"/>
        <v>4.6897209150929454E-5</v>
      </c>
      <c r="T87" s="2">
        <f t="shared" ca="1" si="32"/>
        <v>1.3792089057040447E-5</v>
      </c>
      <c r="U87" s="2">
        <f t="shared" ca="1" si="33"/>
        <v>1.3792089057040447E-5</v>
      </c>
      <c r="W87" s="2">
        <f ca="1">S87/S93</f>
        <v>3.5180206093888238</v>
      </c>
    </row>
    <row r="88" spans="1:23" s="2" customFormat="1" x14ac:dyDescent="0.15">
      <c r="A88" s="12" t="s">
        <v>180</v>
      </c>
      <c r="B88" s="2">
        <f ca="1">B38*numbers!$O$20</f>
        <v>6775223</v>
      </c>
      <c r="C88" s="2">
        <f ca="1">OFFSET(stats_raw!$H$3,(ROW(C10)-1)*6,0)*numbers!$O$6 * numbers!$O$20+ OFFSET(stats_raw!$J$3,(ROW(C10)-1)*6,0)*numbers!$O$5* numbers!$O$20</f>
        <v>5.2719999999999998E-3</v>
      </c>
      <c r="D88" s="2">
        <f ca="1">OFFSET(stats_raw!$H$3,(ROW(C10)-1)*6,0)*numbers!$O$6*numbers!$O$14 * numbers!$O$20 + OFFSET(stats_raw!$J$3,(ROW(C10)-1)*6,0)*numbers!$O$5*numbers!$O$14* numbers!$O$20</f>
        <v>2.1087999999999999E-2</v>
      </c>
      <c r="E88" s="2">
        <f ca="1">OFFSET(stats_raw!$H$3,(ROW(C10)-1)*6,0)*numbers!$O$6*numbers!$O$14*numbers!$O$15* numbers!$O$20 + OFFSET(stats_raw!$J$3,(ROW(C10)-1)*6,0)*numbers!$O$5*numbers!$O$14* numbers!$O$20</f>
        <v>1.7943999999999998E-2</v>
      </c>
      <c r="F88" s="2">
        <f ca="1">OFFSET(stats_raw!$H$3,(ROW(C10)-1)*6,0)*numbers!$O$6/numbers!$O$16 * numbers!$O$20+ OFFSET(stats_raw!$J$3,(ROW(C10)-1)*6,0)*numbers!$O$5/numbers!$O$16* numbers!$O$20</f>
        <v>5.2719999999999998E-3</v>
      </c>
      <c r="G88" s="2">
        <f ca="1">OFFSET(stats_raw!$H$3,(ROW(C10)-1)*6,0)*numbers!$O$6/numbers!$O$16 * numbers!$O$21 * numbers!$O$20+ OFFSET(stats_raw!$J$3,(ROW(C10)-1)*6,0)*numbers!$O$5/numbers!$O$16* numbers!$O$20</f>
        <v>4.4859999999999995E-3</v>
      </c>
      <c r="I88" s="12" t="s">
        <v>180</v>
      </c>
      <c r="J88" s="2">
        <f ca="1">J12*numbers!$O$20</f>
        <v>3.9906015082446806E-3</v>
      </c>
      <c r="K88" s="2">
        <f ca="1">K12*numbers!$O$20</f>
        <v>4.1920639999999997E-7</v>
      </c>
      <c r="L88" s="2">
        <f ca="1">L12*numbers!$O$20</f>
        <v>1.6768255999999999E-6</v>
      </c>
      <c r="M88" s="2">
        <f ca="1">M12*numbers!$O$20</f>
        <v>1.4253055999999999E-6</v>
      </c>
      <c r="N88" s="2">
        <f ca="1">N12*numbers!$O$20</f>
        <v>4.1920639999999997E-7</v>
      </c>
      <c r="O88" s="2">
        <f ca="1">O12*numbers!$O$20</f>
        <v>4.1920639999999997E-7</v>
      </c>
      <c r="P88" s="12" t="s">
        <v>180</v>
      </c>
      <c r="Q88" s="2">
        <f t="shared" ca="1" si="29"/>
        <v>2.5015856522408219E-7</v>
      </c>
      <c r="R88" s="2">
        <f t="shared" ca="1" si="30"/>
        <v>1.0006342608963288E-6</v>
      </c>
      <c r="S88" s="2">
        <f t="shared" ca="1" si="31"/>
        <v>8.5054141325573654E-7</v>
      </c>
      <c r="T88" s="2">
        <f t="shared" ca="1" si="32"/>
        <v>2.5015856522408219E-7</v>
      </c>
      <c r="U88" s="2">
        <f t="shared" ca="1" si="33"/>
        <v>2.5015856522408219E-7</v>
      </c>
    </row>
    <row r="89" spans="1:23" s="2" customFormat="1" x14ac:dyDescent="0.15">
      <c r="A89" s="12" t="s">
        <v>182</v>
      </c>
      <c r="B89" s="2">
        <f ca="1">B39*numbers!$O$20</f>
        <v>13149654</v>
      </c>
      <c r="C89" s="2">
        <f ca="1">OFFSET(stats_raw!$H$3,(ROW(C11)-1)*6,0)*numbers!$O$6 * numbers!$O$20+ OFFSET(stats_raw!$J$3,(ROW(C11)-1)*6,0)*numbers!$O$5* numbers!$O$20</f>
        <v>1.0432E-2</v>
      </c>
      <c r="D89" s="2">
        <f ca="1">OFFSET(stats_raw!$H$3,(ROW(C11)-1)*6,0)*numbers!$O$6*numbers!$O$14 * numbers!$O$20 + OFFSET(stats_raw!$J$3,(ROW(C11)-1)*6,0)*numbers!$O$5*numbers!$O$14* numbers!$O$20</f>
        <v>4.1728000000000001E-2</v>
      </c>
      <c r="E89" s="2">
        <f ca="1">OFFSET(stats_raw!$H$3,(ROW(C11)-1)*6,0)*numbers!$O$6*numbers!$O$14*numbers!$O$15* numbers!$O$20 + OFFSET(stats_raw!$J$3,(ROW(C11)-1)*6,0)*numbers!$O$5*numbers!$O$14* numbers!$O$20</f>
        <v>3.5487999999999999E-2</v>
      </c>
      <c r="F89" s="2">
        <f ca="1">OFFSET(stats_raw!$H$3,(ROW(C11)-1)*6,0)*numbers!$O$6/numbers!$O$16 * numbers!$O$20+ OFFSET(stats_raw!$J$3,(ROW(C11)-1)*6,0)*numbers!$O$5/numbers!$O$16* numbers!$O$20</f>
        <v>1.0432E-2</v>
      </c>
      <c r="G89" s="2">
        <f ca="1">OFFSET(stats_raw!$H$3,(ROW(C11)-1)*6,0)*numbers!$O$6/numbers!$O$16 * numbers!$O$21 * numbers!$O$20+ OFFSET(stats_raw!$J$3,(ROW(C11)-1)*6,0)*numbers!$O$5/numbers!$O$16* numbers!$O$20</f>
        <v>8.8719999999999997E-3</v>
      </c>
      <c r="I89" s="12" t="s">
        <v>182</v>
      </c>
      <c r="J89" s="2">
        <f ca="1">J13*numbers!$O$20</f>
        <v>7.887169558639882E-3</v>
      </c>
      <c r="K89" s="2">
        <f ca="1">K13*numbers!$O$20</f>
        <v>8.3200640000000007E-7</v>
      </c>
      <c r="L89" s="2">
        <f ca="1">L13*numbers!$O$20</f>
        <v>3.3280256000000003E-6</v>
      </c>
      <c r="M89" s="2">
        <f ca="1">M13*numbers!$O$20</f>
        <v>2.8288256E-6</v>
      </c>
      <c r="N89" s="2">
        <f ca="1">N13*numbers!$O$20</f>
        <v>8.3200640000000007E-7</v>
      </c>
      <c r="O89" s="2">
        <f ca="1">O13*numbers!$O$20</f>
        <v>8.3200640000000007E-7</v>
      </c>
      <c r="P89" s="12" t="s">
        <v>182</v>
      </c>
      <c r="Q89" s="2">
        <f t="shared" ca="1" si="29"/>
        <v>4.9649415486322208E-7</v>
      </c>
      <c r="R89" s="2">
        <f t="shared" ca="1" si="30"/>
        <v>1.9859766194528883E-6</v>
      </c>
      <c r="S89" s="2">
        <f t="shared" ca="1" si="31"/>
        <v>1.6880824180288122E-6</v>
      </c>
      <c r="T89" s="2">
        <f t="shared" ca="1" si="32"/>
        <v>4.9649415486322208E-7</v>
      </c>
      <c r="U89" s="2">
        <f t="shared" ca="1" si="33"/>
        <v>4.9649415486322208E-7</v>
      </c>
    </row>
    <row r="90" spans="1:23" s="2" customFormat="1" x14ac:dyDescent="0.15">
      <c r="A90" s="12" t="s">
        <v>184</v>
      </c>
      <c r="B90" s="2">
        <f ca="1">B40*numbers!$O$20</f>
        <v>122820258</v>
      </c>
      <c r="C90" s="2">
        <f ca="1">OFFSET(stats_raw!$H$3,(ROW(C12)-1)*6,0)*numbers!$O$6 * numbers!$O$20+ OFFSET(stats_raw!$J$3,(ROW(C12)-1)*6,0)*numbers!$O$5* numbers!$O$20</f>
        <v>5.193999999999999E-3</v>
      </c>
      <c r="D90" s="2">
        <f ca="1">OFFSET(stats_raw!$H$3,(ROW(C12)-1)*6,0)*numbers!$O$6*numbers!$O$14 * numbers!$O$20 + OFFSET(stats_raw!$J$3,(ROW(C12)-1)*6,0)*numbers!$O$5*numbers!$O$14* numbers!$O$20</f>
        <v>2.0775999999999996E-2</v>
      </c>
      <c r="E90" s="2">
        <f ca="1">OFFSET(stats_raw!$H$3,(ROW(C12)-1)*6,0)*numbers!$O$6*numbers!$O$14*numbers!$O$15* numbers!$O$20 + OFFSET(stats_raw!$J$3,(ROW(C12)-1)*6,0)*numbers!$O$5*numbers!$O$14* numbers!$O$20</f>
        <v>1.7697999999999995E-2</v>
      </c>
      <c r="F90" s="2">
        <f ca="1">OFFSET(stats_raw!$H$3,(ROW(C12)-1)*6,0)*numbers!$O$6/numbers!$O$16 * numbers!$O$20+ OFFSET(stats_raw!$J$3,(ROW(C12)-1)*6,0)*numbers!$O$5/numbers!$O$16* numbers!$O$20</f>
        <v>5.193999999999999E-3</v>
      </c>
      <c r="G90" s="2">
        <f ca="1">OFFSET(stats_raw!$H$3,(ROW(C12)-1)*6,0)*numbers!$O$6/numbers!$O$16 * numbers!$O$21 * numbers!$O$20+ OFFSET(stats_raw!$J$3,(ROW(C12)-1)*6,0)*numbers!$O$5/numbers!$O$16* numbers!$O$20</f>
        <v>4.4244999999999987E-3</v>
      </c>
      <c r="I90" s="12" t="s">
        <v>184</v>
      </c>
      <c r="J90" s="2">
        <f ca="1">J14*numbers!$O$20</f>
        <v>7.4436255895119083E-2</v>
      </c>
      <c r="K90" s="2">
        <f ca="1">K14*numbers!$O$20</f>
        <v>4.1041280000000003E-7</v>
      </c>
      <c r="L90" s="2">
        <f ca="1">L14*numbers!$O$20</f>
        <v>1.6416512000000001E-6</v>
      </c>
      <c r="M90" s="2">
        <f ca="1">M14*numbers!$O$20</f>
        <v>1.3954112E-6</v>
      </c>
      <c r="N90" s="2">
        <f ca="1">N14*numbers!$O$20</f>
        <v>4.1041280000000003E-7</v>
      </c>
      <c r="O90" s="2">
        <f ca="1">O14*numbers!$O$20</f>
        <v>4.1041280000000003E-7</v>
      </c>
      <c r="P90" s="12" t="s">
        <v>184</v>
      </c>
      <c r="Q90" s="2">
        <f t="shared" ca="1" si="29"/>
        <v>2.4491104429130423E-7</v>
      </c>
      <c r="R90" s="2">
        <f t="shared" ca="1" si="30"/>
        <v>9.7964417716521691E-7</v>
      </c>
      <c r="S90" s="2">
        <f t="shared" ca="1" si="31"/>
        <v>8.3270213357814858E-7</v>
      </c>
      <c r="T90" s="2">
        <f t="shared" ca="1" si="32"/>
        <v>2.4491104429130423E-7</v>
      </c>
      <c r="U90" s="2">
        <f t="shared" ca="1" si="33"/>
        <v>2.4491104429130423E-7</v>
      </c>
    </row>
    <row r="91" spans="1:23" s="2" customFormat="1" x14ac:dyDescent="0.15">
      <c r="A91" s="12" t="s">
        <v>185</v>
      </c>
      <c r="B91" s="2">
        <f ca="1">B41*numbers!$O$20</f>
        <v>123723582</v>
      </c>
      <c r="C91" s="2">
        <f ca="1">OFFSET(stats_raw!$H$3,(ROW(C13)-1)*6,0)*numbers!$O$6 * numbers!$O$20+ OFFSET(stats_raw!$J$3,(ROW(C13)-1)*6,0)*numbers!$O$5* numbers!$O$20</f>
        <v>3.7539999999999995E-3</v>
      </c>
      <c r="D91" s="2">
        <f ca="1">OFFSET(stats_raw!$H$3,(ROW(C13)-1)*6,0)*numbers!$O$6*numbers!$O$14 * numbers!$O$20 + OFFSET(stats_raw!$J$3,(ROW(C13)-1)*6,0)*numbers!$O$5*numbers!$O$14* numbers!$O$20</f>
        <v>1.5015999999999998E-2</v>
      </c>
      <c r="E91" s="2">
        <f ca="1">OFFSET(stats_raw!$H$3,(ROW(C13)-1)*6,0)*numbers!$O$6*numbers!$O$14*numbers!$O$15* numbers!$O$20 + OFFSET(stats_raw!$J$3,(ROW(C13)-1)*6,0)*numbers!$O$5*numbers!$O$14* numbers!$O$20</f>
        <v>1.3377999999999998E-2</v>
      </c>
      <c r="F91" s="2">
        <f ca="1">OFFSET(stats_raw!$H$3,(ROW(C13)-1)*6,0)*numbers!$O$6/numbers!$O$16 * numbers!$O$20+ OFFSET(stats_raw!$J$3,(ROW(C13)-1)*6,0)*numbers!$O$5/numbers!$O$16* numbers!$O$20</f>
        <v>3.7539999999999995E-3</v>
      </c>
      <c r="G91" s="2">
        <f ca="1">OFFSET(stats_raw!$H$3,(ROW(C13)-1)*6,0)*numbers!$O$6/numbers!$O$16 * numbers!$O$21 * numbers!$O$20+ OFFSET(stats_raw!$J$3,(ROW(C13)-1)*6,0)*numbers!$O$5/numbers!$O$16* numbers!$O$20</f>
        <v>3.3444999999999994E-3</v>
      </c>
      <c r="I91" s="12" t="s">
        <v>185</v>
      </c>
      <c r="J91" s="2">
        <f ca="1">J15*numbers!$O$20</f>
        <v>7.5034921229050811E-2</v>
      </c>
      <c r="K91" s="2">
        <f ca="1">K15*numbers!$O$20</f>
        <v>2.1860480000000001E-7</v>
      </c>
      <c r="L91" s="2">
        <f ca="1">L15*numbers!$O$20</f>
        <v>8.7441920000000003E-7</v>
      </c>
      <c r="M91" s="2">
        <f ca="1">M15*numbers!$O$20</f>
        <v>7.4337919999999999E-7</v>
      </c>
      <c r="N91" s="2">
        <f ca="1">N15*numbers!$O$20</f>
        <v>2.1860480000000001E-7</v>
      </c>
      <c r="O91" s="2">
        <f ca="1">O15*numbers!$O$20</f>
        <v>2.1860480000000001E-7</v>
      </c>
      <c r="P91" s="12" t="s">
        <v>185</v>
      </c>
      <c r="Q91" s="2">
        <f t="shared" ca="1" si="29"/>
        <v>1.3045092612874576E-7</v>
      </c>
      <c r="R91" s="2">
        <f t="shared" ca="1" si="30"/>
        <v>5.2180370451498303E-7</v>
      </c>
      <c r="S91" s="2">
        <f t="shared" ca="1" si="31"/>
        <v>4.4360647664116303E-7</v>
      </c>
      <c r="T91" s="2">
        <f t="shared" ca="1" si="32"/>
        <v>1.3045092612874576E-7</v>
      </c>
      <c r="U91" s="2">
        <f t="shared" ca="1" si="33"/>
        <v>1.3045092612874576E-7</v>
      </c>
    </row>
    <row r="92" spans="1:23" s="2" customFormat="1" x14ac:dyDescent="0.15">
      <c r="A92" s="12" t="s">
        <v>186</v>
      </c>
      <c r="B92" s="2">
        <f ca="1">B42*numbers!$O$20</f>
        <v>52831468481</v>
      </c>
      <c r="C92" s="2">
        <f ca="1">OFFSET(stats_raw!$H$3,(ROW(C14)-1)*6,0)*numbers!$O$6 * numbers!$O$20+ OFFSET(stats_raw!$J$3,(ROW(C14)-1)*6,0)*numbers!$O$5* numbers!$O$20</f>
        <v>9.8463999999999982E-2</v>
      </c>
      <c r="D92" s="2">
        <f ca="1">OFFSET(stats_raw!$H$3,(ROW(C14)-1)*6,0)*numbers!$O$6*numbers!$O$14 * numbers!$O$20 + OFFSET(stats_raw!$J$3,(ROW(C14)-1)*6,0)*numbers!$O$5*numbers!$O$14* numbers!$O$20</f>
        <v>0.39385599999999993</v>
      </c>
      <c r="E92" s="2">
        <f ca="1">OFFSET(stats_raw!$H$3,(ROW(C14)-1)*6,0)*numbers!$O$6*numbers!$O$14*numbers!$O$15* numbers!$O$20 + OFFSET(stats_raw!$J$3,(ROW(C14)-1)*6,0)*numbers!$O$5*numbers!$O$14* numbers!$O$20</f>
        <v>0.34460799999999991</v>
      </c>
      <c r="F92" s="2">
        <f ca="1">OFFSET(stats_raw!$H$3,(ROW(C14)-1)*6,0)*numbers!$O$6/numbers!$O$16 * numbers!$O$20+ OFFSET(stats_raw!$J$3,(ROW(C14)-1)*6,0)*numbers!$O$5/numbers!$O$16* numbers!$O$20</f>
        <v>9.8463999999999982E-2</v>
      </c>
      <c r="G92" s="2">
        <f ca="1">OFFSET(stats_raw!$H$3,(ROW(C14)-1)*6,0)*numbers!$O$6/numbers!$O$16 * numbers!$O$21 * numbers!$O$20+ OFFSET(stats_raw!$J$3,(ROW(C14)-1)*6,0)*numbers!$O$5/numbers!$O$16* numbers!$O$20</f>
        <v>8.6151999999999979E-2</v>
      </c>
      <c r="I92" s="12" t="s">
        <v>186</v>
      </c>
      <c r="J92" s="2">
        <f ca="1">J16*numbers!$O$20</f>
        <v>32.309189923102593</v>
      </c>
      <c r="K92" s="2">
        <f ca="1">K16*numbers!$O$20</f>
        <v>6.5696768000000005E-6</v>
      </c>
      <c r="L92" s="2">
        <f ca="1">L16*numbers!$O$20</f>
        <v>2.6278707200000002E-5</v>
      </c>
      <c r="M92" s="2">
        <f ca="1">M16*numbers!$O$20</f>
        <v>2.23388672E-5</v>
      </c>
      <c r="N92" s="2">
        <f ca="1">N16*numbers!$O$20</f>
        <v>6.5696768000000005E-6</v>
      </c>
      <c r="O92" s="2">
        <f ca="1">O16*numbers!$O$20</f>
        <v>6.5696768000000005E-6</v>
      </c>
      <c r="P92" s="12" t="s">
        <v>186</v>
      </c>
      <c r="Q92" s="2">
        <f t="shared" ca="1" si="29"/>
        <v>3.9204099037465543E-6</v>
      </c>
      <c r="R92" s="2">
        <f t="shared" ca="1" si="30"/>
        <v>1.5681639614986217E-5</v>
      </c>
      <c r="S92" s="2">
        <f t="shared" ca="1" si="31"/>
        <v>1.3330566917593124E-5</v>
      </c>
      <c r="T92" s="2">
        <f t="shared" ca="1" si="32"/>
        <v>3.9204099037465543E-6</v>
      </c>
      <c r="U92" s="2">
        <f t="shared" ca="1" si="33"/>
        <v>3.9204099037465543E-6</v>
      </c>
    </row>
    <row r="93" spans="1:23" s="2" customFormat="1" x14ac:dyDescent="0.15">
      <c r="A93" s="12" t="s">
        <v>187</v>
      </c>
      <c r="B93" s="2">
        <f ca="1">B43*numbers!$O$20</f>
        <v>52875676514</v>
      </c>
      <c r="C93" s="2">
        <f ca="1">OFFSET(stats_raw!$H$3,(ROW(C15)-1)*6,0)*numbers!$O$6 * numbers!$O$20+ OFFSET(stats_raw!$J$3,(ROW(C15)-1)*6,0)*numbers!$O$5* numbers!$O$20</f>
        <v>9.8463999999999982E-2</v>
      </c>
      <c r="D93" s="2">
        <f ca="1">OFFSET(stats_raw!$H$3,(ROW(C15)-1)*6,0)*numbers!$O$6*numbers!$O$14 * numbers!$O$20 + OFFSET(stats_raw!$J$3,(ROW(C15)-1)*6,0)*numbers!$O$5*numbers!$O$14* numbers!$O$20</f>
        <v>0.39385599999999993</v>
      </c>
      <c r="E93" s="2">
        <f ca="1">OFFSET(stats_raw!$H$3,(ROW(C15)-1)*6,0)*numbers!$O$6*numbers!$O$14*numbers!$O$15* numbers!$O$20 + OFFSET(stats_raw!$J$3,(ROW(C15)-1)*6,0)*numbers!$O$5*numbers!$O$14* numbers!$O$20</f>
        <v>0.34460799999999991</v>
      </c>
      <c r="F93" s="2">
        <f ca="1">OFFSET(stats_raw!$H$3,(ROW(C15)-1)*6,0)*numbers!$O$6/numbers!$O$16 * numbers!$O$20+ OFFSET(stats_raw!$J$3,(ROW(C15)-1)*6,0)*numbers!$O$5/numbers!$O$16* numbers!$O$20</f>
        <v>9.8463999999999982E-2</v>
      </c>
      <c r="G93" s="2">
        <f ca="1">OFFSET(stats_raw!$H$3,(ROW(C15)-1)*6,0)*numbers!$O$6/numbers!$O$16 * numbers!$O$21 * numbers!$O$20+ OFFSET(stats_raw!$J$3,(ROW(C15)-1)*6,0)*numbers!$O$5/numbers!$O$16* numbers!$O$20</f>
        <v>8.6151999999999979E-2</v>
      </c>
      <c r="I93" s="12" t="s">
        <v>187</v>
      </c>
      <c r="J93" s="2">
        <f ca="1">J17*numbers!$O$20</f>
        <v>32.358743973866595</v>
      </c>
      <c r="K93" s="2">
        <f ca="1">K17*numbers!$O$20</f>
        <v>6.5696768000000005E-6</v>
      </c>
      <c r="L93" s="2">
        <f ca="1">L17*numbers!$O$20</f>
        <v>2.6278707200000002E-5</v>
      </c>
      <c r="M93" s="2">
        <f ca="1">M17*numbers!$O$20</f>
        <v>2.23388672E-5</v>
      </c>
      <c r="N93" s="2">
        <f ca="1">N17*numbers!$O$20</f>
        <v>6.5696768000000005E-6</v>
      </c>
      <c r="O93" s="2">
        <f ca="1">O17*numbers!$O$20</f>
        <v>6.5696768000000005E-6</v>
      </c>
      <c r="P93" s="12" t="s">
        <v>187</v>
      </c>
      <c r="Q93" s="2">
        <f t="shared" ca="1" si="29"/>
        <v>3.9204099037465543E-6</v>
      </c>
      <c r="R93" s="2">
        <f t="shared" ca="1" si="30"/>
        <v>1.5681639614986217E-5</v>
      </c>
      <c r="S93" s="2">
        <f t="shared" ca="1" si="31"/>
        <v>1.3330566917593124E-5</v>
      </c>
      <c r="T93" s="2">
        <f t="shared" ca="1" si="32"/>
        <v>3.9204099037465543E-6</v>
      </c>
      <c r="U93" s="2">
        <f t="shared" ca="1" si="33"/>
        <v>3.9204099037465543E-6</v>
      </c>
    </row>
    <row r="94" spans="1:23" s="2" customFormat="1" x14ac:dyDescent="0.15">
      <c r="A94" s="12" t="s">
        <v>188</v>
      </c>
      <c r="B94" s="2">
        <f ca="1">B44*numbers!$O$20</f>
        <v>1562376054</v>
      </c>
      <c r="C94" s="2">
        <f ca="1">OFFSET(stats_raw!$H$3,(ROW(C16)-1)*6,0)*numbers!$O$6 * numbers!$O$20+ OFFSET(stats_raw!$J$3,(ROW(C16)-1)*6,0)*numbers!$O$5* numbers!$O$20</f>
        <v>1.0172E-2</v>
      </c>
      <c r="D94" s="2">
        <f ca="1">OFFSET(stats_raw!$H$3,(ROW(C16)-1)*6,0)*numbers!$O$6*numbers!$O$14 * numbers!$O$20 + OFFSET(stats_raw!$J$3,(ROW(C16)-1)*6,0)*numbers!$O$5*numbers!$O$14* numbers!$O$20</f>
        <v>4.0688000000000002E-2</v>
      </c>
      <c r="E94" s="2">
        <f ca="1">OFFSET(stats_raw!$H$3,(ROW(C16)-1)*6,0)*numbers!$O$6*numbers!$O$14*numbers!$O$15* numbers!$O$20 + OFFSET(stats_raw!$J$3,(ROW(C16)-1)*6,0)*numbers!$O$5*numbers!$O$14* numbers!$O$20</f>
        <v>3.6428000000000002E-2</v>
      </c>
      <c r="F94" s="2">
        <f ca="1">OFFSET(stats_raw!$H$3,(ROW(C16)-1)*6,0)*numbers!$O$6/numbers!$O$16 * numbers!$O$20+ OFFSET(stats_raw!$J$3,(ROW(C16)-1)*6,0)*numbers!$O$5/numbers!$O$16* numbers!$O$20</f>
        <v>1.0172E-2</v>
      </c>
      <c r="G94" s="2">
        <f ca="1">OFFSET(stats_raw!$H$3,(ROW(C16)-1)*6,0)*numbers!$O$6/numbers!$O$16 * numbers!$O$21 * numbers!$O$20+ OFFSET(stats_raw!$J$3,(ROW(C16)-1)*6,0)*numbers!$O$5/numbers!$O$16* numbers!$O$20</f>
        <v>9.1070000000000005E-3</v>
      </c>
      <c r="I94" s="12" t="s">
        <v>188</v>
      </c>
      <c r="J94" s="2">
        <f ca="1">J18*numbers!$O$20</f>
        <v>0.9519094492489184</v>
      </c>
      <c r="K94" s="2">
        <f ca="1">K18*numbers!$O$20</f>
        <v>5.6861439999999998E-7</v>
      </c>
      <c r="L94" s="2">
        <f ca="1">L18*numbers!$O$20</f>
        <v>2.2744575999999999E-6</v>
      </c>
      <c r="M94" s="2">
        <f ca="1">M18*numbers!$O$20</f>
        <v>1.9336575999999997E-6</v>
      </c>
      <c r="N94" s="2">
        <f ca="1">N18*numbers!$O$20</f>
        <v>5.6861439999999998E-7</v>
      </c>
      <c r="O94" s="2">
        <f ca="1">O18*numbers!$O$20</f>
        <v>5.6861439999999998E-7</v>
      </c>
      <c r="P94" s="12" t="s">
        <v>188</v>
      </c>
      <c r="Q94" s="2">
        <f t="shared" ca="1" si="29"/>
        <v>3.3931677204773675E-7</v>
      </c>
      <c r="R94" s="2">
        <f t="shared" ca="1" si="30"/>
        <v>1.357267088190947E-6</v>
      </c>
      <c r="S94" s="2">
        <f t="shared" ca="1" si="31"/>
        <v>1.1538970083725872E-6</v>
      </c>
      <c r="T94" s="2">
        <f t="shared" ca="1" si="32"/>
        <v>3.3931677204773675E-7</v>
      </c>
      <c r="U94" s="2">
        <f t="shared" ca="1" si="33"/>
        <v>3.3931677204773675E-7</v>
      </c>
    </row>
    <row r="95" spans="1:23" s="2" customFormat="1" x14ac:dyDescent="0.15">
      <c r="A95" s="2" t="s">
        <v>178</v>
      </c>
      <c r="B95" s="2">
        <f>B45*numbers!$O$20</f>
        <v>2897597836</v>
      </c>
      <c r="C95" s="2">
        <f>B95</f>
        <v>2897597836</v>
      </c>
      <c r="D95" s="2">
        <f t="shared" ref="D95:G95" si="34">C95</f>
        <v>2897597836</v>
      </c>
      <c r="E95" s="2">
        <f t="shared" si="34"/>
        <v>2897597836</v>
      </c>
      <c r="F95" s="2">
        <f t="shared" si="34"/>
        <v>2897597836</v>
      </c>
      <c r="G95" s="2">
        <f t="shared" si="34"/>
        <v>2897597836</v>
      </c>
      <c r="I95" s="2" t="s">
        <v>178</v>
      </c>
      <c r="J95" s="2">
        <f>J19*numbers!$O$20</f>
        <v>3.79505506905</v>
      </c>
      <c r="K95" s="2">
        <f>K19*numbers!$O$20</f>
        <v>3.79505506905</v>
      </c>
      <c r="L95" s="2">
        <f>L19*numbers!$O$20</f>
        <v>3.79505506905</v>
      </c>
      <c r="M95" s="2">
        <f>M19*numbers!$O$20</f>
        <v>3.79505506905</v>
      </c>
      <c r="N95" s="2">
        <f>N19*numbers!$O$20</f>
        <v>3.79505506905</v>
      </c>
      <c r="O95" s="2">
        <f>O19*numbers!$O$20</f>
        <v>3.79505506905</v>
      </c>
      <c r="P95" s="2" t="s">
        <v>178</v>
      </c>
      <c r="Q95" s="2">
        <f t="shared" ca="1" si="29"/>
        <v>2.2646732755509653</v>
      </c>
      <c r="R95" s="2">
        <f t="shared" ca="1" si="30"/>
        <v>2.2646732755509653</v>
      </c>
      <c r="S95" s="2">
        <f t="shared" ca="1" si="31"/>
        <v>2.2646732755509653</v>
      </c>
      <c r="T95" s="2">
        <f t="shared" ca="1" si="32"/>
        <v>2.2646732755509653</v>
      </c>
      <c r="U95" s="2">
        <f t="shared" ca="1" si="33"/>
        <v>2.2646732755509653</v>
      </c>
    </row>
    <row r="96" spans="1:23" s="2" customFormat="1" x14ac:dyDescent="0.15">
      <c r="A96" s="2" t="s">
        <v>179</v>
      </c>
      <c r="B96" s="2">
        <f>B46*numbers!$O$20</f>
        <v>12264384</v>
      </c>
      <c r="C96" s="2">
        <f t="shared" ref="C96:G98" si="35">B96</f>
        <v>12264384</v>
      </c>
      <c r="D96" s="2">
        <f t="shared" si="35"/>
        <v>12264384</v>
      </c>
      <c r="E96" s="2">
        <f t="shared" si="35"/>
        <v>12264384</v>
      </c>
      <c r="F96" s="2">
        <f t="shared" si="35"/>
        <v>12264384</v>
      </c>
      <c r="G96" s="2">
        <f t="shared" si="35"/>
        <v>12264384</v>
      </c>
      <c r="I96" s="2" t="s">
        <v>179</v>
      </c>
      <c r="J96" s="2">
        <f>J20*numbers!$O$20</f>
        <v>6.5685756420000005E-2</v>
      </c>
      <c r="K96" s="2">
        <f>K20*numbers!$O$20</f>
        <v>6.5685756420000005E-2</v>
      </c>
      <c r="L96" s="2">
        <f>L20*numbers!$O$20</f>
        <v>6.5685756420000005E-2</v>
      </c>
      <c r="M96" s="2">
        <f>M20*numbers!$O$20</f>
        <v>6.5685756420000005E-2</v>
      </c>
      <c r="N96" s="2">
        <f>N20*numbers!$O$20</f>
        <v>6.5685756420000005E-2</v>
      </c>
      <c r="O96" s="2">
        <f>O20*numbers!$O$20</f>
        <v>6.5685756420000005E-2</v>
      </c>
      <c r="P96" s="2" t="s">
        <v>179</v>
      </c>
      <c r="Q96" s="2">
        <f t="shared" ca="1" si="29"/>
        <v>3.9197527952067879E-2</v>
      </c>
      <c r="R96" s="2">
        <f t="shared" ca="1" si="30"/>
        <v>3.9197527952067879E-2</v>
      </c>
      <c r="S96" s="2">
        <f t="shared" ca="1" si="31"/>
        <v>3.9197527952067879E-2</v>
      </c>
      <c r="T96" s="2">
        <f t="shared" ca="1" si="32"/>
        <v>3.9197527952067879E-2</v>
      </c>
      <c r="U96" s="2">
        <f t="shared" ca="1" si="33"/>
        <v>3.9197527952067879E-2</v>
      </c>
    </row>
    <row r="97" spans="1:22" x14ac:dyDescent="0.15">
      <c r="A97" s="2" t="s">
        <v>181</v>
      </c>
      <c r="B97" s="2">
        <f>B47*numbers!$O$20</f>
        <v>23550254</v>
      </c>
      <c r="C97" s="2">
        <f t="shared" si="35"/>
        <v>23550254</v>
      </c>
      <c r="D97" s="2">
        <f t="shared" si="35"/>
        <v>23550254</v>
      </c>
      <c r="E97" s="2">
        <f t="shared" si="35"/>
        <v>23550254</v>
      </c>
      <c r="F97" s="2">
        <f t="shared" si="35"/>
        <v>23550254</v>
      </c>
      <c r="G97" s="2">
        <f t="shared" si="35"/>
        <v>23550254</v>
      </c>
      <c r="I97" s="2" t="s">
        <v>181</v>
      </c>
      <c r="J97" s="2">
        <f>J21*numbers!$O$20</f>
        <v>5.6708901795000002E-2</v>
      </c>
      <c r="K97" s="2">
        <f>K21*numbers!$O$20</f>
        <v>5.6708901795000002E-2</v>
      </c>
      <c r="L97" s="2">
        <f>L21*numbers!$O$20</f>
        <v>5.6708901795000002E-2</v>
      </c>
      <c r="M97" s="2">
        <f>M21*numbers!$O$20</f>
        <v>5.6708901795000002E-2</v>
      </c>
      <c r="N97" s="2">
        <f>N21*numbers!$O$20</f>
        <v>5.6708901795000002E-2</v>
      </c>
      <c r="O97" s="2">
        <f>O21*numbers!$O$20</f>
        <v>5.6708901795000002E-2</v>
      </c>
      <c r="P97" s="2" t="s">
        <v>181</v>
      </c>
      <c r="Q97" s="2">
        <f t="shared" ca="1" si="29"/>
        <v>3.3840651069426853E-2</v>
      </c>
      <c r="R97" s="2">
        <f t="shared" ca="1" si="30"/>
        <v>3.3840651069426853E-2</v>
      </c>
      <c r="S97" s="2">
        <f t="shared" ca="1" si="31"/>
        <v>3.3840651069426853E-2</v>
      </c>
      <c r="T97" s="2">
        <f t="shared" ca="1" si="32"/>
        <v>3.3840651069426853E-2</v>
      </c>
      <c r="U97" s="2">
        <f t="shared" ca="1" si="33"/>
        <v>3.3840651069426853E-2</v>
      </c>
    </row>
    <row r="98" spans="1:22" s="2" customFormat="1" x14ac:dyDescent="0.15">
      <c r="A98" s="2" t="s">
        <v>183</v>
      </c>
      <c r="B98" s="2">
        <f>B48*numbers!$O$20</f>
        <v>13718909751</v>
      </c>
      <c r="C98" s="2">
        <f t="shared" si="35"/>
        <v>13718909751</v>
      </c>
      <c r="D98" s="2">
        <f t="shared" si="35"/>
        <v>13718909751</v>
      </c>
      <c r="E98" s="2">
        <f t="shared" si="35"/>
        <v>13718909751</v>
      </c>
      <c r="F98" s="2">
        <f t="shared" si="35"/>
        <v>13718909751</v>
      </c>
      <c r="G98" s="2">
        <f t="shared" si="35"/>
        <v>13718909751</v>
      </c>
      <c r="I98" s="2" t="s">
        <v>183</v>
      </c>
      <c r="J98" s="2">
        <f>J22*numbers!$O$20</f>
        <v>16.986913823070001</v>
      </c>
      <c r="K98" s="2">
        <f>K22*numbers!$O$20</f>
        <v>16.986913823070001</v>
      </c>
      <c r="L98" s="2">
        <f>L22*numbers!$O$20</f>
        <v>16.986913823070001</v>
      </c>
      <c r="M98" s="2">
        <f>M22*numbers!$O$20</f>
        <v>16.986913823070001</v>
      </c>
      <c r="N98" s="2">
        <f>N22*numbers!$O$20</f>
        <v>16.986913823070001</v>
      </c>
      <c r="O98" s="2">
        <f>O22*numbers!$O$20</f>
        <v>16.986913823070001</v>
      </c>
      <c r="P98" s="2" t="s">
        <v>183</v>
      </c>
      <c r="Q98" s="2">
        <f t="shared" ca="1" si="29"/>
        <v>10.136825176248074</v>
      </c>
      <c r="R98" s="2">
        <f t="shared" ca="1" si="30"/>
        <v>10.136825176248074</v>
      </c>
      <c r="S98" s="2">
        <f t="shared" ca="1" si="31"/>
        <v>10.136825176248074</v>
      </c>
      <c r="T98" s="2">
        <f t="shared" ca="1" si="32"/>
        <v>10.136825176248074</v>
      </c>
      <c r="U98" s="2">
        <f t="shared" ca="1" si="33"/>
        <v>10.136825176248074</v>
      </c>
    </row>
    <row r="99" spans="1:22" s="2" customFormat="1" x14ac:dyDescent="0.15"/>
    <row r="100" spans="1:22" x14ac:dyDescent="0.15">
      <c r="I100" s="11"/>
      <c r="O100" s="11"/>
    </row>
    <row r="101" spans="1:22" x14ac:dyDescent="0.15">
      <c r="A101" s="1" t="s">
        <v>0</v>
      </c>
      <c r="B101" s="1" t="s">
        <v>63</v>
      </c>
      <c r="C101" s="1" t="s">
        <v>64</v>
      </c>
      <c r="D101" s="1" t="s">
        <v>65</v>
      </c>
      <c r="E101" s="1" t="s">
        <v>66</v>
      </c>
      <c r="F101" s="1" t="s">
        <v>67</v>
      </c>
      <c r="G101" s="1" t="s">
        <v>68</v>
      </c>
      <c r="H101" s="2" t="s">
        <v>195</v>
      </c>
      <c r="J101" s="22" t="s">
        <v>189</v>
      </c>
      <c r="K101" s="22"/>
      <c r="L101" s="22"/>
      <c r="M101" s="22"/>
      <c r="N101" s="22"/>
    </row>
    <row r="102" spans="1:22" x14ac:dyDescent="0.15">
      <c r="A102" s="2" t="s">
        <v>62</v>
      </c>
      <c r="B102">
        <f t="shared" ref="B102:B107" ca="1" si="36">B79</f>
        <v>2774548915</v>
      </c>
      <c r="C102">
        <f ca="1">C79*numbers!$O$11</f>
        <v>24655999.999999996</v>
      </c>
      <c r="D102" s="2">
        <f ca="1">D79*numbers!$O$11</f>
        <v>98623999.999999985</v>
      </c>
      <c r="E102" s="2">
        <f ca="1">E79*numbers!$O$11</f>
        <v>86287999.999999985</v>
      </c>
      <c r="F102" s="2">
        <f ca="1">F79*numbers!$O$11</f>
        <v>24655999.999999996</v>
      </c>
      <c r="G102" s="2">
        <f ca="1">G79*numbers!$O$11</f>
        <v>21571999.999999996</v>
      </c>
      <c r="I102" s="1" t="s">
        <v>0</v>
      </c>
      <c r="J102" s="1" t="s">
        <v>63</v>
      </c>
      <c r="K102" s="1" t="s">
        <v>64</v>
      </c>
      <c r="L102" s="1" t="s">
        <v>65</v>
      </c>
      <c r="M102" s="1" t="s">
        <v>66</v>
      </c>
      <c r="N102" s="1" t="s">
        <v>67</v>
      </c>
      <c r="O102" s="1" t="s">
        <v>68</v>
      </c>
    </row>
    <row r="103" spans="1:22" x14ac:dyDescent="0.15">
      <c r="A103" s="2" t="s">
        <v>32</v>
      </c>
      <c r="B103" s="2">
        <f t="shared" ca="1" si="36"/>
        <v>6005174060</v>
      </c>
      <c r="C103" s="2">
        <f ca="1">C80*numbers!$O$11</f>
        <v>49311999.999999993</v>
      </c>
      <c r="D103" s="2">
        <f ca="1">D80*numbers!$O$11</f>
        <v>197247999.99999997</v>
      </c>
      <c r="E103" s="2">
        <f ca="1">E80*numbers!$O$11</f>
        <v>172575999.99999997</v>
      </c>
      <c r="F103" s="2">
        <f ca="1">F80*numbers!$O$11</f>
        <v>49311999.999999993</v>
      </c>
      <c r="G103" s="2">
        <f ca="1">G80*numbers!$O$11</f>
        <v>43143999.999999993</v>
      </c>
      <c r="I103" s="2" t="s">
        <v>62</v>
      </c>
      <c r="K103" s="2">
        <f ca="1">C102*numbers!$R$7</f>
        <v>5.17776E-2</v>
      </c>
      <c r="L103" s="2">
        <f ca="1">D102*numbers!$R$7</f>
        <v>0.2071104</v>
      </c>
      <c r="M103" s="2">
        <f ca="1">E102*numbers!$R$7</f>
        <v>0.1812048</v>
      </c>
      <c r="N103" s="2">
        <f ca="1">F102*numbers!$R$7</f>
        <v>5.17776E-2</v>
      </c>
      <c r="O103" s="2">
        <f ca="1">G102*numbers!$R$7</f>
        <v>4.53012E-2</v>
      </c>
    </row>
    <row r="104" spans="1:22" x14ac:dyDescent="0.15">
      <c r="A104" s="2" t="s">
        <v>25</v>
      </c>
      <c r="B104" s="2">
        <f t="shared" ca="1" si="36"/>
        <v>9309446310</v>
      </c>
      <c r="C104" s="2">
        <f ca="1">C81*numbers!$O$11</f>
        <v>73967999.999999985</v>
      </c>
      <c r="D104" s="2">
        <f ca="1">D81*numbers!$O$11</f>
        <v>295871999.99999994</v>
      </c>
      <c r="E104" s="2">
        <f ca="1">E81*numbers!$O$11</f>
        <v>258863999.99999997</v>
      </c>
      <c r="F104" s="2">
        <f ca="1">F81*numbers!$O$11</f>
        <v>73967999.999999985</v>
      </c>
      <c r="G104" s="2">
        <f ca="1">G81*numbers!$O$11</f>
        <v>64715999.999999993</v>
      </c>
      <c r="I104" s="2" t="s">
        <v>32</v>
      </c>
      <c r="K104" s="2">
        <f ca="1">C103*numbers!$R$7</f>
        <v>0.1035552</v>
      </c>
      <c r="L104" s="2">
        <f ca="1">D103*numbers!$R$7</f>
        <v>0.4142208</v>
      </c>
      <c r="M104" s="2">
        <f ca="1">E103*numbers!$R$7</f>
        <v>0.3624096</v>
      </c>
      <c r="N104" s="2">
        <f ca="1">F103*numbers!$R$7</f>
        <v>0.1035552</v>
      </c>
      <c r="O104" s="2">
        <f ca="1">G103*numbers!$R$7</f>
        <v>9.06024E-2</v>
      </c>
    </row>
    <row r="105" spans="1:22" x14ac:dyDescent="0.15">
      <c r="A105" s="2" t="s">
        <v>39</v>
      </c>
      <c r="B105" s="2">
        <f t="shared" ca="1" si="36"/>
        <v>2775884828</v>
      </c>
      <c r="C105" s="2">
        <f ca="1">C82*numbers!$O$11</f>
        <v>24655999.999999996</v>
      </c>
      <c r="D105" s="2">
        <f ca="1">D82*numbers!$O$11</f>
        <v>98623999.999999985</v>
      </c>
      <c r="E105" s="2">
        <f ca="1">E82*numbers!$O$11</f>
        <v>86287999.999999985</v>
      </c>
      <c r="F105" s="2">
        <f ca="1">F82*numbers!$O$11</f>
        <v>24655999.999999996</v>
      </c>
      <c r="G105" s="2">
        <f ca="1">G82*numbers!$O$11</f>
        <v>21571999.999999996</v>
      </c>
      <c r="I105" s="2" t="s">
        <v>25</v>
      </c>
      <c r="K105" s="2">
        <f ca="1">C104*numbers!$R$7</f>
        <v>0.15533279999999999</v>
      </c>
      <c r="L105" s="2">
        <f ca="1">D104*numbers!$R$7</f>
        <v>0.62133119999999997</v>
      </c>
      <c r="M105" s="2">
        <f ca="1">E104*numbers!$R$7</f>
        <v>0.54361439999999994</v>
      </c>
      <c r="N105" s="2">
        <f ca="1">F104*numbers!$R$7</f>
        <v>0.15533279999999999</v>
      </c>
      <c r="O105" s="2">
        <f ca="1">G104*numbers!$R$7</f>
        <v>0.13590359999999999</v>
      </c>
    </row>
    <row r="106" spans="1:22" x14ac:dyDescent="0.15">
      <c r="A106" s="2" t="s">
        <v>46</v>
      </c>
      <c r="B106" s="2">
        <f t="shared" ca="1" si="36"/>
        <v>8948549808</v>
      </c>
      <c r="C106" s="2">
        <f ca="1">C83*numbers!$O$11</f>
        <v>73967999.999999985</v>
      </c>
      <c r="D106" s="2">
        <f ca="1">D83*numbers!$O$11</f>
        <v>295871999.99999994</v>
      </c>
      <c r="E106" s="2">
        <f ca="1">E83*numbers!$O$11</f>
        <v>258863999.99999997</v>
      </c>
      <c r="F106" s="2">
        <f ca="1">F83*numbers!$O$11</f>
        <v>73967999.999999985</v>
      </c>
      <c r="G106" s="2">
        <f ca="1">G83*numbers!$O$11</f>
        <v>64715999.999999993</v>
      </c>
      <c r="I106" s="2" t="s">
        <v>39</v>
      </c>
      <c r="K106" s="2">
        <f ca="1">C105*numbers!$R$7</f>
        <v>5.17776E-2</v>
      </c>
      <c r="L106" s="2">
        <f ca="1">D105*numbers!$R$7</f>
        <v>0.2071104</v>
      </c>
      <c r="M106" s="2">
        <f ca="1">E105*numbers!$R$7</f>
        <v>0.1812048</v>
      </c>
      <c r="N106" s="2">
        <f ca="1">F105*numbers!$R$7</f>
        <v>5.17776E-2</v>
      </c>
      <c r="O106" s="2">
        <f ca="1">G105*numbers!$R$7</f>
        <v>4.53012E-2</v>
      </c>
    </row>
    <row r="107" spans="1:22" x14ac:dyDescent="0.15">
      <c r="A107" s="2" t="s">
        <v>127</v>
      </c>
      <c r="B107" s="2">
        <f t="shared" ca="1" si="36"/>
        <v>7618950</v>
      </c>
      <c r="C107" s="2">
        <f ca="1">C84*numbers!$O$11</f>
        <v>814000</v>
      </c>
      <c r="D107" s="2">
        <f ca="1">D84*numbers!$O$11</f>
        <v>3256000</v>
      </c>
      <c r="E107" s="2">
        <f ca="1">E84*numbers!$O$11</f>
        <v>2848000</v>
      </c>
      <c r="F107" s="2">
        <f ca="1">F84*numbers!$O$11</f>
        <v>814000</v>
      </c>
      <c r="G107" s="2">
        <f ca="1">G84*numbers!$O$11</f>
        <v>712000</v>
      </c>
      <c r="I107" s="2" t="s">
        <v>46</v>
      </c>
      <c r="K107" s="2">
        <f ca="1">C106*numbers!$R$7</f>
        <v>0.15533279999999999</v>
      </c>
      <c r="L107" s="2">
        <f ca="1">D106*numbers!$R$7</f>
        <v>0.62133119999999997</v>
      </c>
      <c r="M107" s="2">
        <f ca="1">E106*numbers!$R$7</f>
        <v>0.54361439999999994</v>
      </c>
      <c r="N107" s="2">
        <f ca="1">F106*numbers!$R$7</f>
        <v>0.15533279999999999</v>
      </c>
      <c r="O107" s="2">
        <f ca="1">G106*numbers!$R$7</f>
        <v>0.13590359999999999</v>
      </c>
    </row>
    <row r="108" spans="1:22" s="2" customFormat="1" x14ac:dyDescent="0.15">
      <c r="A108" s="2" t="s">
        <v>128</v>
      </c>
      <c r="B108" s="2">
        <f t="shared" ref="B108:B121" ca="1" si="37">B85</f>
        <v>2142591430</v>
      </c>
      <c r="C108" s="2">
        <f ca="1">C85*numbers!$O$11</f>
        <v>140067000</v>
      </c>
      <c r="D108" s="2">
        <f ca="1">D85*numbers!$O$11</f>
        <v>560268000</v>
      </c>
      <c r="E108" s="2">
        <f ca="1">E85*numbers!$O$11</f>
        <v>486518999.99999994</v>
      </c>
      <c r="F108" s="2">
        <f ca="1">F85*numbers!$O$11</f>
        <v>140067000</v>
      </c>
      <c r="G108" s="2">
        <f ca="1">G85*numbers!$O$11</f>
        <v>121629749.99999999</v>
      </c>
      <c r="I108" s="2" t="s">
        <v>127</v>
      </c>
      <c r="K108" s="2">
        <f ca="1">C107*numbers!$R$7</f>
        <v>1.7094000000000002E-3</v>
      </c>
      <c r="L108" s="2">
        <f ca="1">D107*numbers!$R$7</f>
        <v>6.837600000000001E-3</v>
      </c>
      <c r="M108" s="2">
        <f ca="1">E107*numbers!$R$7</f>
        <v>5.9808000000000005E-3</v>
      </c>
      <c r="N108" s="2">
        <f ca="1">F107*numbers!$R$7</f>
        <v>1.7094000000000002E-3</v>
      </c>
      <c r="O108" s="2">
        <f ca="1">G107*numbers!$R$7</f>
        <v>1.4952000000000001E-3</v>
      </c>
    </row>
    <row r="109" spans="1:22" s="2" customFormat="1" x14ac:dyDescent="0.15">
      <c r="A109" s="2" t="s">
        <v>129</v>
      </c>
      <c r="B109" s="2">
        <f t="shared" ca="1" si="37"/>
        <v>1368318351</v>
      </c>
      <c r="C109" s="2">
        <f ca="1">C86*numbers!$O$11</f>
        <v>65792999.999999993</v>
      </c>
      <c r="D109" s="2">
        <f ca="1">D86*numbers!$O$11</f>
        <v>263171999.99999997</v>
      </c>
      <c r="E109" s="2">
        <f ca="1">E86*numbers!$O$11</f>
        <v>226269000</v>
      </c>
      <c r="F109" s="2">
        <f ca="1">F86*numbers!$O$11</f>
        <v>65792999.999999993</v>
      </c>
      <c r="G109" s="2">
        <f ca="1">G86*numbers!$O$11</f>
        <v>56567250</v>
      </c>
      <c r="I109" s="2" t="s">
        <v>128</v>
      </c>
      <c r="K109" s="2">
        <f ca="1">C108*numbers!$R$7</f>
        <v>0.29414070000000003</v>
      </c>
      <c r="L109" s="2">
        <f ca="1">D108*numbers!$R$7</f>
        <v>1.1765628000000001</v>
      </c>
      <c r="M109" s="2">
        <f ca="1">E108*numbers!$R$7</f>
        <v>1.0216898999999999</v>
      </c>
      <c r="N109" s="2">
        <f ca="1">F108*numbers!$R$7</f>
        <v>0.29414070000000003</v>
      </c>
      <c r="O109" s="2">
        <f ca="1">G108*numbers!$R$7</f>
        <v>0.25542247499999998</v>
      </c>
    </row>
    <row r="110" spans="1:22" s="2" customFormat="1" x14ac:dyDescent="0.15">
      <c r="A110" s="2" t="s">
        <v>53</v>
      </c>
      <c r="B110" s="2">
        <f t="shared" ca="1" si="37"/>
        <v>1123164770</v>
      </c>
      <c r="C110" s="2">
        <f ca="1">C87*numbers!$O$11+H110</f>
        <v>242233076</v>
      </c>
      <c r="D110" s="2">
        <f ca="1">D87*numbers!$O$11+H110</f>
        <v>372022076</v>
      </c>
      <c r="E110" s="2">
        <f ca="1">E87*numbers!$O$11+H110</f>
        <v>350365076</v>
      </c>
      <c r="F110" s="2">
        <f ca="1">F87*numbers!$O$11+H110</f>
        <v>242233076</v>
      </c>
      <c r="G110" s="2">
        <f ca="1">G87*numbers!$O$11+H110</f>
        <v>236818826</v>
      </c>
      <c r="H110" s="2">
        <v>198970076</v>
      </c>
      <c r="I110" s="2" t="s">
        <v>129</v>
      </c>
      <c r="K110" s="2">
        <f ca="1">C109*numbers!$R$7</f>
        <v>0.13816529999999999</v>
      </c>
      <c r="L110" s="2">
        <f ca="1">D109*numbers!$R$7</f>
        <v>0.55266119999999996</v>
      </c>
      <c r="M110" s="2">
        <f ca="1">E109*numbers!$R$7</f>
        <v>0.47516490000000006</v>
      </c>
      <c r="N110" s="2">
        <f ca="1">F109*numbers!$R$7</f>
        <v>0.13816529999999999</v>
      </c>
      <c r="O110" s="2">
        <f ca="1">G109*numbers!$R$7</f>
        <v>0.11879122500000001</v>
      </c>
    </row>
    <row r="111" spans="1:22" s="2" customFormat="1" x14ac:dyDescent="0.15">
      <c r="A111" s="12" t="s">
        <v>180</v>
      </c>
      <c r="B111" s="2">
        <f t="shared" ca="1" si="37"/>
        <v>6775223</v>
      </c>
      <c r="C111" s="2">
        <f ca="1">C88*numbers!$O$11</f>
        <v>5272000</v>
      </c>
      <c r="D111" s="2">
        <f ca="1">D88*numbers!$O$11</f>
        <v>21088000</v>
      </c>
      <c r="E111" s="2">
        <f ca="1">E88*numbers!$O$11</f>
        <v>17944000</v>
      </c>
      <c r="F111" s="2">
        <f ca="1">F88*numbers!$O$11</f>
        <v>5272000</v>
      </c>
      <c r="G111" s="2">
        <f ca="1">G88*numbers!$O$11</f>
        <v>4486000</v>
      </c>
      <c r="I111" s="2" t="s">
        <v>53</v>
      </c>
      <c r="K111" s="2">
        <f ca="1">C110*numbers!$R$7</f>
        <v>0.5086894596</v>
      </c>
      <c r="L111" s="2">
        <f ca="1">D110*numbers!$R$7</f>
        <v>0.78124635960000011</v>
      </c>
      <c r="M111" s="2">
        <f ca="1">E110*numbers!$R$7</f>
        <v>0.73576665960000009</v>
      </c>
      <c r="N111" s="2">
        <f ca="1">F110*numbers!$R$7</f>
        <v>0.5086894596</v>
      </c>
      <c r="O111" s="2">
        <f ca="1">G110*numbers!$R$7</f>
        <v>0.49731953460000006</v>
      </c>
      <c r="S111" s="22" t="s">
        <v>190</v>
      </c>
      <c r="T111" s="22"/>
      <c r="U111" s="22"/>
      <c r="V111" s="22"/>
    </row>
    <row r="112" spans="1:22" s="2" customFormat="1" x14ac:dyDescent="0.15">
      <c r="A112" s="12" t="s">
        <v>182</v>
      </c>
      <c r="B112" s="2">
        <f t="shared" ca="1" si="37"/>
        <v>13149654</v>
      </c>
      <c r="C112" s="2">
        <f ca="1">C89*numbers!$O$11</f>
        <v>10432000</v>
      </c>
      <c r="D112" s="2">
        <f ca="1">D89*numbers!$O$11</f>
        <v>41728000</v>
      </c>
      <c r="E112" s="2">
        <f ca="1">E89*numbers!$O$11</f>
        <v>35488000</v>
      </c>
      <c r="F112" s="2">
        <f ca="1">F89*numbers!$O$11</f>
        <v>10432000</v>
      </c>
      <c r="G112" s="2">
        <f ca="1">G89*numbers!$O$11</f>
        <v>8872000</v>
      </c>
      <c r="I112" s="12" t="s">
        <v>180</v>
      </c>
      <c r="K112" s="2">
        <f ca="1">C111*numbers!$R$7</f>
        <v>1.1071200000000002E-2</v>
      </c>
      <c r="L112" s="2">
        <f ca="1">D111*numbers!$R$7</f>
        <v>4.4284800000000006E-2</v>
      </c>
      <c r="M112" s="2">
        <f ca="1">E111*numbers!$R$7</f>
        <v>3.7682400000000005E-2</v>
      </c>
      <c r="N112" s="2">
        <f ca="1">F111*numbers!$R$7</f>
        <v>1.1071200000000002E-2</v>
      </c>
      <c r="O112" s="2">
        <f ca="1">G111*numbers!$R$7</f>
        <v>9.4206000000000012E-3</v>
      </c>
      <c r="S112" s="22"/>
      <c r="T112" s="22"/>
      <c r="U112" s="22"/>
      <c r="V112" s="22"/>
    </row>
    <row r="113" spans="1:23" s="2" customFormat="1" x14ac:dyDescent="0.15">
      <c r="A113" s="12" t="s">
        <v>184</v>
      </c>
      <c r="B113" s="2">
        <f t="shared" ca="1" si="37"/>
        <v>122820258</v>
      </c>
      <c r="C113" s="2">
        <f ca="1">C90*numbers!$O$11+H113</f>
        <v>18405963</v>
      </c>
      <c r="D113" s="2">
        <f ca="1">D90*numbers!$O$11+H113</f>
        <v>33987963</v>
      </c>
      <c r="E113" s="2">
        <f ca="1">E90*numbers!$O$11+H113</f>
        <v>30909962.999999996</v>
      </c>
      <c r="F113" s="2">
        <f ca="1">F90*numbers!$O$11+H113</f>
        <v>18405963</v>
      </c>
      <c r="G113" s="2">
        <f ca="1">G90*numbers!$O$11+H113</f>
        <v>17636463</v>
      </c>
      <c r="H113" s="2">
        <v>13211963</v>
      </c>
      <c r="I113" s="12" t="s">
        <v>182</v>
      </c>
      <c r="K113" s="2">
        <f ca="1">C112*numbers!$R$7</f>
        <v>2.1907200000000002E-2</v>
      </c>
      <c r="L113" s="2">
        <f ca="1">D112*numbers!$R$7</f>
        <v>8.7628800000000007E-2</v>
      </c>
      <c r="M113" s="2">
        <f ca="1">E112*numbers!$R$7</f>
        <v>7.4524800000000002E-2</v>
      </c>
      <c r="N113" s="2">
        <f ca="1">F112*numbers!$R$7</f>
        <v>2.1907200000000002E-2</v>
      </c>
      <c r="O113" s="2">
        <f ca="1">G112*numbers!$R$7</f>
        <v>1.8631200000000001E-2</v>
      </c>
    </row>
    <row r="114" spans="1:23" x14ac:dyDescent="0.15">
      <c r="A114" s="12" t="s">
        <v>185</v>
      </c>
      <c r="B114" s="2">
        <f t="shared" ca="1" si="37"/>
        <v>123723582</v>
      </c>
      <c r="C114" s="2">
        <f ca="1">C91*numbers!$O$11+H114</f>
        <v>17131999.999999996</v>
      </c>
      <c r="D114" s="2">
        <f ca="1">D91*numbers!$O$11+H114</f>
        <v>28393999.999999996</v>
      </c>
      <c r="E114" s="2">
        <f ca="1">E91*numbers!$O$11+H114</f>
        <v>26755999.999999996</v>
      </c>
      <c r="F114" s="2">
        <f ca="1">F91*numbers!$O$11+H114</f>
        <v>17131999.999999996</v>
      </c>
      <c r="G114" s="2">
        <f ca="1">G91*numbers!$O$11+H114</f>
        <v>16722499.999999998</v>
      </c>
      <c r="H114" s="2">
        <v>13377999.999999998</v>
      </c>
      <c r="I114" s="12" t="s">
        <v>184</v>
      </c>
      <c r="K114" s="2">
        <f ca="1">C113*numbers!$R$7</f>
        <v>3.8652522300000006E-2</v>
      </c>
      <c r="L114" s="2">
        <f ca="1">D113*numbers!$R$7</f>
        <v>7.1374722300000012E-2</v>
      </c>
      <c r="M114" s="2">
        <f ca="1">E113*numbers!$R$7</f>
        <v>6.4910922299999993E-2</v>
      </c>
      <c r="N114" s="2">
        <f ca="1">F113*numbers!$R$7</f>
        <v>3.8652522300000006E-2</v>
      </c>
      <c r="O114" s="2">
        <f ca="1">G113*numbers!$R$7</f>
        <v>3.7036572300000001E-2</v>
      </c>
      <c r="Q114" s="1" t="s">
        <v>0</v>
      </c>
      <c r="R114" s="1" t="s">
        <v>63</v>
      </c>
      <c r="S114" s="1" t="s">
        <v>64</v>
      </c>
      <c r="T114" s="1" t="s">
        <v>65</v>
      </c>
      <c r="U114" s="1" t="s">
        <v>66</v>
      </c>
      <c r="V114" s="1" t="s">
        <v>67</v>
      </c>
      <c r="W114" s="1" t="s">
        <v>68</v>
      </c>
    </row>
    <row r="115" spans="1:23" x14ac:dyDescent="0.15">
      <c r="A115" s="12" t="s">
        <v>186</v>
      </c>
      <c r="B115" s="2">
        <f t="shared" ca="1" si="37"/>
        <v>52831468481</v>
      </c>
      <c r="C115" s="2">
        <f ca="1">C92*numbers!$O$11+H115</f>
        <v>526331798</v>
      </c>
      <c r="D115" s="2">
        <f ca="1">D92*numbers!$O$11+H115</f>
        <v>821723798</v>
      </c>
      <c r="E115" s="2">
        <f ca="1">E92*numbers!$O$11+H115</f>
        <v>772475798</v>
      </c>
      <c r="F115" s="2">
        <f ca="1">F92*numbers!$O$11+H115</f>
        <v>526331798</v>
      </c>
      <c r="G115" s="2">
        <f ca="1">G92*numbers!$O$11+H115</f>
        <v>514019798</v>
      </c>
      <c r="H115" s="2">
        <v>427867798</v>
      </c>
      <c r="I115" s="12" t="s">
        <v>185</v>
      </c>
      <c r="K115" s="2">
        <f ca="1">C114*numbers!$R$7</f>
        <v>3.5977199999999994E-2</v>
      </c>
      <c r="L115" s="2">
        <f ca="1">D114*numbers!$R$7</f>
        <v>5.9627399999999997E-2</v>
      </c>
      <c r="M115" s="2">
        <f ca="1">E114*numbers!$R$7</f>
        <v>5.6187599999999997E-2</v>
      </c>
      <c r="N115" s="2">
        <f ca="1">F114*numbers!$R$7</f>
        <v>3.5977199999999994E-2</v>
      </c>
      <c r="O115" s="2">
        <f ca="1">G114*numbers!$R$7</f>
        <v>3.5117250000000003E-2</v>
      </c>
      <c r="Q115" s="2" t="s">
        <v>62</v>
      </c>
      <c r="S115">
        <f t="shared" ref="S115:S128" ca="1" si="38">ROUND($J126/K126,2)</f>
        <v>32.36</v>
      </c>
      <c r="T115" s="2">
        <f t="shared" ref="T115:T128" ca="1" si="39">ROUND($J126/L126,2)</f>
        <v>8.09</v>
      </c>
      <c r="U115" s="2">
        <f t="shared" ref="U115:U128" ca="1" si="40">ROUND($J126/M126,2)</f>
        <v>9.25</v>
      </c>
      <c r="V115" s="2">
        <f t="shared" ref="V115:V128" ca="1" si="41">ROUND($J126/N126,2)</f>
        <v>32.36</v>
      </c>
      <c r="W115" s="2">
        <f t="shared" ref="W115:W128" ca="1" si="42">ROUND($J126/O126,2)</f>
        <v>36.99</v>
      </c>
    </row>
    <row r="116" spans="1:23" x14ac:dyDescent="0.15">
      <c r="A116" s="12" t="s">
        <v>187</v>
      </c>
      <c r="B116" s="2">
        <f t="shared" ca="1" si="37"/>
        <v>52875676514</v>
      </c>
      <c r="C116" s="2">
        <f ca="1">C93*numbers!$O$11+H116</f>
        <v>526338170</v>
      </c>
      <c r="D116" s="2">
        <f ca="1">D93*numbers!$O$11+H116</f>
        <v>821730170</v>
      </c>
      <c r="E116" s="2">
        <f ca="1">E93*numbers!$O$11+H116</f>
        <v>772482170</v>
      </c>
      <c r="F116" s="2">
        <f ca="1">F93*numbers!$O$11+H116</f>
        <v>526338170</v>
      </c>
      <c r="G116" s="2">
        <f ca="1">G93*numbers!$O$11+H116</f>
        <v>514026170</v>
      </c>
      <c r="H116" s="2">
        <v>427874170</v>
      </c>
      <c r="I116" s="12" t="s">
        <v>186</v>
      </c>
      <c r="K116" s="2">
        <f ca="1">C115*numbers!$R$7</f>
        <v>1.1052967758000001</v>
      </c>
      <c r="L116" s="2">
        <f ca="1">D115*numbers!$R$7</f>
        <v>1.7256199758000001</v>
      </c>
      <c r="M116" s="2">
        <f ca="1">E115*numbers!$R$7</f>
        <v>1.6221991758000001</v>
      </c>
      <c r="N116" s="2">
        <f ca="1">F115*numbers!$R$7</f>
        <v>1.1052967758000001</v>
      </c>
      <c r="O116" s="2">
        <f ca="1">G115*numbers!$R$7</f>
        <v>1.0794415758</v>
      </c>
      <c r="Q116" s="2" t="s">
        <v>32</v>
      </c>
      <c r="S116" s="2">
        <f t="shared" ca="1" si="38"/>
        <v>34.61</v>
      </c>
      <c r="T116" s="2">
        <f t="shared" ca="1" si="39"/>
        <v>8.65</v>
      </c>
      <c r="U116" s="2">
        <f t="shared" ca="1" si="40"/>
        <v>9.89</v>
      </c>
      <c r="V116" s="2">
        <f t="shared" ca="1" si="41"/>
        <v>34.61</v>
      </c>
      <c r="W116" s="2">
        <f t="shared" ca="1" si="42"/>
        <v>39.56</v>
      </c>
    </row>
    <row r="117" spans="1:23" x14ac:dyDescent="0.15">
      <c r="A117" s="12" t="s">
        <v>188</v>
      </c>
      <c r="B117" s="2">
        <f t="shared" ca="1" si="37"/>
        <v>1562376054</v>
      </c>
      <c r="C117" s="2">
        <f ca="1">C94*numbers!$O$11+H117</f>
        <v>795812163</v>
      </c>
      <c r="D117" s="2">
        <f ca="1">D94*numbers!$O$11+H117</f>
        <v>826328163</v>
      </c>
      <c r="E117" s="2">
        <f ca="1">E94*numbers!$O$11+H117</f>
        <v>822068163</v>
      </c>
      <c r="F117" s="2">
        <f ca="1">F94*numbers!$O$11+H117</f>
        <v>795812163</v>
      </c>
      <c r="G117" s="2">
        <f ca="1">G94*numbers!$O$11+H117</f>
        <v>794747163</v>
      </c>
      <c r="H117" s="2">
        <v>785640163</v>
      </c>
      <c r="I117" s="12" t="s">
        <v>187</v>
      </c>
      <c r="K117" s="2">
        <f ca="1">C116*numbers!$R$7</f>
        <v>1.1053101570000001</v>
      </c>
      <c r="L117" s="2">
        <f ca="1">D116*numbers!$R$7</f>
        <v>1.7256333570000002</v>
      </c>
      <c r="M117" s="2">
        <f ca="1">E116*numbers!$R$7</f>
        <v>1.6222125570000001</v>
      </c>
      <c r="N117" s="2">
        <f ca="1">F116*numbers!$R$7</f>
        <v>1.1053101570000001</v>
      </c>
      <c r="O117" s="2">
        <f ca="1">G116*numbers!$R$7</f>
        <v>1.079454957</v>
      </c>
      <c r="Q117" s="2" t="s">
        <v>25</v>
      </c>
      <c r="S117" s="2">
        <f t="shared" ca="1" si="38"/>
        <v>36.299999999999997</v>
      </c>
      <c r="T117" s="2">
        <f t="shared" ca="1" si="39"/>
        <v>9.08</v>
      </c>
      <c r="U117" s="2">
        <f t="shared" ca="1" si="40"/>
        <v>10.37</v>
      </c>
      <c r="V117" s="2">
        <f t="shared" ca="1" si="41"/>
        <v>36.299999999999997</v>
      </c>
      <c r="W117" s="2">
        <f t="shared" ca="1" si="42"/>
        <v>41.49</v>
      </c>
    </row>
    <row r="118" spans="1:23" x14ac:dyDescent="0.15">
      <c r="A118" s="2" t="s">
        <v>178</v>
      </c>
      <c r="B118" s="2">
        <f t="shared" si="37"/>
        <v>2897597836</v>
      </c>
      <c r="C118" s="2">
        <f>B118</f>
        <v>2897597836</v>
      </c>
      <c r="D118" s="2">
        <f t="shared" ref="D118:G118" si="43">C118</f>
        <v>2897597836</v>
      </c>
      <c r="E118" s="2">
        <f t="shared" si="43"/>
        <v>2897597836</v>
      </c>
      <c r="F118" s="2">
        <f t="shared" si="43"/>
        <v>2897597836</v>
      </c>
      <c r="G118" s="2">
        <f t="shared" si="43"/>
        <v>2897597836</v>
      </c>
      <c r="I118" s="12" t="s">
        <v>188</v>
      </c>
      <c r="K118" s="2">
        <f ca="1">C117*numbers!$R$7</f>
        <v>1.6712055423000001</v>
      </c>
      <c r="L118" s="2">
        <f ca="1">D117*numbers!$R$7</f>
        <v>1.7352891423000001</v>
      </c>
      <c r="M118" s="2">
        <f ca="1">E117*numbers!$R$7</f>
        <v>1.7263431423000002</v>
      </c>
      <c r="N118" s="2">
        <f ca="1">F117*numbers!$R$7</f>
        <v>1.6712055423000001</v>
      </c>
      <c r="O118" s="2">
        <f ca="1">G117*numbers!$R$7</f>
        <v>1.6689690423000001</v>
      </c>
      <c r="Q118" s="2" t="s">
        <v>39</v>
      </c>
      <c r="S118" s="2">
        <f t="shared" ca="1" si="38"/>
        <v>32.380000000000003</v>
      </c>
      <c r="T118" s="2">
        <f t="shared" ca="1" si="39"/>
        <v>8.09</v>
      </c>
      <c r="U118" s="2">
        <f t="shared" ca="1" si="40"/>
        <v>9.25</v>
      </c>
      <c r="V118" s="2">
        <f t="shared" ca="1" si="41"/>
        <v>32.380000000000003</v>
      </c>
      <c r="W118" s="2">
        <f t="shared" ca="1" si="42"/>
        <v>37</v>
      </c>
    </row>
    <row r="119" spans="1:23" x14ac:dyDescent="0.15">
      <c r="A119" s="2" t="s">
        <v>179</v>
      </c>
      <c r="B119" s="2">
        <f t="shared" si="37"/>
        <v>12264384</v>
      </c>
      <c r="C119" s="2">
        <f t="shared" ref="C119:G121" si="44">B119</f>
        <v>12264384</v>
      </c>
      <c r="D119" s="2">
        <f t="shared" si="44"/>
        <v>12264384</v>
      </c>
      <c r="E119" s="2">
        <f t="shared" si="44"/>
        <v>12264384</v>
      </c>
      <c r="F119" s="2">
        <f t="shared" si="44"/>
        <v>12264384</v>
      </c>
      <c r="G119" s="2">
        <f t="shared" si="44"/>
        <v>12264384</v>
      </c>
      <c r="I119" s="2" t="s">
        <v>178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Q119" s="2" t="s">
        <v>46</v>
      </c>
      <c r="S119" s="2">
        <f t="shared" ca="1" si="38"/>
        <v>34.93</v>
      </c>
      <c r="T119" s="2">
        <f t="shared" ca="1" si="39"/>
        <v>8.73</v>
      </c>
      <c r="U119" s="2">
        <f t="shared" ca="1" si="40"/>
        <v>9.98</v>
      </c>
      <c r="V119" s="2">
        <f t="shared" ca="1" si="41"/>
        <v>34.93</v>
      </c>
      <c r="W119" s="2">
        <f t="shared" ca="1" si="42"/>
        <v>39.92</v>
      </c>
    </row>
    <row r="120" spans="1:23" x14ac:dyDescent="0.15">
      <c r="A120" s="2" t="s">
        <v>181</v>
      </c>
      <c r="B120" s="2">
        <f t="shared" si="37"/>
        <v>23550254</v>
      </c>
      <c r="C120" s="2">
        <f t="shared" si="44"/>
        <v>23550254</v>
      </c>
      <c r="D120" s="2">
        <f t="shared" si="44"/>
        <v>23550254</v>
      </c>
      <c r="E120" s="2">
        <f t="shared" si="44"/>
        <v>23550254</v>
      </c>
      <c r="F120" s="2">
        <f t="shared" si="44"/>
        <v>23550254</v>
      </c>
      <c r="G120" s="2">
        <f t="shared" si="44"/>
        <v>23550254</v>
      </c>
      <c r="I120" s="2" t="s">
        <v>179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Q120" s="2" t="s">
        <v>127</v>
      </c>
      <c r="S120" s="2">
        <f t="shared" ca="1" si="38"/>
        <v>2.67</v>
      </c>
      <c r="T120" s="2">
        <f t="shared" ca="1" si="39"/>
        <v>0.67</v>
      </c>
      <c r="U120" s="2">
        <f t="shared" ca="1" si="40"/>
        <v>0.76</v>
      </c>
      <c r="V120" s="2">
        <f t="shared" ca="1" si="41"/>
        <v>2.67</v>
      </c>
      <c r="W120" s="2">
        <f t="shared" ca="1" si="42"/>
        <v>3.05</v>
      </c>
    </row>
    <row r="121" spans="1:23" x14ac:dyDescent="0.15">
      <c r="A121" s="2" t="s">
        <v>183</v>
      </c>
      <c r="B121" s="2">
        <f t="shared" si="37"/>
        <v>13718909751</v>
      </c>
      <c r="C121" s="2">
        <f t="shared" si="44"/>
        <v>13718909751</v>
      </c>
      <c r="D121" s="2">
        <f t="shared" si="44"/>
        <v>13718909751</v>
      </c>
      <c r="E121" s="2">
        <f t="shared" si="44"/>
        <v>13718909751</v>
      </c>
      <c r="F121" s="2">
        <f t="shared" si="44"/>
        <v>13718909751</v>
      </c>
      <c r="G121" s="2">
        <f t="shared" si="44"/>
        <v>13718909751</v>
      </c>
      <c r="I121" s="2" t="s">
        <v>181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Q121" s="2" t="s">
        <v>128</v>
      </c>
      <c r="S121" s="2">
        <f t="shared" ca="1" si="38"/>
        <v>4.4400000000000004</v>
      </c>
      <c r="T121" s="2">
        <f t="shared" ca="1" si="39"/>
        <v>1.1100000000000001</v>
      </c>
      <c r="U121" s="2">
        <f t="shared" ca="1" si="40"/>
        <v>1.28</v>
      </c>
      <c r="V121" s="2">
        <f t="shared" ca="1" si="41"/>
        <v>4.4400000000000004</v>
      </c>
      <c r="W121" s="2">
        <f t="shared" ca="1" si="42"/>
        <v>5.12</v>
      </c>
    </row>
    <row r="122" spans="1:23" x14ac:dyDescent="0.15">
      <c r="I122" s="2" t="s">
        <v>183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Q122" s="2" t="s">
        <v>129</v>
      </c>
      <c r="S122" s="2">
        <f t="shared" ca="1" si="38"/>
        <v>6.04</v>
      </c>
      <c r="T122" s="2">
        <f t="shared" ca="1" si="39"/>
        <v>1.51</v>
      </c>
      <c r="U122" s="2">
        <f t="shared" ca="1" si="40"/>
        <v>1.76</v>
      </c>
      <c r="V122" s="2">
        <f t="shared" ca="1" si="41"/>
        <v>6.04</v>
      </c>
      <c r="W122" s="2">
        <f t="shared" ca="1" si="42"/>
        <v>7.03</v>
      </c>
    </row>
    <row r="123" spans="1:23" x14ac:dyDescent="0.15">
      <c r="B123" s="22" t="s">
        <v>202</v>
      </c>
      <c r="C123" s="22"/>
      <c r="D123" s="22"/>
      <c r="E123" s="22"/>
      <c r="F123" s="22"/>
      <c r="G123" s="2"/>
      <c r="Q123" s="2" t="s">
        <v>53</v>
      </c>
      <c r="S123" s="2">
        <f t="shared" ca="1" si="38"/>
        <v>10.78</v>
      </c>
      <c r="T123" s="2">
        <f t="shared" ca="1" si="39"/>
        <v>7.02</v>
      </c>
      <c r="U123" s="2">
        <f t="shared" ca="1" si="40"/>
        <v>7.45</v>
      </c>
      <c r="V123" s="2">
        <f t="shared" ca="1" si="41"/>
        <v>10.78</v>
      </c>
      <c r="W123" s="2">
        <f t="shared" ca="1" si="42"/>
        <v>11.02</v>
      </c>
    </row>
    <row r="124" spans="1:23" x14ac:dyDescent="0.15">
      <c r="J124" s="22" t="s">
        <v>85</v>
      </c>
      <c r="K124" s="22"/>
      <c r="L124" s="22"/>
      <c r="M124" s="22"/>
      <c r="N124" s="22"/>
      <c r="O124" s="22"/>
      <c r="Q124" s="12" t="s">
        <v>180</v>
      </c>
      <c r="S124" s="2">
        <f t="shared" ca="1" si="38"/>
        <v>0.36</v>
      </c>
      <c r="T124" s="2">
        <f t="shared" ca="1" si="39"/>
        <v>0.09</v>
      </c>
      <c r="U124" s="2">
        <f t="shared" ca="1" si="40"/>
        <v>0.11</v>
      </c>
      <c r="V124" s="2">
        <f t="shared" ca="1" si="41"/>
        <v>0.36</v>
      </c>
      <c r="W124" s="2">
        <f t="shared" ca="1" si="42"/>
        <v>0.42</v>
      </c>
    </row>
    <row r="125" spans="1:23" x14ac:dyDescent="0.15">
      <c r="A125" s="1" t="str">
        <f>I125</f>
        <v>Benchmark</v>
      </c>
      <c r="B125" s="1" t="str">
        <f t="shared" ref="B125:G138" si="45">J125</f>
        <v>arm</v>
      </c>
      <c r="C125" s="1" t="str">
        <f t="shared" si="45"/>
        <v>cim</v>
      </c>
      <c r="D125" s="1" t="str">
        <f t="shared" si="45"/>
        <v>cim_tile</v>
      </c>
      <c r="E125" s="1" t="str">
        <f t="shared" si="45"/>
        <v>cim_trafo</v>
      </c>
      <c r="F125" s="1" t="str">
        <f t="shared" si="45"/>
        <v>cim_parl</v>
      </c>
      <c r="G125" s="1" t="str">
        <f t="shared" si="45"/>
        <v>cim_opt</v>
      </c>
      <c r="I125" s="1" t="s">
        <v>0</v>
      </c>
      <c r="J125" s="1" t="s">
        <v>63</v>
      </c>
      <c r="K125" s="1" t="s">
        <v>64</v>
      </c>
      <c r="L125" s="1" t="s">
        <v>65</v>
      </c>
      <c r="M125" s="1" t="s">
        <v>66</v>
      </c>
      <c r="N125" s="1" t="s">
        <v>67</v>
      </c>
      <c r="O125" s="1" t="s">
        <v>68</v>
      </c>
      <c r="Q125" s="12" t="s">
        <v>182</v>
      </c>
      <c r="S125" s="2">
        <f t="shared" ca="1" si="38"/>
        <v>0.36</v>
      </c>
      <c r="T125" s="2">
        <f t="shared" ca="1" si="39"/>
        <v>0.09</v>
      </c>
      <c r="U125" s="2">
        <f t="shared" ca="1" si="40"/>
        <v>0.11</v>
      </c>
      <c r="V125" s="2">
        <f t="shared" ca="1" si="41"/>
        <v>0.36</v>
      </c>
      <c r="W125" s="2">
        <f t="shared" ca="1" si="42"/>
        <v>0.42</v>
      </c>
    </row>
    <row r="126" spans="1:23" x14ac:dyDescent="0.15">
      <c r="A126" s="2" t="str">
        <f t="shared" ref="A126:A145" si="46">I126</f>
        <v>mm</v>
      </c>
      <c r="B126" s="2">
        <f t="shared" ca="1" si="45"/>
        <v>1.6757627292293247</v>
      </c>
      <c r="C126" s="2">
        <f t="shared" ca="1" si="45"/>
        <v>5.1779245619199998E-2</v>
      </c>
      <c r="D126" s="2">
        <f t="shared" ca="1" si="45"/>
        <v>0.20711698247679999</v>
      </c>
      <c r="E126" s="2">
        <f t="shared" ca="1" si="45"/>
        <v>0.18121039559679999</v>
      </c>
      <c r="F126" s="2">
        <f t="shared" ca="1" si="45"/>
        <v>5.1779245619199998E-2</v>
      </c>
      <c r="G126" s="2">
        <f t="shared" ca="1" si="45"/>
        <v>4.5302845619199998E-2</v>
      </c>
      <c r="I126" s="2" t="s">
        <v>62</v>
      </c>
      <c r="J126">
        <f t="shared" ref="J126:O135" ca="1" si="47">J103+J79</f>
        <v>1.6757627292293247</v>
      </c>
      <c r="K126" s="2">
        <f t="shared" ca="1" si="47"/>
        <v>5.1779245619199998E-2</v>
      </c>
      <c r="L126" s="2">
        <f t="shared" ca="1" si="47"/>
        <v>0.20711698247679999</v>
      </c>
      <c r="M126" s="2">
        <f t="shared" ca="1" si="47"/>
        <v>0.18121039559679999</v>
      </c>
      <c r="N126" s="2">
        <f t="shared" ca="1" si="47"/>
        <v>5.1779245619199998E-2</v>
      </c>
      <c r="O126" s="2">
        <f t="shared" ca="1" si="47"/>
        <v>4.5302845619199998E-2</v>
      </c>
      <c r="Q126" s="12" t="s">
        <v>184</v>
      </c>
      <c r="S126" s="2">
        <f t="shared" ca="1" si="38"/>
        <v>1.93</v>
      </c>
      <c r="T126" s="2">
        <f t="shared" ca="1" si="39"/>
        <v>1.04</v>
      </c>
      <c r="U126" s="2">
        <f t="shared" ca="1" si="40"/>
        <v>1.1499999999999999</v>
      </c>
      <c r="V126" s="2">
        <f t="shared" ca="1" si="41"/>
        <v>1.93</v>
      </c>
      <c r="W126" s="2">
        <f t="shared" ca="1" si="42"/>
        <v>2.0099999999999998</v>
      </c>
    </row>
    <row r="127" spans="1:23" x14ac:dyDescent="0.15">
      <c r="A127" s="2" t="str">
        <f t="shared" si="46"/>
        <v>2mm</v>
      </c>
      <c r="B127" s="2">
        <f t="shared" ca="1" si="45"/>
        <v>3.5841583734217184</v>
      </c>
      <c r="C127" s="2">
        <f t="shared" ca="1" si="45"/>
        <v>0.1035584912384</v>
      </c>
      <c r="D127" s="2">
        <f t="shared" ca="1" si="45"/>
        <v>0.41423396495359999</v>
      </c>
      <c r="E127" s="2">
        <f t="shared" ca="1" si="45"/>
        <v>0.36242079119359999</v>
      </c>
      <c r="F127" s="2">
        <f t="shared" ca="1" si="45"/>
        <v>0.1035584912384</v>
      </c>
      <c r="G127" s="2">
        <f t="shared" ca="1" si="45"/>
        <v>9.0605691238399996E-2</v>
      </c>
      <c r="I127" s="2" t="s">
        <v>32</v>
      </c>
      <c r="J127" s="2">
        <f t="shared" ca="1" si="47"/>
        <v>3.5841583734217184</v>
      </c>
      <c r="K127" s="2">
        <f t="shared" ca="1" si="47"/>
        <v>0.1035584912384</v>
      </c>
      <c r="L127" s="2">
        <f t="shared" ca="1" si="47"/>
        <v>0.41423396495359999</v>
      </c>
      <c r="M127" s="2">
        <f t="shared" ca="1" si="47"/>
        <v>0.36242079119359999</v>
      </c>
      <c r="N127" s="2">
        <f t="shared" ca="1" si="47"/>
        <v>0.1035584912384</v>
      </c>
      <c r="O127" s="2">
        <f t="shared" ca="1" si="47"/>
        <v>9.0605691238399996E-2</v>
      </c>
      <c r="Q127" s="12" t="s">
        <v>185</v>
      </c>
      <c r="S127" s="2">
        <f t="shared" ca="1" si="38"/>
        <v>2.09</v>
      </c>
      <c r="T127" s="2">
        <f t="shared" ca="1" si="39"/>
        <v>1.26</v>
      </c>
      <c r="U127" s="2">
        <f t="shared" ca="1" si="40"/>
        <v>1.34</v>
      </c>
      <c r="V127" s="2">
        <f t="shared" ca="1" si="41"/>
        <v>2.09</v>
      </c>
      <c r="W127" s="2">
        <f t="shared" ca="1" si="42"/>
        <v>2.14</v>
      </c>
    </row>
    <row r="128" spans="1:23" x14ac:dyDescent="0.15">
      <c r="A128" s="2" t="str">
        <f t="shared" si="46"/>
        <v>3mm</v>
      </c>
      <c r="B128" s="2">
        <f t="shared" ca="1" si="45"/>
        <v>5.6391293901160129</v>
      </c>
      <c r="C128" s="2">
        <f t="shared" ca="1" si="45"/>
        <v>0.1553377368576</v>
      </c>
      <c r="D128" s="2">
        <f t="shared" ca="1" si="45"/>
        <v>0.62135094743039998</v>
      </c>
      <c r="E128" s="2">
        <f t="shared" ca="1" si="45"/>
        <v>0.5436311867903999</v>
      </c>
      <c r="F128" s="2">
        <f t="shared" ca="1" si="45"/>
        <v>0.1553377368576</v>
      </c>
      <c r="G128" s="2">
        <f t="shared" ca="1" si="45"/>
        <v>0.13590853685759999</v>
      </c>
      <c r="I128" s="2" t="s">
        <v>25</v>
      </c>
      <c r="J128" s="2">
        <f t="shared" ca="1" si="47"/>
        <v>5.6391293901160129</v>
      </c>
      <c r="K128" s="2">
        <f t="shared" ca="1" si="47"/>
        <v>0.1553377368576</v>
      </c>
      <c r="L128" s="2">
        <f t="shared" ca="1" si="47"/>
        <v>0.62135094743039998</v>
      </c>
      <c r="M128" s="2">
        <f t="shared" ca="1" si="47"/>
        <v>0.5436311867903999</v>
      </c>
      <c r="N128" s="2">
        <f t="shared" ca="1" si="47"/>
        <v>0.1553377368576</v>
      </c>
      <c r="O128" s="2">
        <f t="shared" ca="1" si="47"/>
        <v>0.13590853685759999</v>
      </c>
      <c r="Q128" s="12" t="s">
        <v>186</v>
      </c>
      <c r="S128" s="2">
        <f t="shared" ca="1" si="38"/>
        <v>29.23</v>
      </c>
      <c r="T128" s="2">
        <f t="shared" ca="1" si="39"/>
        <v>18.72</v>
      </c>
      <c r="U128" s="2">
        <f t="shared" ca="1" si="40"/>
        <v>19.920000000000002</v>
      </c>
      <c r="V128" s="2">
        <f t="shared" ca="1" si="41"/>
        <v>29.23</v>
      </c>
      <c r="W128" s="2">
        <f t="shared" ca="1" si="42"/>
        <v>29.93</v>
      </c>
    </row>
    <row r="129" spans="1:31" x14ac:dyDescent="0.15">
      <c r="A129" s="2" t="str">
        <f t="shared" si="46"/>
        <v>tmm</v>
      </c>
      <c r="B129" s="2">
        <f t="shared" ca="1" si="45"/>
        <v>1.676379555225755</v>
      </c>
      <c r="C129" s="2">
        <f t="shared" ca="1" si="45"/>
        <v>5.1779245619199998E-2</v>
      </c>
      <c r="D129" s="2">
        <f t="shared" ca="1" si="45"/>
        <v>0.20711698247679999</v>
      </c>
      <c r="E129" s="2">
        <f t="shared" ca="1" si="45"/>
        <v>0.18121039559679999</v>
      </c>
      <c r="F129" s="2">
        <f t="shared" ca="1" si="45"/>
        <v>5.1779245619199998E-2</v>
      </c>
      <c r="G129" s="2">
        <f t="shared" ca="1" si="45"/>
        <v>4.5302845619199998E-2</v>
      </c>
      <c r="I129" s="2" t="s">
        <v>39</v>
      </c>
      <c r="J129" s="2">
        <f t="shared" ca="1" si="47"/>
        <v>1.676379555225755</v>
      </c>
      <c r="K129" s="2">
        <f t="shared" ca="1" si="47"/>
        <v>5.1779245619199998E-2</v>
      </c>
      <c r="L129" s="2">
        <f t="shared" ca="1" si="47"/>
        <v>0.20711698247679999</v>
      </c>
      <c r="M129" s="2">
        <f t="shared" ca="1" si="47"/>
        <v>0.18121039559679999</v>
      </c>
      <c r="N129" s="2">
        <f t="shared" ca="1" si="47"/>
        <v>5.1779245619199998E-2</v>
      </c>
      <c r="O129" s="2">
        <f t="shared" ca="1" si="47"/>
        <v>4.5302845619199998E-2</v>
      </c>
      <c r="Q129" s="12"/>
      <c r="S129" s="2"/>
      <c r="T129" s="2"/>
      <c r="U129" s="2"/>
      <c r="V129" s="2"/>
      <c r="W129" s="2"/>
    </row>
    <row r="130" spans="1:31" x14ac:dyDescent="0.15">
      <c r="A130" s="2" t="str">
        <f t="shared" si="46"/>
        <v>mlp3</v>
      </c>
      <c r="B130" s="2">
        <f t="shared" ca="1" si="45"/>
        <v>5.4257679516826558</v>
      </c>
      <c r="C130" s="2">
        <f t="shared" ca="1" si="45"/>
        <v>0.1553377368576</v>
      </c>
      <c r="D130" s="2">
        <f t="shared" ca="1" si="45"/>
        <v>0.62135094743039998</v>
      </c>
      <c r="E130" s="2">
        <f t="shared" ca="1" si="45"/>
        <v>0.5436311867903999</v>
      </c>
      <c r="F130" s="2">
        <f t="shared" ca="1" si="45"/>
        <v>0.1553377368576</v>
      </c>
      <c r="G130" s="2">
        <f t="shared" ca="1" si="45"/>
        <v>0.13590853685759999</v>
      </c>
      <c r="I130" s="2" t="s">
        <v>46</v>
      </c>
      <c r="J130" s="2">
        <f t="shared" ca="1" si="47"/>
        <v>5.4257679516826558</v>
      </c>
      <c r="K130" s="2">
        <f t="shared" ca="1" si="47"/>
        <v>0.1553377368576</v>
      </c>
      <c r="L130" s="2">
        <f t="shared" ca="1" si="47"/>
        <v>0.62135094743039998</v>
      </c>
      <c r="M130" s="2">
        <f t="shared" ca="1" si="47"/>
        <v>0.5436311867903999</v>
      </c>
      <c r="N130" s="2">
        <f t="shared" ca="1" si="47"/>
        <v>0.1553377368576</v>
      </c>
      <c r="O130" s="2">
        <f t="shared" ca="1" si="47"/>
        <v>0.13590853685759999</v>
      </c>
      <c r="Q130" s="12" t="s">
        <v>188</v>
      </c>
      <c r="S130" s="2">
        <f t="shared" ref="S130:W134" ca="1" si="48">ROUND($J141/K141,2)</f>
        <v>0.56999999999999995</v>
      </c>
      <c r="T130" s="2">
        <f t="shared" ca="1" si="48"/>
        <v>0.55000000000000004</v>
      </c>
      <c r="U130" s="2">
        <f t="shared" ca="1" si="48"/>
        <v>0.55000000000000004</v>
      </c>
      <c r="V130" s="2">
        <f t="shared" ca="1" si="48"/>
        <v>0.56999999999999995</v>
      </c>
      <c r="W130" s="2">
        <f t="shared" ca="1" si="48"/>
        <v>0.56999999999999995</v>
      </c>
    </row>
    <row r="131" spans="1:31" x14ac:dyDescent="0.15">
      <c r="A131" s="2" t="str">
        <f t="shared" si="46"/>
        <v>conv1d</v>
      </c>
      <c r="B131" s="2">
        <f ca="1">J131*scalability_analysis!$H$15</f>
        <v>0.26094231749175134</v>
      </c>
      <c r="C131" s="2">
        <f ca="1">K131*8</f>
        <v>1.3675635414400002E-2</v>
      </c>
      <c r="D131" s="2">
        <f ca="1">L131*8</f>
        <v>5.470254165760001E-2</v>
      </c>
      <c r="E131" s="2">
        <f ca="1">M131*8</f>
        <v>4.7847880537600002E-2</v>
      </c>
      <c r="F131" s="2">
        <f ca="1">D131</f>
        <v>5.470254165760001E-2</v>
      </c>
      <c r="G131" s="2">
        <f ca="1">E131</f>
        <v>4.7847880537600002E-2</v>
      </c>
      <c r="I131" s="2" t="s">
        <v>127</v>
      </c>
      <c r="J131" s="2">
        <f t="shared" ca="1" si="47"/>
        <v>4.5626772184636788E-3</v>
      </c>
      <c r="K131" s="2">
        <f t="shared" ca="1" si="47"/>
        <v>1.7094544268000003E-3</v>
      </c>
      <c r="L131" s="2">
        <f t="shared" ca="1" si="47"/>
        <v>6.8378177072000012E-3</v>
      </c>
      <c r="M131" s="2">
        <f t="shared" ca="1" si="47"/>
        <v>5.9809850672000002E-3</v>
      </c>
      <c r="N131" s="2">
        <f t="shared" ca="1" si="47"/>
        <v>1.7094544268000003E-3</v>
      </c>
      <c r="O131" s="2">
        <f t="shared" ca="1" si="47"/>
        <v>1.4952544268000002E-3</v>
      </c>
      <c r="Q131" s="2" t="s">
        <v>178</v>
      </c>
      <c r="S131" s="2">
        <f t="shared" si="48"/>
        <v>1</v>
      </c>
      <c r="T131" s="2">
        <f t="shared" si="48"/>
        <v>1</v>
      </c>
      <c r="U131" s="2">
        <f t="shared" si="48"/>
        <v>1</v>
      </c>
      <c r="V131" s="2">
        <f t="shared" si="48"/>
        <v>1</v>
      </c>
      <c r="W131" s="2">
        <f t="shared" si="48"/>
        <v>1</v>
      </c>
    </row>
    <row r="132" spans="1:31" x14ac:dyDescent="0.15">
      <c r="A132" s="2" t="str">
        <f t="shared" si="46"/>
        <v>conv2d</v>
      </c>
      <c r="B132" s="2">
        <f ca="1">J132*scalability_analysis!$H$15</f>
        <v>74.742455713365203</v>
      </c>
      <c r="C132" s="2">
        <f t="shared" ref="C132:C133" ca="1" si="49">K132*8</f>
        <v>2.3532042930432002</v>
      </c>
      <c r="D132" s="2">
        <f t="shared" ref="D132:D133" ca="1" si="50">L132*8</f>
        <v>9.4128171721728009</v>
      </c>
      <c r="E132" s="2">
        <f t="shared" ref="E132:E133" ca="1" si="51">M132*8</f>
        <v>8.1737867728128002</v>
      </c>
      <c r="F132" s="2">
        <f t="shared" ref="F132:F133" ca="1" si="52">D132</f>
        <v>9.4128171721728009</v>
      </c>
      <c r="G132" s="2">
        <f t="shared" ref="G132:G133" ca="1" si="53">E132</f>
        <v>8.1737867728128002</v>
      </c>
      <c r="I132" s="2" t="s">
        <v>128</v>
      </c>
      <c r="J132" s="2">
        <f t="shared" ca="1" si="47"/>
        <v>1.3069007097562166</v>
      </c>
      <c r="K132" s="2">
        <f t="shared" ca="1" si="47"/>
        <v>0.29415053663040003</v>
      </c>
      <c r="L132" s="2">
        <f t="shared" ca="1" si="47"/>
        <v>1.1766021465216001</v>
      </c>
      <c r="M132" s="2">
        <f t="shared" ca="1" si="47"/>
        <v>1.0217233466016</v>
      </c>
      <c r="N132" s="2">
        <f t="shared" ca="1" si="47"/>
        <v>0.29415053663040003</v>
      </c>
      <c r="O132" s="2">
        <f t="shared" ca="1" si="47"/>
        <v>0.25543231163039998</v>
      </c>
      <c r="Q132" s="2" t="s">
        <v>179</v>
      </c>
      <c r="S132" s="2">
        <f t="shared" si="48"/>
        <v>1</v>
      </c>
      <c r="T132" s="2">
        <f t="shared" si="48"/>
        <v>1</v>
      </c>
      <c r="U132" s="2">
        <f t="shared" si="48"/>
        <v>1</v>
      </c>
      <c r="V132" s="2">
        <f t="shared" si="48"/>
        <v>1</v>
      </c>
      <c r="W132" s="2">
        <f t="shared" si="48"/>
        <v>1</v>
      </c>
    </row>
    <row r="133" spans="1:31" x14ac:dyDescent="0.15">
      <c r="A133" s="2" t="str">
        <f t="shared" si="46"/>
        <v>conv3d</v>
      </c>
      <c r="B133" s="2">
        <f ca="1">J133*scalability_analysis!$H$15</f>
        <v>47.728514170196441</v>
      </c>
      <c r="C133" s="2">
        <f t="shared" ca="1" si="49"/>
        <v>1.1053617700607998</v>
      </c>
      <c r="D133" s="2">
        <f t="shared" ca="1" si="50"/>
        <v>4.4214470802431993</v>
      </c>
      <c r="E133" s="2">
        <f t="shared" ca="1" si="51"/>
        <v>3.8014530623232003</v>
      </c>
      <c r="F133" s="2">
        <f t="shared" ca="1" si="52"/>
        <v>4.4214470802431993</v>
      </c>
      <c r="G133" s="2">
        <f t="shared" ca="1" si="53"/>
        <v>3.8014530623232003</v>
      </c>
      <c r="I133" s="2" t="s">
        <v>129</v>
      </c>
      <c r="J133" s="2">
        <f t="shared" ca="1" si="47"/>
        <v>0.83455150689523594</v>
      </c>
      <c r="K133" s="2">
        <f t="shared" ca="1" si="47"/>
        <v>0.13817022125759998</v>
      </c>
      <c r="L133" s="2">
        <f t="shared" ca="1" si="47"/>
        <v>0.55268088503039992</v>
      </c>
      <c r="M133" s="2">
        <f t="shared" ca="1" si="47"/>
        <v>0.47518163279040004</v>
      </c>
      <c r="N133" s="2">
        <f t="shared" ca="1" si="47"/>
        <v>0.13817022125759998</v>
      </c>
      <c r="O133" s="2">
        <f t="shared" ca="1" si="47"/>
        <v>0.11879614625760002</v>
      </c>
      <c r="Q133" s="2" t="s">
        <v>181</v>
      </c>
      <c r="S133" s="2">
        <f t="shared" si="48"/>
        <v>1</v>
      </c>
      <c r="T133" s="2">
        <f t="shared" si="48"/>
        <v>1</v>
      </c>
      <c r="U133" s="2">
        <f t="shared" si="48"/>
        <v>1</v>
      </c>
      <c r="V133" s="2">
        <f t="shared" si="48"/>
        <v>1</v>
      </c>
      <c r="W133" s="2">
        <f t="shared" si="48"/>
        <v>1</v>
      </c>
    </row>
    <row r="134" spans="1:31" x14ac:dyDescent="0.15">
      <c r="A134" s="2" t="str">
        <f t="shared" si="46"/>
        <v>kronecker3</v>
      </c>
      <c r="B134" s="2">
        <f ca="1">J134*scalability_analysis!$H$16</f>
        <v>125.42609354658796</v>
      </c>
      <c r="C134" s="2">
        <f ca="1">K134*8</f>
        <v>4.0697005749504003</v>
      </c>
      <c r="D134" s="2">
        <f ca="1">L134*8</f>
        <v>6.2507104694016009</v>
      </c>
      <c r="E134" s="2">
        <f ca="1">M134*8</f>
        <v>5.8867619855616011</v>
      </c>
      <c r="F134" s="2">
        <f ca="1">N134*8</f>
        <v>4.0697005749504003</v>
      </c>
      <c r="G134" s="2">
        <f ca="1">O134*8</f>
        <v>3.9787411749504003</v>
      </c>
      <c r="I134" s="2" t="s">
        <v>53</v>
      </c>
      <c r="J134" s="2">
        <f t="shared" ca="1" si="47"/>
        <v>5.4828092385207068</v>
      </c>
      <c r="K134" s="2">
        <f t="shared" ca="1" si="47"/>
        <v>0.50871257186880003</v>
      </c>
      <c r="L134" s="2">
        <f t="shared" ca="1" si="47"/>
        <v>0.78133880867520011</v>
      </c>
      <c r="M134" s="2">
        <f t="shared" ca="1" si="47"/>
        <v>0.73584524819520014</v>
      </c>
      <c r="N134" s="2">
        <f t="shared" ca="1" si="47"/>
        <v>0.50871257186880003</v>
      </c>
      <c r="O134" s="2">
        <f t="shared" ca="1" si="47"/>
        <v>0.49734264686880003</v>
      </c>
      <c r="Q134" s="2" t="s">
        <v>183</v>
      </c>
      <c r="S134" s="2">
        <f t="shared" si="48"/>
        <v>1</v>
      </c>
      <c r="T134" s="2">
        <f t="shared" si="48"/>
        <v>1</v>
      </c>
      <c r="U134" s="2">
        <f t="shared" si="48"/>
        <v>1</v>
      </c>
      <c r="V134" s="2">
        <f t="shared" si="48"/>
        <v>1</v>
      </c>
      <c r="W134" s="2">
        <f t="shared" si="48"/>
        <v>1</v>
      </c>
    </row>
    <row r="135" spans="1:31" x14ac:dyDescent="0.15">
      <c r="A135" s="2" t="str">
        <f t="shared" si="46"/>
        <v>lstm</v>
      </c>
      <c r="B135" s="2">
        <f t="shared" ca="1" si="45"/>
        <v>3.9906015082446806E-3</v>
      </c>
      <c r="C135" s="2">
        <f t="shared" ca="1" si="45"/>
        <v>1.1071619206400001E-2</v>
      </c>
      <c r="D135" s="2">
        <f t="shared" ca="1" si="45"/>
        <v>4.4286476825600003E-2</v>
      </c>
      <c r="E135" s="2">
        <f t="shared" ca="1" si="45"/>
        <v>3.7683825305600008E-2</v>
      </c>
      <c r="F135" s="2">
        <f t="shared" ca="1" si="45"/>
        <v>1.1071619206400001E-2</v>
      </c>
      <c r="G135" s="2">
        <f t="shared" ca="1" si="45"/>
        <v>9.4210192064000005E-3</v>
      </c>
      <c r="I135" s="12" t="s">
        <v>180</v>
      </c>
      <c r="J135" s="2">
        <f t="shared" ca="1" si="47"/>
        <v>3.9906015082446806E-3</v>
      </c>
      <c r="K135" s="2">
        <f t="shared" ca="1" si="47"/>
        <v>1.1071619206400001E-2</v>
      </c>
      <c r="L135" s="2">
        <f t="shared" ca="1" si="47"/>
        <v>4.4286476825600003E-2</v>
      </c>
      <c r="M135" s="2">
        <f t="shared" ca="1" si="47"/>
        <v>3.7683825305600008E-2</v>
      </c>
      <c r="N135" s="2">
        <f t="shared" ca="1" si="47"/>
        <v>1.1071619206400001E-2</v>
      </c>
      <c r="O135" s="2">
        <f t="shared" ca="1" si="47"/>
        <v>9.4210192064000005E-3</v>
      </c>
      <c r="Q135" t="s">
        <v>131</v>
      </c>
      <c r="S135">
        <f ca="1">GEOMEAN(S115:S130)</f>
        <v>5.8345892978222427</v>
      </c>
      <c r="T135" s="2">
        <f t="shared" ref="T135:W135" ca="1" si="54">GEOMEAN(T115:T130)</f>
        <v>2.0221754553756415</v>
      </c>
      <c r="U135" s="2">
        <f t="shared" ca="1" si="54"/>
        <v>2.2762577598076805</v>
      </c>
      <c r="V135" s="2">
        <f t="shared" ca="1" si="54"/>
        <v>5.8345892978222427</v>
      </c>
      <c r="W135" s="2">
        <f t="shared" ca="1" si="54"/>
        <v>6.4540382358505326</v>
      </c>
    </row>
    <row r="136" spans="1:31" x14ac:dyDescent="0.15">
      <c r="A136" s="2" t="str">
        <f t="shared" si="46"/>
        <v>mv</v>
      </c>
      <c r="B136" s="2">
        <f t="shared" ca="1" si="45"/>
        <v>7.887169558639882E-3</v>
      </c>
      <c r="C136" s="2">
        <f t="shared" ca="1" si="45"/>
        <v>2.1908032006400003E-2</v>
      </c>
      <c r="D136" s="2">
        <f t="shared" ca="1" si="45"/>
        <v>8.7632128025600012E-2</v>
      </c>
      <c r="E136" s="2">
        <f t="shared" ca="1" si="45"/>
        <v>7.4527628825600004E-2</v>
      </c>
      <c r="F136" s="2">
        <f t="shared" ca="1" si="45"/>
        <v>2.1908032006400003E-2</v>
      </c>
      <c r="G136" s="2">
        <f t="shared" ca="1" si="45"/>
        <v>1.8632032006400002E-2</v>
      </c>
      <c r="I136" s="12" t="s">
        <v>182</v>
      </c>
      <c r="J136" s="2">
        <f t="shared" ref="J136:O145" ca="1" si="55">J113+J89</f>
        <v>7.887169558639882E-3</v>
      </c>
      <c r="K136" s="2">
        <f t="shared" ca="1" si="55"/>
        <v>2.1908032006400003E-2</v>
      </c>
      <c r="L136" s="2">
        <f t="shared" ca="1" si="55"/>
        <v>8.7632128025600012E-2</v>
      </c>
      <c r="M136" s="2">
        <f t="shared" ca="1" si="55"/>
        <v>7.4527628825600004E-2</v>
      </c>
      <c r="N136" s="2">
        <f t="shared" ca="1" si="55"/>
        <v>2.1908032006400003E-2</v>
      </c>
      <c r="O136" s="2">
        <f t="shared" ca="1" si="55"/>
        <v>1.8632032006400002E-2</v>
      </c>
    </row>
    <row r="137" spans="1:31" x14ac:dyDescent="0.15">
      <c r="A137" s="2" t="str">
        <f t="shared" si="46"/>
        <v>tc_2x3x3</v>
      </c>
      <c r="B137" s="2">
        <f t="shared" ca="1" si="45"/>
        <v>7.4436255895119083E-2</v>
      </c>
      <c r="C137" s="2">
        <f t="shared" ca="1" si="45"/>
        <v>3.8652932712800007E-2</v>
      </c>
      <c r="D137" s="2">
        <f t="shared" ca="1" si="45"/>
        <v>7.1376363951200006E-2</v>
      </c>
      <c r="E137" s="2">
        <f t="shared" ca="1" si="45"/>
        <v>6.4912317711199999E-2</v>
      </c>
      <c r="F137" s="2">
        <f t="shared" ca="1" si="45"/>
        <v>3.8652932712800007E-2</v>
      </c>
      <c r="G137" s="2">
        <f t="shared" ca="1" si="45"/>
        <v>3.7036982712800003E-2</v>
      </c>
      <c r="I137" s="12" t="s">
        <v>184</v>
      </c>
      <c r="J137" s="2">
        <f t="shared" ca="1" si="55"/>
        <v>7.4436255895119083E-2</v>
      </c>
      <c r="K137" s="2">
        <f t="shared" ca="1" si="55"/>
        <v>3.8652932712800007E-2</v>
      </c>
      <c r="L137" s="2">
        <f t="shared" ca="1" si="55"/>
        <v>7.1376363951200006E-2</v>
      </c>
      <c r="M137" s="2">
        <f t="shared" ca="1" si="55"/>
        <v>6.4912317711199999E-2</v>
      </c>
      <c r="N137" s="2">
        <f t="shared" ca="1" si="55"/>
        <v>3.8652932712800007E-2</v>
      </c>
      <c r="O137" s="2">
        <f t="shared" ca="1" si="55"/>
        <v>3.7036982712800003E-2</v>
      </c>
    </row>
    <row r="138" spans="1:31" x14ac:dyDescent="0.15">
      <c r="A138" s="2" t="str">
        <f t="shared" si="46"/>
        <v>tc_3x2x2</v>
      </c>
      <c r="B138" s="2">
        <f t="shared" ca="1" si="45"/>
        <v>7.5034921229050811E-2</v>
      </c>
      <c r="C138" s="2">
        <f t="shared" ca="1" si="45"/>
        <v>3.5977418604799992E-2</v>
      </c>
      <c r="D138" s="2">
        <f t="shared" ca="1" si="45"/>
        <v>5.9628274419199996E-2</v>
      </c>
      <c r="E138" s="2">
        <f t="shared" ca="1" si="45"/>
        <v>5.6188343379199999E-2</v>
      </c>
      <c r="F138" s="2">
        <f t="shared" ca="1" si="45"/>
        <v>3.5977418604799992E-2</v>
      </c>
      <c r="G138" s="2">
        <f t="shared" ca="1" si="45"/>
        <v>3.5117468604800001E-2</v>
      </c>
      <c r="I138" s="12" t="s">
        <v>185</v>
      </c>
      <c r="J138" s="2">
        <f t="shared" ca="1" si="55"/>
        <v>7.5034921229050811E-2</v>
      </c>
      <c r="K138" s="2">
        <f t="shared" ca="1" si="55"/>
        <v>3.5977418604799992E-2</v>
      </c>
      <c r="L138" s="2">
        <f t="shared" ca="1" si="55"/>
        <v>5.9628274419199996E-2</v>
      </c>
      <c r="M138" s="2">
        <f t="shared" ca="1" si="55"/>
        <v>5.6188343379199999E-2</v>
      </c>
      <c r="N138" s="2">
        <f t="shared" ca="1" si="55"/>
        <v>3.5977418604799992E-2</v>
      </c>
      <c r="O138" s="2">
        <f t="shared" ca="1" si="55"/>
        <v>3.5117468604800001E-2</v>
      </c>
    </row>
    <row r="139" spans="1:31" x14ac:dyDescent="0.15">
      <c r="A139" s="2" t="str">
        <f t="shared" si="46"/>
        <v>tc_4x4x4</v>
      </c>
      <c r="B139" s="2">
        <f ca="1">J139*scalability_analysis!$H$16</f>
        <v>739.11298048423578</v>
      </c>
      <c r="C139" s="2">
        <f t="shared" ref="C139:G140" ca="1" si="56">K139*8</f>
        <v>8.8424267638143998</v>
      </c>
      <c r="D139" s="2">
        <f t="shared" ca="1" si="56"/>
        <v>13.805170036057602</v>
      </c>
      <c r="E139" s="2">
        <f t="shared" ca="1" si="56"/>
        <v>12.977772117337601</v>
      </c>
      <c r="F139" s="2">
        <f t="shared" ca="1" si="56"/>
        <v>8.8424267638143998</v>
      </c>
      <c r="G139" s="2">
        <f t="shared" ca="1" si="56"/>
        <v>8.6355851638143992</v>
      </c>
      <c r="I139" s="12" t="s">
        <v>186</v>
      </c>
      <c r="J139" s="2">
        <f t="shared" ca="1" si="55"/>
        <v>32.309189923102593</v>
      </c>
      <c r="K139" s="2">
        <f t="shared" ca="1" si="55"/>
        <v>1.1053033454768</v>
      </c>
      <c r="L139" s="2">
        <f t="shared" ca="1" si="55"/>
        <v>1.7256462545072002</v>
      </c>
      <c r="M139" s="2">
        <f t="shared" ca="1" si="55"/>
        <v>1.6222215146672001</v>
      </c>
      <c r="N139" s="2">
        <f t="shared" ca="1" si="55"/>
        <v>1.1053033454768</v>
      </c>
      <c r="O139" s="2">
        <f t="shared" ca="1" si="55"/>
        <v>1.0794481454767999</v>
      </c>
    </row>
    <row r="140" spans="1:31" x14ac:dyDescent="0.15">
      <c r="A140" s="2" t="str">
        <f t="shared" si="46"/>
        <v>tc_4x4x4_B</v>
      </c>
      <c r="B140" s="2">
        <f ca="1">J140*scalability_analysis!$H$16</f>
        <v>740.24659114554981</v>
      </c>
      <c r="C140" s="2">
        <f t="shared" ca="1" si="56"/>
        <v>8.8425338134144003</v>
      </c>
      <c r="D140" s="2">
        <f t="shared" ca="1" si="56"/>
        <v>13.805277085657602</v>
      </c>
      <c r="E140" s="2">
        <f t="shared" ca="1" si="56"/>
        <v>12.977879166937601</v>
      </c>
      <c r="F140" s="2">
        <f t="shared" ca="1" si="56"/>
        <v>8.8425338134144003</v>
      </c>
      <c r="G140" s="2">
        <f t="shared" ca="1" si="56"/>
        <v>8.6356922134143996</v>
      </c>
      <c r="I140" s="12" t="s">
        <v>187</v>
      </c>
      <c r="J140" s="2">
        <f t="shared" ca="1" si="55"/>
        <v>32.358743973866595</v>
      </c>
      <c r="K140" s="2">
        <f t="shared" ca="1" si="55"/>
        <v>1.1053167266768</v>
      </c>
      <c r="L140" s="2">
        <f t="shared" ca="1" si="55"/>
        <v>1.7256596357072003</v>
      </c>
      <c r="M140" s="2">
        <f t="shared" ca="1" si="55"/>
        <v>1.6222348958672002</v>
      </c>
      <c r="N140" s="2">
        <f t="shared" ca="1" si="55"/>
        <v>1.1053167266768</v>
      </c>
      <c r="O140" s="2">
        <f t="shared" ca="1" si="55"/>
        <v>1.0794615266768</v>
      </c>
      <c r="Q140" s="2"/>
      <c r="R140" s="2"/>
      <c r="S140" s="23" t="s">
        <v>190</v>
      </c>
      <c r="T140" s="23"/>
      <c r="U140" s="23"/>
      <c r="V140" s="23"/>
      <c r="W140" s="2"/>
    </row>
    <row r="141" spans="1:31" x14ac:dyDescent="0.15">
      <c r="A141" s="2" t="str">
        <f t="shared" si="46"/>
        <v>wavenet</v>
      </c>
      <c r="B141" s="2">
        <f t="shared" ref="B141:B145" ca="1" si="57">J141</f>
        <v>0.9519094492489184</v>
      </c>
      <c r="C141" s="2">
        <f t="shared" ref="C141:C145" ca="1" si="58">K141</f>
        <v>1.6712061109144001</v>
      </c>
      <c r="D141" s="2">
        <f t="shared" ref="D141:D145" ca="1" si="59">L141</f>
        <v>1.7352914167576001</v>
      </c>
      <c r="E141" s="2">
        <f t="shared" ref="E141:E145" ca="1" si="60">M141</f>
        <v>1.7263450759576002</v>
      </c>
      <c r="F141" s="2">
        <f t="shared" ref="F141:F145" ca="1" si="61">N141</f>
        <v>1.6712061109144001</v>
      </c>
      <c r="G141" s="2">
        <f t="shared" ref="G141:G145" ca="1" si="62">O141</f>
        <v>1.6689696109144001</v>
      </c>
      <c r="I141" s="12" t="s">
        <v>188</v>
      </c>
      <c r="J141" s="2">
        <f t="shared" ca="1" si="55"/>
        <v>0.9519094492489184</v>
      </c>
      <c r="K141" s="2">
        <f t="shared" ca="1" si="55"/>
        <v>1.6712061109144001</v>
      </c>
      <c r="L141" s="2">
        <f t="shared" ca="1" si="55"/>
        <v>1.7352914167576001</v>
      </c>
      <c r="M141" s="2">
        <f t="shared" ca="1" si="55"/>
        <v>1.7263450759576002</v>
      </c>
      <c r="N141" s="2">
        <f t="shared" ca="1" si="55"/>
        <v>1.6712061109144001</v>
      </c>
      <c r="O141" s="2">
        <f t="shared" ca="1" si="55"/>
        <v>1.6689696109144001</v>
      </c>
      <c r="Q141" s="2"/>
      <c r="R141" s="2"/>
      <c r="S141" s="23"/>
      <c r="T141" s="23"/>
      <c r="U141" s="23"/>
      <c r="V141" s="23"/>
      <c r="W141" s="2"/>
    </row>
    <row r="142" spans="1:31" x14ac:dyDescent="0.15">
      <c r="A142" s="2" t="str">
        <f t="shared" si="46"/>
        <v>conv_group</v>
      </c>
      <c r="B142" s="2">
        <f t="shared" si="57"/>
        <v>3.79505506905</v>
      </c>
      <c r="C142" s="2">
        <f t="shared" si="58"/>
        <v>3.79505506905</v>
      </c>
      <c r="D142" s="2">
        <f t="shared" si="59"/>
        <v>3.79505506905</v>
      </c>
      <c r="E142" s="2">
        <f t="shared" si="60"/>
        <v>3.79505506905</v>
      </c>
      <c r="F142" s="2">
        <f t="shared" si="61"/>
        <v>3.79505506905</v>
      </c>
      <c r="G142" s="2">
        <f t="shared" si="62"/>
        <v>3.79505506905</v>
      </c>
      <c r="I142" s="2" t="s">
        <v>178</v>
      </c>
      <c r="J142" s="2">
        <f t="shared" si="55"/>
        <v>3.79505506905</v>
      </c>
      <c r="K142" s="2">
        <f t="shared" si="55"/>
        <v>3.79505506905</v>
      </c>
      <c r="L142" s="2">
        <f t="shared" si="55"/>
        <v>3.79505506905</v>
      </c>
      <c r="M142" s="2">
        <f t="shared" si="55"/>
        <v>3.79505506905</v>
      </c>
      <c r="N142" s="2">
        <f t="shared" si="55"/>
        <v>3.79505506905</v>
      </c>
      <c r="O142" s="2">
        <f t="shared" si="55"/>
        <v>3.79505506905</v>
      </c>
      <c r="Q142" s="2"/>
      <c r="R142" s="2"/>
      <c r="S142" s="2"/>
      <c r="T142" s="2"/>
      <c r="U142" s="2"/>
      <c r="V142" s="2"/>
      <c r="W142" s="2"/>
    </row>
    <row r="143" spans="1:31" x14ac:dyDescent="0.15">
      <c r="A143" s="2" t="str">
        <f t="shared" si="46"/>
        <v>gather</v>
      </c>
      <c r="B143" s="2">
        <f t="shared" si="57"/>
        <v>6.5685756420000005E-2</v>
      </c>
      <c r="C143" s="2">
        <f t="shared" si="58"/>
        <v>6.5685756420000005E-2</v>
      </c>
      <c r="D143" s="2">
        <f t="shared" si="59"/>
        <v>6.5685756420000005E-2</v>
      </c>
      <c r="E143" s="2">
        <f t="shared" si="60"/>
        <v>6.5685756420000005E-2</v>
      </c>
      <c r="F143" s="2">
        <f t="shared" si="61"/>
        <v>6.5685756420000005E-2</v>
      </c>
      <c r="G143" s="2">
        <f t="shared" si="62"/>
        <v>6.5685756420000005E-2</v>
      </c>
      <c r="I143" s="2" t="s">
        <v>179</v>
      </c>
      <c r="J143" s="2">
        <f t="shared" si="55"/>
        <v>6.5685756420000005E-2</v>
      </c>
      <c r="K143" s="2">
        <f t="shared" si="55"/>
        <v>6.5685756420000005E-2</v>
      </c>
      <c r="L143" s="2">
        <f t="shared" si="55"/>
        <v>6.5685756420000005E-2</v>
      </c>
      <c r="M143" s="2">
        <f t="shared" si="55"/>
        <v>6.5685756420000005E-2</v>
      </c>
      <c r="N143" s="2">
        <f t="shared" si="55"/>
        <v>6.5685756420000005E-2</v>
      </c>
      <c r="O143" s="2">
        <f t="shared" si="55"/>
        <v>6.5685756420000005E-2</v>
      </c>
      <c r="Q143" s="1" t="s">
        <v>0</v>
      </c>
      <c r="R143" s="1" t="s">
        <v>63</v>
      </c>
      <c r="S143" s="1"/>
      <c r="T143" s="1" t="s">
        <v>65</v>
      </c>
      <c r="U143" s="1" t="s">
        <v>66</v>
      </c>
      <c r="V143" s="1" t="s">
        <v>67</v>
      </c>
      <c r="W143" s="1" t="s">
        <v>68</v>
      </c>
      <c r="Y143" s="1"/>
      <c r="Z143" s="1"/>
      <c r="AA143" s="1"/>
      <c r="AB143" s="1"/>
      <c r="AC143" s="1"/>
      <c r="AD143" s="1"/>
      <c r="AE143" s="1"/>
    </row>
    <row r="144" spans="1:31" x14ac:dyDescent="0.15">
      <c r="A144" s="2" t="str">
        <f t="shared" si="46"/>
        <v>moments2d</v>
      </c>
      <c r="B144" s="2">
        <f t="shared" si="57"/>
        <v>5.6708901795000002E-2</v>
      </c>
      <c r="C144" s="2">
        <f t="shared" si="58"/>
        <v>5.6708901795000002E-2</v>
      </c>
      <c r="D144" s="2">
        <f t="shared" si="59"/>
        <v>5.6708901795000002E-2</v>
      </c>
      <c r="E144" s="2">
        <f t="shared" si="60"/>
        <v>5.6708901795000002E-2</v>
      </c>
      <c r="F144" s="2">
        <f t="shared" si="61"/>
        <v>5.6708901795000002E-2</v>
      </c>
      <c r="G144" s="2">
        <f t="shared" si="62"/>
        <v>5.6708901795000002E-2</v>
      </c>
      <c r="I144" s="2" t="s">
        <v>181</v>
      </c>
      <c r="J144" s="2">
        <f t="shared" si="55"/>
        <v>5.6708901795000002E-2</v>
      </c>
      <c r="K144" s="2">
        <f t="shared" si="55"/>
        <v>5.6708901795000002E-2</v>
      </c>
      <c r="L144" s="2">
        <f t="shared" si="55"/>
        <v>5.6708901795000002E-2</v>
      </c>
      <c r="M144" s="2">
        <f t="shared" si="55"/>
        <v>5.6708901795000002E-2</v>
      </c>
      <c r="N144" s="2">
        <f t="shared" si="55"/>
        <v>5.6708901795000002E-2</v>
      </c>
      <c r="O144" s="2">
        <f t="shared" si="55"/>
        <v>5.6708901795000002E-2</v>
      </c>
      <c r="Q144" s="2" t="s">
        <v>62</v>
      </c>
      <c r="R144" s="2"/>
      <c r="S144" s="2"/>
      <c r="T144" s="2">
        <f t="shared" ref="T144:W157" ca="1" si="63">ROUND($B126/D126,2)</f>
        <v>8.09</v>
      </c>
      <c r="U144" s="2">
        <f t="shared" ca="1" si="63"/>
        <v>9.25</v>
      </c>
      <c r="V144" s="2">
        <f t="shared" ca="1" si="63"/>
        <v>32.36</v>
      </c>
      <c r="W144" s="2">
        <f t="shared" ca="1" si="63"/>
        <v>36.99</v>
      </c>
    </row>
    <row r="145" spans="1:23" x14ac:dyDescent="0.15">
      <c r="A145" s="2" t="str">
        <f t="shared" si="46"/>
        <v>tbmm</v>
      </c>
      <c r="B145" s="2">
        <f t="shared" si="57"/>
        <v>16.986913823070001</v>
      </c>
      <c r="C145" s="2">
        <f t="shared" si="58"/>
        <v>16.986913823070001</v>
      </c>
      <c r="D145" s="2">
        <f t="shared" si="59"/>
        <v>16.986913823070001</v>
      </c>
      <c r="E145" s="2">
        <f t="shared" si="60"/>
        <v>16.986913823070001</v>
      </c>
      <c r="F145" s="2">
        <f t="shared" si="61"/>
        <v>16.986913823070001</v>
      </c>
      <c r="G145" s="2">
        <f t="shared" si="62"/>
        <v>16.986913823070001</v>
      </c>
      <c r="I145" s="2" t="s">
        <v>183</v>
      </c>
      <c r="J145" s="2">
        <f t="shared" si="55"/>
        <v>16.986913823070001</v>
      </c>
      <c r="K145" s="2">
        <f t="shared" si="55"/>
        <v>16.986913823070001</v>
      </c>
      <c r="L145" s="2">
        <f t="shared" si="55"/>
        <v>16.986913823070001</v>
      </c>
      <c r="M145" s="2">
        <f t="shared" si="55"/>
        <v>16.986913823070001</v>
      </c>
      <c r="N145" s="2">
        <f t="shared" si="55"/>
        <v>16.986913823070001</v>
      </c>
      <c r="O145" s="2">
        <f t="shared" si="55"/>
        <v>16.986913823070001</v>
      </c>
      <c r="Q145" s="2" t="s">
        <v>32</v>
      </c>
      <c r="R145" s="2"/>
      <c r="S145" s="2"/>
      <c r="T145" s="2">
        <f t="shared" ca="1" si="63"/>
        <v>8.65</v>
      </c>
      <c r="U145" s="2">
        <f t="shared" ca="1" si="63"/>
        <v>9.89</v>
      </c>
      <c r="V145" s="2">
        <f t="shared" ca="1" si="63"/>
        <v>34.61</v>
      </c>
      <c r="W145" s="2">
        <f t="shared" ca="1" si="63"/>
        <v>39.56</v>
      </c>
    </row>
    <row r="146" spans="1:23" x14ac:dyDescent="0.15">
      <c r="A146" s="2"/>
      <c r="Q146" s="2" t="s">
        <v>25</v>
      </c>
      <c r="R146" s="2"/>
      <c r="S146" s="2"/>
      <c r="T146" s="2">
        <f t="shared" ca="1" si="63"/>
        <v>9.08</v>
      </c>
      <c r="U146" s="2">
        <f t="shared" ca="1" si="63"/>
        <v>10.37</v>
      </c>
      <c r="V146" s="2">
        <f t="shared" ca="1" si="63"/>
        <v>36.299999999999997</v>
      </c>
      <c r="W146" s="2">
        <f t="shared" ca="1" si="63"/>
        <v>41.49</v>
      </c>
    </row>
    <row r="147" spans="1:23" x14ac:dyDescent="0.15">
      <c r="Q147" s="2" t="s">
        <v>39</v>
      </c>
      <c r="R147" s="2"/>
      <c r="S147" s="2"/>
      <c r="T147" s="2">
        <f t="shared" ca="1" si="63"/>
        <v>8.09</v>
      </c>
      <c r="U147" s="2">
        <f t="shared" ca="1" si="63"/>
        <v>9.25</v>
      </c>
      <c r="V147" s="2">
        <f t="shared" ca="1" si="63"/>
        <v>32.380000000000003</v>
      </c>
      <c r="W147" s="2">
        <f t="shared" ca="1" si="63"/>
        <v>37</v>
      </c>
    </row>
    <row r="148" spans="1:23" x14ac:dyDescent="0.15">
      <c r="Q148" s="2" t="s">
        <v>46</v>
      </c>
      <c r="R148" s="2"/>
      <c r="S148" s="2"/>
      <c r="T148" s="2">
        <f t="shared" ca="1" si="63"/>
        <v>8.73</v>
      </c>
      <c r="U148" s="2">
        <f t="shared" ca="1" si="63"/>
        <v>9.98</v>
      </c>
      <c r="V148" s="2">
        <f t="shared" ca="1" si="63"/>
        <v>34.93</v>
      </c>
      <c r="W148" s="2">
        <f t="shared" ca="1" si="63"/>
        <v>39.92</v>
      </c>
    </row>
    <row r="149" spans="1:23" x14ac:dyDescent="0.15">
      <c r="Q149" s="2" t="s">
        <v>127</v>
      </c>
      <c r="R149" s="2"/>
      <c r="S149" s="2"/>
      <c r="T149" s="2">
        <f t="shared" ca="1" si="63"/>
        <v>4.7699999999999996</v>
      </c>
      <c r="U149" s="2">
        <f t="shared" ca="1" si="63"/>
        <v>5.45</v>
      </c>
      <c r="V149" s="2">
        <f t="shared" ca="1" si="63"/>
        <v>4.7699999999999996</v>
      </c>
      <c r="W149" s="2">
        <f t="shared" ca="1" si="63"/>
        <v>5.45</v>
      </c>
    </row>
    <row r="150" spans="1:23" x14ac:dyDescent="0.15">
      <c r="Q150" s="2" t="s">
        <v>128</v>
      </c>
      <c r="R150" s="2"/>
      <c r="S150" s="2"/>
      <c r="T150" s="2">
        <f t="shared" ca="1" si="63"/>
        <v>7.94</v>
      </c>
      <c r="U150" s="2">
        <f t="shared" ca="1" si="63"/>
        <v>9.14</v>
      </c>
      <c r="V150" s="2">
        <f t="shared" ca="1" si="63"/>
        <v>7.94</v>
      </c>
      <c r="W150" s="2">
        <f t="shared" ca="1" si="63"/>
        <v>9.14</v>
      </c>
    </row>
    <row r="151" spans="1:23" x14ac:dyDescent="0.15">
      <c r="Q151" s="2" t="s">
        <v>129</v>
      </c>
      <c r="R151" s="2"/>
      <c r="S151" s="2"/>
      <c r="T151" s="2">
        <f t="shared" ca="1" si="63"/>
        <v>10.79</v>
      </c>
      <c r="U151" s="2">
        <f t="shared" ca="1" si="63"/>
        <v>12.56</v>
      </c>
      <c r="V151" s="2">
        <f t="shared" ca="1" si="63"/>
        <v>10.79</v>
      </c>
      <c r="W151" s="2">
        <f t="shared" ca="1" si="63"/>
        <v>12.56</v>
      </c>
    </row>
    <row r="152" spans="1:23" x14ac:dyDescent="0.15">
      <c r="Q152" s="2" t="s">
        <v>53</v>
      </c>
      <c r="R152" s="2"/>
      <c r="S152" s="2"/>
      <c r="T152" s="2">
        <f t="shared" ca="1" si="63"/>
        <v>20.07</v>
      </c>
      <c r="U152" s="2">
        <f t="shared" ca="1" si="63"/>
        <v>21.31</v>
      </c>
      <c r="V152" s="2">
        <f t="shared" ca="1" si="63"/>
        <v>30.82</v>
      </c>
      <c r="W152" s="2">
        <f t="shared" ca="1" si="63"/>
        <v>31.52</v>
      </c>
    </row>
    <row r="153" spans="1:23" x14ac:dyDescent="0.15">
      <c r="Q153" s="12" t="s">
        <v>180</v>
      </c>
      <c r="R153" s="2"/>
      <c r="S153" s="2"/>
      <c r="T153" s="2">
        <f t="shared" ca="1" si="63"/>
        <v>0.09</v>
      </c>
      <c r="U153" s="2">
        <f t="shared" ca="1" si="63"/>
        <v>0.11</v>
      </c>
      <c r="V153" s="2">
        <f t="shared" ca="1" si="63"/>
        <v>0.36</v>
      </c>
      <c r="W153" s="2">
        <f t="shared" ca="1" si="63"/>
        <v>0.42</v>
      </c>
    </row>
    <row r="154" spans="1:23" x14ac:dyDescent="0.15">
      <c r="Q154" s="12" t="s">
        <v>182</v>
      </c>
      <c r="R154" s="2"/>
      <c r="S154" s="2"/>
      <c r="T154" s="2">
        <f t="shared" ca="1" si="63"/>
        <v>0.09</v>
      </c>
      <c r="U154" s="2">
        <f t="shared" ca="1" si="63"/>
        <v>0.11</v>
      </c>
      <c r="V154" s="2">
        <f t="shared" ca="1" si="63"/>
        <v>0.36</v>
      </c>
      <c r="W154" s="2">
        <f t="shared" ca="1" si="63"/>
        <v>0.42</v>
      </c>
    </row>
    <row r="155" spans="1:23" x14ac:dyDescent="0.15">
      <c r="Q155" s="12" t="s">
        <v>184</v>
      </c>
      <c r="R155" s="2"/>
      <c r="S155" s="2"/>
      <c r="T155" s="2">
        <f t="shared" ca="1" si="63"/>
        <v>1.04</v>
      </c>
      <c r="U155" s="2">
        <f t="shared" ca="1" si="63"/>
        <v>1.1499999999999999</v>
      </c>
      <c r="V155" s="2">
        <f t="shared" ca="1" si="63"/>
        <v>1.93</v>
      </c>
      <c r="W155" s="2">
        <f t="shared" ca="1" si="63"/>
        <v>2.0099999999999998</v>
      </c>
    </row>
    <row r="156" spans="1:23" x14ac:dyDescent="0.15">
      <c r="A156" s="1" t="s">
        <v>0</v>
      </c>
      <c r="B156" s="1" t="s">
        <v>63</v>
      </c>
      <c r="C156" s="1" t="s">
        <v>64</v>
      </c>
      <c r="D156" s="1" t="s">
        <v>65</v>
      </c>
      <c r="E156" s="1" t="s">
        <v>66</v>
      </c>
      <c r="F156" s="1" t="s">
        <v>67</v>
      </c>
      <c r="G156" s="1" t="s">
        <v>68</v>
      </c>
      <c r="H156" s="1" t="s">
        <v>0</v>
      </c>
      <c r="I156" s="1" t="s">
        <v>63</v>
      </c>
      <c r="J156" s="1" t="s">
        <v>64</v>
      </c>
      <c r="K156" s="1" t="s">
        <v>65</v>
      </c>
      <c r="L156" s="1" t="s">
        <v>66</v>
      </c>
      <c r="M156" s="1" t="s">
        <v>67</v>
      </c>
      <c r="N156" s="1" t="s">
        <v>68</v>
      </c>
      <c r="Q156" s="12" t="s">
        <v>185</v>
      </c>
      <c r="R156" s="2"/>
      <c r="S156" s="2"/>
      <c r="T156" s="2">
        <f t="shared" ca="1" si="63"/>
        <v>1.26</v>
      </c>
      <c r="U156" s="2">
        <f t="shared" ca="1" si="63"/>
        <v>1.34</v>
      </c>
      <c r="V156" s="2">
        <f t="shared" ca="1" si="63"/>
        <v>2.09</v>
      </c>
      <c r="W156" s="2">
        <f t="shared" ca="1" si="63"/>
        <v>2.14</v>
      </c>
    </row>
    <row r="157" spans="1:23" x14ac:dyDescent="0.15">
      <c r="A157" s="2" t="s">
        <v>62</v>
      </c>
      <c r="B157" s="2">
        <v>2774548915</v>
      </c>
      <c r="C157" s="2">
        <v>24655999.999999996</v>
      </c>
      <c r="D157" s="2">
        <v>98623999.999999985</v>
      </c>
      <c r="E157" s="2">
        <v>86287999.999999985</v>
      </c>
      <c r="F157" s="2">
        <v>24655999.999999996</v>
      </c>
      <c r="G157" s="2">
        <v>21571999.999999996</v>
      </c>
      <c r="H157" s="2" t="s">
        <v>62</v>
      </c>
      <c r="J157" s="2">
        <f>C157*numbers!$R$7</f>
        <v>5.17776E-2</v>
      </c>
      <c r="K157" s="2">
        <f>D157*numbers!$R$7</f>
        <v>0.2071104</v>
      </c>
      <c r="L157" s="2">
        <f>E157*numbers!$R$7</f>
        <v>0.1812048</v>
      </c>
      <c r="M157" s="2">
        <f>F157*numbers!$R$7</f>
        <v>5.17776E-2</v>
      </c>
      <c r="N157" s="2">
        <f>G157*numbers!$R$7</f>
        <v>4.53012E-2</v>
      </c>
      <c r="Q157" s="12" t="s">
        <v>186</v>
      </c>
      <c r="R157" s="2"/>
      <c r="S157" s="2"/>
      <c r="T157" s="2">
        <f t="shared" ca="1" si="63"/>
        <v>53.54</v>
      </c>
      <c r="U157" s="2">
        <f t="shared" ca="1" si="63"/>
        <v>56.95</v>
      </c>
      <c r="V157" s="2">
        <f t="shared" ca="1" si="63"/>
        <v>83.59</v>
      </c>
      <c r="W157" s="2">
        <f t="shared" ca="1" si="63"/>
        <v>85.59</v>
      </c>
    </row>
    <row r="158" spans="1:23" x14ac:dyDescent="0.15">
      <c r="A158" s="2" t="s">
        <v>32</v>
      </c>
      <c r="B158" s="2">
        <v>6005174060</v>
      </c>
      <c r="C158" s="2">
        <v>49311999.999999993</v>
      </c>
      <c r="D158" s="2">
        <v>197247999.99999997</v>
      </c>
      <c r="E158" s="2">
        <v>172575999.99999997</v>
      </c>
      <c r="F158" s="2">
        <v>49311999.999999993</v>
      </c>
      <c r="G158" s="2">
        <v>43143999.999999993</v>
      </c>
      <c r="H158" s="2" t="s">
        <v>32</v>
      </c>
      <c r="I158" s="2"/>
      <c r="J158" s="2">
        <f>C158*numbers!$R$7</f>
        <v>0.1035552</v>
      </c>
      <c r="K158" s="2">
        <f>D158*numbers!$R$7</f>
        <v>0.4142208</v>
      </c>
      <c r="L158" s="2">
        <f>E158*numbers!$R$7</f>
        <v>0.3624096</v>
      </c>
      <c r="M158" s="2">
        <f>F158*numbers!$R$7</f>
        <v>0.1035552</v>
      </c>
      <c r="N158" s="2">
        <f>G158*numbers!$R$7</f>
        <v>9.06024E-2</v>
      </c>
      <c r="Q158" s="12"/>
      <c r="R158" s="2"/>
      <c r="S158" s="2"/>
      <c r="T158" s="2"/>
      <c r="U158" s="2"/>
      <c r="V158" s="2"/>
      <c r="W158" s="2"/>
    </row>
    <row r="159" spans="1:23" x14ac:dyDescent="0.15">
      <c r="A159" s="2" t="s">
        <v>25</v>
      </c>
      <c r="B159" s="2">
        <v>9309446310</v>
      </c>
      <c r="C159" s="2">
        <v>73967999.999999985</v>
      </c>
      <c r="D159" s="2">
        <v>295871999.99999994</v>
      </c>
      <c r="E159" s="2">
        <v>258863999.99999997</v>
      </c>
      <c r="F159" s="2">
        <v>73967999.999999985</v>
      </c>
      <c r="G159" s="2">
        <v>64715999.999999993</v>
      </c>
      <c r="H159" s="2" t="s">
        <v>25</v>
      </c>
      <c r="I159" s="2"/>
      <c r="J159" s="2">
        <f>C159*numbers!$R$7</f>
        <v>0.15533279999999999</v>
      </c>
      <c r="K159" s="2">
        <f>D159*numbers!$R$7</f>
        <v>0.62133119999999997</v>
      </c>
      <c r="L159" s="2">
        <f>E159*numbers!$R$7</f>
        <v>0.54361439999999994</v>
      </c>
      <c r="M159" s="2">
        <f>F159*numbers!$R$7</f>
        <v>0.15533279999999999</v>
      </c>
      <c r="N159" s="2">
        <f>G159*numbers!$R$7</f>
        <v>0.13590359999999999</v>
      </c>
      <c r="Q159" s="12" t="s">
        <v>188</v>
      </c>
      <c r="R159" s="2"/>
      <c r="S159" s="2"/>
      <c r="T159" s="2">
        <f t="shared" ref="T159:W163" ca="1" si="64">ROUND($B141/D141,2)</f>
        <v>0.55000000000000004</v>
      </c>
      <c r="U159" s="2">
        <f t="shared" ca="1" si="64"/>
        <v>0.55000000000000004</v>
      </c>
      <c r="V159" s="2">
        <f t="shared" ca="1" si="64"/>
        <v>0.56999999999999995</v>
      </c>
      <c r="W159" s="2">
        <f t="shared" ca="1" si="64"/>
        <v>0.56999999999999995</v>
      </c>
    </row>
    <row r="160" spans="1:23" x14ac:dyDescent="0.15">
      <c r="A160" s="2" t="s">
        <v>39</v>
      </c>
      <c r="B160" s="2">
        <v>2775884828</v>
      </c>
      <c r="C160" s="2">
        <v>24655999.999999996</v>
      </c>
      <c r="D160" s="2">
        <v>98623999.999999985</v>
      </c>
      <c r="E160" s="2">
        <v>86287999.999999985</v>
      </c>
      <c r="F160" s="2">
        <v>24655999.999999996</v>
      </c>
      <c r="G160" s="2">
        <v>21571999.999999996</v>
      </c>
      <c r="H160" s="2" t="s">
        <v>39</v>
      </c>
      <c r="I160" s="2"/>
      <c r="J160" s="2">
        <f>C160*numbers!$R$7</f>
        <v>5.17776E-2</v>
      </c>
      <c r="K160" s="2">
        <f>D160*numbers!$R$7</f>
        <v>0.2071104</v>
      </c>
      <c r="L160" s="2">
        <f>E160*numbers!$R$7</f>
        <v>0.1812048</v>
      </c>
      <c r="M160" s="2">
        <f>F160*numbers!$R$7</f>
        <v>5.17776E-2</v>
      </c>
      <c r="N160" s="2">
        <f>G160*numbers!$R$7</f>
        <v>4.53012E-2</v>
      </c>
      <c r="Q160" s="2" t="s">
        <v>178</v>
      </c>
      <c r="R160" s="2"/>
      <c r="S160" s="2"/>
      <c r="T160" s="2">
        <f t="shared" si="64"/>
        <v>1</v>
      </c>
      <c r="U160" s="2">
        <f t="shared" si="64"/>
        <v>1</v>
      </c>
      <c r="V160" s="2">
        <f t="shared" si="64"/>
        <v>1</v>
      </c>
      <c r="W160" s="2">
        <f t="shared" si="64"/>
        <v>1</v>
      </c>
    </row>
    <row r="161" spans="1:31" x14ac:dyDescent="0.15">
      <c r="A161" s="2" t="s">
        <v>46</v>
      </c>
      <c r="B161" s="2">
        <v>8948549808</v>
      </c>
      <c r="C161" s="2">
        <v>73967999.999999985</v>
      </c>
      <c r="D161" s="2">
        <v>295871999.99999994</v>
      </c>
      <c r="E161" s="2">
        <v>258863999.99999997</v>
      </c>
      <c r="F161" s="2">
        <v>73967999.999999985</v>
      </c>
      <c r="G161" s="2">
        <v>64715999.999999993</v>
      </c>
      <c r="H161" s="2" t="s">
        <v>46</v>
      </c>
      <c r="I161" s="2"/>
      <c r="J161" s="2">
        <f>C161*numbers!$R$7</f>
        <v>0.15533279999999999</v>
      </c>
      <c r="K161" s="2">
        <f>D161*numbers!$R$7</f>
        <v>0.62133119999999997</v>
      </c>
      <c r="L161" s="2">
        <f>E161*numbers!$R$7</f>
        <v>0.54361439999999994</v>
      </c>
      <c r="M161" s="2">
        <f>F161*numbers!$R$7</f>
        <v>0.15533279999999999</v>
      </c>
      <c r="N161" s="2">
        <f>G161*numbers!$R$7</f>
        <v>0.13590359999999999</v>
      </c>
      <c r="Q161" s="2" t="s">
        <v>179</v>
      </c>
      <c r="R161" s="2"/>
      <c r="S161" s="2"/>
      <c r="T161" s="2">
        <f t="shared" si="64"/>
        <v>1</v>
      </c>
      <c r="U161" s="2">
        <f t="shared" si="64"/>
        <v>1</v>
      </c>
      <c r="V161" s="2">
        <f t="shared" si="64"/>
        <v>1</v>
      </c>
      <c r="W161" s="2">
        <f t="shared" si="64"/>
        <v>1</v>
      </c>
    </row>
    <row r="162" spans="1:31" x14ac:dyDescent="0.15">
      <c r="A162" s="2" t="s">
        <v>127</v>
      </c>
      <c r="B162" s="2">
        <v>7618950</v>
      </c>
      <c r="C162" s="2">
        <v>4191200</v>
      </c>
      <c r="D162" s="2">
        <v>6633200</v>
      </c>
      <c r="E162" s="2">
        <v>6225200</v>
      </c>
      <c r="F162" s="2">
        <v>4191200</v>
      </c>
      <c r="G162" s="2">
        <v>4089200</v>
      </c>
      <c r="H162" s="2" t="s">
        <v>127</v>
      </c>
      <c r="I162" s="2"/>
      <c r="J162" s="2">
        <f>C162*numbers!$R$7</f>
        <v>8.8015200000000002E-3</v>
      </c>
      <c r="K162" s="2">
        <f>D162*numbers!$R$7</f>
        <v>1.3929720000000001E-2</v>
      </c>
      <c r="L162" s="2">
        <f>E162*numbers!$R$7</f>
        <v>1.3072920000000002E-2</v>
      </c>
      <c r="M162" s="2">
        <f>F162*numbers!$R$7</f>
        <v>8.8015200000000002E-3</v>
      </c>
      <c r="N162" s="2">
        <f>G162*numbers!$R$7</f>
        <v>8.5873200000000007E-3</v>
      </c>
      <c r="Q162" s="2" t="s">
        <v>181</v>
      </c>
      <c r="R162" s="2"/>
      <c r="S162" s="2"/>
      <c r="T162" s="2">
        <f t="shared" si="64"/>
        <v>1</v>
      </c>
      <c r="U162" s="2">
        <f t="shared" si="64"/>
        <v>1</v>
      </c>
      <c r="V162" s="2">
        <f t="shared" si="64"/>
        <v>1</v>
      </c>
      <c r="W162" s="2">
        <f t="shared" si="64"/>
        <v>1</v>
      </c>
    </row>
    <row r="163" spans="1:31" x14ac:dyDescent="0.15">
      <c r="A163" s="2" t="s">
        <v>128</v>
      </c>
      <c r="B163" s="2">
        <v>2142591430</v>
      </c>
      <c r="C163" s="2">
        <v>1555343644</v>
      </c>
      <c r="D163" s="2">
        <v>1975544644</v>
      </c>
      <c r="E163" s="2">
        <v>1901795644</v>
      </c>
      <c r="F163" s="2">
        <v>1555343644</v>
      </c>
      <c r="G163" s="2">
        <v>1536906394</v>
      </c>
      <c r="H163" s="2" t="s">
        <v>128</v>
      </c>
      <c r="I163" s="2"/>
      <c r="J163" s="2">
        <f>C163*numbers!$R$7</f>
        <v>3.2662216524000005</v>
      </c>
      <c r="K163" s="2">
        <f>D163*numbers!$R$7</f>
        <v>4.1486437523999999</v>
      </c>
      <c r="L163" s="2">
        <f>E163*numbers!$R$7</f>
        <v>3.9937708524000004</v>
      </c>
      <c r="M163" s="2">
        <f>F163*numbers!$R$7</f>
        <v>3.2662216524000005</v>
      </c>
      <c r="N163" s="2">
        <f>G163*numbers!$R$7</f>
        <v>3.2275034274000003</v>
      </c>
      <c r="Q163" s="2" t="s">
        <v>183</v>
      </c>
      <c r="R163" s="2"/>
      <c r="S163" s="2"/>
      <c r="T163" s="2">
        <f t="shared" si="64"/>
        <v>1</v>
      </c>
      <c r="U163" s="2">
        <f t="shared" si="64"/>
        <v>1</v>
      </c>
      <c r="V163" s="2">
        <f t="shared" si="64"/>
        <v>1</v>
      </c>
      <c r="W163" s="2">
        <f t="shared" si="64"/>
        <v>1</v>
      </c>
    </row>
    <row r="164" spans="1:31" x14ac:dyDescent="0.15">
      <c r="A164" s="2" t="s">
        <v>129</v>
      </c>
      <c r="B164" s="2">
        <v>78254968405.732727</v>
      </c>
      <c r="C164" s="2">
        <v>526343999.99999994</v>
      </c>
      <c r="D164" s="2">
        <v>2105375999.9999998</v>
      </c>
      <c r="E164" s="2">
        <v>1810152000</v>
      </c>
      <c r="F164" s="2">
        <v>526343999.99999994</v>
      </c>
      <c r="G164" s="2">
        <v>452538000</v>
      </c>
      <c r="H164" s="2" t="s">
        <v>129</v>
      </c>
      <c r="I164" s="2"/>
      <c r="J164" s="2">
        <f>C164*numbers!$R$7</f>
        <v>1.1053223999999999</v>
      </c>
      <c r="K164" s="2">
        <f>D164*numbers!$R$7</f>
        <v>4.4212895999999997</v>
      </c>
      <c r="L164" s="2">
        <f>E164*numbers!$R$7</f>
        <v>3.8013192000000005</v>
      </c>
      <c r="M164" s="2">
        <f>F164*numbers!$R$7</f>
        <v>1.1053223999999999</v>
      </c>
      <c r="N164" s="2">
        <f>G164*numbers!$R$7</f>
        <v>0.95032980000000011</v>
      </c>
      <c r="Q164" s="2" t="s">
        <v>131</v>
      </c>
      <c r="R164" s="2"/>
      <c r="S164" s="2"/>
      <c r="T164" s="2">
        <f t="shared" ref="T164:W164" ca="1" si="65">GEOMEAN(T144:T159)</f>
        <v>3.4465934638639166</v>
      </c>
      <c r="U164" s="2">
        <f t="shared" ca="1" si="65"/>
        <v>3.8807585047427353</v>
      </c>
      <c r="V164" s="2">
        <f t="shared" ca="1" si="65"/>
        <v>7.538325053714753</v>
      </c>
      <c r="W164" s="2">
        <f t="shared" ca="1" si="65"/>
        <v>8.3380931586365854</v>
      </c>
    </row>
    <row r="165" spans="1:31" x14ac:dyDescent="0.15">
      <c r="A165" s="2" t="s">
        <v>53</v>
      </c>
      <c r="B165" s="2">
        <v>64234484267.895393</v>
      </c>
      <c r="C165" s="2">
        <v>545074076</v>
      </c>
      <c r="D165" s="2">
        <v>1583386075.9999998</v>
      </c>
      <c r="E165" s="2">
        <v>1410130075.9999998</v>
      </c>
      <c r="F165" s="2">
        <v>891178075.99999988</v>
      </c>
      <c r="G165" s="2">
        <v>804550075.99999988</v>
      </c>
      <c r="H165" s="2" t="s">
        <v>53</v>
      </c>
      <c r="I165" s="2"/>
      <c r="J165" s="2">
        <f>C165*numbers!$R$7</f>
        <v>1.1446555596000001</v>
      </c>
      <c r="K165" s="2">
        <f>D165*numbers!$R$7</f>
        <v>3.3251107595999998</v>
      </c>
      <c r="L165" s="2">
        <f>E165*numbers!$R$7</f>
        <v>2.9612731595999997</v>
      </c>
      <c r="M165" s="2">
        <f>F165*numbers!$R$7</f>
        <v>1.8714739595999998</v>
      </c>
      <c r="N165" s="2">
        <f>G165*numbers!$R$7</f>
        <v>1.6895551595999998</v>
      </c>
    </row>
    <row r="166" spans="1:31" x14ac:dyDescent="0.15">
      <c r="A166" s="12" t="s">
        <v>180</v>
      </c>
      <c r="B166" s="2">
        <v>6775223</v>
      </c>
      <c r="C166" s="2">
        <v>5272000</v>
      </c>
      <c r="D166" s="2">
        <v>21088000</v>
      </c>
      <c r="E166" s="2">
        <v>17944000</v>
      </c>
      <c r="F166" s="2">
        <v>5272000</v>
      </c>
      <c r="G166" s="2">
        <v>4486000</v>
      </c>
      <c r="H166" s="12" t="s">
        <v>180</v>
      </c>
      <c r="I166" s="2"/>
      <c r="J166" s="2">
        <f>C166*numbers!$R$7</f>
        <v>1.1071200000000002E-2</v>
      </c>
      <c r="K166" s="2">
        <f>D166*numbers!$R$7</f>
        <v>4.4284800000000006E-2</v>
      </c>
      <c r="L166" s="2">
        <f>E166*numbers!$R$7</f>
        <v>3.7682400000000005E-2</v>
      </c>
      <c r="M166" s="2">
        <f>F166*numbers!$R$7</f>
        <v>1.1071200000000002E-2</v>
      </c>
      <c r="N166" s="2">
        <f>G166*numbers!$R$7</f>
        <v>9.4206000000000012E-3</v>
      </c>
      <c r="U166" s="2"/>
      <c r="V166" s="2"/>
      <c r="W166" s="2"/>
    </row>
    <row r="167" spans="1:31" x14ac:dyDescent="0.15">
      <c r="A167" s="12" t="s">
        <v>182</v>
      </c>
      <c r="B167" s="2">
        <v>13149654</v>
      </c>
      <c r="C167" s="2">
        <v>10432000</v>
      </c>
      <c r="D167" s="2">
        <v>41728000</v>
      </c>
      <c r="E167" s="2">
        <v>35488000</v>
      </c>
      <c r="F167" s="2">
        <v>10432000</v>
      </c>
      <c r="G167" s="2">
        <v>8872000</v>
      </c>
      <c r="H167" s="12" t="s">
        <v>182</v>
      </c>
      <c r="I167" s="2"/>
      <c r="J167" s="2">
        <f>C167*numbers!$R$7</f>
        <v>2.1907200000000002E-2</v>
      </c>
      <c r="K167" s="2">
        <f>D167*numbers!$R$7</f>
        <v>8.7628800000000007E-2</v>
      </c>
      <c r="L167" s="2">
        <f>E167*numbers!$R$7</f>
        <v>7.4524800000000002E-2</v>
      </c>
      <c r="M167" s="2">
        <f>F167*numbers!$R$7</f>
        <v>2.1907200000000002E-2</v>
      </c>
      <c r="N167" s="2">
        <f>G167*numbers!$R$7</f>
        <v>1.8631200000000001E-2</v>
      </c>
      <c r="Q167" s="16" t="s">
        <v>217</v>
      </c>
      <c r="R167" s="16"/>
      <c r="S167" s="16"/>
      <c r="T167" s="16"/>
      <c r="U167" s="16"/>
      <c r="V167" s="16"/>
      <c r="W167" s="16"/>
    </row>
    <row r="168" spans="1:31" x14ac:dyDescent="0.15">
      <c r="A168" s="12" t="s">
        <v>184</v>
      </c>
      <c r="B168" s="2">
        <v>122820258</v>
      </c>
      <c r="C168" s="2">
        <v>18405963</v>
      </c>
      <c r="D168" s="2">
        <v>33987963</v>
      </c>
      <c r="E168" s="2">
        <v>30909962.999999996</v>
      </c>
      <c r="F168" s="2">
        <v>18405963</v>
      </c>
      <c r="G168" s="2">
        <v>17636463</v>
      </c>
      <c r="H168" s="12" t="s">
        <v>184</v>
      </c>
      <c r="I168" s="2"/>
      <c r="J168" s="2">
        <f>C168*numbers!$R$7</f>
        <v>3.8652522300000006E-2</v>
      </c>
      <c r="K168" s="2">
        <f>D168*numbers!$R$7</f>
        <v>7.1374722300000012E-2</v>
      </c>
      <c r="L168" s="2">
        <f>E168*numbers!$R$7</f>
        <v>6.4910922299999993E-2</v>
      </c>
      <c r="M168" s="2">
        <f>F168*numbers!$R$7</f>
        <v>3.8652522300000006E-2</v>
      </c>
      <c r="N168" s="2">
        <f>G168*numbers!$R$7</f>
        <v>3.7036572300000001E-2</v>
      </c>
      <c r="Q168" s="16"/>
      <c r="R168" s="16"/>
      <c r="S168" s="16"/>
      <c r="T168" s="16"/>
      <c r="U168" s="16"/>
      <c r="V168" s="16"/>
      <c r="W168" s="16"/>
    </row>
    <row r="169" spans="1:31" x14ac:dyDescent="0.15">
      <c r="A169" s="12" t="s">
        <v>196</v>
      </c>
      <c r="B169" s="2">
        <v>123723582</v>
      </c>
      <c r="C169" s="2">
        <v>17131999.999999996</v>
      </c>
      <c r="D169" s="2">
        <v>28393999.999999996</v>
      </c>
      <c r="E169" s="2">
        <v>26755999.999999996</v>
      </c>
      <c r="F169" s="2">
        <v>17131999.999999996</v>
      </c>
      <c r="G169" s="2">
        <v>16722499.999999998</v>
      </c>
      <c r="H169" s="12" t="s">
        <v>196</v>
      </c>
      <c r="I169" s="2"/>
      <c r="J169" s="2">
        <f>C169*numbers!$R$7</f>
        <v>3.5977199999999994E-2</v>
      </c>
      <c r="K169" s="2">
        <f>D169*numbers!$R$7</f>
        <v>5.9627399999999997E-2</v>
      </c>
      <c r="L169" s="2">
        <f>E169*numbers!$R$7</f>
        <v>5.6187599999999997E-2</v>
      </c>
      <c r="M169" s="2">
        <f>F169*numbers!$R$7</f>
        <v>3.5977199999999994E-2</v>
      </c>
      <c r="N169" s="2">
        <f>G169*numbers!$R$7</f>
        <v>3.5117250000000003E-2</v>
      </c>
    </row>
    <row r="170" spans="1:31" x14ac:dyDescent="0.15">
      <c r="A170" s="12" t="s">
        <v>186</v>
      </c>
      <c r="B170" s="2">
        <v>52831468481</v>
      </c>
      <c r="C170" s="2">
        <v>1215579798</v>
      </c>
      <c r="D170" s="2">
        <v>3578715797.9999995</v>
      </c>
      <c r="E170" s="2">
        <v>3184731797.9999995</v>
      </c>
      <c r="F170" s="2">
        <v>1215579798</v>
      </c>
      <c r="G170" s="2">
        <v>1117083798</v>
      </c>
      <c r="H170" s="12" t="s">
        <v>186</v>
      </c>
      <c r="I170" s="2"/>
      <c r="J170" s="2">
        <f>C170*numbers!$R$7</f>
        <v>2.5527175758</v>
      </c>
      <c r="K170" s="2">
        <f>D170*numbers!$R$7</f>
        <v>7.5153031757999997</v>
      </c>
      <c r="L170" s="2">
        <f>E170*numbers!$R$7</f>
        <v>6.6879367757999999</v>
      </c>
      <c r="M170" s="2">
        <f>F170*numbers!$R$7</f>
        <v>2.5527175758</v>
      </c>
      <c r="N170" s="2">
        <f>G170*numbers!$R$7</f>
        <v>2.3458759758000003</v>
      </c>
      <c r="Q170" s="1" t="s">
        <v>0</v>
      </c>
      <c r="R170" s="1" t="s">
        <v>63</v>
      </c>
      <c r="S170" s="1"/>
      <c r="T170" s="1" t="s">
        <v>65</v>
      </c>
      <c r="U170" s="1" t="s">
        <v>66</v>
      </c>
      <c r="V170" s="1" t="s">
        <v>67</v>
      </c>
      <c r="W170" s="1" t="s">
        <v>68</v>
      </c>
    </row>
    <row r="171" spans="1:31" x14ac:dyDescent="0.15">
      <c r="A171" s="12" t="s">
        <v>187</v>
      </c>
      <c r="B171" s="2">
        <v>52875676514</v>
      </c>
      <c r="C171" s="2">
        <v>1215586170</v>
      </c>
      <c r="D171" s="2">
        <v>3578722169.9999995</v>
      </c>
      <c r="E171" s="2">
        <v>3184738169.9999995</v>
      </c>
      <c r="F171" s="2">
        <v>1215586170</v>
      </c>
      <c r="G171" s="2">
        <v>1117090170</v>
      </c>
      <c r="H171" s="12" t="s">
        <v>187</v>
      </c>
      <c r="I171" s="2"/>
      <c r="J171" s="2">
        <f>C171*numbers!$R$7</f>
        <v>2.5527309570000001</v>
      </c>
      <c r="K171" s="2">
        <f>D171*numbers!$R$7</f>
        <v>7.5153165569999993</v>
      </c>
      <c r="L171" s="2">
        <f>E171*numbers!$R$7</f>
        <v>6.6879501569999995</v>
      </c>
      <c r="M171" s="2">
        <f>F171*numbers!$R$7</f>
        <v>2.5527309570000001</v>
      </c>
      <c r="N171" s="2">
        <f>G171*numbers!$R$7</f>
        <v>2.3458893570000003</v>
      </c>
      <c r="Q171" s="2" t="s">
        <v>62</v>
      </c>
      <c r="R171">
        <f ca="1">ROUND($B183/B183,2)</f>
        <v>1</v>
      </c>
      <c r="S171" s="2"/>
      <c r="T171" s="2">
        <f t="shared" ref="T171:W175" ca="1" si="66">ROUND($B183/D183,2)</f>
        <v>8.09</v>
      </c>
      <c r="U171" s="2">
        <f t="shared" ca="1" si="66"/>
        <v>9.25</v>
      </c>
      <c r="V171" s="2">
        <f t="shared" ca="1" si="66"/>
        <v>32.36</v>
      </c>
      <c r="W171" s="2">
        <f t="shared" ca="1" si="66"/>
        <v>36.99</v>
      </c>
    </row>
    <row r="172" spans="1:31" x14ac:dyDescent="0.15">
      <c r="A172" s="12" t="s">
        <v>188</v>
      </c>
      <c r="B172" s="2">
        <v>1562376054</v>
      </c>
      <c r="C172" s="2">
        <v>795812163</v>
      </c>
      <c r="D172" s="2">
        <v>826328163</v>
      </c>
      <c r="E172" s="2">
        <v>822068163</v>
      </c>
      <c r="F172" s="2">
        <v>795812163</v>
      </c>
      <c r="G172" s="2">
        <v>794747163</v>
      </c>
      <c r="H172" s="12" t="s">
        <v>188</v>
      </c>
      <c r="I172" s="2"/>
      <c r="J172" s="2">
        <f>C172*numbers!$R$7</f>
        <v>1.6712055423000001</v>
      </c>
      <c r="K172" s="2">
        <f>D172*numbers!$R$7</f>
        <v>1.7352891423000001</v>
      </c>
      <c r="L172" s="2">
        <f>E172*numbers!$R$7</f>
        <v>1.7263431423000002</v>
      </c>
      <c r="M172" s="2">
        <f>F172*numbers!$R$7</f>
        <v>1.6712055423000001</v>
      </c>
      <c r="N172" s="2">
        <f>G172*numbers!$R$7</f>
        <v>1.6689690423000001</v>
      </c>
      <c r="Q172" s="2" t="s">
        <v>32</v>
      </c>
      <c r="R172" s="2">
        <f ca="1">ROUND($B184/B184,2)</f>
        <v>1</v>
      </c>
      <c r="S172" s="2"/>
      <c r="T172" s="2">
        <f t="shared" ca="1" si="66"/>
        <v>8.65</v>
      </c>
      <c r="U172" s="2">
        <f t="shared" ca="1" si="66"/>
        <v>9.89</v>
      </c>
      <c r="V172" s="2">
        <f t="shared" ca="1" si="66"/>
        <v>34.61</v>
      </c>
      <c r="W172" s="2">
        <f t="shared" ca="1" si="66"/>
        <v>39.56</v>
      </c>
    </row>
    <row r="173" spans="1:31" x14ac:dyDescent="0.15">
      <c r="A173" s="2" t="s">
        <v>178</v>
      </c>
      <c r="B173" s="2">
        <v>2897597836</v>
      </c>
      <c r="C173" s="2">
        <v>2897597836</v>
      </c>
      <c r="D173" s="2">
        <v>2897597836</v>
      </c>
      <c r="E173" s="2">
        <v>2897597836</v>
      </c>
      <c r="F173" s="2">
        <v>2897597836</v>
      </c>
      <c r="G173" s="2">
        <v>2897597836</v>
      </c>
      <c r="H173" s="2" t="s">
        <v>178</v>
      </c>
      <c r="I173" s="2"/>
      <c r="J173" s="2">
        <f>C173*numbers!$R$7</f>
        <v>6.0849554556000003</v>
      </c>
      <c r="K173" s="2">
        <f>D173*numbers!$R$7</f>
        <v>6.0849554556000003</v>
      </c>
      <c r="L173" s="2">
        <f>E173*numbers!$R$7</f>
        <v>6.0849554556000003</v>
      </c>
      <c r="M173" s="2">
        <f>F173*numbers!$R$7</f>
        <v>6.0849554556000003</v>
      </c>
      <c r="N173" s="2">
        <f>G173*numbers!$R$7</f>
        <v>6.0849554556000003</v>
      </c>
      <c r="Q173" s="2" t="s">
        <v>25</v>
      </c>
      <c r="R173" s="2">
        <f ca="1">ROUND($B185/B185,2)</f>
        <v>1</v>
      </c>
      <c r="S173" s="2"/>
      <c r="T173" s="2">
        <f t="shared" ca="1" si="66"/>
        <v>9.08</v>
      </c>
      <c r="U173" s="2">
        <f t="shared" ca="1" si="66"/>
        <v>10.37</v>
      </c>
      <c r="V173" s="2">
        <f t="shared" ca="1" si="66"/>
        <v>36.299999999999997</v>
      </c>
      <c r="W173" s="2">
        <f t="shared" ca="1" si="66"/>
        <v>41.49</v>
      </c>
    </row>
    <row r="174" spans="1:31" x14ac:dyDescent="0.15">
      <c r="A174" s="2" t="s">
        <v>179</v>
      </c>
      <c r="B174" s="2">
        <v>12264384</v>
      </c>
      <c r="C174" s="2">
        <v>12264384</v>
      </c>
      <c r="D174" s="2">
        <v>12264384</v>
      </c>
      <c r="E174" s="2">
        <v>12264384</v>
      </c>
      <c r="F174" s="2">
        <v>12264384</v>
      </c>
      <c r="G174" s="2">
        <v>12264384</v>
      </c>
      <c r="H174" s="2" t="s">
        <v>179</v>
      </c>
      <c r="I174" s="2"/>
      <c r="J174" s="2">
        <f>C174*numbers!$R$7</f>
        <v>2.5755206400000001E-2</v>
      </c>
      <c r="K174" s="2">
        <f>D174*numbers!$R$7</f>
        <v>2.5755206400000001E-2</v>
      </c>
      <c r="L174" s="2">
        <f>E174*numbers!$R$7</f>
        <v>2.5755206400000001E-2</v>
      </c>
      <c r="M174" s="2">
        <f>F174*numbers!$R$7</f>
        <v>2.5755206400000001E-2</v>
      </c>
      <c r="N174" s="2">
        <f>G174*numbers!$R$7</f>
        <v>2.5755206400000001E-2</v>
      </c>
      <c r="Q174" s="2" t="s">
        <v>39</v>
      </c>
      <c r="R174" s="2">
        <f ca="1">ROUND($B186/B186,2)</f>
        <v>1</v>
      </c>
      <c r="S174" s="2"/>
      <c r="T174" s="2">
        <f t="shared" ca="1" si="66"/>
        <v>8.09</v>
      </c>
      <c r="U174" s="2">
        <f t="shared" ca="1" si="66"/>
        <v>9.25</v>
      </c>
      <c r="V174" s="2">
        <f t="shared" ca="1" si="66"/>
        <v>32.380000000000003</v>
      </c>
      <c r="W174" s="2">
        <f t="shared" ca="1" si="66"/>
        <v>37</v>
      </c>
    </row>
    <row r="175" spans="1:31" x14ac:dyDescent="0.15">
      <c r="A175" s="2" t="s">
        <v>181</v>
      </c>
      <c r="B175" s="2">
        <v>23550254</v>
      </c>
      <c r="C175" s="2">
        <v>23550254</v>
      </c>
      <c r="D175" s="2">
        <v>23550254</v>
      </c>
      <c r="E175" s="2">
        <v>23550254</v>
      </c>
      <c r="F175" s="2">
        <v>23550254</v>
      </c>
      <c r="G175" s="2">
        <v>23550254</v>
      </c>
      <c r="H175" s="2" t="s">
        <v>181</v>
      </c>
      <c r="I175" s="2"/>
      <c r="J175" s="2">
        <f>C175*numbers!$R$7</f>
        <v>4.9455533400000001E-2</v>
      </c>
      <c r="K175" s="2">
        <f>D175*numbers!$R$7</f>
        <v>4.9455533400000001E-2</v>
      </c>
      <c r="L175" s="2">
        <f>E175*numbers!$R$7</f>
        <v>4.9455533400000001E-2</v>
      </c>
      <c r="M175" s="2">
        <f>F175*numbers!$R$7</f>
        <v>4.9455533400000001E-2</v>
      </c>
      <c r="N175" s="2">
        <f>G175*numbers!$R$7</f>
        <v>4.9455533400000001E-2</v>
      </c>
      <c r="Q175" s="2" t="s">
        <v>46</v>
      </c>
      <c r="R175" s="2">
        <f ca="1">ROUND($B187/B187,2)</f>
        <v>1</v>
      </c>
      <c r="S175" s="2"/>
      <c r="T175" s="2">
        <f t="shared" ca="1" si="66"/>
        <v>8.73</v>
      </c>
      <c r="U175" s="2">
        <f t="shared" ca="1" si="66"/>
        <v>9.98</v>
      </c>
      <c r="V175" s="2">
        <f t="shared" ca="1" si="66"/>
        <v>34.93</v>
      </c>
      <c r="W175" s="2">
        <f t="shared" ca="1" si="66"/>
        <v>39.92</v>
      </c>
    </row>
    <row r="176" spans="1:31" x14ac:dyDescent="0.15">
      <c r="A176" s="2" t="s">
        <v>183</v>
      </c>
      <c r="B176" s="2">
        <v>13718909751</v>
      </c>
      <c r="C176" s="2">
        <v>13718909751</v>
      </c>
      <c r="D176" s="2">
        <v>13718909751</v>
      </c>
      <c r="E176" s="2">
        <v>13718909751</v>
      </c>
      <c r="F176" s="2">
        <v>13718909751</v>
      </c>
      <c r="G176" s="2">
        <v>13718909751</v>
      </c>
      <c r="H176" s="2" t="s">
        <v>183</v>
      </c>
      <c r="I176" s="2"/>
      <c r="J176" s="2">
        <f>C176*numbers!$R$7</f>
        <v>28.809710477100001</v>
      </c>
      <c r="K176" s="2">
        <f>D176*numbers!$R$7</f>
        <v>28.809710477100001</v>
      </c>
      <c r="L176" s="2">
        <f>E176*numbers!$R$7</f>
        <v>28.809710477100001</v>
      </c>
      <c r="M176" s="2">
        <f>F176*numbers!$R$7</f>
        <v>28.809710477100001</v>
      </c>
      <c r="N176" s="2">
        <f>G176*numbers!$R$7</f>
        <v>28.809710477100001</v>
      </c>
      <c r="Y176" s="2" t="s">
        <v>127</v>
      </c>
      <c r="Z176" s="2">
        <f ca="1">ROUND($B188/B188,2)</f>
        <v>1</v>
      </c>
      <c r="AA176" s="2"/>
      <c r="AB176" s="2">
        <f ca="1">ROUND($B188/D188,2)</f>
        <v>0.33</v>
      </c>
      <c r="AC176" s="2">
        <f ca="1">ROUND($B188/E188,2)</f>
        <v>0.35</v>
      </c>
      <c r="AD176" s="2">
        <f ca="1">AB176</f>
        <v>0.33</v>
      </c>
      <c r="AE176" s="2">
        <f ca="1">AC176</f>
        <v>0.35</v>
      </c>
    </row>
    <row r="177" spans="1:31" x14ac:dyDescent="0.15">
      <c r="Q177" s="2" t="s">
        <v>128</v>
      </c>
      <c r="R177" s="2">
        <f ca="1">ROUND($B189/B189,2)</f>
        <v>1</v>
      </c>
      <c r="S177" s="2"/>
      <c r="T177" s="2">
        <f ca="1">ROUND($B189/D189,2)</f>
        <v>0.32</v>
      </c>
      <c r="U177" s="2">
        <f ca="1">ROUND($B189/E189,2)</f>
        <v>0.33</v>
      </c>
      <c r="V177" s="2">
        <f t="shared" ref="V177:W177" ca="1" si="67">T177</f>
        <v>0.32</v>
      </c>
      <c r="W177" s="2">
        <f t="shared" ca="1" si="67"/>
        <v>0.33</v>
      </c>
    </row>
    <row r="178" spans="1:31" x14ac:dyDescent="0.15">
      <c r="Y178" s="2" t="s">
        <v>129</v>
      </c>
      <c r="Z178" s="2">
        <f ca="1">ROUND($B190/B190,2)</f>
        <v>1</v>
      </c>
      <c r="AA178" s="2"/>
      <c r="AB178" s="2">
        <f ca="1">ROUND($B190/D190,2)</f>
        <v>10.79</v>
      </c>
      <c r="AC178" s="2">
        <f ca="1">ROUND($B190/E190,2)</f>
        <v>12.56</v>
      </c>
      <c r="AD178" s="2">
        <f ca="1">AB178</f>
        <v>10.79</v>
      </c>
      <c r="AE178" s="2">
        <f ca="1">AC178</f>
        <v>12.56</v>
      </c>
    </row>
    <row r="179" spans="1:31" x14ac:dyDescent="0.15">
      <c r="Q179" s="2" t="s">
        <v>53</v>
      </c>
      <c r="R179" s="2">
        <f t="shared" ref="R179:R184" ca="1" si="68">ROUND($B191/B191,2)</f>
        <v>1</v>
      </c>
      <c r="S179" s="2"/>
      <c r="T179" s="2">
        <f ca="1">ROUND($B191/D191,2)</f>
        <v>13.19</v>
      </c>
      <c r="U179" s="2">
        <f ca="1">ROUND($B191/E191,2)</f>
        <v>14.81</v>
      </c>
      <c r="V179" s="2">
        <f ca="1">ROUND($B191/F191,2)</f>
        <v>23.44</v>
      </c>
      <c r="W179" s="2">
        <f ca="1">V179</f>
        <v>23.44</v>
      </c>
    </row>
    <row r="180" spans="1:31" x14ac:dyDescent="0.15">
      <c r="Q180" s="12" t="s">
        <v>180</v>
      </c>
      <c r="R180" s="2">
        <f t="shared" ca="1" si="68"/>
        <v>1</v>
      </c>
      <c r="S180" s="2"/>
      <c r="T180" s="2">
        <f t="shared" ref="T180:U184" ca="1" si="69">ROUND($B192/D192,2)</f>
        <v>0.09</v>
      </c>
      <c r="U180" s="2">
        <f t="shared" ca="1" si="69"/>
        <v>0.11</v>
      </c>
      <c r="V180" s="2">
        <f ca="1">T180</f>
        <v>0.09</v>
      </c>
      <c r="W180" s="2">
        <f ca="1">U180</f>
        <v>0.11</v>
      </c>
    </row>
    <row r="181" spans="1:31" x14ac:dyDescent="0.15">
      <c r="Q181" s="12" t="s">
        <v>182</v>
      </c>
      <c r="R181" s="2">
        <f t="shared" ca="1" si="68"/>
        <v>1</v>
      </c>
      <c r="S181" s="2"/>
      <c r="T181" s="2">
        <f t="shared" ca="1" si="69"/>
        <v>0.09</v>
      </c>
      <c r="U181" s="2">
        <f t="shared" ca="1" si="69"/>
        <v>0.11</v>
      </c>
      <c r="V181" s="2">
        <f t="shared" ref="V181:W184" ca="1" si="70">ROUND($B193/F193,2)</f>
        <v>0.36</v>
      </c>
      <c r="W181" s="2">
        <f t="shared" ca="1" si="70"/>
        <v>0.42</v>
      </c>
    </row>
    <row r="182" spans="1:31" x14ac:dyDescent="0.15">
      <c r="A182" s="1" t="s">
        <v>0</v>
      </c>
      <c r="B182" s="1" t="s">
        <v>63</v>
      </c>
      <c r="C182" s="1" t="s">
        <v>64</v>
      </c>
      <c r="D182" s="1" t="s">
        <v>65</v>
      </c>
      <c r="E182" s="1" t="s">
        <v>66</v>
      </c>
      <c r="F182" s="1" t="s">
        <v>67</v>
      </c>
      <c r="G182" s="1" t="s">
        <v>68</v>
      </c>
      <c r="H182" s="1" t="s">
        <v>0</v>
      </c>
      <c r="I182" s="1" t="s">
        <v>63</v>
      </c>
      <c r="J182" s="1" t="s">
        <v>64</v>
      </c>
      <c r="K182" s="1" t="s">
        <v>65</v>
      </c>
      <c r="L182" s="1" t="s">
        <v>66</v>
      </c>
      <c r="M182" s="1" t="s">
        <v>67</v>
      </c>
      <c r="N182" s="1" t="s">
        <v>68</v>
      </c>
      <c r="Q182" s="12" t="s">
        <v>184</v>
      </c>
      <c r="R182" s="2">
        <f t="shared" ca="1" si="68"/>
        <v>1</v>
      </c>
      <c r="S182" s="2"/>
      <c r="T182" s="2">
        <f t="shared" ca="1" si="69"/>
        <v>1.04</v>
      </c>
      <c r="U182" s="2">
        <f t="shared" ca="1" si="69"/>
        <v>1.1499999999999999</v>
      </c>
      <c r="V182" s="2">
        <f t="shared" ca="1" si="70"/>
        <v>1.93</v>
      </c>
      <c r="W182" s="2">
        <f t="shared" ca="1" si="70"/>
        <v>2.0099999999999998</v>
      </c>
    </row>
    <row r="183" spans="1:31" x14ac:dyDescent="0.15">
      <c r="A183" s="2" t="s">
        <v>62</v>
      </c>
      <c r="B183">
        <f ca="1">I183+I157</f>
        <v>1.6757627292293247</v>
      </c>
      <c r="C183" s="2">
        <f t="shared" ref="C183:G183" ca="1" si="71">J183+J157</f>
        <v>5.1779245619199998E-2</v>
      </c>
      <c r="D183" s="2">
        <f t="shared" ca="1" si="71"/>
        <v>0.20711698247679999</v>
      </c>
      <c r="E183" s="2">
        <f t="shared" ca="1" si="71"/>
        <v>0.18121039559679999</v>
      </c>
      <c r="F183" s="2">
        <f t="shared" ca="1" si="71"/>
        <v>5.1779245619199998E-2</v>
      </c>
      <c r="G183" s="2">
        <f t="shared" ca="1" si="71"/>
        <v>4.5302845619199998E-2</v>
      </c>
      <c r="H183" s="2" t="s">
        <v>62</v>
      </c>
      <c r="I183">
        <f t="shared" ref="I183:N189" ca="1" si="72">J79</f>
        <v>1.6757627292293247</v>
      </c>
      <c r="J183" s="2">
        <f t="shared" ca="1" si="72"/>
        <v>1.6456192000000002E-6</v>
      </c>
      <c r="K183" s="2">
        <f t="shared" ca="1" si="72"/>
        <v>6.5824768000000006E-6</v>
      </c>
      <c r="L183" s="2">
        <f t="shared" ca="1" si="72"/>
        <v>5.5955968000000005E-6</v>
      </c>
      <c r="M183" s="2">
        <f t="shared" ca="1" si="72"/>
        <v>1.6456192000000002E-6</v>
      </c>
      <c r="N183" s="2">
        <f t="shared" ca="1" si="72"/>
        <v>1.6456192000000002E-6</v>
      </c>
      <c r="Q183" s="12" t="s">
        <v>196</v>
      </c>
      <c r="R183" s="2">
        <f t="shared" ca="1" si="68"/>
        <v>1</v>
      </c>
      <c r="S183" s="2"/>
      <c r="T183" s="2">
        <f t="shared" ca="1" si="69"/>
        <v>1.26</v>
      </c>
      <c r="U183" s="2">
        <f t="shared" ca="1" si="69"/>
        <v>1.34</v>
      </c>
      <c r="V183" s="2">
        <f t="shared" ca="1" si="70"/>
        <v>2.09</v>
      </c>
      <c r="W183" s="2">
        <f t="shared" ca="1" si="70"/>
        <v>2.14</v>
      </c>
    </row>
    <row r="184" spans="1:31" x14ac:dyDescent="0.15">
      <c r="A184" s="2" t="s">
        <v>32</v>
      </c>
      <c r="B184" s="2">
        <f t="shared" ref="B184:B202" ca="1" si="73">I184+I158</f>
        <v>3.5841583734217184</v>
      </c>
      <c r="C184" s="2">
        <f t="shared" ref="C184:C202" ca="1" si="74">J184+J158</f>
        <v>0.1035584912384</v>
      </c>
      <c r="D184" s="2">
        <f t="shared" ref="D184:D202" ca="1" si="75">K184+K158</f>
        <v>0.41423396495359999</v>
      </c>
      <c r="E184" s="2">
        <f t="shared" ref="E184:E202" ca="1" si="76">L184+L158</f>
        <v>0.36242079119359999</v>
      </c>
      <c r="F184" s="2">
        <f t="shared" ref="F184:F202" ca="1" si="77">M184+M158</f>
        <v>0.1035584912384</v>
      </c>
      <c r="G184" s="2">
        <f t="shared" ref="G184:G202" ca="1" si="78">N184+N158</f>
        <v>9.0605691238399996E-2</v>
      </c>
      <c r="H184" s="2" t="s">
        <v>32</v>
      </c>
      <c r="I184" s="2">
        <f t="shared" ca="1" si="72"/>
        <v>3.5841583734217184</v>
      </c>
      <c r="J184" s="2">
        <f t="shared" ca="1" si="72"/>
        <v>3.2912384000000003E-6</v>
      </c>
      <c r="K184" s="2">
        <f t="shared" ca="1" si="72"/>
        <v>1.3164953600000001E-5</v>
      </c>
      <c r="L184" s="2">
        <f t="shared" ca="1" si="72"/>
        <v>1.1191193600000001E-5</v>
      </c>
      <c r="M184" s="2">
        <f t="shared" ca="1" si="72"/>
        <v>3.2912384000000003E-6</v>
      </c>
      <c r="N184" s="2">
        <f t="shared" ca="1" si="72"/>
        <v>3.2912384000000003E-6</v>
      </c>
      <c r="Q184" s="12" t="s">
        <v>186</v>
      </c>
      <c r="R184" s="2">
        <f t="shared" ca="1" si="68"/>
        <v>1</v>
      </c>
      <c r="S184" s="2"/>
      <c r="T184" s="2">
        <f t="shared" ca="1" si="69"/>
        <v>4.3</v>
      </c>
      <c r="U184" s="2">
        <f t="shared" ca="1" si="69"/>
        <v>4.83</v>
      </c>
      <c r="V184" s="2">
        <f t="shared" ca="1" si="70"/>
        <v>12.66</v>
      </c>
      <c r="W184" s="2">
        <f t="shared" ca="1" si="70"/>
        <v>13.77</v>
      </c>
    </row>
    <row r="185" spans="1:31" x14ac:dyDescent="0.15">
      <c r="A185" s="2" t="s">
        <v>25</v>
      </c>
      <c r="B185" s="2">
        <f t="shared" ca="1" si="73"/>
        <v>5.6391293901160129</v>
      </c>
      <c r="C185" s="2">
        <f t="shared" ca="1" si="74"/>
        <v>0.1553377368576</v>
      </c>
      <c r="D185" s="2">
        <f t="shared" ca="1" si="75"/>
        <v>0.62135094743039998</v>
      </c>
      <c r="E185" s="2">
        <f t="shared" ca="1" si="76"/>
        <v>0.5436311867903999</v>
      </c>
      <c r="F185" s="2">
        <f t="shared" ca="1" si="77"/>
        <v>0.1553377368576</v>
      </c>
      <c r="G185" s="2">
        <f t="shared" ca="1" si="78"/>
        <v>0.13590853685759999</v>
      </c>
      <c r="H185" s="2" t="s">
        <v>25</v>
      </c>
      <c r="I185" s="2">
        <f t="shared" ca="1" si="72"/>
        <v>5.6391293901160129</v>
      </c>
      <c r="J185" s="2">
        <f t="shared" ca="1" si="72"/>
        <v>4.9368576000000005E-6</v>
      </c>
      <c r="K185" s="2">
        <f t="shared" ca="1" si="72"/>
        <v>1.9747430400000002E-5</v>
      </c>
      <c r="L185" s="2">
        <f t="shared" ca="1" si="72"/>
        <v>1.6786790400000002E-5</v>
      </c>
      <c r="M185" s="2">
        <f t="shared" ca="1" si="72"/>
        <v>4.9368576000000005E-6</v>
      </c>
      <c r="N185" s="2">
        <f t="shared" ca="1" si="72"/>
        <v>4.9368576000000005E-6</v>
      </c>
      <c r="Q185" s="12" t="s">
        <v>188</v>
      </c>
      <c r="R185" s="2">
        <f ca="1">ROUND($B198/B198,2)</f>
        <v>1</v>
      </c>
      <c r="S185" s="2"/>
      <c r="T185" s="2">
        <f ca="1">ROUND($B198/D198,2)</f>
        <v>0.55000000000000004</v>
      </c>
      <c r="U185" s="2">
        <f ca="1">ROUND($B198/E198,2)</f>
        <v>0.55000000000000004</v>
      </c>
      <c r="V185" s="2">
        <f ca="1">ROUND($B198/F198,2)</f>
        <v>0.56999999999999995</v>
      </c>
      <c r="W185" s="2">
        <f ca="1">ROUND($B198/G198,2)</f>
        <v>0.56999999999999995</v>
      </c>
    </row>
    <row r="186" spans="1:31" x14ac:dyDescent="0.15">
      <c r="A186" s="2" t="s">
        <v>39</v>
      </c>
      <c r="B186" s="2">
        <f t="shared" ca="1" si="73"/>
        <v>1.676379555225755</v>
      </c>
      <c r="C186" s="2">
        <f t="shared" ca="1" si="74"/>
        <v>5.1779245619199998E-2</v>
      </c>
      <c r="D186" s="2">
        <f t="shared" ca="1" si="75"/>
        <v>0.20711698247679999</v>
      </c>
      <c r="E186" s="2">
        <f t="shared" ca="1" si="76"/>
        <v>0.18121039559679999</v>
      </c>
      <c r="F186" s="2">
        <f t="shared" ca="1" si="77"/>
        <v>5.1779245619199998E-2</v>
      </c>
      <c r="G186" s="2">
        <f t="shared" ca="1" si="78"/>
        <v>4.5302845619199998E-2</v>
      </c>
      <c r="H186" s="2" t="s">
        <v>39</v>
      </c>
      <c r="I186" s="2">
        <f t="shared" ca="1" si="72"/>
        <v>1.676379555225755</v>
      </c>
      <c r="J186" s="2">
        <f t="shared" ca="1" si="72"/>
        <v>1.6456192000000002E-6</v>
      </c>
      <c r="K186" s="2">
        <f t="shared" ca="1" si="72"/>
        <v>6.5824768000000006E-6</v>
      </c>
      <c r="L186" s="2">
        <f t="shared" ca="1" si="72"/>
        <v>5.5955968000000005E-6</v>
      </c>
      <c r="M186" s="2">
        <f t="shared" ca="1" si="72"/>
        <v>1.6456192000000002E-6</v>
      </c>
      <c r="N186" s="2">
        <f t="shared" ca="1" si="72"/>
        <v>1.6456192000000002E-6</v>
      </c>
      <c r="Q186" s="2" t="s">
        <v>178</v>
      </c>
      <c r="R186" s="2">
        <f>$B199/B199</f>
        <v>1</v>
      </c>
      <c r="S186" s="2"/>
      <c r="T186" s="2">
        <v>1</v>
      </c>
      <c r="U186" s="2">
        <v>1</v>
      </c>
      <c r="V186" s="2">
        <v>1</v>
      </c>
      <c r="W186" s="2">
        <v>1</v>
      </c>
    </row>
    <row r="187" spans="1:31" x14ac:dyDescent="0.15">
      <c r="A187" s="2" t="s">
        <v>46</v>
      </c>
      <c r="B187" s="2">
        <f t="shared" ca="1" si="73"/>
        <v>5.4257679516826558</v>
      </c>
      <c r="C187" s="2">
        <f t="shared" ca="1" si="74"/>
        <v>0.1553377368576</v>
      </c>
      <c r="D187" s="2">
        <f t="shared" ca="1" si="75"/>
        <v>0.62135094743039998</v>
      </c>
      <c r="E187" s="2">
        <f t="shared" ca="1" si="76"/>
        <v>0.5436311867903999</v>
      </c>
      <c r="F187" s="2">
        <f t="shared" ca="1" si="77"/>
        <v>0.1553377368576</v>
      </c>
      <c r="G187" s="2">
        <f t="shared" ca="1" si="78"/>
        <v>0.13590853685759999</v>
      </c>
      <c r="H187" s="2" t="s">
        <v>46</v>
      </c>
      <c r="I187" s="2">
        <f t="shared" ca="1" si="72"/>
        <v>5.4257679516826558</v>
      </c>
      <c r="J187" s="2">
        <f t="shared" ca="1" si="72"/>
        <v>4.9368576000000005E-6</v>
      </c>
      <c r="K187" s="2">
        <f t="shared" ca="1" si="72"/>
        <v>1.9747430400000002E-5</v>
      </c>
      <c r="L187" s="2">
        <f t="shared" ca="1" si="72"/>
        <v>1.6786790400000002E-5</v>
      </c>
      <c r="M187" s="2">
        <f t="shared" ca="1" si="72"/>
        <v>4.9368576000000005E-6</v>
      </c>
      <c r="N187" s="2">
        <f t="shared" ca="1" si="72"/>
        <v>4.9368576000000005E-6</v>
      </c>
      <c r="Q187" s="2" t="s">
        <v>179</v>
      </c>
      <c r="R187" s="2">
        <f>$B200/B200</f>
        <v>1</v>
      </c>
      <c r="S187" s="2"/>
      <c r="T187" s="2">
        <v>1</v>
      </c>
      <c r="U187" s="2">
        <v>1</v>
      </c>
      <c r="V187" s="2">
        <v>1</v>
      </c>
      <c r="W187" s="2">
        <v>1</v>
      </c>
    </row>
    <row r="188" spans="1:31" x14ac:dyDescent="0.15">
      <c r="A188" s="2" t="s">
        <v>127</v>
      </c>
      <c r="B188" s="2">
        <f t="shared" ca="1" si="73"/>
        <v>4.5626772184636788E-3</v>
      </c>
      <c r="C188" s="2">
        <f t="shared" ca="1" si="74"/>
        <v>8.8015744267999994E-3</v>
      </c>
      <c r="D188" s="2">
        <f t="shared" ca="1" si="75"/>
        <v>1.3929937707200002E-2</v>
      </c>
      <c r="E188" s="2">
        <f t="shared" ca="1" si="76"/>
        <v>1.3073105067200002E-2</v>
      </c>
      <c r="F188" s="2">
        <f t="shared" ca="1" si="77"/>
        <v>8.8015744267999994E-3</v>
      </c>
      <c r="G188" s="2">
        <f t="shared" ca="1" si="78"/>
        <v>8.5873744267999999E-3</v>
      </c>
      <c r="H188" s="2" t="s">
        <v>127</v>
      </c>
      <c r="I188" s="2">
        <f t="shared" ca="1" si="72"/>
        <v>4.5626772184636788E-3</v>
      </c>
      <c r="J188" s="2">
        <f t="shared" ca="1" si="72"/>
        <v>5.4426800000000004E-8</v>
      </c>
      <c r="K188" s="2">
        <f t="shared" ca="1" si="72"/>
        <v>2.1770720000000002E-7</v>
      </c>
      <c r="L188" s="2">
        <f t="shared" ca="1" si="72"/>
        <v>1.8506720000000001E-7</v>
      </c>
      <c r="M188" s="2">
        <f t="shared" ca="1" si="72"/>
        <v>5.4426800000000004E-8</v>
      </c>
      <c r="N188" s="2">
        <f t="shared" ca="1" si="72"/>
        <v>5.4426800000000004E-8</v>
      </c>
      <c r="Q188" s="2" t="s">
        <v>181</v>
      </c>
      <c r="R188" s="2">
        <f>$B201/B201</f>
        <v>1</v>
      </c>
      <c r="S188" s="2"/>
      <c r="T188" s="2">
        <v>1</v>
      </c>
      <c r="U188" s="2">
        <v>1</v>
      </c>
      <c r="V188" s="2">
        <v>1</v>
      </c>
      <c r="W188" s="2">
        <v>1</v>
      </c>
    </row>
    <row r="189" spans="1:31" x14ac:dyDescent="0.15">
      <c r="A189" s="2" t="s">
        <v>128</v>
      </c>
      <c r="B189" s="2">
        <f t="shared" ca="1" si="73"/>
        <v>1.3069007097562166</v>
      </c>
      <c r="C189" s="2">
        <f t="shared" ca="1" si="74"/>
        <v>3.2662314890304005</v>
      </c>
      <c r="D189" s="2">
        <f t="shared" ca="1" si="75"/>
        <v>4.1486830989215999</v>
      </c>
      <c r="E189" s="2">
        <f t="shared" ca="1" si="76"/>
        <v>3.9938042990016003</v>
      </c>
      <c r="F189" s="2">
        <f t="shared" ca="1" si="77"/>
        <v>3.2662314890304005</v>
      </c>
      <c r="G189" s="2">
        <f t="shared" ca="1" si="78"/>
        <v>3.2275132640304003</v>
      </c>
      <c r="H189" s="2" t="s">
        <v>128</v>
      </c>
      <c r="I189" s="2">
        <f t="shared" ca="1" si="72"/>
        <v>1.3069007097562166</v>
      </c>
      <c r="J189" s="2">
        <f t="shared" ca="1" si="72"/>
        <v>9.8366304000000018E-6</v>
      </c>
      <c r="K189" s="2">
        <f t="shared" ca="1" si="72"/>
        <v>3.9346521600000007E-5</v>
      </c>
      <c r="L189" s="2">
        <f t="shared" ca="1" si="72"/>
        <v>3.3446601600000005E-5</v>
      </c>
      <c r="M189" s="2">
        <f t="shared" ca="1" si="72"/>
        <v>9.8366304000000018E-6</v>
      </c>
      <c r="N189" s="2">
        <f t="shared" ca="1" si="72"/>
        <v>9.8366304000000018E-6</v>
      </c>
      <c r="Q189" s="2" t="s">
        <v>183</v>
      </c>
      <c r="R189" s="2">
        <f>$B202/B202</f>
        <v>1</v>
      </c>
      <c r="S189" s="2"/>
      <c r="T189" s="2">
        <v>1</v>
      </c>
      <c r="U189" s="2">
        <v>1</v>
      </c>
      <c r="V189" s="2">
        <v>1</v>
      </c>
      <c r="W189" s="2">
        <v>1</v>
      </c>
    </row>
    <row r="190" spans="1:31" x14ac:dyDescent="0.15">
      <c r="A190" s="2" t="s">
        <v>129</v>
      </c>
      <c r="B190" s="2">
        <f t="shared" ca="1" si="73"/>
        <v>47.728514170196441</v>
      </c>
      <c r="C190" s="2">
        <f t="shared" ca="1" si="74"/>
        <v>1.1053617700607998</v>
      </c>
      <c r="D190" s="2">
        <f t="shared" ca="1" si="75"/>
        <v>4.4214470802431993</v>
      </c>
      <c r="E190" s="2">
        <f t="shared" ca="1" si="76"/>
        <v>3.8014530623232003</v>
      </c>
      <c r="F190" s="2">
        <f t="shared" ca="1" si="77"/>
        <v>1.1053617700607998</v>
      </c>
      <c r="G190" s="2">
        <f t="shared" ca="1" si="78"/>
        <v>0.95036917006080013</v>
      </c>
      <c r="H190" s="2" t="s">
        <v>129</v>
      </c>
      <c r="I190" s="2">
        <f ca="1">J86*scalability_analysis!$H$15</f>
        <v>47.728514170196441</v>
      </c>
      <c r="J190" s="2">
        <f t="shared" ref="J190:N191" ca="1" si="79">K86*8</f>
        <v>3.9370060800000001E-5</v>
      </c>
      <c r="K190" s="2">
        <f t="shared" ca="1" si="79"/>
        <v>1.574802432E-4</v>
      </c>
      <c r="L190" s="2">
        <f t="shared" ca="1" si="79"/>
        <v>1.3386232319999999E-4</v>
      </c>
      <c r="M190" s="2">
        <f t="shared" ca="1" si="79"/>
        <v>3.9370060800000001E-5</v>
      </c>
      <c r="N190" s="2">
        <f t="shared" ca="1" si="79"/>
        <v>3.9370060800000001E-5</v>
      </c>
      <c r="Q190" t="s">
        <v>131</v>
      </c>
      <c r="R190">
        <f ca="1">GEOMEAN(R171:R185)</f>
        <v>1</v>
      </c>
      <c r="S190" s="2"/>
      <c r="T190" s="2">
        <f t="shared" ref="T190:W190" ca="1" si="80">GEOMEAN(T171:T185)</f>
        <v>1.9180326909436545</v>
      </c>
      <c r="U190" s="2">
        <f t="shared" ca="1" si="80"/>
        <v>2.1517737559074357</v>
      </c>
      <c r="V190" s="2">
        <f t="shared" ca="1" si="80"/>
        <v>4.5163645911299888</v>
      </c>
      <c r="W190" s="2">
        <f t="shared" ca="1" si="80"/>
        <v>4.9538073358814216</v>
      </c>
    </row>
    <row r="191" spans="1:31" x14ac:dyDescent="0.15">
      <c r="A191" s="2" t="s">
        <v>53</v>
      </c>
      <c r="B191" s="2">
        <f t="shared" ca="1" si="73"/>
        <v>43.862473908165654</v>
      </c>
      <c r="C191" s="2">
        <f t="shared" ca="1" si="74"/>
        <v>1.1448404577504001</v>
      </c>
      <c r="D191" s="2">
        <f t="shared" ca="1" si="75"/>
        <v>3.3258503522015999</v>
      </c>
      <c r="E191" s="2">
        <f t="shared" ca="1" si="76"/>
        <v>2.9619018683615996</v>
      </c>
      <c r="F191" s="2">
        <f t="shared" ca="1" si="77"/>
        <v>1.8716588577503999</v>
      </c>
      <c r="G191" s="2">
        <f t="shared" ca="1" si="78"/>
        <v>1.6897400577503998</v>
      </c>
      <c r="H191" s="2" t="s">
        <v>53</v>
      </c>
      <c r="I191" s="2">
        <f ca="1">J87*8</f>
        <v>43.862473908165654</v>
      </c>
      <c r="J191" s="2">
        <f t="shared" ca="1" si="79"/>
        <v>1.8489815040000001E-4</v>
      </c>
      <c r="K191" s="2">
        <f t="shared" ca="1" si="79"/>
        <v>7.3959260160000003E-4</v>
      </c>
      <c r="L191" s="2">
        <f t="shared" ca="1" si="79"/>
        <v>6.2870876160000004E-4</v>
      </c>
      <c r="M191" s="2">
        <f t="shared" ca="1" si="79"/>
        <v>1.8489815040000001E-4</v>
      </c>
      <c r="N191" s="2">
        <f t="shared" ca="1" si="79"/>
        <v>1.8489815040000001E-4</v>
      </c>
    </row>
    <row r="192" spans="1:31" x14ac:dyDescent="0.15">
      <c r="A192" s="12" t="s">
        <v>180</v>
      </c>
      <c r="B192" s="2">
        <f t="shared" ca="1" si="73"/>
        <v>3.9906015082446806E-3</v>
      </c>
      <c r="C192" s="2">
        <f t="shared" ca="1" si="74"/>
        <v>1.1071619206400001E-2</v>
      </c>
      <c r="D192" s="2">
        <f t="shared" ca="1" si="75"/>
        <v>4.4286476825600003E-2</v>
      </c>
      <c r="E192" s="2">
        <f t="shared" ca="1" si="76"/>
        <v>3.7683825305600008E-2</v>
      </c>
      <c r="F192" s="2">
        <f t="shared" ca="1" si="77"/>
        <v>1.1071619206400001E-2</v>
      </c>
      <c r="G192" s="2">
        <f t="shared" ca="1" si="78"/>
        <v>9.4210192064000005E-3</v>
      </c>
      <c r="H192" s="12" t="s">
        <v>180</v>
      </c>
      <c r="I192" s="2">
        <f t="shared" ref="I192:N195" ca="1" si="81">J88</f>
        <v>3.9906015082446806E-3</v>
      </c>
      <c r="J192" s="2">
        <f t="shared" ca="1" si="81"/>
        <v>4.1920639999999997E-7</v>
      </c>
      <c r="K192" s="2">
        <f t="shared" ca="1" si="81"/>
        <v>1.6768255999999999E-6</v>
      </c>
      <c r="L192" s="2">
        <f t="shared" ca="1" si="81"/>
        <v>1.4253055999999999E-6</v>
      </c>
      <c r="M192" s="2">
        <f t="shared" ca="1" si="81"/>
        <v>4.1920639999999997E-7</v>
      </c>
      <c r="N192" s="2">
        <f t="shared" ca="1" si="81"/>
        <v>4.1920639999999997E-7</v>
      </c>
      <c r="T192">
        <f ca="1">$W$190/T190</f>
        <v>2.5827543812322582</v>
      </c>
      <c r="U192" s="2">
        <f t="shared" ref="U192:W192" ca="1" si="82">$W$190/U190</f>
        <v>2.3021971163470787</v>
      </c>
      <c r="V192" s="2">
        <f t="shared" ca="1" si="82"/>
        <v>1.0968572700287655</v>
      </c>
      <c r="W192" s="2">
        <f t="shared" ca="1" si="82"/>
        <v>1</v>
      </c>
    </row>
    <row r="193" spans="1:14" x14ac:dyDescent="0.15">
      <c r="A193" s="12" t="s">
        <v>182</v>
      </c>
      <c r="B193" s="2">
        <f t="shared" ca="1" si="73"/>
        <v>7.887169558639882E-3</v>
      </c>
      <c r="C193" s="2">
        <f t="shared" ca="1" si="74"/>
        <v>2.1908032006400003E-2</v>
      </c>
      <c r="D193" s="2">
        <f t="shared" ca="1" si="75"/>
        <v>8.7632128025600012E-2</v>
      </c>
      <c r="E193" s="2">
        <f t="shared" ca="1" si="76"/>
        <v>7.4527628825600004E-2</v>
      </c>
      <c r="F193" s="2">
        <f t="shared" ca="1" si="77"/>
        <v>2.1908032006400003E-2</v>
      </c>
      <c r="G193" s="2">
        <f t="shared" ca="1" si="78"/>
        <v>1.8632032006400002E-2</v>
      </c>
      <c r="H193" s="12" t="s">
        <v>182</v>
      </c>
      <c r="I193" s="2">
        <f t="shared" ca="1" si="81"/>
        <v>7.887169558639882E-3</v>
      </c>
      <c r="J193" s="2">
        <f t="shared" ca="1" si="81"/>
        <v>8.3200640000000007E-7</v>
      </c>
      <c r="K193" s="2">
        <f t="shared" ca="1" si="81"/>
        <v>3.3280256000000003E-6</v>
      </c>
      <c r="L193" s="2">
        <f t="shared" ca="1" si="81"/>
        <v>2.8288256E-6</v>
      </c>
      <c r="M193" s="2">
        <f t="shared" ca="1" si="81"/>
        <v>8.3200640000000007E-7</v>
      </c>
      <c r="N193" s="2">
        <f t="shared" ca="1" si="81"/>
        <v>8.3200640000000007E-7</v>
      </c>
    </row>
    <row r="194" spans="1:14" x14ac:dyDescent="0.15">
      <c r="A194" s="12" t="s">
        <v>184</v>
      </c>
      <c r="B194" s="2">
        <f t="shared" ca="1" si="73"/>
        <v>7.4436255895119083E-2</v>
      </c>
      <c r="C194" s="2">
        <f t="shared" ca="1" si="74"/>
        <v>3.8652932712800007E-2</v>
      </c>
      <c r="D194" s="2">
        <f t="shared" ca="1" si="75"/>
        <v>7.1376363951200006E-2</v>
      </c>
      <c r="E194" s="2">
        <f t="shared" ca="1" si="76"/>
        <v>6.4912317711199999E-2</v>
      </c>
      <c r="F194" s="2">
        <f t="shared" ca="1" si="77"/>
        <v>3.8652932712800007E-2</v>
      </c>
      <c r="G194" s="2">
        <f t="shared" ca="1" si="78"/>
        <v>3.7036982712800003E-2</v>
      </c>
      <c r="H194" s="12" t="s">
        <v>184</v>
      </c>
      <c r="I194" s="2">
        <f t="shared" ca="1" si="81"/>
        <v>7.4436255895119083E-2</v>
      </c>
      <c r="J194" s="2">
        <f t="shared" ca="1" si="81"/>
        <v>4.1041280000000003E-7</v>
      </c>
      <c r="K194" s="2">
        <f t="shared" ca="1" si="81"/>
        <v>1.6416512000000001E-6</v>
      </c>
      <c r="L194" s="2">
        <f t="shared" ca="1" si="81"/>
        <v>1.3954112E-6</v>
      </c>
      <c r="M194" s="2">
        <f t="shared" ca="1" si="81"/>
        <v>4.1041280000000003E-7</v>
      </c>
      <c r="N194" s="2">
        <f t="shared" ca="1" si="81"/>
        <v>4.1041280000000003E-7</v>
      </c>
    </row>
    <row r="195" spans="1:14" x14ac:dyDescent="0.15">
      <c r="A195" s="12" t="s">
        <v>196</v>
      </c>
      <c r="B195" s="2">
        <f t="shared" ca="1" si="73"/>
        <v>7.5034921229050811E-2</v>
      </c>
      <c r="C195" s="2">
        <f t="shared" ca="1" si="74"/>
        <v>3.5977418604799992E-2</v>
      </c>
      <c r="D195" s="2">
        <f t="shared" ca="1" si="75"/>
        <v>5.9628274419199996E-2</v>
      </c>
      <c r="E195" s="2">
        <f t="shared" ca="1" si="76"/>
        <v>5.6188343379199999E-2</v>
      </c>
      <c r="F195" s="2">
        <f t="shared" ca="1" si="77"/>
        <v>3.5977418604799992E-2</v>
      </c>
      <c r="G195" s="2">
        <f t="shared" ca="1" si="78"/>
        <v>3.5117468604800001E-2</v>
      </c>
      <c r="H195" s="12" t="s">
        <v>196</v>
      </c>
      <c r="I195" s="2">
        <f t="shared" ca="1" si="81"/>
        <v>7.5034921229050811E-2</v>
      </c>
      <c r="J195" s="2">
        <f t="shared" ca="1" si="81"/>
        <v>2.1860480000000001E-7</v>
      </c>
      <c r="K195" s="2">
        <f t="shared" ca="1" si="81"/>
        <v>8.7441920000000003E-7</v>
      </c>
      <c r="L195" s="2">
        <f t="shared" ca="1" si="81"/>
        <v>7.4337919999999999E-7</v>
      </c>
      <c r="M195" s="2">
        <f t="shared" ca="1" si="81"/>
        <v>2.1860480000000001E-7</v>
      </c>
      <c r="N195" s="2">
        <f t="shared" ca="1" si="81"/>
        <v>2.1860480000000001E-7</v>
      </c>
    </row>
    <row r="196" spans="1:14" x14ac:dyDescent="0.15">
      <c r="A196" s="12" t="s">
        <v>186</v>
      </c>
      <c r="B196" s="2">
        <f t="shared" ca="1" si="73"/>
        <v>32.309189923102593</v>
      </c>
      <c r="C196" s="2">
        <f t="shared" ca="1" si="74"/>
        <v>2.5527701332144002</v>
      </c>
      <c r="D196" s="2">
        <f t="shared" ca="1" si="75"/>
        <v>7.5155134054575994</v>
      </c>
      <c r="E196" s="2">
        <f t="shared" ca="1" si="76"/>
        <v>6.6881154867376003</v>
      </c>
      <c r="F196" s="2">
        <f t="shared" ca="1" si="77"/>
        <v>2.5527701332144002</v>
      </c>
      <c r="G196" s="2">
        <f t="shared" ca="1" si="78"/>
        <v>2.3459285332144004</v>
      </c>
      <c r="H196" s="12" t="s">
        <v>186</v>
      </c>
      <c r="I196" s="2">
        <f t="shared" ref="I196:I202" ca="1" si="83">J92</f>
        <v>32.309189923102593</v>
      </c>
      <c r="J196" s="2">
        <f ca="1">K92*8</f>
        <v>5.2557414400000004E-5</v>
      </c>
      <c r="K196" s="2">
        <f t="shared" ref="K196:N197" ca="1" si="84">L92*8</f>
        <v>2.1022965760000002E-4</v>
      </c>
      <c r="L196" s="2">
        <f t="shared" ca="1" si="84"/>
        <v>1.787109376E-4</v>
      </c>
      <c r="M196" s="2">
        <f t="shared" ca="1" si="84"/>
        <v>5.2557414400000004E-5</v>
      </c>
      <c r="N196" s="2">
        <f t="shared" ca="1" si="84"/>
        <v>5.2557414400000004E-5</v>
      </c>
    </row>
    <row r="197" spans="1:14" x14ac:dyDescent="0.15">
      <c r="A197" s="12" t="s">
        <v>187</v>
      </c>
      <c r="B197" s="2">
        <f t="shared" ca="1" si="73"/>
        <v>32.358743973866595</v>
      </c>
      <c r="C197" s="2">
        <f t="shared" ca="1" si="74"/>
        <v>2.5527835144144002</v>
      </c>
      <c r="D197" s="2">
        <f t="shared" ca="1" si="75"/>
        <v>7.515526786657599</v>
      </c>
      <c r="E197" s="2">
        <f t="shared" ca="1" si="76"/>
        <v>6.6881288679375999</v>
      </c>
      <c r="F197" s="2">
        <f t="shared" ca="1" si="77"/>
        <v>2.5527835144144002</v>
      </c>
      <c r="G197" s="2">
        <f t="shared" ca="1" si="78"/>
        <v>2.3459419144144005</v>
      </c>
      <c r="H197" s="12" t="s">
        <v>187</v>
      </c>
      <c r="I197" s="2">
        <f t="shared" ca="1" si="83"/>
        <v>32.358743973866595</v>
      </c>
      <c r="J197" s="2">
        <f ca="1">K93*8</f>
        <v>5.2557414400000004E-5</v>
      </c>
      <c r="K197" s="2">
        <f t="shared" ca="1" si="84"/>
        <v>2.1022965760000002E-4</v>
      </c>
      <c r="L197" s="2">
        <f t="shared" ca="1" si="84"/>
        <v>1.787109376E-4</v>
      </c>
      <c r="M197" s="2">
        <f t="shared" ca="1" si="84"/>
        <v>5.2557414400000004E-5</v>
      </c>
      <c r="N197" s="2">
        <f t="shared" ca="1" si="84"/>
        <v>5.2557414400000004E-5</v>
      </c>
    </row>
    <row r="198" spans="1:14" x14ac:dyDescent="0.15">
      <c r="A198" s="12" t="s">
        <v>188</v>
      </c>
      <c r="B198" s="2">
        <f t="shared" ca="1" si="73"/>
        <v>0.9519094492489184</v>
      </c>
      <c r="C198" s="2">
        <f t="shared" ca="1" si="74"/>
        <v>1.6712061109144001</v>
      </c>
      <c r="D198" s="2">
        <f t="shared" ca="1" si="75"/>
        <v>1.7352914167576001</v>
      </c>
      <c r="E198" s="2">
        <f t="shared" ca="1" si="76"/>
        <v>1.7263450759576002</v>
      </c>
      <c r="F198" s="2">
        <f t="shared" ca="1" si="77"/>
        <v>1.6712061109144001</v>
      </c>
      <c r="G198" s="2">
        <f t="shared" ca="1" si="78"/>
        <v>1.6689696109144001</v>
      </c>
      <c r="H198" s="12" t="s">
        <v>188</v>
      </c>
      <c r="I198" s="2">
        <f t="shared" ca="1" si="83"/>
        <v>0.9519094492489184</v>
      </c>
      <c r="J198" s="2">
        <f t="shared" ref="J198:N202" ca="1" si="85">K94</f>
        <v>5.6861439999999998E-7</v>
      </c>
      <c r="K198" s="2">
        <f t="shared" ca="1" si="85"/>
        <v>2.2744575999999999E-6</v>
      </c>
      <c r="L198" s="2">
        <f t="shared" ca="1" si="85"/>
        <v>1.9336575999999997E-6</v>
      </c>
      <c r="M198" s="2">
        <f t="shared" ca="1" si="85"/>
        <v>5.6861439999999998E-7</v>
      </c>
      <c r="N198" s="2">
        <f t="shared" ca="1" si="85"/>
        <v>5.6861439999999998E-7</v>
      </c>
    </row>
    <row r="199" spans="1:14" x14ac:dyDescent="0.15">
      <c r="A199" s="2" t="s">
        <v>178</v>
      </c>
      <c r="B199" s="2">
        <f t="shared" si="73"/>
        <v>3.79505506905</v>
      </c>
      <c r="C199" s="2">
        <f t="shared" si="74"/>
        <v>9.8800105246500003</v>
      </c>
      <c r="D199" s="2">
        <f t="shared" si="75"/>
        <v>9.8800105246500003</v>
      </c>
      <c r="E199" s="2">
        <f t="shared" si="76"/>
        <v>9.8800105246500003</v>
      </c>
      <c r="F199" s="2">
        <f t="shared" si="77"/>
        <v>9.8800105246500003</v>
      </c>
      <c r="G199" s="2">
        <f t="shared" si="78"/>
        <v>9.8800105246500003</v>
      </c>
      <c r="H199" s="2" t="s">
        <v>178</v>
      </c>
      <c r="I199" s="2">
        <f t="shared" si="83"/>
        <v>3.79505506905</v>
      </c>
      <c r="J199" s="2">
        <f t="shared" si="85"/>
        <v>3.79505506905</v>
      </c>
      <c r="K199" s="2">
        <f t="shared" si="85"/>
        <v>3.79505506905</v>
      </c>
      <c r="L199" s="2">
        <f t="shared" si="85"/>
        <v>3.79505506905</v>
      </c>
      <c r="M199" s="2">
        <f t="shared" si="85"/>
        <v>3.79505506905</v>
      </c>
      <c r="N199" s="2">
        <f t="shared" si="85"/>
        <v>3.79505506905</v>
      </c>
    </row>
    <row r="200" spans="1:14" x14ac:dyDescent="0.15">
      <c r="A200" s="2" t="s">
        <v>179</v>
      </c>
      <c r="B200" s="2">
        <f t="shared" si="73"/>
        <v>6.5685756420000005E-2</v>
      </c>
      <c r="C200" s="2">
        <f t="shared" si="74"/>
        <v>9.1440962819999999E-2</v>
      </c>
      <c r="D200" s="2">
        <f t="shared" si="75"/>
        <v>9.1440962819999999E-2</v>
      </c>
      <c r="E200" s="2">
        <f t="shared" si="76"/>
        <v>9.1440962819999999E-2</v>
      </c>
      <c r="F200" s="2">
        <f t="shared" si="77"/>
        <v>9.1440962819999999E-2</v>
      </c>
      <c r="G200" s="2">
        <f t="shared" si="78"/>
        <v>9.1440962819999999E-2</v>
      </c>
      <c r="H200" s="2" t="s">
        <v>179</v>
      </c>
      <c r="I200" s="2">
        <f t="shared" si="83"/>
        <v>6.5685756420000005E-2</v>
      </c>
      <c r="J200" s="2">
        <f t="shared" si="85"/>
        <v>6.5685756420000005E-2</v>
      </c>
      <c r="K200" s="2">
        <f t="shared" si="85"/>
        <v>6.5685756420000005E-2</v>
      </c>
      <c r="L200" s="2">
        <f t="shared" si="85"/>
        <v>6.5685756420000005E-2</v>
      </c>
      <c r="M200" s="2">
        <f t="shared" si="85"/>
        <v>6.5685756420000005E-2</v>
      </c>
      <c r="N200" s="2">
        <f t="shared" si="85"/>
        <v>6.5685756420000005E-2</v>
      </c>
    </row>
    <row r="201" spans="1:14" x14ac:dyDescent="0.15">
      <c r="A201" s="2" t="s">
        <v>181</v>
      </c>
      <c r="B201" s="2">
        <f t="shared" si="73"/>
        <v>5.6708901795000002E-2</v>
      </c>
      <c r="C201" s="2">
        <f t="shared" si="74"/>
        <v>0.106164435195</v>
      </c>
      <c r="D201" s="2">
        <f t="shared" si="75"/>
        <v>0.106164435195</v>
      </c>
      <c r="E201" s="2">
        <f t="shared" si="76"/>
        <v>0.106164435195</v>
      </c>
      <c r="F201" s="2">
        <f t="shared" si="77"/>
        <v>0.106164435195</v>
      </c>
      <c r="G201" s="2">
        <f t="shared" si="78"/>
        <v>0.106164435195</v>
      </c>
      <c r="H201" s="2" t="s">
        <v>181</v>
      </c>
      <c r="I201" s="2">
        <f t="shared" si="83"/>
        <v>5.6708901795000002E-2</v>
      </c>
      <c r="J201" s="2">
        <f t="shared" si="85"/>
        <v>5.6708901795000002E-2</v>
      </c>
      <c r="K201" s="2">
        <f t="shared" si="85"/>
        <v>5.6708901795000002E-2</v>
      </c>
      <c r="L201" s="2">
        <f t="shared" si="85"/>
        <v>5.6708901795000002E-2</v>
      </c>
      <c r="M201" s="2">
        <f t="shared" si="85"/>
        <v>5.6708901795000002E-2</v>
      </c>
      <c r="N201" s="2">
        <f t="shared" si="85"/>
        <v>5.6708901795000002E-2</v>
      </c>
    </row>
    <row r="202" spans="1:14" x14ac:dyDescent="0.15">
      <c r="A202" s="2" t="s">
        <v>183</v>
      </c>
      <c r="B202" s="2">
        <f t="shared" si="73"/>
        <v>16.986913823070001</v>
      </c>
      <c r="C202" s="2">
        <f t="shared" si="74"/>
        <v>45.796624300170002</v>
      </c>
      <c r="D202" s="2">
        <f t="shared" si="75"/>
        <v>45.796624300170002</v>
      </c>
      <c r="E202" s="2">
        <f t="shared" si="76"/>
        <v>45.796624300170002</v>
      </c>
      <c r="F202" s="2">
        <f t="shared" si="77"/>
        <v>45.796624300170002</v>
      </c>
      <c r="G202" s="2">
        <f t="shared" si="78"/>
        <v>45.796624300170002</v>
      </c>
      <c r="H202" s="2" t="s">
        <v>183</v>
      </c>
      <c r="I202" s="2">
        <f t="shared" si="83"/>
        <v>16.986913823070001</v>
      </c>
      <c r="J202" s="2">
        <f t="shared" si="85"/>
        <v>16.986913823070001</v>
      </c>
      <c r="K202" s="2">
        <f t="shared" si="85"/>
        <v>16.986913823070001</v>
      </c>
      <c r="L202" s="2">
        <f t="shared" si="85"/>
        <v>16.986913823070001</v>
      </c>
      <c r="M202" s="2">
        <f t="shared" si="85"/>
        <v>16.986913823070001</v>
      </c>
      <c r="N202" s="2">
        <f t="shared" si="85"/>
        <v>16.986913823070001</v>
      </c>
    </row>
    <row r="211" spans="3:16" x14ac:dyDescent="0.15">
      <c r="J211" t="s">
        <v>127</v>
      </c>
      <c r="K211">
        <v>7618950</v>
      </c>
      <c r="L211">
        <v>4191200</v>
      </c>
      <c r="M211">
        <v>6633200</v>
      </c>
      <c r="N211">
        <v>6225200</v>
      </c>
      <c r="O211">
        <v>4191200</v>
      </c>
      <c r="P211">
        <v>4089200</v>
      </c>
    </row>
    <row r="212" spans="3:16" x14ac:dyDescent="0.15">
      <c r="J212" t="s">
        <v>128</v>
      </c>
      <c r="K212">
        <v>2142591430</v>
      </c>
      <c r="L212">
        <v>1555343644</v>
      </c>
      <c r="M212">
        <v>1975544644</v>
      </c>
      <c r="N212">
        <v>1901795644</v>
      </c>
      <c r="O212">
        <v>1555343644</v>
      </c>
      <c r="P212">
        <v>1536906394</v>
      </c>
    </row>
    <row r="215" spans="3:16" x14ac:dyDescent="0.15">
      <c r="C215">
        <v>64234484267.895393</v>
      </c>
      <c r="D215">
        <v>545074076</v>
      </c>
      <c r="E215">
        <v>1583386075.9999998</v>
      </c>
      <c r="F215">
        <v>1410130075.9999998</v>
      </c>
      <c r="G215">
        <v>891178075.99999988</v>
      </c>
      <c r="H215">
        <v>804550075.99999988</v>
      </c>
    </row>
  </sheetData>
  <mergeCells count="13">
    <mergeCell ref="Q167:W168"/>
    <mergeCell ref="B1:G1"/>
    <mergeCell ref="B27:G27"/>
    <mergeCell ref="J27:O27"/>
    <mergeCell ref="J1:O1"/>
    <mergeCell ref="J51:O51"/>
    <mergeCell ref="S111:V112"/>
    <mergeCell ref="S140:V141"/>
    <mergeCell ref="J77:O77"/>
    <mergeCell ref="J124:O124"/>
    <mergeCell ref="A74:O75"/>
    <mergeCell ref="J101:N101"/>
    <mergeCell ref="B123:F1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6512-5160-0240-8ECF-C96D2971EFBC}">
  <dimension ref="A1:T149"/>
  <sheetViews>
    <sheetView topLeftCell="A12" workbookViewId="0">
      <selection activeCell="L29" sqref="L29:R29"/>
    </sheetView>
  </sheetViews>
  <sheetFormatPr baseColWidth="10" defaultRowHeight="13" x14ac:dyDescent="0.15"/>
  <cols>
    <col min="4" max="4" width="12.1640625" bestFit="1" customWidth="1"/>
    <col min="5" max="5" width="14" bestFit="1" customWidth="1"/>
    <col min="6" max="6" width="12.1640625" bestFit="1" customWidth="1"/>
    <col min="7" max="7" width="14" bestFit="1" customWidth="1"/>
    <col min="11" max="11" width="38.1640625" bestFit="1" customWidth="1"/>
    <col min="12" max="12" width="11" bestFit="1" customWidth="1"/>
    <col min="15" max="15" width="15.83203125" bestFit="1" customWidth="1"/>
    <col min="16" max="16" width="11.1640625" bestFit="1" customWidth="1"/>
  </cols>
  <sheetData>
    <row r="1" spans="1:20" x14ac:dyDescent="0.15">
      <c r="A1" s="1" t="s">
        <v>0</v>
      </c>
      <c r="B1" s="1" t="s">
        <v>64</v>
      </c>
      <c r="C1" s="1" t="s">
        <v>68</v>
      </c>
      <c r="D1" s="1" t="s">
        <v>110</v>
      </c>
      <c r="E1" s="1" t="s">
        <v>111</v>
      </c>
      <c r="F1" s="1"/>
    </row>
    <row r="2" spans="1:20" x14ac:dyDescent="0.15">
      <c r="A2" s="2" t="s">
        <v>62</v>
      </c>
      <c r="B2">
        <f ca="1">OFFSET(stats_raw!$H$7,(ROW(C1)-1)*6,0)</f>
        <v>16512</v>
      </c>
      <c r="C2" s="2">
        <f ca="1">OFFSET(stats_raw!$H$5,(ROW(D1)-1)*6,0)</f>
        <v>12352</v>
      </c>
      <c r="D2">
        <f ca="1">$P$7*$P$9/B2</f>
        <v>254015503.87596899</v>
      </c>
      <c r="E2" s="2">
        <f ca="1">$P$7*$P$9/C2</f>
        <v>339564766.83937824</v>
      </c>
    </row>
    <row r="3" spans="1:20" ht="13" customHeight="1" x14ac:dyDescent="0.15">
      <c r="A3" s="2" t="s">
        <v>32</v>
      </c>
      <c r="B3" s="2">
        <f ca="1">OFFSET(stats_raw!$H$7,(ROW(C2)-1)*6,0)</f>
        <v>33024</v>
      </c>
      <c r="C3" s="2">
        <f ca="1">OFFSET(stats_raw!$H$5,(ROW(D2)-1)*6,0)</f>
        <v>24704</v>
      </c>
      <c r="D3" s="2">
        <f t="shared" ref="D3:D17" ca="1" si="0">$P$7*$P$9/B3</f>
        <v>127007751.9379845</v>
      </c>
      <c r="E3" s="2">
        <f t="shared" ref="E3:E17" ca="1" si="1">$P$7*$P$9/C3</f>
        <v>169782383.41968912</v>
      </c>
      <c r="N3" s="24" t="s">
        <v>109</v>
      </c>
      <c r="O3" s="24"/>
      <c r="P3" s="24"/>
      <c r="Q3" s="24"/>
      <c r="R3" s="24"/>
      <c r="S3" s="24"/>
      <c r="T3" s="24"/>
    </row>
    <row r="4" spans="1:20" ht="13" customHeight="1" x14ac:dyDescent="0.15">
      <c r="A4" s="2" t="s">
        <v>25</v>
      </c>
      <c r="B4" s="2">
        <f ca="1">OFFSET(stats_raw!$H$7,(ROW(C3)-1)*6,0)</f>
        <v>49536</v>
      </c>
      <c r="C4" s="2">
        <f ca="1">OFFSET(stats_raw!$H$5,(ROW(D3)-1)*6,0)</f>
        <v>37056</v>
      </c>
      <c r="D4" s="2">
        <f t="shared" ca="1" si="0"/>
        <v>84671834.625322998</v>
      </c>
      <c r="E4" s="2">
        <f t="shared" ca="1" si="1"/>
        <v>113188255.61312608</v>
      </c>
      <c r="N4" s="24"/>
      <c r="O4" s="24"/>
      <c r="P4" s="24"/>
      <c r="Q4" s="24"/>
      <c r="R4" s="24"/>
      <c r="S4" s="24"/>
      <c r="T4" s="24"/>
    </row>
    <row r="5" spans="1:20" ht="13" customHeight="1" x14ac:dyDescent="0.15">
      <c r="A5" s="2" t="s">
        <v>39</v>
      </c>
      <c r="B5" s="2">
        <f ca="1">OFFSET(stats_raw!$H$7,(ROW(C4)-1)*6,0)</f>
        <v>16512</v>
      </c>
      <c r="C5" s="2">
        <f ca="1">OFFSET(stats_raw!$H$5,(ROW(D4)-1)*6,0)</f>
        <v>12352</v>
      </c>
      <c r="D5" s="2">
        <f t="shared" ca="1" si="0"/>
        <v>254015503.87596899</v>
      </c>
      <c r="E5" s="2">
        <f t="shared" ca="1" si="1"/>
        <v>339564766.83937824</v>
      </c>
      <c r="N5" s="24"/>
      <c r="O5" s="24"/>
      <c r="P5" s="24"/>
      <c r="Q5" s="24"/>
      <c r="R5" s="24"/>
      <c r="S5" s="24"/>
      <c r="T5" s="24"/>
    </row>
    <row r="6" spans="1:20" x14ac:dyDescent="0.15">
      <c r="A6" s="2" t="s">
        <v>46</v>
      </c>
      <c r="B6" s="2">
        <f ca="1">OFFSET(stats_raw!$H$7,(ROW(C5)-1)*6,0)</f>
        <v>49536</v>
      </c>
      <c r="C6" s="2">
        <f ca="1">OFFSET(stats_raw!$H$5,(ROW(D5)-1)*6,0)</f>
        <v>37056</v>
      </c>
      <c r="D6" s="2">
        <f t="shared" ca="1" si="0"/>
        <v>84671834.625322998</v>
      </c>
      <c r="E6" s="2">
        <f t="shared" ca="1" si="1"/>
        <v>113188255.61312608</v>
      </c>
    </row>
    <row r="7" spans="1:20" x14ac:dyDescent="0.15">
      <c r="A7" s="2" t="s">
        <v>127</v>
      </c>
      <c r="B7" s="2">
        <f ca="1">OFFSET(stats_raw!$H$7,(ROW(C6)-1)*6,0)*8</f>
        <v>2224</v>
      </c>
      <c r="C7" s="2">
        <f ca="1">OFFSET(stats_raw!$H$5,(ROW(D6)-1)*6,0)*8</f>
        <v>2168</v>
      </c>
      <c r="D7" s="2">
        <f t="shared" ca="1" si="0"/>
        <v>1885928057.5539567</v>
      </c>
      <c r="E7" s="2">
        <f t="shared" ca="1" si="1"/>
        <v>1934642066.4206643</v>
      </c>
      <c r="O7" t="s">
        <v>112</v>
      </c>
      <c r="P7">
        <f xml:space="preserve"> 32 * 10 ^6</f>
        <v>32000000</v>
      </c>
    </row>
    <row r="8" spans="1:20" x14ac:dyDescent="0.15">
      <c r="A8" s="2" t="s">
        <v>128</v>
      </c>
      <c r="B8" s="2">
        <f ca="1">OFFSET(stats_raw!$H$7,(ROW(C7)-1)*6,0)</f>
        <v>49166</v>
      </c>
      <c r="C8" s="2">
        <f ca="1">OFFSET(stats_raw!$H$5,(ROW(D7)-1)*6,0)</f>
        <v>49166</v>
      </c>
      <c r="D8" s="2">
        <f t="shared" ca="1" si="0"/>
        <v>85309034.698775575</v>
      </c>
      <c r="E8" s="2">
        <f t="shared" ca="1" si="1"/>
        <v>85309034.698775575</v>
      </c>
      <c r="O8" t="s">
        <v>113</v>
      </c>
      <c r="P8">
        <f>365*24*60*60</f>
        <v>31536000</v>
      </c>
    </row>
    <row r="9" spans="1:20" x14ac:dyDescent="0.15">
      <c r="A9" s="2" t="s">
        <v>129</v>
      </c>
      <c r="B9" s="2">
        <f ca="1">OFFSET(stats_raw!$H$7,(ROW(C8)-1)*6,0)</f>
        <v>26240</v>
      </c>
      <c r="C9" s="2">
        <f ca="1">OFFSET(stats_raw!$H$5,(ROW(D8)-1)*6,0)</f>
        <v>24602</v>
      </c>
      <c r="D9" s="2">
        <f t="shared" ca="1" si="0"/>
        <v>159843902.43902439</v>
      </c>
      <c r="E9" s="2">
        <f t="shared" ca="1" si="1"/>
        <v>170486301.92667264</v>
      </c>
      <c r="O9" t="s">
        <v>114</v>
      </c>
      <c r="P9">
        <f>128*128*8</f>
        <v>131072</v>
      </c>
    </row>
    <row r="10" spans="1:20" x14ac:dyDescent="0.15">
      <c r="A10" s="2" t="s">
        <v>53</v>
      </c>
      <c r="B10" s="2">
        <f ca="1">OFFSET(stats_raw!$H$7,(ROW(C9)-1)*6,0)</f>
        <v>16240</v>
      </c>
      <c r="C10" s="2">
        <f ca="1">OFFSET(stats_raw!$H$5,(ROW(D9)-1)*6,0)</f>
        <v>14438</v>
      </c>
      <c r="D10" s="2">
        <f t="shared" ca="1" si="0"/>
        <v>258269950.73891625</v>
      </c>
      <c r="E10" s="2">
        <f t="shared" ca="1" si="1"/>
        <v>290504502.00858843</v>
      </c>
    </row>
    <row r="11" spans="1:20" s="1" customFormat="1" x14ac:dyDescent="0.15">
      <c r="A11" s="12" t="s">
        <v>180</v>
      </c>
      <c r="B11" s="2">
        <f ca="1">OFFSET(stats_raw!$H$7,(ROW(C10)-1)*6,0)</f>
        <v>2112</v>
      </c>
      <c r="C11" s="2">
        <f ca="1">OFFSET(stats_raw!$H$5,(ROW(D10)-1)*6,0)</f>
        <v>2112</v>
      </c>
      <c r="D11" s="2">
        <f t="shared" ca="1" si="0"/>
        <v>1985939393.939394</v>
      </c>
      <c r="E11" s="2">
        <f t="shared" ca="1" si="1"/>
        <v>1985939393.939394</v>
      </c>
    </row>
    <row r="12" spans="1:20" x14ac:dyDescent="0.15">
      <c r="A12" s="12" t="s">
        <v>182</v>
      </c>
      <c r="B12" s="2">
        <f ca="1">OFFSET(stats_raw!$H$7,(ROW(C11)-1)*6,0)</f>
        <v>4224</v>
      </c>
      <c r="C12" s="2">
        <f ca="1">B12*0.75</f>
        <v>3168</v>
      </c>
      <c r="D12" s="2">
        <f t="shared" ca="1" si="0"/>
        <v>992969696.969697</v>
      </c>
      <c r="E12" s="2">
        <f t="shared" ca="1" si="1"/>
        <v>1323959595.9595959</v>
      </c>
    </row>
    <row r="13" spans="1:20" x14ac:dyDescent="0.15">
      <c r="A13" s="12" t="s">
        <v>184</v>
      </c>
      <c r="B13" s="2">
        <f ca="1">OFFSET(stats_raw!$H$7,(ROW(C12)-1)*6,0)</f>
        <v>2064</v>
      </c>
      <c r="C13" s="2">
        <f ca="1">OFFSET(stats_raw!$H$5,(ROW(D12)-1)*6,0)</f>
        <v>2064</v>
      </c>
      <c r="D13" s="2">
        <f t="shared" ca="1" si="0"/>
        <v>2032124031.0077519</v>
      </c>
      <c r="E13" s="2">
        <f t="shared" ca="1" si="1"/>
        <v>2032124031.0077519</v>
      </c>
      <c r="G13" s="2"/>
      <c r="I13" s="2"/>
    </row>
    <row r="14" spans="1:20" x14ac:dyDescent="0.15">
      <c r="A14" s="12" t="s">
        <v>185</v>
      </c>
      <c r="B14" s="2">
        <f ca="1">OFFSET(stats_raw!$H$7,(ROW(C13)-1)*6,0)</f>
        <v>1296</v>
      </c>
      <c r="C14" s="2">
        <f ca="1">OFFSET(stats_raw!$H$5,(ROW(D13)-1)*6,0)</f>
        <v>1092</v>
      </c>
      <c r="D14" s="2">
        <f t="shared" ca="1" si="0"/>
        <v>3236345679.0123458</v>
      </c>
      <c r="E14" s="2">
        <f t="shared" ca="1" si="1"/>
        <v>3840937728.9377289</v>
      </c>
      <c r="G14" s="2"/>
      <c r="I14" s="2"/>
    </row>
    <row r="15" spans="1:20" x14ac:dyDescent="0.15">
      <c r="A15" s="12" t="s">
        <v>186</v>
      </c>
      <c r="B15" s="2">
        <f ca="1">OFFSET(stats_raw!$H$7,(ROW(C14)-1)*6,0)</f>
        <v>132096</v>
      </c>
      <c r="C15" s="2">
        <f ca="1">OFFSET(stats_raw!$H$5,(ROW(D14)-1)*6,0)</f>
        <v>82176</v>
      </c>
      <c r="D15" s="2">
        <f t="shared" ca="1" si="0"/>
        <v>31751937.984496124</v>
      </c>
      <c r="E15" s="2">
        <f t="shared" ca="1" si="1"/>
        <v>51040498.442367598</v>
      </c>
      <c r="G15" s="2"/>
      <c r="I15" s="2"/>
    </row>
    <row r="16" spans="1:20" x14ac:dyDescent="0.15">
      <c r="A16" s="12" t="s">
        <v>187</v>
      </c>
      <c r="B16" s="2">
        <f ca="1">OFFSET(stats_raw!$H$7,(ROW(C15)-1)*6,0)</f>
        <v>132096</v>
      </c>
      <c r="C16" s="2">
        <f ca="1">OFFSET(stats_raw!$H$5,(ROW(D15)-1)*6,0)</f>
        <v>82176</v>
      </c>
      <c r="D16" s="2">
        <f t="shared" ca="1" si="0"/>
        <v>31751937.984496124</v>
      </c>
      <c r="E16" s="2">
        <f t="shared" ca="1" si="1"/>
        <v>51040498.442367598</v>
      </c>
      <c r="G16" s="2"/>
      <c r="I16" s="2"/>
      <c r="K16" s="5"/>
      <c r="L16" s="5"/>
    </row>
    <row r="17" spans="1:18" ht="16" x14ac:dyDescent="0.2">
      <c r="A17" s="12" t="s">
        <v>188</v>
      </c>
      <c r="B17" s="2">
        <f ca="1">OFFSET(stats_raw!$H$7,(ROW(C16)-1)*6,0)</f>
        <v>3632</v>
      </c>
      <c r="C17" s="2">
        <f ca="1">OFFSET(stats_raw!$H$5,(ROW(D16)-1)*6,0)</f>
        <v>2840</v>
      </c>
      <c r="D17" s="2">
        <f t="shared" ca="1" si="0"/>
        <v>1154819383.2599118</v>
      </c>
      <c r="E17" s="2">
        <f t="shared" ca="1" si="1"/>
        <v>1476867605.6338029</v>
      </c>
      <c r="K17" s="5"/>
      <c r="L17" s="6"/>
    </row>
    <row r="18" spans="1:18" ht="16" x14ac:dyDescent="0.2">
      <c r="K18" s="5"/>
      <c r="L18" s="6"/>
    </row>
    <row r="19" spans="1:18" ht="16" x14ac:dyDescent="0.2">
      <c r="B19" s="23" t="s">
        <v>203</v>
      </c>
      <c r="C19" s="23"/>
      <c r="D19" s="23"/>
      <c r="E19" s="23"/>
      <c r="F19" s="23"/>
      <c r="K19" s="5"/>
      <c r="L19" s="6"/>
    </row>
    <row r="20" spans="1:18" x14ac:dyDescent="0.15">
      <c r="K20" s="5"/>
      <c r="L20" s="7"/>
    </row>
    <row r="21" spans="1:18" ht="16" x14ac:dyDescent="0.2">
      <c r="A21" s="1" t="str">
        <f t="shared" ref="A21:C22" si="2">A1</f>
        <v>Benchmark</v>
      </c>
      <c r="B21" s="1" t="str">
        <f t="shared" si="2"/>
        <v>cim</v>
      </c>
      <c r="C21" s="1" t="str">
        <f t="shared" si="2"/>
        <v>cim_opt</v>
      </c>
      <c r="D21" s="1" t="s">
        <v>110</v>
      </c>
      <c r="E21" s="1" t="s">
        <v>111</v>
      </c>
      <c r="F21" s="1" t="str">
        <f>D1</f>
        <v>lifetime_cim</v>
      </c>
      <c r="G21" s="1" t="str">
        <f>E1</f>
        <v>lifetime_cimOpt</v>
      </c>
      <c r="I21" s="2"/>
      <c r="K21" s="5"/>
      <c r="L21" s="6"/>
    </row>
    <row r="22" spans="1:18" x14ac:dyDescent="0.15">
      <c r="A22" s="2" t="str">
        <f t="shared" si="2"/>
        <v>mm</v>
      </c>
      <c r="B22" s="2">
        <f t="shared" ca="1" si="2"/>
        <v>16512</v>
      </c>
      <c r="C22" s="2">
        <f t="shared" ca="1" si="2"/>
        <v>12352</v>
      </c>
      <c r="D22" s="2">
        <f ca="1">$P$7*$P$9/B22</f>
        <v>254015503.87596899</v>
      </c>
      <c r="E22" s="2">
        <f ca="1">$P$7*$P$9/C22</f>
        <v>339564766.83937824</v>
      </c>
      <c r="F22" s="2">
        <f ca="1">D22/$P$8</f>
        <v>8.0547787885581243</v>
      </c>
      <c r="G22" s="2">
        <f ca="1">E22/$P$8</f>
        <v>10.767528121492207</v>
      </c>
      <c r="K22" s="5"/>
      <c r="L22" s="7"/>
    </row>
    <row r="23" spans="1:18" x14ac:dyDescent="0.15">
      <c r="A23" s="2" t="str">
        <f>A3</f>
        <v>2mm</v>
      </c>
      <c r="B23" s="2">
        <f t="shared" ref="B23:C26" ca="1" si="3">B3</f>
        <v>33024</v>
      </c>
      <c r="C23" s="2">
        <f t="shared" ca="1" si="3"/>
        <v>24704</v>
      </c>
      <c r="D23" s="2">
        <f t="shared" ref="D23:D35" ca="1" si="4">$P$7*$P$9/B23</f>
        <v>127007751.9379845</v>
      </c>
      <c r="E23" s="2">
        <f t="shared" ref="E23:E35" ca="1" si="5">$P$7*$P$9/C23</f>
        <v>169782383.41968912</v>
      </c>
      <c r="F23" s="2">
        <f t="shared" ref="F23:F35" ca="1" si="6">D23/$P$8</f>
        <v>4.0273893942790622</v>
      </c>
      <c r="G23" s="2">
        <f t="shared" ref="G23:G35" ca="1" si="7">E23/$P$8</f>
        <v>5.3837640607461035</v>
      </c>
      <c r="H23" s="2"/>
      <c r="I23" s="2"/>
      <c r="K23" s="5"/>
      <c r="L23" s="7"/>
    </row>
    <row r="24" spans="1:18" ht="16" x14ac:dyDescent="0.2">
      <c r="A24" s="2" t="str">
        <f>A4</f>
        <v>3mm</v>
      </c>
      <c r="B24" s="2">
        <f t="shared" ca="1" si="3"/>
        <v>49536</v>
      </c>
      <c r="C24" s="2">
        <f t="shared" ca="1" si="3"/>
        <v>37056</v>
      </c>
      <c r="D24" s="2">
        <f t="shared" ca="1" si="4"/>
        <v>84671834.625322998</v>
      </c>
      <c r="E24" s="2">
        <f t="shared" ca="1" si="5"/>
        <v>113188255.61312608</v>
      </c>
      <c r="F24" s="2">
        <f t="shared" ca="1" si="6"/>
        <v>2.684926262852708</v>
      </c>
      <c r="G24" s="2">
        <f t="shared" ca="1" si="7"/>
        <v>3.5891760404974025</v>
      </c>
      <c r="H24" s="2"/>
      <c r="I24" s="2"/>
      <c r="K24" s="5"/>
      <c r="L24" s="6"/>
    </row>
    <row r="25" spans="1:18" x14ac:dyDescent="0.15">
      <c r="A25" s="2" t="str">
        <f>A5</f>
        <v>tmm</v>
      </c>
      <c r="B25" s="2">
        <f t="shared" ca="1" si="3"/>
        <v>16512</v>
      </c>
      <c r="C25" s="2">
        <f t="shared" ca="1" si="3"/>
        <v>12352</v>
      </c>
      <c r="D25" s="2">
        <f t="shared" ca="1" si="4"/>
        <v>254015503.87596899</v>
      </c>
      <c r="E25" s="2">
        <f t="shared" ca="1" si="5"/>
        <v>339564766.83937824</v>
      </c>
      <c r="F25" s="2">
        <f t="shared" ca="1" si="6"/>
        <v>8.0547787885581243</v>
      </c>
      <c r="G25" s="2">
        <f t="shared" ca="1" si="7"/>
        <v>10.767528121492207</v>
      </c>
      <c r="H25" s="2"/>
      <c r="I25" s="2"/>
      <c r="K25" s="5"/>
      <c r="L25" s="7"/>
    </row>
    <row r="26" spans="1:18" ht="16" x14ac:dyDescent="0.2">
      <c r="A26" s="2" t="str">
        <f>A6</f>
        <v>mlp3</v>
      </c>
      <c r="B26" s="2">
        <f t="shared" ca="1" si="3"/>
        <v>49536</v>
      </c>
      <c r="C26" s="2">
        <f t="shared" ca="1" si="3"/>
        <v>37056</v>
      </c>
      <c r="D26" s="2">
        <f t="shared" ca="1" si="4"/>
        <v>84671834.625322998</v>
      </c>
      <c r="E26" s="2">
        <f t="shared" ca="1" si="5"/>
        <v>113188255.61312608</v>
      </c>
      <c r="F26" s="2">
        <f t="shared" ca="1" si="6"/>
        <v>2.684926262852708</v>
      </c>
      <c r="G26" s="2">
        <f t="shared" ca="1" si="7"/>
        <v>3.5891760404974025</v>
      </c>
      <c r="H26" s="2"/>
      <c r="I26" s="2"/>
      <c r="K26" s="5"/>
      <c r="L26" s="6"/>
    </row>
    <row r="27" spans="1:18" x14ac:dyDescent="0.15">
      <c r="H27" s="13"/>
      <c r="K27" s="5"/>
      <c r="L27" s="7"/>
    </row>
    <row r="28" spans="1:18" x14ac:dyDescent="0.15">
      <c r="A28" s="2" t="s">
        <v>128</v>
      </c>
      <c r="B28" s="2">
        <f t="shared" ref="B28:C28" si="8">B50/8</f>
        <v>24717.25</v>
      </c>
      <c r="C28" s="2">
        <f t="shared" si="8"/>
        <v>16576</v>
      </c>
      <c r="D28" s="2">
        <f t="shared" si="4"/>
        <v>169691369.38777575</v>
      </c>
      <c r="E28" s="2">
        <f t="shared" si="5"/>
        <v>253034749.03474903</v>
      </c>
      <c r="F28" s="2">
        <f t="shared" si="6"/>
        <v>5.3808780247265267</v>
      </c>
      <c r="G28" s="2">
        <f t="shared" si="7"/>
        <v>8.0236792565559689</v>
      </c>
      <c r="H28" s="2"/>
      <c r="K28" s="5"/>
      <c r="L28" s="13" t="s">
        <v>127</v>
      </c>
      <c r="M28" s="13">
        <f>B49/8</f>
        <v>11778.375</v>
      </c>
      <c r="N28" s="13">
        <f>C49/8</f>
        <v>9353.125</v>
      </c>
      <c r="O28" s="13">
        <f>$P$7*$P$9/M28</f>
        <v>356102093.87967354</v>
      </c>
      <c r="P28" s="13">
        <f>$P$7*$P$9/N28</f>
        <v>448438783.82893419</v>
      </c>
      <c r="Q28" s="13">
        <f>O28/$P$8</f>
        <v>11.291923321907456</v>
      </c>
      <c r="R28" s="13">
        <f>P28/$P$8</f>
        <v>14.219900552667879</v>
      </c>
    </row>
    <row r="29" spans="1:18" x14ac:dyDescent="0.15">
      <c r="H29" s="13"/>
      <c r="K29" s="5"/>
      <c r="L29" s="13" t="s">
        <v>129</v>
      </c>
      <c r="M29" s="13">
        <f>B51/8</f>
        <v>29445.9375</v>
      </c>
      <c r="N29" s="13">
        <f>M29*0.64</f>
        <v>18845.400000000001</v>
      </c>
      <c r="O29" s="13">
        <f>$P$7*$P$9/M29</f>
        <v>142440837.55186942</v>
      </c>
      <c r="P29" s="13">
        <f>$P$7*$P$9/N29</f>
        <v>222563808.67479596</v>
      </c>
      <c r="Q29" s="13">
        <f>O29/$P$8</f>
        <v>4.5167693287629831</v>
      </c>
      <c r="R29" s="13">
        <f>P29/$P$8</f>
        <v>7.0574520761921598</v>
      </c>
    </row>
    <row r="30" spans="1:18" ht="16" x14ac:dyDescent="0.2">
      <c r="A30" s="2" t="str">
        <f>A10</f>
        <v>kronecker3</v>
      </c>
      <c r="B30" s="2">
        <f t="shared" ref="B30" ca="1" si="9">B10</f>
        <v>16240</v>
      </c>
      <c r="C30" s="2">
        <f ca="1">B30*0.63</f>
        <v>10231.200000000001</v>
      </c>
      <c r="D30" s="2">
        <f t="shared" ca="1" si="4"/>
        <v>258269950.73891625</v>
      </c>
      <c r="E30" s="2">
        <f t="shared" ca="1" si="5"/>
        <v>409952302.76018453</v>
      </c>
      <c r="F30" s="2">
        <f t="shared" ca="1" si="6"/>
        <v>8.1896864135881611</v>
      </c>
      <c r="G30" s="2">
        <f t="shared" ca="1" si="7"/>
        <v>12.999502243790731</v>
      </c>
      <c r="H30" s="2"/>
      <c r="I30" s="2"/>
      <c r="K30" s="5"/>
      <c r="L30" s="6"/>
    </row>
    <row r="31" spans="1:18" x14ac:dyDescent="0.15">
      <c r="A31" s="12" t="s">
        <v>180</v>
      </c>
      <c r="B31" s="2">
        <f t="shared" ref="B31:B34" si="10">B53/8</f>
        <v>63336.375</v>
      </c>
      <c r="C31" s="2">
        <f>B31</f>
        <v>63336.375</v>
      </c>
      <c r="D31" s="2">
        <f t="shared" si="4"/>
        <v>66222672.20061142</v>
      </c>
      <c r="E31" s="2">
        <f t="shared" si="5"/>
        <v>66222672.20061142</v>
      </c>
      <c r="F31" s="2">
        <f t="shared" si="6"/>
        <v>2.0999071600904178</v>
      </c>
      <c r="G31" s="2">
        <f t="shared" si="7"/>
        <v>2.0999071600904178</v>
      </c>
      <c r="H31" s="2"/>
      <c r="I31" s="2"/>
      <c r="K31" s="5"/>
      <c r="L31" s="7"/>
    </row>
    <row r="32" spans="1:18" x14ac:dyDescent="0.15">
      <c r="A32" s="12" t="s">
        <v>182</v>
      </c>
      <c r="B32" s="2">
        <f t="shared" si="10"/>
        <v>60145.625</v>
      </c>
      <c r="C32" s="2">
        <f>B32</f>
        <v>60145.625</v>
      </c>
      <c r="D32" s="2">
        <f t="shared" si="4"/>
        <v>69735812.039529055</v>
      </c>
      <c r="E32" s="2">
        <f t="shared" si="5"/>
        <v>69735812.039529055</v>
      </c>
      <c r="F32" s="2">
        <f t="shared" si="6"/>
        <v>2.2113080935923723</v>
      </c>
      <c r="G32" s="2">
        <f t="shared" si="7"/>
        <v>2.2113080935923723</v>
      </c>
      <c r="H32" s="2"/>
      <c r="I32" s="2"/>
      <c r="K32" s="5"/>
      <c r="L32" s="7"/>
    </row>
    <row r="33" spans="1:12" x14ac:dyDescent="0.15">
      <c r="A33" s="12" t="s">
        <v>184</v>
      </c>
      <c r="B33" s="2">
        <f t="shared" si="10"/>
        <v>38869.75</v>
      </c>
      <c r="C33" s="2">
        <f>0.74*B33</f>
        <v>28763.614999999998</v>
      </c>
      <c r="D33" s="2">
        <f t="shared" si="4"/>
        <v>107906636.90916458</v>
      </c>
      <c r="E33" s="2">
        <f t="shared" si="5"/>
        <v>145819779.60697916</v>
      </c>
      <c r="F33" s="2">
        <f t="shared" si="6"/>
        <v>3.4216970100572226</v>
      </c>
      <c r="G33" s="2">
        <f t="shared" si="7"/>
        <v>4.6239148784557065</v>
      </c>
      <c r="H33" s="2"/>
      <c r="I33" s="2"/>
      <c r="K33" s="5"/>
      <c r="L33" s="7"/>
    </row>
    <row r="34" spans="1:12" ht="16" x14ac:dyDescent="0.2">
      <c r="A34" s="12" t="s">
        <v>185</v>
      </c>
      <c r="B34" s="2">
        <f t="shared" si="10"/>
        <v>17458.5</v>
      </c>
      <c r="C34" s="2">
        <f>B34*0.62</f>
        <v>10824.27</v>
      </c>
      <c r="D34" s="2">
        <f t="shared" si="4"/>
        <v>240244236.33187273</v>
      </c>
      <c r="E34" s="2">
        <f t="shared" si="5"/>
        <v>387490703.76108503</v>
      </c>
      <c r="F34" s="2">
        <f t="shared" si="6"/>
        <v>7.6180947593820632</v>
      </c>
      <c r="G34" s="2">
        <f t="shared" si="7"/>
        <v>12.287249611906553</v>
      </c>
      <c r="H34" s="2"/>
      <c r="I34" s="2"/>
      <c r="K34" s="5"/>
      <c r="L34" s="6"/>
    </row>
    <row r="35" spans="1:12" x14ac:dyDescent="0.15">
      <c r="A35" s="12" t="s">
        <v>186</v>
      </c>
      <c r="B35" s="2">
        <f t="shared" ref="B35:C35" ca="1" si="11">B15</f>
        <v>132096</v>
      </c>
      <c r="C35" s="2">
        <f t="shared" ca="1" si="11"/>
        <v>82176</v>
      </c>
      <c r="D35" s="2">
        <f t="shared" ca="1" si="4"/>
        <v>31751937.984496124</v>
      </c>
      <c r="E35" s="2">
        <f t="shared" ca="1" si="5"/>
        <v>51040498.442367598</v>
      </c>
      <c r="F35" s="2">
        <f t="shared" ca="1" si="6"/>
        <v>1.0068473485697655</v>
      </c>
      <c r="G35" s="2">
        <f t="shared" ca="1" si="7"/>
        <v>1.6184835883551369</v>
      </c>
      <c r="H35" s="2"/>
      <c r="I35" s="2"/>
      <c r="K35" s="5"/>
      <c r="L35" s="7"/>
    </row>
    <row r="36" spans="1:12" x14ac:dyDescent="0.15">
      <c r="A36" t="s">
        <v>188</v>
      </c>
      <c r="B36">
        <v>29056</v>
      </c>
      <c r="C36">
        <v>22720</v>
      </c>
      <c r="D36">
        <v>144352422.90748897</v>
      </c>
      <c r="E36">
        <v>184608450.70422536</v>
      </c>
      <c r="F36">
        <v>4.5773853027488896</v>
      </c>
      <c r="G36">
        <v>5.8538955702760456</v>
      </c>
      <c r="H36" s="2"/>
      <c r="I36" s="2"/>
      <c r="K36" s="5"/>
      <c r="L36" s="7"/>
    </row>
    <row r="37" spans="1:12" x14ac:dyDescent="0.15">
      <c r="B37" s="2"/>
      <c r="C37" s="2"/>
      <c r="D37" s="2"/>
      <c r="E37" s="2"/>
      <c r="F37" s="2"/>
      <c r="G37" s="2"/>
      <c r="I37" s="2"/>
      <c r="K37" s="5"/>
      <c r="L37" s="7"/>
    </row>
    <row r="38" spans="1:12" x14ac:dyDescent="0.15">
      <c r="A38" s="12" t="s">
        <v>194</v>
      </c>
      <c r="B38">
        <f ca="1">GEOMEAN(B22:B36)</f>
        <v>34212.839097606397</v>
      </c>
      <c r="C38" s="2">
        <f t="shared" ref="C38:G38" ca="1" si="12">GEOMEAN(C22:C36)</f>
        <v>25516.244825538659</v>
      </c>
      <c r="D38" s="2">
        <f t="shared" ca="1" si="12"/>
        <v>122594444.38486961</v>
      </c>
      <c r="E38" s="2">
        <f t="shared" ca="1" si="12"/>
        <v>164377792.60536066</v>
      </c>
      <c r="F38" s="2">
        <f t="shared" ca="1" si="12"/>
        <v>3.8874443298094112</v>
      </c>
      <c r="G38" s="2">
        <f t="shared" ca="1" si="12"/>
        <v>5.2123856102663826</v>
      </c>
      <c r="K38" s="5"/>
      <c r="L38" s="7"/>
    </row>
    <row r="39" spans="1:12" ht="16" x14ac:dyDescent="0.2">
      <c r="K39" s="5"/>
      <c r="L39" s="6"/>
    </row>
    <row r="40" spans="1:12" x14ac:dyDescent="0.15">
      <c r="K40" s="5"/>
      <c r="L40" s="7"/>
    </row>
    <row r="41" spans="1:12" x14ac:dyDescent="0.15">
      <c r="K41" s="5"/>
      <c r="L41" s="7"/>
    </row>
    <row r="42" spans="1:12" x14ac:dyDescent="0.15">
      <c r="B42" s="20" t="s">
        <v>193</v>
      </c>
      <c r="C42" s="20"/>
      <c r="D42" s="20"/>
      <c r="E42" s="20"/>
      <c r="K42" s="5"/>
      <c r="L42" s="7"/>
    </row>
    <row r="43" spans="1:12" x14ac:dyDescent="0.15">
      <c r="A43" s="2" t="str">
        <f>A21</f>
        <v>Benchmark</v>
      </c>
      <c r="B43" t="s">
        <v>64</v>
      </c>
      <c r="C43" t="s">
        <v>68</v>
      </c>
      <c r="D43" t="s">
        <v>110</v>
      </c>
      <c r="E43" t="s">
        <v>115</v>
      </c>
      <c r="F43" t="s">
        <v>116</v>
      </c>
      <c r="G43" t="s">
        <v>116</v>
      </c>
      <c r="K43" s="5"/>
      <c r="L43" s="7"/>
    </row>
    <row r="44" spans="1:12" x14ac:dyDescent="0.15">
      <c r="A44" s="2" t="str">
        <f>A22</f>
        <v>mm</v>
      </c>
      <c r="B44">
        <v>10764</v>
      </c>
      <c r="C44">
        <v>5068</v>
      </c>
      <c r="D44">
        <f>$P$7*$P$9/B44</f>
        <v>389660349.31252325</v>
      </c>
      <c r="E44" s="2">
        <f>$P$7*$P$9/C44</f>
        <v>827605367.00868189</v>
      </c>
      <c r="F44">
        <f>D44/$P$8</f>
        <v>12.356048621021158</v>
      </c>
      <c r="G44" s="2">
        <f>E44/$P$8</f>
        <v>26.24319403249245</v>
      </c>
      <c r="K44" s="5"/>
      <c r="L44" s="7"/>
    </row>
    <row r="45" spans="1:12" x14ac:dyDescent="0.15">
      <c r="A45" s="2" t="str">
        <f>A23</f>
        <v>2mm</v>
      </c>
      <c r="B45" s="7">
        <v>24216</v>
      </c>
      <c r="C45" s="7">
        <v>13230</v>
      </c>
      <c r="D45" s="2">
        <f t="shared" ref="D45:D52" si="13">$P$7*$P$9/B45</f>
        <v>173203832.177073</v>
      </c>
      <c r="E45" s="2">
        <f t="shared" ref="E45:E52" si="14">$P$7*$P$9/C45</f>
        <v>317029780.80120939</v>
      </c>
      <c r="F45" s="2">
        <f t="shared" ref="F45:F52" si="15">D45/$P$8</f>
        <v>5.4922574891258567</v>
      </c>
      <c r="G45" s="2">
        <f t="shared" ref="G45:G52" si="16">E45/$P$8</f>
        <v>10.052948401864834</v>
      </c>
      <c r="K45" s="5"/>
      <c r="L45" s="7"/>
    </row>
    <row r="46" spans="1:12" x14ac:dyDescent="0.15">
      <c r="A46" s="2" t="str">
        <f>A24</f>
        <v>3mm</v>
      </c>
      <c r="B46" s="7">
        <v>19704</v>
      </c>
      <c r="C46" s="7">
        <v>14099</v>
      </c>
      <c r="D46" s="2">
        <f t="shared" si="13"/>
        <v>212865611.04344296</v>
      </c>
      <c r="E46" s="2">
        <f t="shared" si="14"/>
        <v>297489467.33810908</v>
      </c>
      <c r="F46" s="2">
        <f t="shared" si="15"/>
        <v>6.7499242466845182</v>
      </c>
      <c r="G46" s="2">
        <f t="shared" si="16"/>
        <v>9.4333291266523673</v>
      </c>
      <c r="K46" s="5"/>
      <c r="L46" s="7"/>
    </row>
    <row r="47" spans="1:12" ht="16" x14ac:dyDescent="0.2">
      <c r="A47" s="2" t="str">
        <f>A25</f>
        <v>tmm</v>
      </c>
      <c r="B47" s="7">
        <v>20590</v>
      </c>
      <c r="C47" s="7">
        <v>15064</v>
      </c>
      <c r="D47" s="2">
        <f t="shared" si="13"/>
        <v>203705876.63914523</v>
      </c>
      <c r="E47" s="2">
        <f t="shared" si="14"/>
        <v>278432288.90069038</v>
      </c>
      <c r="F47" s="2">
        <f t="shared" si="15"/>
        <v>6.4594709740977052</v>
      </c>
      <c r="G47" s="2">
        <f t="shared" si="16"/>
        <v>8.8290299626043378</v>
      </c>
      <c r="I47" s="2"/>
      <c r="K47" s="5"/>
      <c r="L47" s="6"/>
    </row>
    <row r="48" spans="1:12" x14ac:dyDescent="0.15">
      <c r="A48" t="s">
        <v>46</v>
      </c>
      <c r="B48">
        <v>49536</v>
      </c>
      <c r="C48" s="2">
        <v>37056</v>
      </c>
      <c r="D48" s="2">
        <f t="shared" si="13"/>
        <v>84671834.625322998</v>
      </c>
      <c r="E48" s="2">
        <f t="shared" si="14"/>
        <v>113188255.61312608</v>
      </c>
      <c r="F48" s="2">
        <f t="shared" si="15"/>
        <v>2.684926262852708</v>
      </c>
      <c r="G48" s="2">
        <f t="shared" si="16"/>
        <v>3.5891760404974025</v>
      </c>
      <c r="K48" s="5"/>
      <c r="L48" s="7"/>
    </row>
    <row r="49" spans="1:12" ht="16" x14ac:dyDescent="0.2">
      <c r="A49" s="2" t="s">
        <v>127</v>
      </c>
      <c r="B49" s="7">
        <v>94227</v>
      </c>
      <c r="C49" s="7">
        <v>74825</v>
      </c>
      <c r="D49" s="2">
        <f t="shared" si="13"/>
        <v>44512761.734959193</v>
      </c>
      <c r="E49" s="2">
        <f t="shared" si="14"/>
        <v>56054847.978616774</v>
      </c>
      <c r="F49" s="2">
        <f t="shared" si="15"/>
        <v>1.411490415238432</v>
      </c>
      <c r="G49" s="2">
        <f t="shared" si="16"/>
        <v>1.7774875690834848</v>
      </c>
      <c r="K49" s="5"/>
      <c r="L49" s="6"/>
    </row>
    <row r="50" spans="1:12" x14ac:dyDescent="0.15">
      <c r="A50" s="2" t="s">
        <v>128</v>
      </c>
      <c r="B50" s="7">
        <v>197738</v>
      </c>
      <c r="C50" s="7">
        <v>132608</v>
      </c>
      <c r="D50" s="2">
        <f t="shared" si="13"/>
        <v>21211421.173471969</v>
      </c>
      <c r="E50" s="2">
        <f t="shared" si="14"/>
        <v>31629343.629343629</v>
      </c>
      <c r="F50" s="2">
        <f t="shared" si="15"/>
        <v>0.67260975309081583</v>
      </c>
      <c r="G50" s="2">
        <f t="shared" si="16"/>
        <v>1.0029599070694961</v>
      </c>
      <c r="K50" s="5"/>
      <c r="L50" s="7"/>
    </row>
    <row r="51" spans="1:12" x14ac:dyDescent="0.15">
      <c r="A51" s="2" t="s">
        <v>129</v>
      </c>
      <c r="B51" s="2">
        <f>B49*2.5</f>
        <v>235567.5</v>
      </c>
      <c r="C51">
        <f>B51*0.75</f>
        <v>176675.625</v>
      </c>
      <c r="D51" s="2">
        <f t="shared" si="13"/>
        <v>17805104.693983678</v>
      </c>
      <c r="E51" s="2">
        <f t="shared" si="14"/>
        <v>23740139.591978237</v>
      </c>
      <c r="F51" s="2">
        <f t="shared" si="15"/>
        <v>0.56459616609537289</v>
      </c>
      <c r="G51" s="2">
        <f t="shared" si="16"/>
        <v>0.75279488812716377</v>
      </c>
      <c r="K51" s="5"/>
      <c r="L51" s="7"/>
    </row>
    <row r="52" spans="1:12" ht="16" x14ac:dyDescent="0.2">
      <c r="A52" t="s">
        <v>53</v>
      </c>
      <c r="B52">
        <f ca="1">B30</f>
        <v>16240</v>
      </c>
      <c r="C52" s="2">
        <f ca="1">C30</f>
        <v>10231.200000000001</v>
      </c>
      <c r="D52">
        <f t="shared" ca="1" si="13"/>
        <v>258269950.73891625</v>
      </c>
      <c r="E52" s="2">
        <f t="shared" ca="1" si="14"/>
        <v>409952302.76018453</v>
      </c>
      <c r="F52">
        <f t="shared" ca="1" si="15"/>
        <v>8.1896864135881611</v>
      </c>
      <c r="G52" s="2">
        <f t="shared" ca="1" si="16"/>
        <v>12.999502243790731</v>
      </c>
      <c r="K52" s="5"/>
      <c r="L52" s="6"/>
    </row>
    <row r="53" spans="1:12" x14ac:dyDescent="0.15">
      <c r="A53" s="12" t="s">
        <v>180</v>
      </c>
      <c r="B53" s="7">
        <v>506691</v>
      </c>
      <c r="C53" s="7">
        <v>346220</v>
      </c>
      <c r="D53" s="2">
        <f t="shared" ref="D53:E58" si="17">$P$7*$P$9/B53</f>
        <v>8277834.0250764275</v>
      </c>
      <c r="E53" s="2">
        <f t="shared" si="17"/>
        <v>12114562.994627694</v>
      </c>
      <c r="F53" s="2">
        <f t="shared" ref="F53:G58" si="18">D53/$P$8</f>
        <v>0.26248839501130222</v>
      </c>
      <c r="G53" s="2">
        <f t="shared" si="18"/>
        <v>0.38415027253385636</v>
      </c>
      <c r="K53" s="5"/>
      <c r="L53" s="7"/>
    </row>
    <row r="54" spans="1:12" x14ac:dyDescent="0.15">
      <c r="A54" s="12" t="s">
        <v>182</v>
      </c>
      <c r="B54" s="7">
        <v>481165</v>
      </c>
      <c r="C54" s="7">
        <v>327661</v>
      </c>
      <c r="D54" s="2">
        <f t="shared" si="17"/>
        <v>8716976.5049411319</v>
      </c>
      <c r="E54" s="2">
        <f t="shared" si="17"/>
        <v>12800742.230537049</v>
      </c>
      <c r="F54" s="2">
        <f t="shared" si="18"/>
        <v>0.27641351169904654</v>
      </c>
      <c r="G54" s="2">
        <f t="shared" si="18"/>
        <v>0.40590887336812054</v>
      </c>
      <c r="K54" s="5"/>
      <c r="L54" s="7"/>
    </row>
    <row r="55" spans="1:12" x14ac:dyDescent="0.15">
      <c r="A55" s="12" t="s">
        <v>184</v>
      </c>
      <c r="B55" s="7">
        <v>310958</v>
      </c>
      <c r="C55" s="7">
        <v>213682</v>
      </c>
      <c r="D55" s="2">
        <f t="shared" si="17"/>
        <v>13488329.613645572</v>
      </c>
      <c r="E55" s="2">
        <f t="shared" si="17"/>
        <v>19628719.311874654</v>
      </c>
      <c r="F55" s="2">
        <f t="shared" si="18"/>
        <v>0.42771212625715282</v>
      </c>
      <c r="G55" s="2">
        <f t="shared" si="18"/>
        <v>0.62242260628724799</v>
      </c>
      <c r="K55" s="5"/>
      <c r="L55" s="7"/>
    </row>
    <row r="56" spans="1:12" ht="16" x14ac:dyDescent="0.2">
      <c r="A56" s="12" t="s">
        <v>185</v>
      </c>
      <c r="B56" s="7">
        <v>139668</v>
      </c>
      <c r="C56" s="7">
        <v>94741</v>
      </c>
      <c r="D56" s="2">
        <f t="shared" si="17"/>
        <v>30030529.541484091</v>
      </c>
      <c r="E56" s="2">
        <f t="shared" si="17"/>
        <v>44271265.872220054</v>
      </c>
      <c r="F56" s="2">
        <f t="shared" si="18"/>
        <v>0.95226184492275789</v>
      </c>
      <c r="G56" s="2">
        <f t="shared" si="18"/>
        <v>1.4038326316660341</v>
      </c>
      <c r="K56" s="5"/>
      <c r="L56" s="6"/>
    </row>
    <row r="57" spans="1:12" x14ac:dyDescent="0.15">
      <c r="A57" s="12" t="s">
        <v>186</v>
      </c>
      <c r="B57" s="7">
        <v>329572</v>
      </c>
      <c r="C57" s="7">
        <v>191457</v>
      </c>
      <c r="D57" s="2">
        <f t="shared" si="17"/>
        <v>12726518.029444249</v>
      </c>
      <c r="E57" s="2">
        <f t="shared" si="17"/>
        <v>21907289.88754655</v>
      </c>
      <c r="F57" s="2">
        <f t="shared" si="18"/>
        <v>0.40355523939130672</v>
      </c>
      <c r="G57" s="2">
        <f t="shared" si="18"/>
        <v>0.69467560526213057</v>
      </c>
      <c r="K57" s="5"/>
      <c r="L57" s="7"/>
    </row>
    <row r="58" spans="1:12" x14ac:dyDescent="0.15">
      <c r="A58" s="12" t="s">
        <v>188</v>
      </c>
      <c r="B58" s="7">
        <v>16141</v>
      </c>
      <c r="C58" s="7">
        <v>12751</v>
      </c>
      <c r="D58" s="2">
        <f t="shared" si="17"/>
        <v>259854036.30506164</v>
      </c>
      <c r="E58" s="2">
        <f t="shared" si="17"/>
        <v>328939220.45329779</v>
      </c>
      <c r="F58" s="2">
        <f t="shared" si="18"/>
        <v>8.2399174373751158</v>
      </c>
      <c r="G58" s="2">
        <f t="shared" si="18"/>
        <v>10.430594255875754</v>
      </c>
      <c r="K58" s="5"/>
      <c r="L58" s="7"/>
    </row>
    <row r="59" spans="1:12" x14ac:dyDescent="0.15">
      <c r="F59">
        <f ca="1">GEOMEAN(F44:F58)</f>
        <v>1.7205232471158085</v>
      </c>
      <c r="G59" s="2">
        <f ca="1">GEOMEAN(G44:G58)</f>
        <v>2.5636960029313314</v>
      </c>
      <c r="K59" s="5"/>
      <c r="L59" s="7"/>
    </row>
    <row r="60" spans="1:12" x14ac:dyDescent="0.15">
      <c r="K60" s="5"/>
      <c r="L60" s="7"/>
    </row>
    <row r="61" spans="1:12" x14ac:dyDescent="0.15">
      <c r="K61" s="5"/>
      <c r="L61" s="7"/>
    </row>
    <row r="62" spans="1:12" ht="16" x14ac:dyDescent="0.2">
      <c r="K62" s="5"/>
      <c r="L62" s="6"/>
    </row>
    <row r="63" spans="1:12" x14ac:dyDescent="0.15">
      <c r="K63" s="5"/>
      <c r="L63" s="7"/>
    </row>
    <row r="64" spans="1:12" ht="16" x14ac:dyDescent="0.2">
      <c r="K64" s="5"/>
      <c r="L64" s="6"/>
    </row>
    <row r="65" spans="11:12" x14ac:dyDescent="0.15">
      <c r="K65" s="5"/>
      <c r="L65" s="7"/>
    </row>
    <row r="66" spans="11:12" x14ac:dyDescent="0.15">
      <c r="K66" s="5"/>
      <c r="L66" s="7"/>
    </row>
    <row r="67" spans="11:12" x14ac:dyDescent="0.15">
      <c r="K67" s="5"/>
      <c r="L67" s="7"/>
    </row>
    <row r="68" spans="11:12" x14ac:dyDescent="0.15">
      <c r="K68" s="5"/>
      <c r="L68" s="7"/>
    </row>
    <row r="69" spans="11:12" ht="16" x14ac:dyDescent="0.2">
      <c r="K69" s="5"/>
      <c r="L69" s="6"/>
    </row>
    <row r="70" spans="11:12" ht="16" x14ac:dyDescent="0.2">
      <c r="K70" s="5"/>
      <c r="L70" s="6"/>
    </row>
    <row r="71" spans="11:12" ht="16" x14ac:dyDescent="0.2">
      <c r="K71" s="5"/>
      <c r="L71" s="6"/>
    </row>
    <row r="72" spans="11:12" ht="16" x14ac:dyDescent="0.2">
      <c r="K72" s="5"/>
      <c r="L72" s="6"/>
    </row>
    <row r="73" spans="11:12" ht="16" x14ac:dyDescent="0.2">
      <c r="K73" s="5"/>
      <c r="L73" s="6"/>
    </row>
    <row r="74" spans="11:12" ht="16" x14ac:dyDescent="0.2">
      <c r="K74" s="5"/>
      <c r="L74" s="6"/>
    </row>
    <row r="75" spans="11:12" x14ac:dyDescent="0.15">
      <c r="K75" s="5"/>
      <c r="L75" s="7"/>
    </row>
    <row r="76" spans="11:12" ht="16" x14ac:dyDescent="0.2">
      <c r="K76" s="5"/>
      <c r="L76" s="6"/>
    </row>
    <row r="77" spans="11:12" x14ac:dyDescent="0.15">
      <c r="K77" s="5"/>
      <c r="L77" s="7"/>
    </row>
    <row r="78" spans="11:12" x14ac:dyDescent="0.15">
      <c r="K78" s="5"/>
      <c r="L78" s="7"/>
    </row>
    <row r="79" spans="11:12" x14ac:dyDescent="0.15">
      <c r="K79" s="5"/>
      <c r="L79" s="7"/>
    </row>
    <row r="80" spans="11:12" x14ac:dyDescent="0.15">
      <c r="K80" s="5"/>
      <c r="L80" s="7"/>
    </row>
    <row r="81" spans="11:12" x14ac:dyDescent="0.15">
      <c r="K81" s="5"/>
      <c r="L81" s="7"/>
    </row>
    <row r="82" spans="11:12" x14ac:dyDescent="0.15">
      <c r="K82" s="5"/>
      <c r="L82" s="7"/>
    </row>
    <row r="83" spans="11:12" x14ac:dyDescent="0.15">
      <c r="K83" s="5"/>
      <c r="L83" s="7"/>
    </row>
    <row r="84" spans="11:12" x14ac:dyDescent="0.15">
      <c r="K84" s="5"/>
      <c r="L84" s="7"/>
    </row>
    <row r="85" spans="11:12" x14ac:dyDescent="0.15">
      <c r="K85" s="5"/>
      <c r="L85" s="7"/>
    </row>
    <row r="86" spans="11:12" ht="16" x14ac:dyDescent="0.2">
      <c r="K86" s="5"/>
      <c r="L86" s="6"/>
    </row>
    <row r="87" spans="11:12" x14ac:dyDescent="0.15">
      <c r="K87" s="5"/>
      <c r="L87" s="7"/>
    </row>
    <row r="88" spans="11:12" x14ac:dyDescent="0.15">
      <c r="K88" s="5"/>
      <c r="L88" s="7"/>
    </row>
    <row r="89" spans="11:12" ht="16" x14ac:dyDescent="0.2">
      <c r="K89" s="5"/>
      <c r="L89" s="6"/>
    </row>
    <row r="90" spans="11:12" x14ac:dyDescent="0.15">
      <c r="K90" s="5"/>
      <c r="L90" s="7"/>
    </row>
    <row r="91" spans="11:12" x14ac:dyDescent="0.15">
      <c r="K91" s="5"/>
      <c r="L91" s="7"/>
    </row>
    <row r="92" spans="11:12" x14ac:dyDescent="0.15">
      <c r="K92" s="5"/>
      <c r="L92" s="7"/>
    </row>
    <row r="93" spans="11:12" ht="16" x14ac:dyDescent="0.2">
      <c r="K93" s="5"/>
      <c r="L93" s="6"/>
    </row>
    <row r="94" spans="11:12" ht="16" x14ac:dyDescent="0.2">
      <c r="K94" s="5"/>
      <c r="L94" s="6"/>
    </row>
    <row r="95" spans="11:12" x14ac:dyDescent="0.15">
      <c r="K95" s="5"/>
      <c r="L95" s="7"/>
    </row>
    <row r="96" spans="11:12" x14ac:dyDescent="0.15">
      <c r="K96" s="5"/>
      <c r="L96" s="7"/>
    </row>
    <row r="97" spans="11:12" x14ac:dyDescent="0.15">
      <c r="K97" s="5"/>
      <c r="L97" s="7"/>
    </row>
    <row r="98" spans="11:12" x14ac:dyDescent="0.15">
      <c r="K98" s="5"/>
      <c r="L98" s="7"/>
    </row>
    <row r="99" spans="11:12" x14ac:dyDescent="0.15">
      <c r="K99" s="5"/>
      <c r="L99" s="7"/>
    </row>
    <row r="100" spans="11:12" ht="16" x14ac:dyDescent="0.2">
      <c r="K100" s="5"/>
      <c r="L100" s="6"/>
    </row>
    <row r="101" spans="11:12" ht="16" x14ac:dyDescent="0.2">
      <c r="K101" s="5"/>
      <c r="L101" s="6"/>
    </row>
    <row r="102" spans="11:12" ht="16" x14ac:dyDescent="0.2">
      <c r="K102" s="5"/>
      <c r="L102" s="6"/>
    </row>
    <row r="103" spans="11:12" ht="16" x14ac:dyDescent="0.2">
      <c r="K103" s="5"/>
      <c r="L103" s="6"/>
    </row>
    <row r="104" spans="11:12" ht="16" x14ac:dyDescent="0.2">
      <c r="K104" s="5"/>
      <c r="L104" s="6"/>
    </row>
    <row r="105" spans="11:12" ht="16" x14ac:dyDescent="0.2">
      <c r="K105" s="5"/>
      <c r="L105" s="6"/>
    </row>
    <row r="106" spans="11:12" ht="16" x14ac:dyDescent="0.2">
      <c r="K106" s="5"/>
      <c r="L106" s="6"/>
    </row>
    <row r="107" spans="11:12" ht="16" x14ac:dyDescent="0.2">
      <c r="K107" s="5"/>
      <c r="L107" s="6"/>
    </row>
    <row r="108" spans="11:12" ht="16" x14ac:dyDescent="0.2">
      <c r="K108" s="5"/>
      <c r="L108" s="6"/>
    </row>
    <row r="109" spans="11:12" ht="16" x14ac:dyDescent="0.2">
      <c r="K109" s="5"/>
      <c r="L109" s="6"/>
    </row>
    <row r="110" spans="11:12" ht="16" x14ac:dyDescent="0.2">
      <c r="K110" s="5"/>
      <c r="L110" s="6"/>
    </row>
    <row r="111" spans="11:12" ht="16" x14ac:dyDescent="0.2">
      <c r="K111" s="5"/>
      <c r="L111" s="6"/>
    </row>
    <row r="112" spans="11:12" ht="16" x14ac:dyDescent="0.2">
      <c r="K112" s="5"/>
      <c r="L112" s="6"/>
    </row>
    <row r="113" spans="11:12" ht="16" x14ac:dyDescent="0.2">
      <c r="K113" s="5"/>
      <c r="L113" s="6"/>
    </row>
    <row r="114" spans="11:12" x14ac:dyDescent="0.15">
      <c r="K114" s="5"/>
      <c r="L114" s="7"/>
    </row>
    <row r="115" spans="11:12" x14ac:dyDescent="0.15">
      <c r="K115" s="5"/>
      <c r="L115" s="7"/>
    </row>
    <row r="116" spans="11:12" x14ac:dyDescent="0.15">
      <c r="K116" s="5"/>
      <c r="L116" s="7"/>
    </row>
    <row r="117" spans="11:12" x14ac:dyDescent="0.15">
      <c r="K117" s="5"/>
      <c r="L117" s="7"/>
    </row>
    <row r="118" spans="11:12" x14ac:dyDescent="0.15">
      <c r="K118" s="5"/>
      <c r="L118" s="7"/>
    </row>
    <row r="119" spans="11:12" ht="16" x14ac:dyDescent="0.2">
      <c r="K119" s="5"/>
      <c r="L119" s="6"/>
    </row>
    <row r="120" spans="11:12" x14ac:dyDescent="0.15">
      <c r="K120" s="5"/>
      <c r="L120" s="7"/>
    </row>
    <row r="121" spans="11:12" x14ac:dyDescent="0.15">
      <c r="K121" s="5"/>
      <c r="L121" s="7"/>
    </row>
    <row r="122" spans="11:12" ht="16" x14ac:dyDescent="0.2">
      <c r="K122" s="5"/>
      <c r="L122" s="6"/>
    </row>
    <row r="123" spans="11:12" x14ac:dyDescent="0.15">
      <c r="K123" s="5"/>
      <c r="L123" s="7"/>
    </row>
    <row r="124" spans="11:12" x14ac:dyDescent="0.15">
      <c r="K124" s="5"/>
      <c r="L124" s="7"/>
    </row>
    <row r="125" spans="11:12" x14ac:dyDescent="0.15">
      <c r="K125" s="5"/>
      <c r="L125" s="7"/>
    </row>
    <row r="126" spans="11:12" ht="16" x14ac:dyDescent="0.2">
      <c r="K126" s="5"/>
      <c r="L126" s="6"/>
    </row>
    <row r="127" spans="11:12" ht="16" x14ac:dyDescent="0.2">
      <c r="K127" s="5"/>
      <c r="L127" s="6"/>
    </row>
    <row r="128" spans="11:12" ht="16" x14ac:dyDescent="0.2">
      <c r="K128" s="5"/>
      <c r="L128" s="6"/>
    </row>
    <row r="129" spans="11:12" ht="16" x14ac:dyDescent="0.2">
      <c r="K129" s="5"/>
      <c r="L129" s="6"/>
    </row>
    <row r="130" spans="11:12" ht="16" x14ac:dyDescent="0.2">
      <c r="K130" s="5"/>
      <c r="L130" s="6"/>
    </row>
    <row r="131" spans="11:12" ht="16" x14ac:dyDescent="0.2">
      <c r="K131" s="5"/>
      <c r="L131" s="6"/>
    </row>
    <row r="132" spans="11:12" ht="16" x14ac:dyDescent="0.2">
      <c r="K132" s="5"/>
      <c r="L132" s="6"/>
    </row>
    <row r="133" spans="11:12" ht="16" x14ac:dyDescent="0.2">
      <c r="K133" s="5"/>
      <c r="L133" s="6"/>
    </row>
    <row r="134" spans="11:12" ht="16" x14ac:dyDescent="0.2">
      <c r="K134" s="5"/>
      <c r="L134" s="6"/>
    </row>
    <row r="135" spans="11:12" ht="16" x14ac:dyDescent="0.2">
      <c r="K135" s="5"/>
      <c r="L135" s="6"/>
    </row>
    <row r="136" spans="11:12" ht="16" x14ac:dyDescent="0.2">
      <c r="K136" s="5"/>
      <c r="L136" s="6"/>
    </row>
    <row r="137" spans="11:12" ht="16" x14ac:dyDescent="0.2">
      <c r="K137" s="5"/>
      <c r="L137" s="6"/>
    </row>
    <row r="138" spans="11:12" x14ac:dyDescent="0.15">
      <c r="K138" s="5"/>
      <c r="L138" s="7"/>
    </row>
    <row r="139" spans="11:12" x14ac:dyDescent="0.15">
      <c r="K139" s="5"/>
      <c r="L139" s="7"/>
    </row>
    <row r="140" spans="11:12" x14ac:dyDescent="0.15">
      <c r="K140" s="5"/>
      <c r="L140" s="7"/>
    </row>
    <row r="141" spans="11:12" x14ac:dyDescent="0.15">
      <c r="K141" s="5"/>
      <c r="L141" s="7"/>
    </row>
    <row r="142" spans="11:12" x14ac:dyDescent="0.15">
      <c r="K142" s="5"/>
      <c r="L142" s="7"/>
    </row>
    <row r="143" spans="11:12" ht="16" x14ac:dyDescent="0.2">
      <c r="K143" s="5"/>
      <c r="L143" s="6"/>
    </row>
    <row r="144" spans="11:12" x14ac:dyDescent="0.15">
      <c r="K144" s="5"/>
      <c r="L144" s="7"/>
    </row>
    <row r="145" spans="11:12" x14ac:dyDescent="0.15">
      <c r="K145" s="5"/>
      <c r="L145" s="7"/>
    </row>
    <row r="146" spans="11:12" x14ac:dyDescent="0.15">
      <c r="K146" s="5"/>
      <c r="L146" s="7"/>
    </row>
    <row r="147" spans="11:12" x14ac:dyDescent="0.15">
      <c r="K147" s="5"/>
      <c r="L147" s="7"/>
    </row>
    <row r="148" spans="11:12" ht="16" x14ac:dyDescent="0.2">
      <c r="K148" s="5"/>
      <c r="L148" s="6"/>
    </row>
    <row r="149" spans="11:12" x14ac:dyDescent="0.15">
      <c r="K149" s="5"/>
      <c r="L149" s="7"/>
    </row>
  </sheetData>
  <mergeCells count="3">
    <mergeCell ref="N3:T5"/>
    <mergeCell ref="B42:E42"/>
    <mergeCell ref="B19:F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672B-9AE2-C846-8EC5-DF69CE885697}">
  <dimension ref="B4:H46"/>
  <sheetViews>
    <sheetView topLeftCell="A6" workbookViewId="0">
      <selection activeCell="H15" sqref="H15"/>
    </sheetView>
  </sheetViews>
  <sheetFormatPr baseColWidth="10" defaultRowHeight="13" x14ac:dyDescent="0.15"/>
  <cols>
    <col min="2" max="2" width="10.5" bestFit="1" customWidth="1"/>
    <col min="3" max="3" width="14" bestFit="1" customWidth="1"/>
    <col min="4" max="4" width="18.5" bestFit="1" customWidth="1"/>
    <col min="5" max="5" width="19.33203125" bestFit="1" customWidth="1"/>
  </cols>
  <sheetData>
    <row r="4" spans="2:8" x14ac:dyDescent="0.15">
      <c r="B4" s="1"/>
      <c r="C4" s="1"/>
      <c r="D4" s="1"/>
      <c r="E4" s="1"/>
    </row>
    <row r="5" spans="2:8" x14ac:dyDescent="0.15">
      <c r="C5" s="2"/>
      <c r="D5" s="2"/>
      <c r="E5" s="2"/>
    </row>
    <row r="6" spans="2:8" x14ac:dyDescent="0.15">
      <c r="B6" s="2"/>
      <c r="C6" s="2"/>
      <c r="D6" s="2"/>
      <c r="E6" s="2"/>
    </row>
    <row r="7" spans="2:8" x14ac:dyDescent="0.15">
      <c r="B7" s="2"/>
      <c r="C7" s="3"/>
      <c r="D7" s="2"/>
      <c r="E7" s="2"/>
    </row>
    <row r="8" spans="2:8" ht="15" x14ac:dyDescent="0.2">
      <c r="B8" s="2"/>
      <c r="C8" s="10"/>
      <c r="E8" s="10"/>
    </row>
    <row r="9" spans="2:8" x14ac:dyDescent="0.15">
      <c r="B9" s="2"/>
      <c r="C9" s="2"/>
      <c r="D9" s="2"/>
      <c r="E9" s="2"/>
    </row>
    <row r="10" spans="2:8" x14ac:dyDescent="0.15">
      <c r="B10" s="3"/>
    </row>
    <row r="11" spans="2:8" x14ac:dyDescent="0.15">
      <c r="B11" s="2"/>
    </row>
    <row r="14" spans="2:8" x14ac:dyDescent="0.15">
      <c r="B14" s="1" t="s">
        <v>0</v>
      </c>
      <c r="C14" s="1" t="s">
        <v>197</v>
      </c>
      <c r="D14" s="1" t="s">
        <v>199</v>
      </c>
      <c r="E14" s="1" t="s">
        <v>198</v>
      </c>
    </row>
    <row r="15" spans="2:8" x14ac:dyDescent="0.15">
      <c r="B15" t="s">
        <v>126</v>
      </c>
      <c r="C15">
        <f>C16*0.2</f>
        <v>107227752</v>
      </c>
      <c r="D15" s="2">
        <v>5309294</v>
      </c>
      <c r="E15" s="2">
        <v>7812869.9999999991</v>
      </c>
      <c r="H15">
        <f>(C18/C15)/2</f>
        <v>57.190615289594056</v>
      </c>
    </row>
    <row r="16" spans="2:8" x14ac:dyDescent="0.15">
      <c r="B16" s="2" t="s">
        <v>121</v>
      </c>
      <c r="C16" s="2">
        <v>536138760</v>
      </c>
      <c r="D16" s="2">
        <v>44244120</v>
      </c>
      <c r="E16" s="2">
        <v>12019799.999999998</v>
      </c>
      <c r="H16">
        <f>C18/C16</f>
        <v>22.876246115837624</v>
      </c>
    </row>
    <row r="17" spans="2:5" x14ac:dyDescent="0.15">
      <c r="B17" s="2" t="s">
        <v>120</v>
      </c>
      <c r="C17" s="2">
        <v>2433236386</v>
      </c>
      <c r="D17" s="2">
        <v>348857247</v>
      </c>
      <c r="E17" s="2">
        <v>18491999.999999996</v>
      </c>
    </row>
    <row r="18" spans="2:5" x14ac:dyDescent="0.15">
      <c r="B18" s="2" t="s">
        <v>122</v>
      </c>
      <c r="C18" s="2">
        <v>12264842226</v>
      </c>
      <c r="D18" s="2">
        <v>2774548915</v>
      </c>
      <c r="E18" s="2">
        <v>24655999.999999996</v>
      </c>
    </row>
    <row r="19" spans="2:5" x14ac:dyDescent="0.15">
      <c r="B19" s="2" t="s">
        <v>123</v>
      </c>
      <c r="C19" s="2">
        <v>72638038714</v>
      </c>
      <c r="D19" s="2">
        <v>11098195660</v>
      </c>
      <c r="E19" s="2">
        <v>43143999.999999993</v>
      </c>
    </row>
    <row r="20" spans="2:5" x14ac:dyDescent="0.15">
      <c r="B20" s="2" t="s">
        <v>124</v>
      </c>
      <c r="C20" s="2"/>
      <c r="D20" s="2">
        <v>44392782640</v>
      </c>
      <c r="E20" s="2">
        <v>123279999.99999999</v>
      </c>
    </row>
    <row r="21" spans="2:5" x14ac:dyDescent="0.15">
      <c r="B21" s="3" t="s">
        <v>125</v>
      </c>
      <c r="C21" s="2"/>
      <c r="D21" s="2">
        <v>177571130560</v>
      </c>
      <c r="E21" s="2">
        <v>345183999.99999994</v>
      </c>
    </row>
    <row r="22" spans="2:5" x14ac:dyDescent="0.15">
      <c r="B22" s="2"/>
      <c r="C22" s="2"/>
      <c r="D22" s="2"/>
      <c r="E22" s="2"/>
    </row>
    <row r="23" spans="2:5" x14ac:dyDescent="0.15">
      <c r="B23" s="2"/>
      <c r="C23" s="2"/>
      <c r="D23" s="2"/>
      <c r="E23" s="2"/>
    </row>
    <row r="24" spans="2:5" x14ac:dyDescent="0.15">
      <c r="B24" s="2"/>
      <c r="C24" s="2"/>
      <c r="D24" s="2"/>
      <c r="E24" s="2"/>
    </row>
    <row r="25" spans="2:5" x14ac:dyDescent="0.15">
      <c r="B25" s="2"/>
      <c r="C25" s="11"/>
      <c r="D25" s="11"/>
      <c r="E25" s="11"/>
    </row>
    <row r="26" spans="2:5" x14ac:dyDescent="0.15">
      <c r="B26" s="2"/>
      <c r="C26" s="2"/>
      <c r="D26" s="2"/>
      <c r="E26" s="2"/>
    </row>
    <row r="28" spans="2:5" x14ac:dyDescent="0.15">
      <c r="B28" s="1" t="s">
        <v>0</v>
      </c>
      <c r="C28" s="1" t="s">
        <v>119</v>
      </c>
      <c r="D28" s="1" t="s">
        <v>200</v>
      </c>
      <c r="E28" s="1" t="s">
        <v>201</v>
      </c>
    </row>
    <row r="29" spans="2:5" x14ac:dyDescent="0.15">
      <c r="B29" s="2" t="s">
        <v>126</v>
      </c>
      <c r="C29">
        <f t="shared" ref="C29:D35" si="0">D15/1000</f>
        <v>5309.2939999999999</v>
      </c>
      <c r="D29">
        <f t="shared" si="0"/>
        <v>7812.869999999999</v>
      </c>
      <c r="E29">
        <f>C29/D29</f>
        <v>0.67955744815925523</v>
      </c>
    </row>
    <row r="30" spans="2:5" x14ac:dyDescent="0.15">
      <c r="B30" s="2" t="s">
        <v>121</v>
      </c>
      <c r="C30" s="2">
        <f t="shared" si="0"/>
        <v>44244.12</v>
      </c>
      <c r="D30" s="2">
        <f t="shared" si="0"/>
        <v>12019.799999999997</v>
      </c>
      <c r="E30" s="2">
        <f t="shared" ref="E30:E35" si="1">C30/D30</f>
        <v>3.6809364548494994</v>
      </c>
    </row>
    <row r="31" spans="2:5" x14ac:dyDescent="0.15">
      <c r="B31" s="2" t="s">
        <v>120</v>
      </c>
      <c r="C31" s="2">
        <f t="shared" si="0"/>
        <v>348857.24699999997</v>
      </c>
      <c r="D31" s="2">
        <f t="shared" si="0"/>
        <v>18491.999999999996</v>
      </c>
      <c r="E31" s="2">
        <f t="shared" si="1"/>
        <v>18.865306456846206</v>
      </c>
    </row>
    <row r="32" spans="2:5" x14ac:dyDescent="0.15">
      <c r="B32" s="2" t="s">
        <v>122</v>
      </c>
      <c r="C32" s="2">
        <f t="shared" si="0"/>
        <v>2774548.915</v>
      </c>
      <c r="D32" s="2">
        <f t="shared" si="0"/>
        <v>24655.999999999996</v>
      </c>
      <c r="E32" s="2">
        <f t="shared" si="1"/>
        <v>112.53037455386115</v>
      </c>
    </row>
    <row r="33" spans="2:5" x14ac:dyDescent="0.15">
      <c r="B33" s="2" t="s">
        <v>123</v>
      </c>
      <c r="C33" s="2">
        <f t="shared" si="0"/>
        <v>11098195.66</v>
      </c>
      <c r="D33" s="2">
        <f t="shared" si="0"/>
        <v>43143.999999999993</v>
      </c>
      <c r="E33" s="2">
        <f t="shared" si="1"/>
        <v>257.23613155942894</v>
      </c>
    </row>
    <row r="34" spans="2:5" x14ac:dyDescent="0.15">
      <c r="B34" s="2" t="s">
        <v>124</v>
      </c>
      <c r="C34" s="2">
        <f t="shared" si="0"/>
        <v>44392782.640000001</v>
      </c>
      <c r="D34" s="2">
        <f t="shared" si="0"/>
        <v>123279.99999999999</v>
      </c>
      <c r="E34" s="2">
        <f t="shared" si="1"/>
        <v>360.09719857235564</v>
      </c>
    </row>
    <row r="35" spans="2:5" x14ac:dyDescent="0.15">
      <c r="B35" s="3" t="s">
        <v>125</v>
      </c>
      <c r="C35" s="2">
        <f t="shared" si="0"/>
        <v>177571130.56</v>
      </c>
      <c r="D35" s="2">
        <f t="shared" si="0"/>
        <v>345183.99999999994</v>
      </c>
      <c r="E35" s="2">
        <f t="shared" si="1"/>
        <v>514.42456938907958</v>
      </c>
    </row>
    <row r="36" spans="2:5" x14ac:dyDescent="0.15">
      <c r="B36" s="2"/>
      <c r="C36" s="11"/>
      <c r="D36" s="11"/>
      <c r="E36" s="11"/>
    </row>
    <row r="37" spans="2:5" x14ac:dyDescent="0.15">
      <c r="B37" s="2"/>
      <c r="C37" s="2"/>
      <c r="D37" s="2"/>
      <c r="E37" s="2"/>
    </row>
    <row r="38" spans="2:5" x14ac:dyDescent="0.15">
      <c r="B38" s="2"/>
      <c r="C38" s="2"/>
      <c r="D38" s="2"/>
      <c r="E38" s="2"/>
    </row>
    <row r="39" spans="2:5" x14ac:dyDescent="0.15">
      <c r="E39" s="3"/>
    </row>
    <row r="46" spans="2:5" x14ac:dyDescent="0.15">
      <c r="E46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2B76-1F37-8A4C-8301-E371783A6F36}">
  <dimension ref="I5:Q19"/>
  <sheetViews>
    <sheetView workbookViewId="0">
      <selection activeCell="E12" sqref="E12:E13"/>
    </sheetView>
  </sheetViews>
  <sheetFormatPr baseColWidth="10" defaultRowHeight="13" x14ac:dyDescent="0.15"/>
  <sheetData>
    <row r="5" spans="9:12" x14ac:dyDescent="0.15">
      <c r="I5" s="2"/>
      <c r="J5" s="2"/>
      <c r="K5" s="2"/>
      <c r="L5" s="2"/>
    </row>
    <row r="6" spans="9:12" x14ac:dyDescent="0.15">
      <c r="I6" s="2"/>
      <c r="J6" s="2"/>
      <c r="K6" s="2"/>
      <c r="L6" s="2"/>
    </row>
    <row r="19" spans="17:17" x14ac:dyDescent="0.15">
      <c r="Q19" s="2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numbers</vt:lpstr>
      <vt:lpstr>stats_raw</vt:lpstr>
      <vt:lpstr>Sheet2</vt:lpstr>
      <vt:lpstr>speedup</vt:lpstr>
      <vt:lpstr>energy</vt:lpstr>
      <vt:lpstr>endurance</vt:lpstr>
      <vt:lpstr>scalability_analysis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Asif</cp:lastModifiedBy>
  <cp:revision>23</cp:revision>
  <dcterms:created xsi:type="dcterms:W3CDTF">2020-10-30T20:08:20Z</dcterms:created>
  <dcterms:modified xsi:type="dcterms:W3CDTF">2021-03-16T16:57:14Z</dcterms:modified>
  <dc:language>en-US</dc:language>
</cp:coreProperties>
</file>