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activeTab="1"/>
  </bookViews>
  <sheets>
    <sheet name="readme1st" sheetId="3" r:id="rId1"/>
    <sheet name="summit 2017 budget" sheetId="1" r:id="rId2"/>
    <sheet name="catering" sheetId="9" r:id="rId3"/>
    <sheet name="operations" sheetId="11" r:id="rId4"/>
    <sheet name="funded" sheetId="10" r:id="rId5"/>
    <sheet name="travel" sheetId="12" r:id="rId6"/>
    <sheet name="Assumptions" sheetId="2" r:id="rId7"/>
    <sheet name="editors" sheetId="4" r:id="rId8"/>
    <sheet name="totals" sheetId="8" r:id="rId9"/>
    <sheet name="tickets" sheetId="7" r:id="rId10"/>
    <sheet name="invoiced" sheetId="5" r:id="rId11"/>
    <sheet name="sponsored" sheetId="6" r:id="rId12"/>
  </sheets>
  <calcPr calcId="152511"/>
</workbook>
</file>

<file path=xl/calcChain.xml><?xml version="1.0" encoding="utf-8"?>
<calcChain xmlns="http://schemas.openxmlformats.org/spreadsheetml/2006/main">
  <c r="B7" i="11" l="1"/>
  <c r="C8" i="5"/>
  <c r="B6" i="11"/>
  <c r="G13" i="1"/>
  <c r="H32" i="12"/>
  <c r="H31" i="12"/>
  <c r="H24" i="12"/>
  <c r="H23" i="12"/>
  <c r="H22" i="12"/>
  <c r="H16" i="12"/>
  <c r="H15" i="12"/>
  <c r="H14" i="12"/>
  <c r="H13" i="12"/>
  <c r="H12" i="12"/>
  <c r="H5" i="12"/>
  <c r="B4" i="11"/>
  <c r="B5" i="11"/>
  <c r="G21" i="1"/>
  <c r="B3" i="11"/>
  <c r="K26" i="10"/>
  <c r="B2" i="11"/>
  <c r="G17" i="1"/>
  <c r="B8" i="11" l="1"/>
  <c r="G14" i="1" s="1"/>
  <c r="G18" i="1"/>
  <c r="C7" i="5" l="1"/>
  <c r="G12" i="1" l="1"/>
  <c r="B29" i="2"/>
  <c r="B15" i="9"/>
  <c r="B10" i="9"/>
  <c r="B9" i="9"/>
  <c r="B8" i="9"/>
  <c r="B13" i="9" s="1"/>
  <c r="G11" i="1" l="1"/>
  <c r="B7" i="6"/>
  <c r="B2" i="8" s="1"/>
  <c r="C7" i="6"/>
  <c r="D13" i="1"/>
  <c r="G22" i="1"/>
  <c r="B7" i="8"/>
  <c r="G5" i="1"/>
  <c r="D15" i="1"/>
  <c r="F34" i="1"/>
  <c r="G23" i="1"/>
  <c r="F33" i="1"/>
  <c r="F36" i="1"/>
  <c r="B3" i="8"/>
  <c r="C33" i="1"/>
  <c r="D14" i="1"/>
  <c r="C24" i="6"/>
  <c r="B24" i="6"/>
  <c r="C2" i="7"/>
  <c r="C6" i="5"/>
  <c r="B3" i="9"/>
  <c r="B2" i="9"/>
  <c r="B13" i="5"/>
  <c r="B4" i="8" s="1"/>
  <c r="C13" i="5"/>
  <c r="D12" i="1" s="1"/>
  <c r="C5" i="5"/>
  <c r="C4" i="5"/>
  <c r="C3" i="5"/>
  <c r="C2" i="5"/>
  <c r="B21" i="4"/>
  <c r="B8" i="4"/>
  <c r="B34" i="2"/>
  <c r="B28" i="2"/>
  <c r="B25" i="2"/>
  <c r="B26" i="2"/>
  <c r="F23" i="1"/>
  <c r="B31" i="2"/>
  <c r="B33" i="2"/>
  <c r="C4" i="1"/>
  <c r="F18" i="1"/>
  <c r="C12" i="1"/>
  <c r="F12" i="1"/>
  <c r="F27" i="1" s="1"/>
  <c r="F6" i="1" s="1"/>
  <c r="B24" i="2"/>
  <c r="F11" i="1"/>
  <c r="B5" i="2"/>
  <c r="B4" i="2"/>
  <c r="C11" i="1"/>
  <c r="F17" i="1"/>
  <c r="F13" i="1"/>
  <c r="F5" i="1"/>
  <c r="F14" i="1"/>
  <c r="F22" i="1"/>
  <c r="F21" i="1"/>
  <c r="F20" i="1"/>
  <c r="F19" i="1"/>
  <c r="C14" i="1"/>
  <c r="C13" i="1"/>
  <c r="C27" i="1"/>
  <c r="B14" i="8" l="1"/>
  <c r="C35" i="1"/>
  <c r="D27" i="1"/>
  <c r="B9" i="8"/>
  <c r="B6" i="9"/>
  <c r="F35" i="1"/>
  <c r="G27" i="1" s="1"/>
  <c r="C34" i="1"/>
  <c r="D4" i="1"/>
  <c r="G4" i="1" l="1"/>
  <c r="G6" i="1" s="1"/>
</calcChain>
</file>

<file path=xl/sharedStrings.xml><?xml version="1.0" encoding="utf-8"?>
<sst xmlns="http://schemas.openxmlformats.org/spreadsheetml/2006/main" count="552" uniqueCount="299">
  <si>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</si>
  <si>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</si>
  <si>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</si>
  <si>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</si>
  <si>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</si>
  <si>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</si>
  <si>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</si>
  <si>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</si>
  <si>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</si>
  <si>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</si>
  <si>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</si>
  <si>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</si>
  <si>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</si>
  <si>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</si>
  <si>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</si>
  <si>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</si>
  <si>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</si>
  <si>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</si>
  <si>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</si>
  <si>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</si>
  <si>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</si>
  <si>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</si>
  <si>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</si>
  <si>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</si>
  <si>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</si>
  <si>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</si>
  <si>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</si>
  <si>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</si>
  <si>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</si>
  <si>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</si>
  <si>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</si>
  <si>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</si>
  <si>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</si>
  <si>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</si>
  <si>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</si>
  <si>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</si>
  <si>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</si>
  <si>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</si>
  <si>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</si>
  <si>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</si>
  <si>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</si>
  <si>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</si>
  <si>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</si>
  <si>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</si>
  <si>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</si>
  <si>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</si>
  <si>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</si>
  <si>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</si>
  <si>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</si>
  <si>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</si>
  <si>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</si>
  <si>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</si>
  <si>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</si>
  <si>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</si>
  <si>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</si>
  <si>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</si>
  <si>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</si>
  <si>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</si>
  <si>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</si>
  <si>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</si>
  <si>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</si>
  <si>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</si>
  <si>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</si>
  <si>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</si>
  <si>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</si>
  <si>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</si>
  <si>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</si>
  <si>
    <t>registration fee (3%)</t>
  </si>
  <si>
    <t>summit editor funds</t>
  </si>
  <si>
    <t>Akshay Sharma</t>
  </si>
  <si>
    <t>Bjoern Kimminich</t>
  </si>
  <si>
    <t>Devesh Bhatt</t>
  </si>
  <si>
    <t>Felipe Zipitria</t>
  </si>
  <si>
    <t>Mateo Martinez</t>
  </si>
  <si>
    <t>Nikita Garia</t>
  </si>
  <si>
    <t>adam</t>
  </si>
  <si>
    <t>extra sponsored</t>
  </si>
  <si>
    <t>Avi Douglen</t>
  </si>
  <si>
    <t>Bernhard Mueller</t>
  </si>
  <si>
    <t>Sven Schleier</t>
  </si>
  <si>
    <t>Adrian Winckles</t>
  </si>
  <si>
    <t>Ade Yoseman Putra</t>
  </si>
  <si>
    <t>Magno Logan</t>
  </si>
  <si>
    <t>capitol one</t>
  </si>
  <si>
    <t>participants</t>
  </si>
  <si>
    <t>tickets</t>
  </si>
  <si>
    <t>USD</t>
  </si>
  <si>
    <t>GBP TO USD</t>
  </si>
  <si>
    <t>PBX</t>
  </si>
  <si>
    <t>SAMM</t>
  </si>
  <si>
    <t>sponsored</t>
  </si>
  <si>
    <t>London</t>
  </si>
  <si>
    <t>Denver</t>
  </si>
  <si>
    <t>Toreon</t>
  </si>
  <si>
    <t>Xebia</t>
  </si>
  <si>
    <t>Belgium</t>
  </si>
  <si>
    <t>Germany</t>
  </si>
  <si>
    <t>includes travel for Adam</t>
  </si>
  <si>
    <t>includes travel for Ingo and Achim</t>
  </si>
  <si>
    <t>NY</t>
  </si>
  <si>
    <t>tickets sold</t>
  </si>
  <si>
    <t>price</t>
  </si>
  <si>
    <t>EUR to USD</t>
  </si>
  <si>
    <t>ACTUAL INCOME</t>
  </si>
  <si>
    <t>sponsors</t>
  </si>
  <si>
    <t>invoiced</t>
  </si>
  <si>
    <t>ACTUAL COST</t>
  </si>
  <si>
    <t>Lodges</t>
  </si>
  <si>
    <t>Venue (5 days)</t>
  </si>
  <si>
    <t>tickets paid</t>
  </si>
  <si>
    <t>editors</t>
  </si>
  <si>
    <t>organizers</t>
  </si>
  <si>
    <t>total</t>
  </si>
  <si>
    <t>item</t>
  </si>
  <si>
    <t>tea/coffee (3)</t>
  </si>
  <si>
    <t>lunch</t>
  </si>
  <si>
    <t>dinner</t>
  </si>
  <si>
    <t>breakfast</t>
  </si>
  <si>
    <t>Total 5 days</t>
  </si>
  <si>
    <t>1und1 - daniel</t>
  </si>
  <si>
    <t>continuum - stephen</t>
  </si>
  <si>
    <t>Axa Assistance - Marc</t>
  </si>
  <si>
    <t>Achim Hoffmann</t>
  </si>
  <si>
    <t>OWASP German Chapter</t>
  </si>
  <si>
    <t>Adam Shostack</t>
  </si>
  <si>
    <t>OWASP Belgium Chapter</t>
  </si>
  <si>
    <t>Owasp Outreach Funds</t>
  </si>
  <si>
    <t>Summit Editor Fund</t>
  </si>
  <si>
    <t>OWASP Community Fund + Israel chapter</t>
  </si>
  <si>
    <t>Azzeddine Ramrami</t>
  </si>
  <si>
    <t>CRSFGuard Project</t>
  </si>
  <si>
    <t>Summit Budget,OWASP Outreach Funds</t>
  </si>
  <si>
    <t>Daniel Miessler</t>
  </si>
  <si>
    <t>Summit Budget</t>
  </si>
  <si>
    <t>Hardik Parekh</t>
  </si>
  <si>
    <t>Summit Budget,SAMM</t>
  </si>
  <si>
    <t>Ingo Hanke</t>
  </si>
  <si>
    <t>Steven van der Baan</t>
  </si>
  <si>
    <t>Summit Budget,OWASP Outreach funds</t>
  </si>
  <si>
    <t>Yan Kravchenko</t>
  </si>
  <si>
    <t>funded</t>
  </si>
  <si>
    <t>Catering (full)</t>
  </si>
  <si>
    <t>Full week participants</t>
  </si>
  <si>
    <t>tickets 24-5</t>
  </si>
  <si>
    <t>tickets 24h - Wed</t>
  </si>
  <si>
    <t>budget</t>
  </si>
  <si>
    <t>actual</t>
  </si>
  <si>
    <t>chapters/projects</t>
  </si>
  <si>
    <t>Netherlands</t>
  </si>
  <si>
    <t>Luxembourg</t>
  </si>
  <si>
    <t>Barracuda</t>
  </si>
  <si>
    <t>lodges - weekend</t>
  </si>
  <si>
    <t>#</t>
  </si>
  <si>
    <t>NAME (TITLE)</t>
  </si>
  <si>
    <t>PROJECT-LEADER</t>
  </si>
  <si>
    <t>CHAPTER-LEADER</t>
  </si>
  <si>
    <t>TIME COVERED BY</t>
  </si>
  <si>
    <t>TRAVEL FROM</t>
  </si>
  <si>
    <t>TICKET COST</t>
  </si>
  <si>
    <t>REQUIRED FUNDS</t>
  </si>
  <si>
    <t>WHO FUNDED</t>
  </si>
  <si>
    <t>O-Saft</t>
  </si>
  <si>
    <t>vacation</t>
  </si>
  <si>
    <t>Seattle</t>
  </si>
  <si>
    <t>Cambridge</t>
  </si>
  <si>
    <t>ARU</t>
  </si>
  <si>
    <t>Bhopal</t>
  </si>
  <si>
    <t>????</t>
  </si>
  <si>
    <t>Israel</t>
  </si>
  <si>
    <t>The OWASP Mobile Security Testing Guide</t>
  </si>
  <si>
    <t>Singapore</t>
  </si>
  <si>
    <t>OWASP Juice Shop</t>
  </si>
  <si>
    <t>Hamburg</t>
  </si>
  <si>
    <t>San Francisco</t>
  </si>
  <si>
    <t>Bangalore</t>
  </si>
  <si>
    <t>Uruguay</t>
  </si>
  <si>
    <t>United States</t>
  </si>
  <si>
    <t>Marco Morana</t>
  </si>
  <si>
    <t>2 days</t>
  </si>
  <si>
    <t>Tampa, Florida, USA</t>
  </si>
  <si>
    <t>Summit Budget,CISO Project</t>
  </si>
  <si>
    <t>Sam Stepanyan</t>
  </si>
  <si>
    <t>Owasp London Chapter</t>
  </si>
  <si>
    <t>Sherif Mansour</t>
  </si>
  <si>
    <t>Development Guide, CTF</t>
  </si>
  <si>
    <t>Mobile Security Testing Guide, MASVS, Mobile Hacking Playground</t>
  </si>
  <si>
    <t>Timo Pagel</t>
  </si>
  <si>
    <t>Minneapolis</t>
  </si>
  <si>
    <t>AMOUNT Summit</t>
  </si>
  <si>
    <t>Amount other</t>
  </si>
  <si>
    <t>amount sponsor</t>
  </si>
  <si>
    <t>OWASP Board Member</t>
  </si>
  <si>
    <t>Tiffany</t>
  </si>
  <si>
    <t>Owasp Outreach Funds + Germany (400)</t>
  </si>
  <si>
    <t>Summit Funded</t>
  </si>
  <si>
    <t>Veracode</t>
  </si>
  <si>
    <t>Silver</t>
  </si>
  <si>
    <t>Bronze+lanyard+pen</t>
  </si>
  <si>
    <t>attendees</t>
  </si>
  <si>
    <t>drinks</t>
  </si>
  <si>
    <t>days</t>
  </si>
  <si>
    <t>Carlos Pérez Holguera</t>
  </si>
  <si>
    <t>Martin Knobloch</t>
  </si>
  <si>
    <t>DevSecCon</t>
  </si>
  <si>
    <t>In Kind</t>
  </si>
  <si>
    <t>rent taxis to Bletchley</t>
  </si>
  <si>
    <t>add tesco</t>
  </si>
  <si>
    <t>printed program</t>
  </si>
  <si>
    <t>invoice office outlet</t>
  </si>
  <si>
    <t>add ops / technical writers + AV</t>
  </si>
  <si>
    <t>operations</t>
  </si>
  <si>
    <t>jabras</t>
  </si>
  <si>
    <t>TO VERIFY</t>
  </si>
  <si>
    <t>remove double ticket costs</t>
  </si>
  <si>
    <t>ADD TRAVEL</t>
  </si>
  <si>
    <t>operations team</t>
  </si>
  <si>
    <t>owasp staff</t>
  </si>
  <si>
    <t xml:space="preserve">Owasp Foundation board </t>
  </si>
  <si>
    <t>funded by other owasp budgets</t>
  </si>
  <si>
    <t>groceries prep we</t>
  </si>
  <si>
    <t>AV support</t>
  </si>
  <si>
    <t>current status (17-june)</t>
  </si>
  <si>
    <t>to be confirmed with final invoice</t>
  </si>
  <si>
    <t>$450</t>
  </si>
  <si>
    <t>$1500</t>
  </si>
  <si>
    <t>$1950</t>
  </si>
  <si>
    <t>$2500</t>
  </si>
  <si>
    <t>$4000</t>
  </si>
  <si>
    <t>$5950</t>
  </si>
  <si>
    <t>$0</t>
  </si>
  <si>
    <t>$7450</t>
  </si>
  <si>
    <t>$9950</t>
  </si>
  <si>
    <t>Andrew Moore</t>
  </si>
  <si>
    <t>$11450</t>
  </si>
  <si>
    <t>Ante Gulam</t>
  </si>
  <si>
    <t>$</t>
  </si>
  <si>
    <t>$1200</t>
  </si>
  <si>
    <t>$12650</t>
  </si>
  <si>
    <t>$700</t>
  </si>
  <si>
    <t>$2200</t>
  </si>
  <si>
    <t>$14850</t>
  </si>
  <si>
    <t>$900</t>
  </si>
  <si>
    <t>$2400</t>
  </si>
  <si>
    <t>$17250</t>
  </si>
  <si>
    <t>Bart De Win</t>
  </si>
  <si>
    <t>???</t>
  </si>
  <si>
    <t>$18750</t>
  </si>
  <si>
    <t>$1000 (Owasp Outreach Funds)</t>
  </si>
  <si>
    <t>$1500 (Summit Budget)</t>
  </si>
  <si>
    <t>$21250</t>
  </si>
  <si>
    <t>$1750</t>
  </si>
  <si>
    <t>$23000</t>
  </si>
  <si>
    <t>$25500</t>
  </si>
  <si>
    <t>$0 (bought ticket)</t>
  </si>
  <si>
    <t>$1200 (with Visa)</t>
  </si>
  <si>
    <t>$26700</t>
  </si>
  <si>
    <t>$29200</t>
  </si>
  <si>
    <t>$1500 (SAMM)</t>
  </si>
  <si>
    <t>$31700</t>
  </si>
  <si>
    <t>$33650</t>
  </si>
  <si>
    <t>Jemma Buttle</t>
  </si>
  <si>
    <t>United Kingdom</t>
  </si>
  <si>
    <t>$35150</t>
  </si>
  <si>
    <t>Jemma Davis</t>
  </si>
  <si>
    <t>$36650</t>
  </si>
  <si>
    <t>$2441</t>
  </si>
  <si>
    <t>$500</t>
  </si>
  <si>
    <t>$2941</t>
  </si>
  <si>
    <t>$1500 (Summit Budget), 941 (CISO Project)</t>
  </si>
  <si>
    <t>$38150</t>
  </si>
  <si>
    <t>Owasp Board</t>
  </si>
  <si>
    <t>$39650</t>
  </si>
  <si>
    <t>$42150</t>
  </si>
  <si>
    <t>$0 (will stay with Devesh)</t>
  </si>
  <si>
    <t>$43350</t>
  </si>
  <si>
    <t>Robert Grace</t>
  </si>
  <si>
    <t>$44850</t>
  </si>
  <si>
    <t>$400</t>
  </si>
  <si>
    <t>$45250</t>
  </si>
  <si>
    <t>$45650</t>
  </si>
  <si>
    <t>$47150</t>
  </si>
  <si>
    <t>$49650</t>
  </si>
  <si>
    <t>Tiffany Long</t>
  </si>
  <si>
    <t>$51150</t>
  </si>
  <si>
    <t>$1900</t>
  </si>
  <si>
    <t>$53050</t>
  </si>
  <si>
    <t>$3000</t>
  </si>
  <si>
    <t>FLIGHT COST</t>
  </si>
  <si>
    <t>AMOUNT FUNDED</t>
  </si>
  <si>
    <t>(SUBTOTAL)</t>
  </si>
  <si>
    <t>Total funded:</t>
  </si>
  <si>
    <t>summit flight</t>
  </si>
  <si>
    <t>REPLACED BY TRAVEL LINE (tickets are covered by above)</t>
  </si>
  <si>
    <t>indigo</t>
  </si>
  <si>
    <t>Avatao</t>
  </si>
  <si>
    <t>included in office supplies</t>
  </si>
  <si>
    <t>bags</t>
  </si>
  <si>
    <t>cleverbaggers</t>
  </si>
  <si>
    <t>paid with debit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</si>
</sst>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&quot;$&quot;#,##0.00"/>
    <numFmt numFmtId="165" formatCode="#,##0.###############"/>
    <numFmt numFmtId="166" formatCode="_-[$$-409]* #,##0.00_ ;_-[$$-409]* \-#,##0.00\ ;_-[$$-409]* &quot;-&quot;??_ ;_-@_ "/>
  </numFmts>
  <fonts count="21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  <font>
      <sz val="10"/>
      <color rgb="FF000000"/>
      <name val="Arial"/>
    </font>
    <font>
      <b/>
      <u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9"/>
      <color rgb="FF000000"/>
      <name val="Courier New"/>
      <family val="3"/>
    </font>
    <font>
      <sz val="9"/>
      <color rgb="FF000000"/>
      <name val="Courier New"/>
      <family val="3"/>
    </font>
    <font>
      <sz val="10"/>
      <name val="Arial"/>
      <family val="2"/>
    </font>
    <font>
      <sz val="9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05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2" borderId="7" xfId="1" applyNumberFormat="1" applyFont="1" applyFill="1" applyBorder="1" applyAlignment="1"/>
    <xf numFmtId="166" fontId="1" fillId="2" borderId="0" xfId="0" applyNumberFormat="1" applyFont="1" applyFill="1" applyAlignment="1"/>
    <xf numFmtId="166" fontId="1" fillId="0" borderId="7" xfId="0" applyNumberFormat="1" applyFont="1" applyBorder="1" applyAlignment="1">
      <alignment wrapText="1"/>
    </xf>
    <xf numFmtId="166" fontId="1" fillId="2" borderId="7" xfId="0" applyNumberFormat="1" applyFont="1" applyFill="1" applyBorder="1" applyAlignment="1"/>
    <xf numFmtId="166" fontId="1" fillId="2" borderId="5" xfId="0" applyNumberFormat="1" applyFont="1" applyFill="1" applyBorder="1" applyAlignment="1"/>
    <xf numFmtId="166" fontId="1" fillId="7" borderId="7" xfId="0" applyNumberFormat="1" applyFont="1" applyFill="1" applyBorder="1" applyAlignment="1"/>
    <xf numFmtId="0" fontId="1" fillId="2" borderId="6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2" borderId="7" xfId="2" applyNumberFormat="1" applyFont="1" applyFill="1" applyBorder="1" applyAlignment="1"/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6" borderId="8" xfId="0" applyFont="1" applyFill="1" applyBorder="1" applyAlignment="1"/>
    <xf numFmtId="0" fontId="18" fillId="0" borderId="4" xfId="0" applyFont="1" applyBorder="1" applyAlignment="1">
      <alignment wrapText="1"/>
    </xf>
    <xf numFmtId="0" fontId="18" fillId="0" borderId="4" xfId="0" applyFont="1" applyBorder="1" applyAlignment="1"/>
    <xf numFmtId="0" fontId="15" fillId="0" borderId="0" xfId="0" applyFont="1" applyAlignment="1"/>
    <xf numFmtId="0" fontId="19" fillId="0" borderId="2" xfId="0" applyFont="1" applyBorder="1" applyAlignment="1">
      <alignment wrapText="1"/>
    </xf>
    <xf numFmtId="166" fontId="0" fillId="0" borderId="0" xfId="0" applyNumberFormat="1" applyFont="1" applyAlignment="1">
      <alignment wrapText="1"/>
    </xf>
    <xf numFmtId="0" fontId="20" fillId="0" borderId="4" xfId="0" applyFont="1" applyBorder="1" applyAlignment="1">
      <alignment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6"/>
  </cols>
  <sheetData>
    <row r="1" spans="1:1" x14ac:dyDescent="0.2">
      <c r="A1" s="66" t="s">
        <v>15</v>
      </c>
    </row>
    <row r="2" spans="1:1" x14ac:dyDescent="0.2">
      <c r="A2" s="66" t="s">
        <v>16</v>
      </c>
    </row>
    <row r="3" spans="1:1" x14ac:dyDescent="0.2">
      <c r="A3" s="66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3" sqref="B3"/>
    </sheetView>
  </sheetViews>
  <sheetFormatPr defaultRowHeight="12.75" x14ac:dyDescent="0.2"/>
  <cols>
    <col min="1" max="1" width="21.140625" customWidth="1"/>
    <col min="8" max="8" width="13.140625" customWidth="1"/>
  </cols>
  <sheetData>
    <row r="1" spans="1:9" x14ac:dyDescent="0.2">
      <c r="A1" t="s">
        <v>100</v>
      </c>
      <c r="B1" t="s">
        <v>101</v>
      </c>
      <c r="H1" t="s">
        <v>102</v>
      </c>
      <c r="I1">
        <v>1.1000000000000001</v>
      </c>
    </row>
    <row r="2" spans="1:9" x14ac:dyDescent="0.2">
      <c r="A2">
        <v>54</v>
      </c>
      <c r="B2">
        <v>70417</v>
      </c>
      <c r="C2">
        <f>B2*I1</f>
        <v>77458.700000000012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9" sqref="C9"/>
    </sheetView>
  </sheetViews>
  <sheetFormatPr defaultRowHeight="12.75" x14ac:dyDescent="0.2"/>
  <cols>
    <col min="1" max="1" width="25.28515625" customWidth="1"/>
    <col min="9" max="9" width="27.5703125" customWidth="1"/>
  </cols>
  <sheetData>
    <row r="1" spans="1:9" s="75" customFormat="1" x14ac:dyDescent="0.2">
      <c r="A1" s="75" t="s">
        <v>84</v>
      </c>
      <c r="B1" s="75" t="s">
        <v>85</v>
      </c>
      <c r="C1" s="75" t="s">
        <v>86</v>
      </c>
      <c r="H1" s="75">
        <v>1.3</v>
      </c>
      <c r="I1" s="75" t="s">
        <v>87</v>
      </c>
    </row>
    <row r="2" spans="1:9" x14ac:dyDescent="0.2">
      <c r="A2" t="s">
        <v>83</v>
      </c>
      <c r="B2">
        <v>6</v>
      </c>
      <c r="C2">
        <f>6480*H1</f>
        <v>8424</v>
      </c>
    </row>
    <row r="3" spans="1:9" x14ac:dyDescent="0.2">
      <c r="A3" t="s">
        <v>120</v>
      </c>
      <c r="B3">
        <v>1</v>
      </c>
      <c r="C3">
        <f>300*H1</f>
        <v>390</v>
      </c>
    </row>
    <row r="4" spans="1:9" x14ac:dyDescent="0.2">
      <c r="A4" t="s">
        <v>121</v>
      </c>
      <c r="B4">
        <v>1</v>
      </c>
      <c r="C4">
        <f>1200*H1</f>
        <v>1560</v>
      </c>
    </row>
    <row r="5" spans="1:9" x14ac:dyDescent="0.2">
      <c r="A5" t="s">
        <v>88</v>
      </c>
      <c r="B5">
        <v>12</v>
      </c>
      <c r="C5">
        <f>7680*H1</f>
        <v>9984</v>
      </c>
    </row>
    <row r="6" spans="1:9" x14ac:dyDescent="0.2">
      <c r="A6" t="s">
        <v>119</v>
      </c>
      <c r="B6">
        <v>1</v>
      </c>
      <c r="C6" s="76">
        <f>1200*H1</f>
        <v>1560</v>
      </c>
    </row>
    <row r="7" spans="1:9" x14ac:dyDescent="0.2">
      <c r="A7" t="s">
        <v>201</v>
      </c>
      <c r="B7">
        <v>1</v>
      </c>
      <c r="C7" s="90">
        <f>1200*$H$1</f>
        <v>1560</v>
      </c>
    </row>
    <row r="8" spans="1:9" x14ac:dyDescent="0.2">
      <c r="A8" s="96" t="s">
        <v>294</v>
      </c>
      <c r="B8">
        <v>3</v>
      </c>
      <c r="C8">
        <f>2244*1.1</f>
        <v>2468.4</v>
      </c>
    </row>
    <row r="13" spans="1:9" x14ac:dyDescent="0.2">
      <c r="B13" s="75">
        <f>SUM(B2:B12)</f>
        <v>25</v>
      </c>
      <c r="C13">
        <f>SUM(C2:C12)</f>
        <v>25946.400000000001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7" sqref="D7"/>
    </sheetView>
  </sheetViews>
  <sheetFormatPr defaultRowHeight="12.75" x14ac:dyDescent="0.2"/>
  <cols>
    <col min="1" max="1" width="21" style="66" customWidth="1"/>
    <col min="2" max="2" width="9.140625" style="66"/>
    <col min="3" max="3" width="12.85546875" style="66" customWidth="1"/>
    <col min="4" max="16384" width="9.140625" style="66"/>
  </cols>
  <sheetData>
    <row r="1" spans="1:4" x14ac:dyDescent="0.2">
      <c r="A1" s="66" t="s">
        <v>104</v>
      </c>
      <c r="B1" s="66" t="s">
        <v>85</v>
      </c>
      <c r="C1" s="66" t="s">
        <v>90</v>
      </c>
    </row>
    <row r="2" spans="1:4" x14ac:dyDescent="0.2">
      <c r="A2" s="66" t="s">
        <v>94</v>
      </c>
      <c r="B2" s="66">
        <v>2</v>
      </c>
      <c r="C2" s="66">
        <v>3500</v>
      </c>
    </row>
    <row r="3" spans="1:4" x14ac:dyDescent="0.2">
      <c r="A3" s="66" t="s">
        <v>93</v>
      </c>
      <c r="B3" s="66">
        <v>4</v>
      </c>
      <c r="C3" s="66">
        <v>7500</v>
      </c>
    </row>
    <row r="4" spans="1:4" x14ac:dyDescent="0.2">
      <c r="A4" s="66" t="s">
        <v>150</v>
      </c>
      <c r="B4" s="66">
        <v>2</v>
      </c>
      <c r="C4" s="66">
        <v>3500</v>
      </c>
      <c r="D4" s="66" t="s">
        <v>196</v>
      </c>
    </row>
    <row r="5" spans="1:4" x14ac:dyDescent="0.2">
      <c r="A5" s="66" t="s">
        <v>195</v>
      </c>
      <c r="B5" s="66">
        <v>1</v>
      </c>
      <c r="C5" s="66">
        <v>2750</v>
      </c>
      <c r="D5" s="66" t="s">
        <v>197</v>
      </c>
    </row>
    <row r="6" spans="1:4" x14ac:dyDescent="0.2">
      <c r="A6" s="66" t="s">
        <v>203</v>
      </c>
      <c r="B6" s="66">
        <v>3</v>
      </c>
      <c r="C6" s="66">
        <v>0</v>
      </c>
      <c r="D6" s="66" t="s">
        <v>204</v>
      </c>
    </row>
    <row r="7" spans="1:4" x14ac:dyDescent="0.2">
      <c r="B7" s="66">
        <f>SUM(B2:B6)</f>
        <v>12</v>
      </c>
      <c r="C7" s="66">
        <f>SUM(C2:C6)</f>
        <v>17250</v>
      </c>
    </row>
    <row r="11" spans="1:4" x14ac:dyDescent="0.2">
      <c r="A11" s="66" t="s">
        <v>147</v>
      </c>
    </row>
    <row r="12" spans="1:4" x14ac:dyDescent="0.2">
      <c r="A12" s="66" t="s">
        <v>89</v>
      </c>
      <c r="B12" s="66">
        <v>2</v>
      </c>
      <c r="C12" s="66">
        <v>10000</v>
      </c>
    </row>
    <row r="13" spans="1:4" x14ac:dyDescent="0.2">
      <c r="A13" s="66" t="s">
        <v>91</v>
      </c>
      <c r="B13" s="66">
        <v>0</v>
      </c>
      <c r="C13" s="66">
        <v>6500</v>
      </c>
    </row>
    <row r="14" spans="1:4" x14ac:dyDescent="0.2">
      <c r="A14" s="66" t="s">
        <v>92</v>
      </c>
      <c r="B14" s="66">
        <v>0</v>
      </c>
      <c r="C14" s="66">
        <v>5000</v>
      </c>
    </row>
    <row r="15" spans="1:4" x14ac:dyDescent="0.2">
      <c r="A15" s="66" t="s">
        <v>93</v>
      </c>
      <c r="B15" s="66">
        <v>4</v>
      </c>
      <c r="C15" s="66">
        <v>7500</v>
      </c>
    </row>
    <row r="16" spans="1:4" x14ac:dyDescent="0.2">
      <c r="A16" s="66" t="s">
        <v>94</v>
      </c>
      <c r="B16" s="66">
        <v>2</v>
      </c>
      <c r="C16" s="66">
        <v>3500</v>
      </c>
    </row>
    <row r="17" spans="1:4" x14ac:dyDescent="0.2">
      <c r="A17" s="66" t="s">
        <v>95</v>
      </c>
      <c r="B17" s="66">
        <v>1</v>
      </c>
      <c r="C17" s="66">
        <v>4000</v>
      </c>
      <c r="D17" s="66" t="s">
        <v>97</v>
      </c>
    </row>
    <row r="18" spans="1:4" x14ac:dyDescent="0.2">
      <c r="A18" s="66" t="s">
        <v>96</v>
      </c>
      <c r="B18" s="66">
        <v>2</v>
      </c>
      <c r="C18" s="66">
        <v>3900</v>
      </c>
      <c r="D18" s="66" t="s">
        <v>98</v>
      </c>
    </row>
    <row r="19" spans="1:4" x14ac:dyDescent="0.2">
      <c r="A19" s="66" t="s">
        <v>99</v>
      </c>
      <c r="B19" s="66">
        <v>0</v>
      </c>
      <c r="C19" s="66">
        <v>500</v>
      </c>
    </row>
    <row r="20" spans="1:4" x14ac:dyDescent="0.2">
      <c r="A20" s="66" t="s">
        <v>148</v>
      </c>
      <c r="B20" s="66">
        <v>0</v>
      </c>
      <c r="C20" s="66">
        <v>4000</v>
      </c>
    </row>
    <row r="21" spans="1:4" x14ac:dyDescent="0.2">
      <c r="A21" s="66" t="s">
        <v>149</v>
      </c>
      <c r="B21" s="66">
        <v>0</v>
      </c>
      <c r="C21" s="66">
        <v>1500</v>
      </c>
    </row>
    <row r="24" spans="1:4" x14ac:dyDescent="0.2">
      <c r="B24" s="66">
        <f>SUM(B12:B23)</f>
        <v>11</v>
      </c>
      <c r="C24" s="66">
        <f>SUM(C12:C23)</f>
        <v>46400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F14" sqref="F14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15.42578125" customWidth="1"/>
    <col min="5" max="5" width="29" customWidth="1"/>
    <col min="6" max="6" width="20.28515625" customWidth="1"/>
    <col min="7" max="7" width="17.2851562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93" t="s">
        <v>47</v>
      </c>
      <c r="C2" s="94"/>
      <c r="D2" s="10"/>
      <c r="E2" s="10"/>
      <c r="F2" s="65" t="s">
        <v>56</v>
      </c>
      <c r="G2" s="11"/>
      <c r="H2" s="12"/>
      <c r="I2" s="13"/>
    </row>
    <row r="3" spans="1:9" ht="13.5" x14ac:dyDescent="0.25">
      <c r="A3" s="14"/>
      <c r="B3" s="15"/>
      <c r="C3" s="16" t="s">
        <v>145</v>
      </c>
      <c r="D3" s="88" t="s">
        <v>146</v>
      </c>
      <c r="E3" s="17"/>
      <c r="F3" s="86" t="s">
        <v>145</v>
      </c>
      <c r="G3" s="87" t="s">
        <v>146</v>
      </c>
      <c r="H3" s="19"/>
      <c r="I3" s="8"/>
    </row>
    <row r="4" spans="1:9" ht="13.5" x14ac:dyDescent="0.25">
      <c r="A4" s="20"/>
      <c r="B4" s="21" t="s">
        <v>28</v>
      </c>
      <c r="C4" s="22">
        <f>Assumptions!B7+Assumptions!B8</f>
        <v>120</v>
      </c>
      <c r="D4" s="23">
        <f>totals!B9</f>
        <v>138</v>
      </c>
      <c r="E4" s="24" t="s">
        <v>0</v>
      </c>
      <c r="F4" s="25">
        <v>0</v>
      </c>
      <c r="G4" s="83">
        <f>D27-G27</f>
        <v>63663.565000000002</v>
      </c>
      <c r="H4" s="7"/>
      <c r="I4" s="8"/>
    </row>
    <row r="5" spans="1:9" s="70" customFormat="1" ht="13.5" x14ac:dyDescent="0.25">
      <c r="A5" s="20"/>
      <c r="B5" s="21"/>
      <c r="C5" s="22"/>
      <c r="D5" s="23"/>
      <c r="E5" s="24" t="s">
        <v>46</v>
      </c>
      <c r="F5" s="25">
        <f>C11</f>
        <v>150000</v>
      </c>
      <c r="G5" s="83">
        <f>D11</f>
        <v>50000</v>
      </c>
      <c r="H5" s="7"/>
      <c r="I5" s="8"/>
    </row>
    <row r="6" spans="1:9" ht="13.5" x14ac:dyDescent="0.25">
      <c r="A6" s="26"/>
      <c r="B6" s="21"/>
      <c r="C6" s="22"/>
      <c r="D6" s="27"/>
      <c r="E6" s="28" t="s">
        <v>1</v>
      </c>
      <c r="F6" s="29">
        <f>C27-F27-F5</f>
        <v>4607</v>
      </c>
      <c r="G6" s="85">
        <f>G4-G5</f>
        <v>13663.565000000002</v>
      </c>
      <c r="H6" s="7"/>
      <c r="I6" s="8"/>
    </row>
    <row r="7" spans="1:9" x14ac:dyDescent="0.2">
      <c r="A7" s="14"/>
      <c r="B7" s="4"/>
      <c r="C7" s="3"/>
      <c r="D7" s="5"/>
      <c r="E7" s="30"/>
      <c r="F7" s="30"/>
      <c r="G7" s="18"/>
      <c r="H7" s="31"/>
      <c r="I7" s="32"/>
    </row>
    <row r="8" spans="1:9" ht="15.75" x14ac:dyDescent="0.3">
      <c r="A8" s="14"/>
      <c r="B8" s="33" t="s">
        <v>2</v>
      </c>
      <c r="C8" s="34"/>
      <c r="D8" s="5"/>
      <c r="E8" s="35" t="s">
        <v>3</v>
      </c>
      <c r="F8" s="36"/>
      <c r="G8" s="18"/>
      <c r="H8" s="31"/>
      <c r="I8" s="32"/>
    </row>
    <row r="9" spans="1:9" x14ac:dyDescent="0.2">
      <c r="A9" s="14"/>
      <c r="B9" s="5"/>
      <c r="C9" s="37"/>
      <c r="D9" s="5"/>
      <c r="F9" s="38"/>
      <c r="G9" s="18"/>
      <c r="H9" s="31"/>
      <c r="I9" s="32"/>
    </row>
    <row r="10" spans="1:9" ht="13.5" x14ac:dyDescent="0.25">
      <c r="A10" s="14"/>
      <c r="B10" s="39"/>
      <c r="C10" s="40" t="s">
        <v>4</v>
      </c>
      <c r="D10" s="14"/>
      <c r="E10" s="41"/>
      <c r="F10" s="40" t="s">
        <v>4</v>
      </c>
      <c r="G10" s="26"/>
      <c r="H10" s="31"/>
      <c r="I10" s="32"/>
    </row>
    <row r="11" spans="1:9" ht="13.5" x14ac:dyDescent="0.25">
      <c r="A11" s="26"/>
      <c r="B11" s="42" t="s">
        <v>19</v>
      </c>
      <c r="C11" s="43">
        <f>Assumptions!B6</f>
        <v>150000</v>
      </c>
      <c r="D11" s="80">
        <v>50000</v>
      </c>
      <c r="E11" s="44" t="s">
        <v>52</v>
      </c>
      <c r="F11" s="69">
        <f>Assumptions!B24</f>
        <v>24549.1</v>
      </c>
      <c r="G11" s="82">
        <f>F33+F36</f>
        <v>45975.8</v>
      </c>
      <c r="H11" s="31"/>
      <c r="I11" s="32"/>
    </row>
    <row r="12" spans="1:9" ht="13.5" x14ac:dyDescent="0.25">
      <c r="A12" s="26"/>
      <c r="B12" s="42" t="s">
        <v>21</v>
      </c>
      <c r="C12" s="43">
        <f>(Assumptions!B7*Assumptions!B4)+(Assumptions!B8*Assumptions!B5)</f>
        <v>120000</v>
      </c>
      <c r="D12" s="80">
        <f>(tickets!C2+invoiced!C13)</f>
        <v>103405.1</v>
      </c>
      <c r="E12" s="44" t="s">
        <v>6</v>
      </c>
      <c r="F12" s="69">
        <f>Assumptions!B29</f>
        <v>32156.400000000001</v>
      </c>
      <c r="G12" s="82">
        <f>catering!B15</f>
        <v>28559.375</v>
      </c>
      <c r="H12" s="104" t="s">
        <v>206</v>
      </c>
      <c r="I12" s="32"/>
    </row>
    <row r="13" spans="1:9" ht="13.5" x14ac:dyDescent="0.25">
      <c r="A13" s="26"/>
      <c r="B13" s="42" t="s">
        <v>5</v>
      </c>
      <c r="C13" s="43">
        <f>Assumptions!B12</f>
        <v>0</v>
      </c>
      <c r="D13" s="80">
        <f>sponsored!C7</f>
        <v>17250</v>
      </c>
      <c r="E13" s="44" t="s">
        <v>24</v>
      </c>
      <c r="F13" s="69">
        <f>Assumptions!B9*Assumptions!B11</f>
        <v>0</v>
      </c>
      <c r="G13" s="82">
        <f>travel!H32</f>
        <v>9000</v>
      </c>
      <c r="H13" s="31"/>
      <c r="I13" s="32"/>
    </row>
    <row r="14" spans="1:9" ht="89.25" x14ac:dyDescent="0.25">
      <c r="A14" s="48"/>
      <c r="B14" s="42" t="s">
        <v>20</v>
      </c>
      <c r="C14" s="43">
        <f>Assumptions!B13</f>
        <v>23000</v>
      </c>
      <c r="D14" s="80">
        <f>sponsored!C24</f>
        <v>46400</v>
      </c>
      <c r="E14" s="68" t="s">
        <v>34</v>
      </c>
      <c r="F14" s="69">
        <f>Assumptions!B18</f>
        <v>5000</v>
      </c>
      <c r="G14" s="46">
        <f>operations!B8</f>
        <v>29127.66</v>
      </c>
      <c r="H14" s="31" t="s">
        <v>209</v>
      </c>
      <c r="I14" s="32"/>
    </row>
    <row r="15" spans="1:9" ht="26.25" x14ac:dyDescent="0.25">
      <c r="A15" s="49"/>
      <c r="B15" s="102" t="s">
        <v>218</v>
      </c>
      <c r="D15" s="80">
        <f>funded!K26</f>
        <v>16041</v>
      </c>
      <c r="E15" s="44" t="s">
        <v>7</v>
      </c>
      <c r="F15" s="69">
        <v>1000</v>
      </c>
      <c r="G15" s="46">
        <v>0</v>
      </c>
      <c r="H15" s="31"/>
      <c r="I15" s="32"/>
    </row>
    <row r="16" spans="1:9" ht="13.5" x14ac:dyDescent="0.25">
      <c r="A16" s="49"/>
      <c r="D16" s="18"/>
      <c r="E16" s="44" t="s">
        <v>8</v>
      </c>
      <c r="F16" s="69">
        <v>1000</v>
      </c>
      <c r="G16" s="46"/>
      <c r="H16" s="104" t="s">
        <v>207</v>
      </c>
      <c r="I16" s="32"/>
    </row>
    <row r="17" spans="1:9" ht="13.5" x14ac:dyDescent="0.25">
      <c r="A17" s="14"/>
      <c r="B17" s="50"/>
      <c r="C17" s="51"/>
      <c r="D17" s="18"/>
      <c r="E17" s="44" t="s">
        <v>9</v>
      </c>
      <c r="F17" s="69">
        <f>(Assumptions!B3+Assumptions!B7)*Assumptions!B14</f>
        <v>2250</v>
      </c>
      <c r="G17" s="26">
        <f>350*invoiced!H1</f>
        <v>455</v>
      </c>
      <c r="H17" s="7" t="s">
        <v>205</v>
      </c>
      <c r="I17" s="32"/>
    </row>
    <row r="18" spans="1:9" ht="13.5" x14ac:dyDescent="0.25">
      <c r="A18" s="14"/>
      <c r="B18" s="50"/>
      <c r="C18" s="51"/>
      <c r="D18" s="18"/>
      <c r="E18" s="44" t="s">
        <v>30</v>
      </c>
      <c r="F18" s="69">
        <f>(Assumptions!B7+Assumptions!B8)*Assumptions!B15</f>
        <v>1800</v>
      </c>
      <c r="G18" s="92">
        <f>900*1.3</f>
        <v>1170</v>
      </c>
      <c r="H18" s="99" t="s">
        <v>293</v>
      </c>
      <c r="I18" s="32"/>
    </row>
    <row r="19" spans="1:9" ht="13.5" x14ac:dyDescent="0.25">
      <c r="A19" s="14"/>
      <c r="B19" s="50"/>
      <c r="C19" s="51"/>
      <c r="D19" s="18"/>
      <c r="E19" s="44" t="s">
        <v>10</v>
      </c>
      <c r="F19" s="69">
        <f>Assumptions!B16</f>
        <v>3000</v>
      </c>
      <c r="G19" s="26">
        <v>0</v>
      </c>
      <c r="H19" s="31"/>
      <c r="I19" s="32"/>
    </row>
    <row r="20" spans="1:9" ht="13.5" x14ac:dyDescent="0.25">
      <c r="A20" s="14"/>
      <c r="B20" s="50"/>
      <c r="C20" s="51"/>
      <c r="D20" s="18"/>
      <c r="E20" s="44" t="s">
        <v>11</v>
      </c>
      <c r="F20" s="69">
        <f>C4*Assumptions!B17</f>
        <v>600</v>
      </c>
      <c r="G20" s="83">
        <v>0</v>
      </c>
      <c r="H20" s="100" t="s">
        <v>295</v>
      </c>
      <c r="I20" s="32"/>
    </row>
    <row r="21" spans="1:9" ht="13.5" x14ac:dyDescent="0.25">
      <c r="A21" s="14"/>
      <c r="B21" s="50"/>
      <c r="C21" s="51"/>
      <c r="D21" s="18"/>
      <c r="E21" s="44" t="s">
        <v>12</v>
      </c>
      <c r="F21" s="69">
        <f>Assumptions!B20</f>
        <v>3000</v>
      </c>
      <c r="G21" s="83">
        <f>869*invoiced!H1</f>
        <v>1129.7</v>
      </c>
      <c r="H21" s="7" t="s">
        <v>208</v>
      </c>
      <c r="I21" s="32"/>
    </row>
    <row r="22" spans="1:9" ht="13.5" x14ac:dyDescent="0.25">
      <c r="A22" s="14"/>
      <c r="B22" s="50"/>
      <c r="C22" s="51"/>
      <c r="D22" s="18"/>
      <c r="E22" s="44" t="s">
        <v>40</v>
      </c>
      <c r="F22" s="69">
        <f>Assumptions!B21</f>
        <v>0</v>
      </c>
      <c r="G22" s="83">
        <f>300*invoiced!H1</f>
        <v>390</v>
      </c>
      <c r="H22" s="31"/>
      <c r="I22" s="32"/>
    </row>
    <row r="23" spans="1:9" ht="13.5" x14ac:dyDescent="0.25">
      <c r="A23" s="14"/>
      <c r="B23" s="50"/>
      <c r="C23" s="51"/>
      <c r="D23" s="18"/>
      <c r="E23" s="44" t="s">
        <v>59</v>
      </c>
      <c r="F23" s="47">
        <f>Assumptions!B31</f>
        <v>52387.5</v>
      </c>
      <c r="G23" s="83">
        <f>F34</f>
        <v>53625</v>
      </c>
      <c r="H23" s="31"/>
      <c r="I23" s="32"/>
    </row>
    <row r="24" spans="1:9" ht="13.5" x14ac:dyDescent="0.25">
      <c r="A24" s="14"/>
      <c r="B24" s="50"/>
      <c r="C24" s="51"/>
      <c r="D24" s="18"/>
      <c r="E24" s="98" t="s">
        <v>194</v>
      </c>
      <c r="F24" s="47">
        <v>11650</v>
      </c>
      <c r="G24" s="83">
        <v>0</v>
      </c>
      <c r="H24" s="100" t="s">
        <v>292</v>
      </c>
      <c r="I24" s="32"/>
    </row>
    <row r="25" spans="1:9" ht="13.5" x14ac:dyDescent="0.25">
      <c r="A25" s="14"/>
      <c r="B25" s="50"/>
      <c r="C25" s="51"/>
      <c r="D25" s="18"/>
      <c r="E25" s="44"/>
      <c r="F25" s="45"/>
      <c r="G25" s="26"/>
      <c r="H25" s="31"/>
      <c r="I25" s="32"/>
    </row>
    <row r="26" spans="1:9" ht="13.5" x14ac:dyDescent="0.25">
      <c r="A26" s="14"/>
      <c r="B26" s="5"/>
      <c r="C26" s="51"/>
      <c r="D26" s="5"/>
      <c r="E26" s="52"/>
      <c r="F26" s="4"/>
      <c r="G26" s="18"/>
      <c r="H26" s="31"/>
      <c r="I26" s="32"/>
    </row>
    <row r="27" spans="1:9" ht="13.5" x14ac:dyDescent="0.25">
      <c r="A27" s="14"/>
      <c r="B27" s="53" t="s">
        <v>13</v>
      </c>
      <c r="C27" s="54">
        <f>SUM(C11:C14)</f>
        <v>293000</v>
      </c>
      <c r="D27" s="81">
        <f>SUM(D11:D26)</f>
        <v>233096.1</v>
      </c>
      <c r="E27" s="55" t="s">
        <v>13</v>
      </c>
      <c r="F27" s="56">
        <f>SUM(F11:F25)</f>
        <v>138393</v>
      </c>
      <c r="G27" s="84">
        <f>SUM(G11:G25)</f>
        <v>169432.535</v>
      </c>
      <c r="H27" s="31"/>
      <c r="I27" s="32"/>
    </row>
    <row r="28" spans="1:9" x14ac:dyDescent="0.2">
      <c r="A28" s="57"/>
      <c r="B28" s="57"/>
      <c r="C28" s="58"/>
      <c r="D28" s="57"/>
      <c r="E28" s="57"/>
      <c r="F28" s="57"/>
      <c r="G28" s="59"/>
      <c r="H28" s="31"/>
      <c r="I28" s="32"/>
    </row>
    <row r="29" spans="1:9" x14ac:dyDescent="0.2">
      <c r="A29" s="60"/>
      <c r="B29" s="60"/>
      <c r="C29" s="61"/>
      <c r="D29" s="60"/>
      <c r="E29" s="60"/>
      <c r="F29" s="60"/>
      <c r="G29" s="60"/>
      <c r="H29" s="32"/>
      <c r="I29" s="32"/>
    </row>
    <row r="30" spans="1:9" x14ac:dyDescent="0.2">
      <c r="A30" s="8"/>
      <c r="B30" s="8"/>
      <c r="C30" s="62"/>
      <c r="D30" s="8"/>
      <c r="E30" s="8"/>
      <c r="F30" s="8"/>
      <c r="G30" s="8"/>
      <c r="H30" s="32"/>
      <c r="I30" s="32"/>
    </row>
    <row r="31" spans="1:9" x14ac:dyDescent="0.2">
      <c r="A31" s="8"/>
      <c r="B31" s="8"/>
      <c r="C31" s="62"/>
      <c r="D31" s="8"/>
      <c r="G31" s="8"/>
      <c r="H31" s="32"/>
      <c r="I31" s="32"/>
    </row>
    <row r="32" spans="1:9" x14ac:dyDescent="0.2">
      <c r="A32" s="8"/>
      <c r="B32" s="8" t="s">
        <v>103</v>
      </c>
      <c r="C32" s="62"/>
      <c r="D32" s="8"/>
      <c r="E32" t="s">
        <v>106</v>
      </c>
      <c r="G32" s="8"/>
      <c r="H32" s="32"/>
      <c r="I32" s="32"/>
    </row>
    <row r="33" spans="1:9" x14ac:dyDescent="0.2">
      <c r="A33" s="8"/>
      <c r="B33" s="8" t="s">
        <v>104</v>
      </c>
      <c r="C33" s="62">
        <f>sponsored!C7+sponsored!C24</f>
        <v>63650</v>
      </c>
      <c r="D33" s="8"/>
      <c r="E33" s="8" t="s">
        <v>107</v>
      </c>
      <c r="F33" s="77">
        <f>(19330+11970)*invoiced!H1</f>
        <v>40690</v>
      </c>
      <c r="G33" s="8"/>
      <c r="H33" s="32"/>
      <c r="I33" s="32"/>
    </row>
    <row r="34" spans="1:9" x14ac:dyDescent="0.2">
      <c r="A34" s="8"/>
      <c r="B34" s="8" t="s">
        <v>85</v>
      </c>
      <c r="C34" s="62">
        <f>tickets!C2</f>
        <v>77458.700000000012</v>
      </c>
      <c r="D34" s="8"/>
      <c r="E34" s="8" t="s">
        <v>108</v>
      </c>
      <c r="F34" s="77">
        <f>41250*invoiced!H1</f>
        <v>53625</v>
      </c>
      <c r="G34" s="8"/>
      <c r="H34" s="32"/>
      <c r="I34" s="32"/>
    </row>
    <row r="35" spans="1:9" x14ac:dyDescent="0.2">
      <c r="A35" s="8"/>
      <c r="B35" s="8" t="s">
        <v>105</v>
      </c>
      <c r="C35" s="62">
        <f>invoiced!C13</f>
        <v>25946.400000000001</v>
      </c>
      <c r="D35" s="8"/>
      <c r="E35" s="8" t="s">
        <v>141</v>
      </c>
      <c r="F35" s="77">
        <f>catering!B15*totals!B9</f>
        <v>3941193.75</v>
      </c>
      <c r="G35" s="8"/>
      <c r="H35" s="32"/>
      <c r="I35" s="32"/>
    </row>
    <row r="36" spans="1:9" x14ac:dyDescent="0.2">
      <c r="A36" s="8"/>
      <c r="B36" s="8"/>
      <c r="C36" s="62"/>
      <c r="D36" s="8"/>
      <c r="E36" s="8" t="s">
        <v>151</v>
      </c>
      <c r="F36" s="77">
        <f>4066*invoiced!H1</f>
        <v>5285.8</v>
      </c>
      <c r="G36" s="8"/>
      <c r="H36" s="32"/>
      <c r="I36" s="32"/>
    </row>
    <row r="37" spans="1:9" x14ac:dyDescent="0.2">
      <c r="A37" s="8"/>
      <c r="B37" s="8"/>
      <c r="C37" s="62"/>
      <c r="D37" s="8"/>
      <c r="G37" s="8"/>
      <c r="H37" s="32"/>
      <c r="I37" s="32"/>
    </row>
    <row r="38" spans="1:9" x14ac:dyDescent="0.2">
      <c r="A38" s="8"/>
      <c r="B38" s="8"/>
      <c r="C38" s="62"/>
      <c r="D38" s="8"/>
      <c r="E38" s="8"/>
      <c r="F38" s="77"/>
      <c r="G38" s="8"/>
      <c r="H38" s="32"/>
      <c r="I38" s="32"/>
    </row>
    <row r="39" spans="1:9" x14ac:dyDescent="0.2">
      <c r="A39" s="8"/>
      <c r="B39" s="8"/>
      <c r="C39" s="62"/>
      <c r="D39" s="8"/>
      <c r="E39" s="8"/>
      <c r="F39" s="77"/>
      <c r="G39" s="8"/>
      <c r="H39" s="32"/>
      <c r="I39" s="32"/>
    </row>
    <row r="40" spans="1:9" x14ac:dyDescent="0.2">
      <c r="A40" s="8"/>
      <c r="B40" s="8"/>
      <c r="C40" s="62"/>
      <c r="D40" s="8"/>
      <c r="E40" s="8"/>
      <c r="F40" s="8"/>
      <c r="G40" s="8"/>
      <c r="H40" s="32"/>
      <c r="I40" s="32"/>
    </row>
    <row r="41" spans="1:9" x14ac:dyDescent="0.2">
      <c r="A41" s="8"/>
      <c r="B41" s="8"/>
      <c r="C41" s="62"/>
      <c r="D41" s="8"/>
      <c r="E41" s="8"/>
      <c r="F41" s="77"/>
      <c r="G41" s="8"/>
      <c r="H41" s="32"/>
      <c r="I41" s="32"/>
    </row>
    <row r="42" spans="1:9" x14ac:dyDescent="0.2">
      <c r="A42" s="8"/>
      <c r="B42" s="8"/>
      <c r="C42" s="62"/>
      <c r="D42" s="8"/>
      <c r="E42" s="8"/>
      <c r="F42" s="8"/>
      <c r="G42" s="8"/>
      <c r="H42" s="32"/>
      <c r="I42" s="32"/>
    </row>
    <row r="43" spans="1:9" x14ac:dyDescent="0.2">
      <c r="A43" s="8"/>
      <c r="B43" s="8"/>
      <c r="C43" s="62"/>
      <c r="D43" s="8"/>
      <c r="E43" s="8"/>
      <c r="F43" s="8"/>
      <c r="G43" s="8"/>
      <c r="H43" s="32"/>
      <c r="I43" s="32"/>
    </row>
    <row r="44" spans="1:9" x14ac:dyDescent="0.2">
      <c r="A44" s="8"/>
      <c r="B44" s="8"/>
      <c r="C44" s="62"/>
      <c r="D44" s="8"/>
      <c r="E44" s="8"/>
      <c r="F44" s="8"/>
      <c r="G44" s="8"/>
      <c r="H44" s="32"/>
      <c r="I44" s="32"/>
    </row>
    <row r="45" spans="1:9" x14ac:dyDescent="0.2">
      <c r="A45" s="8"/>
      <c r="B45" s="8"/>
      <c r="C45" s="62"/>
      <c r="D45" s="8"/>
      <c r="E45" s="8"/>
      <c r="F45" s="8"/>
      <c r="G45" s="8"/>
      <c r="H45" s="32"/>
      <c r="I45" s="32"/>
    </row>
    <row r="46" spans="1:9" x14ac:dyDescent="0.2">
      <c r="A46" s="8"/>
      <c r="B46" s="8"/>
      <c r="C46" s="62"/>
      <c r="D46" s="8"/>
      <c r="E46" s="8"/>
      <c r="F46" s="8"/>
      <c r="G46" s="8"/>
      <c r="H46" s="32"/>
      <c r="I46" s="32"/>
    </row>
    <row r="47" spans="1:9" ht="14.25" customHeight="1" x14ac:dyDescent="0.2">
      <c r="A47" s="8"/>
      <c r="B47" s="8"/>
      <c r="C47" s="62"/>
      <c r="D47" s="8"/>
      <c r="E47" s="8"/>
      <c r="F47" s="8"/>
      <c r="G47" s="8"/>
      <c r="H47" s="32"/>
      <c r="I47" s="32"/>
    </row>
    <row r="48" spans="1:9" ht="14.25" customHeight="1" x14ac:dyDescent="0.2">
      <c r="A48" s="8"/>
      <c r="B48" s="8"/>
      <c r="C48" s="62"/>
      <c r="D48" s="8"/>
      <c r="E48" s="8"/>
      <c r="F48" s="8"/>
      <c r="G48" s="8"/>
      <c r="H48" s="32"/>
      <c r="I48" s="32"/>
    </row>
    <row r="49" spans="1:9" ht="14.25" customHeight="1" x14ac:dyDescent="0.2">
      <c r="A49" s="8"/>
      <c r="B49" s="8"/>
      <c r="C49" s="62"/>
      <c r="D49" s="8"/>
      <c r="E49" s="8"/>
      <c r="F49" s="8"/>
      <c r="G49" s="8"/>
      <c r="H49" s="32"/>
      <c r="I49" s="32"/>
    </row>
    <row r="50" spans="1:9" ht="14.25" customHeight="1" x14ac:dyDescent="0.2">
      <c r="A50" s="8"/>
      <c r="B50" s="8"/>
      <c r="C50" s="62"/>
      <c r="D50" s="8"/>
      <c r="E50" s="8"/>
      <c r="F50" s="8"/>
      <c r="G50" s="8"/>
      <c r="H50" s="32"/>
      <c r="I50" s="32"/>
    </row>
    <row r="51" spans="1:9" ht="14.25" customHeight="1" x14ac:dyDescent="0.2">
      <c r="A51" s="8"/>
      <c r="B51" s="8"/>
      <c r="C51" s="62"/>
      <c r="D51" s="8"/>
      <c r="E51" s="8"/>
      <c r="F51" s="8"/>
      <c r="G51" s="8"/>
      <c r="H51" s="32"/>
      <c r="I51" s="32"/>
    </row>
    <row r="52" spans="1:9" ht="14.25" customHeight="1" x14ac:dyDescent="0.2">
      <c r="A52" s="8"/>
      <c r="B52" s="8"/>
      <c r="C52" s="62"/>
      <c r="D52" s="8"/>
      <c r="E52" s="8"/>
      <c r="F52" s="8"/>
      <c r="G52" s="8"/>
      <c r="H52" s="32"/>
      <c r="I52" s="32"/>
    </row>
    <row r="53" spans="1:9" ht="14.25" customHeight="1" x14ac:dyDescent="0.2">
      <c r="A53" s="8"/>
      <c r="B53" s="8"/>
      <c r="C53" s="62"/>
      <c r="D53" s="8"/>
      <c r="E53" s="8"/>
      <c r="F53" s="8"/>
      <c r="G53" s="8"/>
      <c r="H53" s="32"/>
      <c r="I53" s="32"/>
    </row>
    <row r="54" spans="1:9" ht="14.25" customHeight="1" x14ac:dyDescent="0.2">
      <c r="A54" s="8"/>
      <c r="B54" s="8"/>
      <c r="C54" s="62"/>
      <c r="D54" s="8"/>
      <c r="E54" s="8"/>
      <c r="F54" s="8"/>
      <c r="G54" s="8"/>
      <c r="H54" s="32"/>
      <c r="I54" s="32"/>
    </row>
    <row r="55" spans="1:9" ht="14.25" customHeight="1" x14ac:dyDescent="0.2">
      <c r="A55" s="8"/>
      <c r="B55" s="8"/>
      <c r="C55" s="62"/>
      <c r="D55" s="8"/>
      <c r="E55" s="8"/>
      <c r="F55" s="8"/>
      <c r="G55" s="8"/>
      <c r="H55" s="32"/>
      <c r="I55" s="32"/>
    </row>
    <row r="56" spans="1:9" ht="14.25" customHeight="1" x14ac:dyDescent="0.2">
      <c r="A56" s="8"/>
      <c r="B56" s="8"/>
      <c r="C56" s="62"/>
      <c r="D56" s="8"/>
      <c r="E56" s="8"/>
      <c r="F56" s="8"/>
      <c r="G56" s="8"/>
      <c r="H56" s="32"/>
      <c r="I56" s="32"/>
    </row>
    <row r="57" spans="1:9" ht="14.25" customHeight="1" x14ac:dyDescent="0.2">
      <c r="A57" s="8"/>
      <c r="B57" s="8"/>
      <c r="C57" s="62"/>
      <c r="D57" s="8"/>
      <c r="E57" s="8"/>
      <c r="F57" s="8"/>
      <c r="G57" s="8"/>
      <c r="H57" s="32"/>
      <c r="I57" s="32"/>
    </row>
    <row r="58" spans="1:9" ht="14.25" customHeight="1" x14ac:dyDescent="0.2">
      <c r="A58" s="8"/>
      <c r="B58" s="8"/>
      <c r="C58" s="62"/>
      <c r="D58" s="8"/>
      <c r="E58" s="8"/>
      <c r="F58" s="8"/>
      <c r="G58" s="8"/>
      <c r="H58" s="32"/>
      <c r="I58" s="32"/>
    </row>
    <row r="59" spans="1:9" ht="14.25" customHeight="1" x14ac:dyDescent="0.2">
      <c r="A59" s="8"/>
      <c r="B59" s="32"/>
      <c r="C59" s="63"/>
      <c r="D59" s="8"/>
      <c r="E59" s="8"/>
      <c r="F59" s="8"/>
      <c r="G59" s="8"/>
      <c r="H59" s="32"/>
      <c r="I59" s="32"/>
    </row>
    <row r="60" spans="1:9" ht="14.25" customHeight="1" x14ac:dyDescent="0.2">
      <c r="A60" s="8"/>
      <c r="B60" s="32"/>
      <c r="C60" s="63"/>
      <c r="D60" s="8"/>
      <c r="E60" s="8"/>
      <c r="F60" s="8"/>
      <c r="G60" s="8"/>
      <c r="H60" s="32"/>
      <c r="I60" s="32"/>
    </row>
    <row r="61" spans="1:9" ht="14.25" customHeight="1" x14ac:dyDescent="0.2">
      <c r="A61" s="8"/>
      <c r="B61" s="32"/>
      <c r="C61" s="63"/>
      <c r="D61" s="32"/>
      <c r="E61" s="8"/>
      <c r="F61" s="8"/>
      <c r="G61" s="8"/>
      <c r="H61" s="8"/>
      <c r="I61" s="8"/>
    </row>
    <row r="62" spans="1:9" ht="14.25" customHeight="1" x14ac:dyDescent="0.2">
      <c r="A62" s="8"/>
      <c r="B62" s="32"/>
      <c r="C62" s="63"/>
      <c r="D62" s="32"/>
      <c r="E62" s="32"/>
      <c r="F62" s="32"/>
      <c r="G62" s="8"/>
      <c r="H62" s="8"/>
      <c r="I62" s="8"/>
    </row>
    <row r="63" spans="1:9" ht="14.25" customHeight="1" x14ac:dyDescent="0.2">
      <c r="A63" s="8"/>
      <c r="B63" s="8"/>
      <c r="C63" s="62"/>
      <c r="D63" s="8"/>
      <c r="E63" s="32"/>
      <c r="F63" s="32"/>
      <c r="G63" s="8"/>
      <c r="H63" s="8"/>
      <c r="I63" s="8"/>
    </row>
    <row r="64" spans="1:9" ht="14.25" customHeight="1" x14ac:dyDescent="0.2">
      <c r="A64" s="8"/>
      <c r="B64" s="8"/>
      <c r="C64" s="62"/>
      <c r="D64" s="8"/>
      <c r="E64" s="32"/>
      <c r="F64" s="32"/>
      <c r="G64" s="8"/>
      <c r="H64" s="8"/>
      <c r="I64" s="8"/>
    </row>
    <row r="65" spans="1:9" ht="14.25" customHeight="1" x14ac:dyDescent="0.2">
      <c r="A65" s="8"/>
      <c r="B65" s="8"/>
      <c r="C65" s="62"/>
      <c r="D65" s="8"/>
      <c r="E65" s="32"/>
      <c r="F65" s="32"/>
      <c r="G65" s="8"/>
      <c r="H65" s="8"/>
      <c r="I65" s="8"/>
    </row>
    <row r="66" spans="1:9" ht="14.25" customHeight="1" x14ac:dyDescent="0.2">
      <c r="A66" s="8"/>
      <c r="B66" s="8"/>
      <c r="C66" s="62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2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2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2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2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2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2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2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2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2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2"/>
      <c r="D76" s="8"/>
      <c r="E76" s="8"/>
      <c r="F76" s="8"/>
      <c r="G76" s="32"/>
      <c r="H76" s="32"/>
      <c r="I76" s="32"/>
    </row>
    <row r="77" spans="1:9" ht="12.75" customHeight="1" x14ac:dyDescent="0.2">
      <c r="E77" s="8"/>
      <c r="F77" s="8"/>
    </row>
    <row r="78" spans="1:9" ht="12.75" customHeight="1" x14ac:dyDescent="0.2">
      <c r="E78" s="8"/>
      <c r="F78" s="8"/>
    </row>
    <row r="79" spans="1:9" ht="12.75" customHeight="1" x14ac:dyDescent="0.2">
      <c r="E79" s="8"/>
      <c r="F79" s="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defaultRowHeight="12.75" x14ac:dyDescent="0.2"/>
  <cols>
    <col min="1" max="1" width="23" customWidth="1"/>
    <col min="2" max="2" width="9.5703125" bestFit="1" customWidth="1"/>
  </cols>
  <sheetData>
    <row r="1" spans="1:3" x14ac:dyDescent="0.2">
      <c r="A1" t="s">
        <v>113</v>
      </c>
      <c r="B1" t="s">
        <v>86</v>
      </c>
    </row>
    <row r="2" spans="1:3" x14ac:dyDescent="0.2">
      <c r="A2" t="s">
        <v>114</v>
      </c>
      <c r="B2">
        <f>4.75*invoiced!H1</f>
        <v>6.1749999999999998</v>
      </c>
    </row>
    <row r="3" spans="1:3" x14ac:dyDescent="0.2">
      <c r="A3" t="s">
        <v>115</v>
      </c>
      <c r="B3">
        <f>16*invoiced!H1</f>
        <v>20.8</v>
      </c>
    </row>
    <row r="4" spans="1:3" s="89" customFormat="1" x14ac:dyDescent="0.2">
      <c r="A4" s="89" t="s">
        <v>198</v>
      </c>
      <c r="B4" s="89">
        <v>125</v>
      </c>
    </row>
    <row r="5" spans="1:3" s="89" customFormat="1" x14ac:dyDescent="0.2">
      <c r="A5" s="89" t="s">
        <v>200</v>
      </c>
      <c r="B5" s="89">
        <v>5</v>
      </c>
    </row>
    <row r="6" spans="1:3" s="89" customFormat="1" x14ac:dyDescent="0.2">
      <c r="B6" s="89">
        <f>(B2+B3)*B4*B5</f>
        <v>16859.375</v>
      </c>
    </row>
    <row r="7" spans="1:3" s="89" customFormat="1" x14ac:dyDescent="0.2"/>
    <row r="8" spans="1:3" x14ac:dyDescent="0.2">
      <c r="A8" t="s">
        <v>116</v>
      </c>
      <c r="B8">
        <f>10*invoiced!H1</f>
        <v>13</v>
      </c>
    </row>
    <row r="9" spans="1:3" x14ac:dyDescent="0.2">
      <c r="A9" t="s">
        <v>117</v>
      </c>
      <c r="B9">
        <f>5*invoiced!H1</f>
        <v>6.5</v>
      </c>
    </row>
    <row r="10" spans="1:3" s="89" customFormat="1" x14ac:dyDescent="0.2">
      <c r="A10" s="89" t="s">
        <v>199</v>
      </c>
      <c r="B10" s="89">
        <f>7.5*invoiced!H1</f>
        <v>9.75</v>
      </c>
    </row>
    <row r="11" spans="1:3" x14ac:dyDescent="0.2">
      <c r="A11" t="s">
        <v>198</v>
      </c>
      <c r="B11">
        <v>100</v>
      </c>
    </row>
    <row r="12" spans="1:3" s="89" customFormat="1" x14ac:dyDescent="0.2">
      <c r="A12" s="89" t="s">
        <v>200</v>
      </c>
      <c r="B12" s="89">
        <v>4</v>
      </c>
    </row>
    <row r="13" spans="1:3" s="89" customFormat="1" x14ac:dyDescent="0.2">
      <c r="B13" s="89">
        <f>(B8+B9+B10)*B11*B12</f>
        <v>11700</v>
      </c>
    </row>
    <row r="14" spans="1:3" s="89" customFormat="1" x14ac:dyDescent="0.2"/>
    <row r="15" spans="1:3" x14ac:dyDescent="0.2">
      <c r="A15" t="s">
        <v>118</v>
      </c>
      <c r="B15">
        <f>B6+B13</f>
        <v>28559.375</v>
      </c>
      <c r="C15" s="101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22" sqref="E22"/>
    </sheetView>
  </sheetViews>
  <sheetFormatPr defaultRowHeight="12.75" x14ac:dyDescent="0.2"/>
  <cols>
    <col min="1" max="1" width="15.7109375" style="66" bestFit="1" customWidth="1"/>
    <col min="2" max="2" width="9.5703125" bestFit="1" customWidth="1"/>
  </cols>
  <sheetData>
    <row r="1" spans="1:3" x14ac:dyDescent="0.2">
      <c r="A1" s="66" t="s">
        <v>210</v>
      </c>
    </row>
    <row r="2" spans="1:3" ht="25.5" x14ac:dyDescent="0.2">
      <c r="A2" s="66" t="s">
        <v>211</v>
      </c>
      <c r="B2">
        <f>779.94*1.1</f>
        <v>857.93400000000008</v>
      </c>
    </row>
    <row r="3" spans="1:3" x14ac:dyDescent="0.2">
      <c r="A3" s="101" t="s">
        <v>199</v>
      </c>
      <c r="B3">
        <f>4965*invoiced!H1</f>
        <v>6454.5</v>
      </c>
    </row>
    <row r="4" spans="1:3" x14ac:dyDescent="0.2">
      <c r="A4" s="101" t="s">
        <v>215</v>
      </c>
      <c r="B4">
        <f>540+5800+12017.98</f>
        <v>18357.98</v>
      </c>
      <c r="C4" s="101" t="s">
        <v>221</v>
      </c>
    </row>
    <row r="5" spans="1:3" x14ac:dyDescent="0.2">
      <c r="A5" s="101" t="s">
        <v>219</v>
      </c>
      <c r="B5">
        <f>(25.51+10.87+22.04)*invoiced!H1</f>
        <v>75.945999999999998</v>
      </c>
      <c r="C5" s="101" t="s">
        <v>298</v>
      </c>
    </row>
    <row r="6" spans="1:3" x14ac:dyDescent="0.2">
      <c r="A6" s="101" t="s">
        <v>220</v>
      </c>
      <c r="B6">
        <f>2601*invoiced!H1</f>
        <v>3381.3</v>
      </c>
    </row>
    <row r="7" spans="1:3" s="91" customFormat="1" x14ac:dyDescent="0.2">
      <c r="A7" s="101" t="s">
        <v>296</v>
      </c>
      <c r="B7" s="91">
        <f>712.15*invoiced!H1</f>
        <v>925.79499999999996</v>
      </c>
      <c r="C7" s="101" t="s">
        <v>297</v>
      </c>
    </row>
    <row r="8" spans="1:3" x14ac:dyDescent="0.2">
      <c r="A8" s="66" t="s">
        <v>112</v>
      </c>
      <c r="B8">
        <f>SUM(B2:B6)</f>
        <v>29127.66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E1" workbookViewId="0">
      <selection activeCell="K26" sqref="K26"/>
    </sheetView>
  </sheetViews>
  <sheetFormatPr defaultColWidth="49.140625" defaultRowHeight="12.75" x14ac:dyDescent="0.2"/>
  <cols>
    <col min="1" max="1" width="3" bestFit="1" customWidth="1"/>
    <col min="2" max="2" width="18.140625" bestFit="1" customWidth="1"/>
    <col min="3" max="3" width="48.85546875" bestFit="1" customWidth="1"/>
    <col min="4" max="4" width="18" bestFit="1" customWidth="1"/>
    <col min="5" max="5" width="18.42578125" bestFit="1" customWidth="1"/>
    <col min="6" max="6" width="18.5703125" bestFit="1" customWidth="1"/>
    <col min="7" max="7" width="12.85546875" bestFit="1" customWidth="1"/>
    <col min="8" max="8" width="17.7109375" bestFit="1" customWidth="1"/>
    <col min="9" max="9" width="16" bestFit="1" customWidth="1"/>
    <col min="10" max="10" width="16" style="79" customWidth="1"/>
    <col min="11" max="11" width="12.140625" style="79" bestFit="1" customWidth="1"/>
    <col min="12" max="12" width="37.140625" bestFit="1" customWidth="1"/>
  </cols>
  <sheetData>
    <row r="1" spans="1:12" s="78" customFormat="1" x14ac:dyDescent="0.2">
      <c r="A1" s="78" t="s">
        <v>152</v>
      </c>
      <c r="B1" s="78" t="s">
        <v>153</v>
      </c>
      <c r="C1" s="78" t="s">
        <v>154</v>
      </c>
      <c r="D1" s="78" t="s">
        <v>155</v>
      </c>
      <c r="E1" s="78" t="s">
        <v>156</v>
      </c>
      <c r="F1" s="78" t="s">
        <v>157</v>
      </c>
      <c r="G1" s="78" t="s">
        <v>158</v>
      </c>
      <c r="H1" s="78" t="s">
        <v>159</v>
      </c>
      <c r="I1" s="78" t="s">
        <v>188</v>
      </c>
      <c r="J1" s="79" t="s">
        <v>190</v>
      </c>
      <c r="K1" s="79" t="s">
        <v>189</v>
      </c>
      <c r="L1" s="78" t="s">
        <v>160</v>
      </c>
    </row>
    <row r="2" spans="1:12" x14ac:dyDescent="0.2">
      <c r="A2">
        <v>1</v>
      </c>
      <c r="B2" t="s">
        <v>122</v>
      </c>
      <c r="C2" t="s">
        <v>161</v>
      </c>
      <c r="E2" t="s">
        <v>162</v>
      </c>
      <c r="F2" t="s">
        <v>96</v>
      </c>
      <c r="G2">
        <v>1500</v>
      </c>
      <c r="H2">
        <v>1950</v>
      </c>
      <c r="J2">
        <v>1950</v>
      </c>
      <c r="L2" t="s">
        <v>123</v>
      </c>
    </row>
    <row r="3" spans="1:12" x14ac:dyDescent="0.2">
      <c r="A3">
        <v>2</v>
      </c>
      <c r="B3" t="s">
        <v>124</v>
      </c>
      <c r="F3" t="s">
        <v>163</v>
      </c>
      <c r="G3">
        <v>1500</v>
      </c>
      <c r="H3">
        <v>4000</v>
      </c>
      <c r="J3">
        <v>4000</v>
      </c>
      <c r="L3" t="s">
        <v>125</v>
      </c>
    </row>
    <row r="4" spans="1:12" x14ac:dyDescent="0.2">
      <c r="A4">
        <v>3</v>
      </c>
      <c r="B4" t="s">
        <v>80</v>
      </c>
      <c r="D4" t="s">
        <v>164</v>
      </c>
      <c r="E4" t="s">
        <v>165</v>
      </c>
      <c r="F4" t="s">
        <v>164</v>
      </c>
      <c r="G4">
        <v>1500</v>
      </c>
      <c r="H4">
        <v>1500</v>
      </c>
      <c r="K4">
        <v>1500</v>
      </c>
      <c r="L4" t="s">
        <v>126</v>
      </c>
    </row>
    <row r="5" spans="1:12" x14ac:dyDescent="0.2">
      <c r="A5" s="79">
        <v>4</v>
      </c>
      <c r="B5" t="s">
        <v>69</v>
      </c>
      <c r="D5" t="s">
        <v>166</v>
      </c>
      <c r="E5" t="s">
        <v>162</v>
      </c>
      <c r="F5" t="s">
        <v>167</v>
      </c>
      <c r="G5">
        <v>1500</v>
      </c>
      <c r="H5">
        <v>2500</v>
      </c>
      <c r="I5">
        <v>2500</v>
      </c>
      <c r="L5" t="s">
        <v>127</v>
      </c>
    </row>
    <row r="6" spans="1:12" x14ac:dyDescent="0.2">
      <c r="A6" s="79">
        <v>5</v>
      </c>
      <c r="B6" t="s">
        <v>77</v>
      </c>
      <c r="D6" t="s">
        <v>168</v>
      </c>
      <c r="E6" t="s">
        <v>162</v>
      </c>
      <c r="F6" t="s">
        <v>168</v>
      </c>
      <c r="G6">
        <v>1500</v>
      </c>
      <c r="H6">
        <v>2000</v>
      </c>
      <c r="K6">
        <v>2000</v>
      </c>
      <c r="L6" t="s">
        <v>128</v>
      </c>
    </row>
    <row r="7" spans="1:12" x14ac:dyDescent="0.2">
      <c r="A7" s="79">
        <v>6</v>
      </c>
      <c r="B7" t="s">
        <v>129</v>
      </c>
      <c r="G7">
        <v>1500</v>
      </c>
      <c r="H7">
        <v>2400</v>
      </c>
      <c r="K7">
        <v>2400</v>
      </c>
      <c r="L7" t="s">
        <v>130</v>
      </c>
    </row>
    <row r="8" spans="1:12" x14ac:dyDescent="0.2">
      <c r="A8" s="79">
        <v>7</v>
      </c>
      <c r="B8" t="s">
        <v>78</v>
      </c>
      <c r="C8" t="s">
        <v>169</v>
      </c>
      <c r="E8" t="s">
        <v>162</v>
      </c>
      <c r="F8" t="s">
        <v>170</v>
      </c>
      <c r="G8">
        <v>1500</v>
      </c>
      <c r="H8">
        <v>2500</v>
      </c>
      <c r="I8">
        <v>1500</v>
      </c>
      <c r="K8" s="79">
        <v>1000</v>
      </c>
      <c r="L8" t="s">
        <v>131</v>
      </c>
    </row>
    <row r="9" spans="1:12" x14ac:dyDescent="0.2">
      <c r="A9" s="79">
        <v>8</v>
      </c>
      <c r="B9" t="s">
        <v>70</v>
      </c>
      <c r="C9" t="s">
        <v>171</v>
      </c>
      <c r="E9" t="s">
        <v>162</v>
      </c>
      <c r="F9" t="s">
        <v>172</v>
      </c>
      <c r="G9">
        <v>1500</v>
      </c>
      <c r="H9">
        <v>1750</v>
      </c>
      <c r="I9">
        <v>1750</v>
      </c>
      <c r="L9" t="s">
        <v>127</v>
      </c>
    </row>
    <row r="10" spans="1:12" x14ac:dyDescent="0.2">
      <c r="A10" s="79">
        <v>10</v>
      </c>
      <c r="B10" t="s">
        <v>132</v>
      </c>
      <c r="F10" t="s">
        <v>173</v>
      </c>
      <c r="G10">
        <v>1500</v>
      </c>
      <c r="H10">
        <v>2500</v>
      </c>
      <c r="I10">
        <v>2500</v>
      </c>
      <c r="L10" t="s">
        <v>133</v>
      </c>
    </row>
    <row r="11" spans="1:12" x14ac:dyDescent="0.2">
      <c r="A11" s="79">
        <v>11</v>
      </c>
      <c r="B11" t="s">
        <v>71</v>
      </c>
      <c r="F11" t="s">
        <v>174</v>
      </c>
      <c r="G11">
        <v>0</v>
      </c>
      <c r="H11">
        <v>1200</v>
      </c>
      <c r="I11">
        <v>1200</v>
      </c>
      <c r="L11" t="s">
        <v>127</v>
      </c>
    </row>
    <row r="12" spans="1:12" x14ac:dyDescent="0.2">
      <c r="A12" s="79">
        <v>12</v>
      </c>
      <c r="B12" t="s">
        <v>72</v>
      </c>
      <c r="D12" t="s">
        <v>175</v>
      </c>
      <c r="E12" t="s">
        <v>162</v>
      </c>
      <c r="F12" t="s">
        <v>175</v>
      </c>
      <c r="G12">
        <v>1500</v>
      </c>
      <c r="H12">
        <v>2500</v>
      </c>
      <c r="I12">
        <v>2500</v>
      </c>
      <c r="L12" t="s">
        <v>127</v>
      </c>
    </row>
    <row r="13" spans="1:12" x14ac:dyDescent="0.2">
      <c r="A13" s="79">
        <v>13</v>
      </c>
      <c r="B13" t="s">
        <v>134</v>
      </c>
      <c r="F13" t="s">
        <v>176</v>
      </c>
      <c r="G13">
        <v>1500</v>
      </c>
      <c r="H13">
        <v>2500</v>
      </c>
      <c r="I13">
        <v>1000</v>
      </c>
      <c r="J13" s="79">
        <v>1500</v>
      </c>
      <c r="L13" t="s">
        <v>135</v>
      </c>
    </row>
    <row r="14" spans="1:12" x14ac:dyDescent="0.2">
      <c r="A14" s="79">
        <v>14</v>
      </c>
      <c r="B14" t="s">
        <v>136</v>
      </c>
      <c r="F14" t="s">
        <v>96</v>
      </c>
      <c r="G14">
        <v>1500</v>
      </c>
      <c r="H14">
        <v>1950</v>
      </c>
      <c r="J14">
        <v>1950</v>
      </c>
      <c r="L14" t="s">
        <v>123</v>
      </c>
    </row>
    <row r="15" spans="1:12" x14ac:dyDescent="0.2">
      <c r="A15" s="79">
        <v>15</v>
      </c>
      <c r="B15" t="s">
        <v>202</v>
      </c>
      <c r="C15" t="s">
        <v>191</v>
      </c>
      <c r="G15">
        <v>1500</v>
      </c>
      <c r="H15">
        <v>1500</v>
      </c>
      <c r="K15" s="79">
        <v>1500</v>
      </c>
      <c r="L15" s="96" t="s">
        <v>217</v>
      </c>
    </row>
    <row r="16" spans="1:12" x14ac:dyDescent="0.2">
      <c r="A16" s="79">
        <v>16</v>
      </c>
      <c r="B16" t="s">
        <v>192</v>
      </c>
      <c r="F16" t="s">
        <v>176</v>
      </c>
      <c r="G16">
        <v>1500</v>
      </c>
      <c r="H16">
        <v>1500</v>
      </c>
      <c r="K16" s="79">
        <v>1500</v>
      </c>
      <c r="L16" s="96" t="s">
        <v>216</v>
      </c>
    </row>
    <row r="17" spans="1:12" x14ac:dyDescent="0.2">
      <c r="A17" s="79">
        <v>17</v>
      </c>
      <c r="B17" t="s">
        <v>177</v>
      </c>
      <c r="E17" t="s">
        <v>178</v>
      </c>
      <c r="F17" t="s">
        <v>179</v>
      </c>
      <c r="G17">
        <v>500</v>
      </c>
      <c r="H17">
        <v>2441</v>
      </c>
      <c r="I17" s="79">
        <v>1500</v>
      </c>
      <c r="K17" s="79">
        <v>941</v>
      </c>
      <c r="L17" t="s">
        <v>180</v>
      </c>
    </row>
    <row r="18" spans="1:12" x14ac:dyDescent="0.2">
      <c r="A18" s="79">
        <v>18</v>
      </c>
      <c r="B18" t="s">
        <v>73</v>
      </c>
      <c r="D18" t="s">
        <v>175</v>
      </c>
      <c r="E18" t="s">
        <v>162</v>
      </c>
      <c r="F18" t="s">
        <v>175</v>
      </c>
      <c r="G18">
        <v>1500</v>
      </c>
      <c r="H18">
        <v>2500</v>
      </c>
      <c r="I18">
        <v>2500</v>
      </c>
      <c r="L18" t="s">
        <v>127</v>
      </c>
    </row>
    <row r="19" spans="1:12" x14ac:dyDescent="0.2">
      <c r="A19" s="79">
        <v>19</v>
      </c>
      <c r="B19" t="s">
        <v>74</v>
      </c>
      <c r="F19" t="s">
        <v>174</v>
      </c>
      <c r="G19">
        <v>0</v>
      </c>
      <c r="H19">
        <v>1200</v>
      </c>
      <c r="I19">
        <v>1200</v>
      </c>
      <c r="L19" t="s">
        <v>127</v>
      </c>
    </row>
    <row r="20" spans="1:12" x14ac:dyDescent="0.2">
      <c r="A20" s="79">
        <v>20</v>
      </c>
      <c r="B20" t="s">
        <v>181</v>
      </c>
      <c r="F20" t="s">
        <v>91</v>
      </c>
      <c r="G20">
        <v>400</v>
      </c>
      <c r="K20">
        <v>400</v>
      </c>
      <c r="L20" t="s">
        <v>182</v>
      </c>
    </row>
    <row r="21" spans="1:12" x14ac:dyDescent="0.2">
      <c r="A21" s="79">
        <v>21</v>
      </c>
      <c r="B21" t="s">
        <v>183</v>
      </c>
      <c r="F21" t="s">
        <v>91</v>
      </c>
      <c r="G21">
        <v>400</v>
      </c>
      <c r="K21">
        <v>400</v>
      </c>
      <c r="L21" t="s">
        <v>182</v>
      </c>
    </row>
    <row r="22" spans="1:12" x14ac:dyDescent="0.2">
      <c r="A22" s="79">
        <v>22</v>
      </c>
      <c r="B22" t="s">
        <v>137</v>
      </c>
      <c r="C22" t="s">
        <v>184</v>
      </c>
      <c r="D22" t="s">
        <v>164</v>
      </c>
      <c r="E22" t="s">
        <v>162</v>
      </c>
      <c r="F22" t="s">
        <v>164</v>
      </c>
      <c r="G22">
        <v>1500</v>
      </c>
      <c r="H22">
        <v>1500</v>
      </c>
      <c r="I22">
        <v>1500</v>
      </c>
      <c r="L22" t="s">
        <v>133</v>
      </c>
    </row>
    <row r="23" spans="1:12" ht="25.5" x14ac:dyDescent="0.2">
      <c r="A23" s="79">
        <v>23</v>
      </c>
      <c r="B23" t="s">
        <v>79</v>
      </c>
      <c r="C23" t="s">
        <v>185</v>
      </c>
      <c r="G23">
        <v>1500</v>
      </c>
      <c r="H23">
        <v>2500</v>
      </c>
      <c r="I23">
        <v>1500</v>
      </c>
      <c r="K23" s="79">
        <v>1000</v>
      </c>
      <c r="L23" t="s">
        <v>138</v>
      </c>
    </row>
    <row r="24" spans="1:12" x14ac:dyDescent="0.2">
      <c r="A24" s="79">
        <v>24</v>
      </c>
      <c r="B24" t="s">
        <v>186</v>
      </c>
      <c r="E24" t="s">
        <v>162</v>
      </c>
      <c r="F24" t="s">
        <v>172</v>
      </c>
      <c r="G24">
        <v>1500</v>
      </c>
      <c r="H24">
        <v>1900</v>
      </c>
      <c r="I24">
        <v>0</v>
      </c>
      <c r="K24" s="79">
        <v>1900</v>
      </c>
      <c r="L24" t="s">
        <v>193</v>
      </c>
    </row>
    <row r="25" spans="1:12" x14ac:dyDescent="0.2">
      <c r="A25" s="79">
        <v>25</v>
      </c>
      <c r="B25" t="s">
        <v>139</v>
      </c>
      <c r="E25" t="s">
        <v>162</v>
      </c>
      <c r="F25" t="s">
        <v>187</v>
      </c>
      <c r="G25">
        <v>1500</v>
      </c>
      <c r="H25">
        <v>3000</v>
      </c>
      <c r="I25">
        <v>1500</v>
      </c>
      <c r="K25" s="79">
        <v>1500</v>
      </c>
      <c r="L25" t="s">
        <v>135</v>
      </c>
    </row>
    <row r="26" spans="1:12" x14ac:dyDescent="0.2">
      <c r="K26" s="79">
        <f>SUM(K2:K25)</f>
        <v>16041</v>
      </c>
      <c r="L26" s="95" t="s">
        <v>212</v>
      </c>
    </row>
    <row r="28" spans="1:12" ht="25.5" x14ac:dyDescent="0.2">
      <c r="I28" s="97" t="s">
        <v>213</v>
      </c>
    </row>
    <row r="29" spans="1:12" x14ac:dyDescent="0.2">
      <c r="I29" s="97" t="s">
        <v>214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B1" workbookViewId="0">
      <selection activeCell="H33" sqref="H33"/>
    </sheetView>
  </sheetViews>
  <sheetFormatPr defaultColWidth="46" defaultRowHeight="12.75" x14ac:dyDescent="0.2"/>
  <cols>
    <col min="1" max="1" width="11.5703125" bestFit="1" customWidth="1"/>
    <col min="2" max="2" width="18.140625" bestFit="1" customWidth="1"/>
    <col min="3" max="3" width="41.28515625" bestFit="1" customWidth="1"/>
    <col min="4" max="4" width="18" bestFit="1" customWidth="1"/>
    <col min="5" max="5" width="18.42578125" bestFit="1" customWidth="1"/>
    <col min="6" max="6" width="18.5703125" bestFit="1" customWidth="1"/>
    <col min="7" max="7" width="27.85546875" bestFit="1" customWidth="1"/>
    <col min="8" max="8" width="17.85546875" style="91" customWidth="1"/>
    <col min="9" max="9" width="37.140625" bestFit="1" customWidth="1"/>
    <col min="10" max="10" width="22.28515625" bestFit="1" customWidth="1"/>
    <col min="11" max="11" width="17.7109375" bestFit="1" customWidth="1"/>
    <col min="12" max="12" width="38.28515625" bestFit="1" customWidth="1"/>
    <col min="13" max="13" width="11.7109375" bestFit="1" customWidth="1"/>
  </cols>
  <sheetData>
    <row r="1" spans="1:13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287</v>
      </c>
      <c r="H1" s="96" t="s">
        <v>291</v>
      </c>
      <c r="I1" t="s">
        <v>160</v>
      </c>
      <c r="J1" t="s">
        <v>158</v>
      </c>
      <c r="K1" t="s">
        <v>159</v>
      </c>
      <c r="L1" t="s">
        <v>288</v>
      </c>
      <c r="M1" t="s">
        <v>289</v>
      </c>
    </row>
    <row r="2" spans="1:13" x14ac:dyDescent="0.2">
      <c r="A2">
        <v>1</v>
      </c>
      <c r="B2" t="s">
        <v>122</v>
      </c>
      <c r="C2" t="s">
        <v>161</v>
      </c>
      <c r="E2" t="s">
        <v>162</v>
      </c>
      <c r="F2" t="s">
        <v>96</v>
      </c>
      <c r="G2" t="s">
        <v>223</v>
      </c>
      <c r="H2" s="103"/>
      <c r="I2" t="s">
        <v>123</v>
      </c>
      <c r="J2" t="s">
        <v>224</v>
      </c>
      <c r="K2" t="s">
        <v>225</v>
      </c>
      <c r="L2" t="s">
        <v>225</v>
      </c>
      <c r="M2" t="s">
        <v>225</v>
      </c>
    </row>
    <row r="3" spans="1:13" x14ac:dyDescent="0.2">
      <c r="A3">
        <v>2</v>
      </c>
      <c r="B3" t="s">
        <v>124</v>
      </c>
      <c r="F3" t="s">
        <v>163</v>
      </c>
      <c r="G3" t="s">
        <v>226</v>
      </c>
      <c r="H3" s="103"/>
      <c r="I3" t="s">
        <v>125</v>
      </c>
      <c r="J3" t="s">
        <v>224</v>
      </c>
      <c r="K3" t="s">
        <v>227</v>
      </c>
      <c r="L3" t="s">
        <v>227</v>
      </c>
      <c r="M3" t="s">
        <v>228</v>
      </c>
    </row>
    <row r="4" spans="1:13" x14ac:dyDescent="0.2">
      <c r="A4">
        <v>3</v>
      </c>
      <c r="B4" t="s">
        <v>80</v>
      </c>
      <c r="D4" t="s">
        <v>164</v>
      </c>
      <c r="E4" t="s">
        <v>165</v>
      </c>
      <c r="F4" t="s">
        <v>164</v>
      </c>
      <c r="G4" t="s">
        <v>229</v>
      </c>
      <c r="H4" s="103"/>
      <c r="I4" t="s">
        <v>126</v>
      </c>
      <c r="J4" t="s">
        <v>224</v>
      </c>
      <c r="K4" t="s">
        <v>224</v>
      </c>
      <c r="L4" t="s">
        <v>224</v>
      </c>
      <c r="M4" t="s">
        <v>230</v>
      </c>
    </row>
    <row r="5" spans="1:13" x14ac:dyDescent="0.2">
      <c r="A5">
        <v>4</v>
      </c>
      <c r="B5" t="s">
        <v>69</v>
      </c>
      <c r="D5" t="s">
        <v>166</v>
      </c>
      <c r="E5" t="s">
        <v>162</v>
      </c>
      <c r="F5" t="s">
        <v>167</v>
      </c>
      <c r="G5">
        <v>1000</v>
      </c>
      <c r="H5" s="103">
        <f>G5</f>
        <v>1000</v>
      </c>
      <c r="I5" t="s">
        <v>127</v>
      </c>
      <c r="J5" t="s">
        <v>224</v>
      </c>
      <c r="K5" t="s">
        <v>226</v>
      </c>
      <c r="L5" t="s">
        <v>226</v>
      </c>
      <c r="M5" t="s">
        <v>231</v>
      </c>
    </row>
    <row r="6" spans="1:13" x14ac:dyDescent="0.2">
      <c r="A6">
        <v>5</v>
      </c>
      <c r="B6" t="s">
        <v>232</v>
      </c>
      <c r="G6" t="s">
        <v>229</v>
      </c>
      <c r="H6" s="103"/>
      <c r="I6" t="s">
        <v>133</v>
      </c>
      <c r="J6" t="s">
        <v>224</v>
      </c>
      <c r="K6" t="s">
        <v>224</v>
      </c>
      <c r="L6" t="s">
        <v>224</v>
      </c>
      <c r="M6" t="s">
        <v>233</v>
      </c>
    </row>
    <row r="7" spans="1:13" x14ac:dyDescent="0.2">
      <c r="A7">
        <v>6</v>
      </c>
      <c r="B7" t="s">
        <v>234</v>
      </c>
      <c r="G7" t="s">
        <v>235</v>
      </c>
      <c r="H7" s="103"/>
      <c r="I7" t="s">
        <v>133</v>
      </c>
      <c r="J7" t="s">
        <v>236</v>
      </c>
      <c r="K7" t="s">
        <v>235</v>
      </c>
      <c r="L7" t="s">
        <v>236</v>
      </c>
      <c r="M7" t="s">
        <v>237</v>
      </c>
    </row>
    <row r="8" spans="1:13" x14ac:dyDescent="0.2">
      <c r="A8">
        <v>7</v>
      </c>
      <c r="B8" t="s">
        <v>77</v>
      </c>
      <c r="D8" t="s">
        <v>168</v>
      </c>
      <c r="E8" t="s">
        <v>162</v>
      </c>
      <c r="F8" t="s">
        <v>168</v>
      </c>
      <c r="G8" t="s">
        <v>238</v>
      </c>
      <c r="H8" s="103"/>
      <c r="I8" t="s">
        <v>128</v>
      </c>
      <c r="J8" t="s">
        <v>224</v>
      </c>
      <c r="K8" t="s">
        <v>239</v>
      </c>
      <c r="L8" t="s">
        <v>239</v>
      </c>
      <c r="M8" t="s">
        <v>240</v>
      </c>
    </row>
    <row r="9" spans="1:13" x14ac:dyDescent="0.2">
      <c r="A9">
        <v>8</v>
      </c>
      <c r="B9" t="s">
        <v>129</v>
      </c>
      <c r="G9" t="s">
        <v>241</v>
      </c>
      <c r="H9" s="103"/>
      <c r="I9" t="s">
        <v>130</v>
      </c>
      <c r="J9" t="s">
        <v>224</v>
      </c>
      <c r="K9" t="s">
        <v>242</v>
      </c>
      <c r="L9" t="s">
        <v>242</v>
      </c>
      <c r="M9" t="s">
        <v>243</v>
      </c>
    </row>
    <row r="10" spans="1:13" x14ac:dyDescent="0.2">
      <c r="A10">
        <v>9</v>
      </c>
      <c r="B10" t="s">
        <v>244</v>
      </c>
      <c r="F10" t="s">
        <v>95</v>
      </c>
      <c r="G10" t="s">
        <v>235</v>
      </c>
      <c r="H10" s="103"/>
      <c r="I10" t="s">
        <v>245</v>
      </c>
      <c r="J10" t="s">
        <v>224</v>
      </c>
      <c r="K10" t="s">
        <v>235</v>
      </c>
      <c r="L10" t="s">
        <v>224</v>
      </c>
      <c r="M10" t="s">
        <v>246</v>
      </c>
    </row>
    <row r="11" spans="1:13" x14ac:dyDescent="0.2">
      <c r="A11">
        <v>10</v>
      </c>
      <c r="B11" t="s">
        <v>78</v>
      </c>
      <c r="C11" t="s">
        <v>169</v>
      </c>
      <c r="E11" t="s">
        <v>162</v>
      </c>
      <c r="F11" t="s">
        <v>170</v>
      </c>
      <c r="G11" t="s">
        <v>247</v>
      </c>
      <c r="H11" s="103"/>
      <c r="I11" t="s">
        <v>131</v>
      </c>
      <c r="J11" t="s">
        <v>248</v>
      </c>
      <c r="K11" t="s">
        <v>226</v>
      </c>
      <c r="L11" t="s">
        <v>226</v>
      </c>
      <c r="M11" t="s">
        <v>249</v>
      </c>
    </row>
    <row r="12" spans="1:13" x14ac:dyDescent="0.2">
      <c r="A12">
        <v>11</v>
      </c>
      <c r="B12" t="s">
        <v>70</v>
      </c>
      <c r="C12" t="s">
        <v>171</v>
      </c>
      <c r="E12" t="s">
        <v>162</v>
      </c>
      <c r="F12" t="s">
        <v>172</v>
      </c>
      <c r="G12">
        <v>250</v>
      </c>
      <c r="H12" s="103">
        <f>G12</f>
        <v>250</v>
      </c>
      <c r="I12" t="s">
        <v>127</v>
      </c>
      <c r="J12" t="s">
        <v>224</v>
      </c>
      <c r="K12" t="s">
        <v>250</v>
      </c>
      <c r="L12" t="s">
        <v>250</v>
      </c>
      <c r="M12" t="s">
        <v>251</v>
      </c>
    </row>
    <row r="13" spans="1:13" x14ac:dyDescent="0.2">
      <c r="A13">
        <v>12</v>
      </c>
      <c r="B13" t="s">
        <v>132</v>
      </c>
      <c r="F13" t="s">
        <v>173</v>
      </c>
      <c r="G13">
        <v>1000</v>
      </c>
      <c r="H13" s="103">
        <f>G13</f>
        <v>1000</v>
      </c>
      <c r="I13" t="s">
        <v>133</v>
      </c>
      <c r="J13" t="s">
        <v>224</v>
      </c>
      <c r="K13" t="s">
        <v>226</v>
      </c>
      <c r="L13" t="s">
        <v>226</v>
      </c>
      <c r="M13" t="s">
        <v>252</v>
      </c>
    </row>
    <row r="14" spans="1:13" x14ac:dyDescent="0.2">
      <c r="A14">
        <v>13</v>
      </c>
      <c r="B14" t="s">
        <v>71</v>
      </c>
      <c r="F14" t="s">
        <v>174</v>
      </c>
      <c r="G14">
        <v>1000</v>
      </c>
      <c r="H14" s="103">
        <f>G14</f>
        <v>1000</v>
      </c>
      <c r="I14" t="s">
        <v>127</v>
      </c>
      <c r="J14" t="s">
        <v>253</v>
      </c>
      <c r="K14" t="s">
        <v>236</v>
      </c>
      <c r="L14" t="s">
        <v>254</v>
      </c>
      <c r="M14" t="s">
        <v>255</v>
      </c>
    </row>
    <row r="15" spans="1:13" x14ac:dyDescent="0.2">
      <c r="A15">
        <v>14</v>
      </c>
      <c r="B15" t="s">
        <v>72</v>
      </c>
      <c r="D15" t="s">
        <v>175</v>
      </c>
      <c r="E15" t="s">
        <v>162</v>
      </c>
      <c r="F15" t="s">
        <v>175</v>
      </c>
      <c r="G15">
        <v>1000</v>
      </c>
      <c r="H15" s="103">
        <f>G15</f>
        <v>1000</v>
      </c>
      <c r="I15" t="s">
        <v>127</v>
      </c>
      <c r="J15" t="s">
        <v>224</v>
      </c>
      <c r="K15" t="s">
        <v>226</v>
      </c>
      <c r="L15" t="s">
        <v>226</v>
      </c>
      <c r="M15" t="s">
        <v>256</v>
      </c>
    </row>
    <row r="16" spans="1:13" x14ac:dyDescent="0.2">
      <c r="A16">
        <v>15</v>
      </c>
      <c r="B16" t="s">
        <v>134</v>
      </c>
      <c r="F16" t="s">
        <v>176</v>
      </c>
      <c r="G16" s="96">
        <v>1000</v>
      </c>
      <c r="H16" s="103">
        <f>G16</f>
        <v>1000</v>
      </c>
      <c r="I16" t="s">
        <v>135</v>
      </c>
      <c r="J16" t="s">
        <v>257</v>
      </c>
      <c r="K16" t="s">
        <v>226</v>
      </c>
      <c r="L16" t="s">
        <v>226</v>
      </c>
      <c r="M16" t="s">
        <v>258</v>
      </c>
    </row>
    <row r="17" spans="1:13" x14ac:dyDescent="0.2">
      <c r="A17">
        <v>16</v>
      </c>
      <c r="B17" t="s">
        <v>136</v>
      </c>
      <c r="F17" t="s">
        <v>96</v>
      </c>
      <c r="G17" t="s">
        <v>223</v>
      </c>
      <c r="H17" s="103"/>
      <c r="I17" t="s">
        <v>123</v>
      </c>
      <c r="J17" t="s">
        <v>224</v>
      </c>
      <c r="K17" t="s">
        <v>225</v>
      </c>
      <c r="L17" t="s">
        <v>225</v>
      </c>
      <c r="M17" t="s">
        <v>259</v>
      </c>
    </row>
    <row r="18" spans="1:13" x14ac:dyDescent="0.2">
      <c r="A18">
        <v>17</v>
      </c>
      <c r="B18" t="s">
        <v>260</v>
      </c>
      <c r="F18" t="s">
        <v>261</v>
      </c>
      <c r="G18" t="s">
        <v>229</v>
      </c>
      <c r="H18" s="103"/>
      <c r="I18" t="s">
        <v>133</v>
      </c>
      <c r="J18" t="s">
        <v>224</v>
      </c>
      <c r="K18" t="s">
        <v>224</v>
      </c>
      <c r="L18" t="s">
        <v>224</v>
      </c>
      <c r="M18" t="s">
        <v>262</v>
      </c>
    </row>
    <row r="19" spans="1:13" x14ac:dyDescent="0.2">
      <c r="A19">
        <v>18</v>
      </c>
      <c r="B19" t="s">
        <v>263</v>
      </c>
      <c r="F19" t="s">
        <v>261</v>
      </c>
      <c r="G19" t="s">
        <v>229</v>
      </c>
      <c r="H19" s="103"/>
      <c r="I19" t="s">
        <v>133</v>
      </c>
      <c r="J19" t="s">
        <v>224</v>
      </c>
      <c r="K19" t="s">
        <v>224</v>
      </c>
      <c r="L19" t="s">
        <v>224</v>
      </c>
      <c r="M19" t="s">
        <v>264</v>
      </c>
    </row>
    <row r="20" spans="1:13" x14ac:dyDescent="0.2">
      <c r="A20">
        <v>19</v>
      </c>
      <c r="B20" t="s">
        <v>177</v>
      </c>
      <c r="E20" t="s">
        <v>178</v>
      </c>
      <c r="F20" t="s">
        <v>179</v>
      </c>
      <c r="G20" t="s">
        <v>265</v>
      </c>
      <c r="H20" s="103"/>
      <c r="I20" t="s">
        <v>180</v>
      </c>
      <c r="J20" t="s">
        <v>266</v>
      </c>
      <c r="K20" t="s">
        <v>267</v>
      </c>
      <c r="L20" t="s">
        <v>268</v>
      </c>
      <c r="M20" t="s">
        <v>269</v>
      </c>
    </row>
    <row r="21" spans="1:13" x14ac:dyDescent="0.2">
      <c r="A21">
        <v>20</v>
      </c>
      <c r="B21" t="s">
        <v>202</v>
      </c>
      <c r="D21" t="b">
        <v>1</v>
      </c>
      <c r="G21" t="s">
        <v>229</v>
      </c>
      <c r="H21" s="103"/>
      <c r="I21" t="s">
        <v>270</v>
      </c>
      <c r="J21" t="s">
        <v>224</v>
      </c>
      <c r="K21" t="s">
        <v>224</v>
      </c>
      <c r="L21" t="s">
        <v>224</v>
      </c>
      <c r="M21" t="s">
        <v>271</v>
      </c>
    </row>
    <row r="22" spans="1:13" x14ac:dyDescent="0.2">
      <c r="A22">
        <v>21</v>
      </c>
      <c r="B22" t="s">
        <v>73</v>
      </c>
      <c r="D22" t="s">
        <v>175</v>
      </c>
      <c r="E22" t="s">
        <v>162</v>
      </c>
      <c r="F22" t="s">
        <v>175</v>
      </c>
      <c r="G22">
        <v>1000</v>
      </c>
      <c r="H22" s="103">
        <f>G22</f>
        <v>1000</v>
      </c>
      <c r="I22" t="s">
        <v>127</v>
      </c>
      <c r="J22" t="s">
        <v>224</v>
      </c>
      <c r="K22" t="s">
        <v>226</v>
      </c>
      <c r="L22" t="s">
        <v>226</v>
      </c>
      <c r="M22" t="s">
        <v>272</v>
      </c>
    </row>
    <row r="23" spans="1:13" x14ac:dyDescent="0.2">
      <c r="A23">
        <v>22</v>
      </c>
      <c r="B23" t="s">
        <v>74</v>
      </c>
      <c r="F23" t="s">
        <v>174</v>
      </c>
      <c r="G23">
        <v>1000</v>
      </c>
      <c r="H23" s="103">
        <f>G23</f>
        <v>1000</v>
      </c>
      <c r="I23" t="s">
        <v>127</v>
      </c>
      <c r="J23" t="s">
        <v>273</v>
      </c>
      <c r="K23" t="s">
        <v>236</v>
      </c>
      <c r="L23" t="s">
        <v>254</v>
      </c>
      <c r="M23" t="s">
        <v>274</v>
      </c>
    </row>
    <row r="24" spans="1:13" x14ac:dyDescent="0.2">
      <c r="A24">
        <v>23</v>
      </c>
      <c r="B24" t="s">
        <v>275</v>
      </c>
      <c r="F24" t="s">
        <v>96</v>
      </c>
      <c r="G24">
        <v>250</v>
      </c>
      <c r="H24" s="103">
        <f>G24</f>
        <v>250</v>
      </c>
      <c r="I24" t="s">
        <v>133</v>
      </c>
      <c r="J24" t="s">
        <v>224</v>
      </c>
      <c r="K24" t="s">
        <v>224</v>
      </c>
      <c r="L24" t="s">
        <v>224</v>
      </c>
      <c r="M24" t="s">
        <v>276</v>
      </c>
    </row>
    <row r="25" spans="1:13" x14ac:dyDescent="0.2">
      <c r="A25">
        <v>24</v>
      </c>
      <c r="B25" t="s">
        <v>181</v>
      </c>
      <c r="F25" t="s">
        <v>91</v>
      </c>
      <c r="G25" t="s">
        <v>235</v>
      </c>
      <c r="H25" s="103"/>
      <c r="I25" t="s">
        <v>182</v>
      </c>
      <c r="J25" t="s">
        <v>277</v>
      </c>
      <c r="K25" t="s">
        <v>235</v>
      </c>
      <c r="L25" t="s">
        <v>277</v>
      </c>
      <c r="M25" t="s">
        <v>278</v>
      </c>
    </row>
    <row r="26" spans="1:13" x14ac:dyDescent="0.2">
      <c r="A26">
        <v>25</v>
      </c>
      <c r="B26" t="s">
        <v>183</v>
      </c>
      <c r="F26" t="s">
        <v>91</v>
      </c>
      <c r="G26" t="s">
        <v>235</v>
      </c>
      <c r="H26" s="103"/>
      <c r="I26" t="s">
        <v>182</v>
      </c>
      <c r="J26" t="s">
        <v>277</v>
      </c>
      <c r="K26" t="s">
        <v>235</v>
      </c>
      <c r="L26" t="s">
        <v>277</v>
      </c>
      <c r="M26" t="s">
        <v>279</v>
      </c>
    </row>
    <row r="27" spans="1:13" x14ac:dyDescent="0.2">
      <c r="A27">
        <v>26</v>
      </c>
      <c r="B27" t="s">
        <v>137</v>
      </c>
      <c r="C27" t="s">
        <v>184</v>
      </c>
      <c r="D27" t="s">
        <v>164</v>
      </c>
      <c r="E27" t="s">
        <v>162</v>
      </c>
      <c r="F27" t="s">
        <v>164</v>
      </c>
      <c r="G27" t="s">
        <v>229</v>
      </c>
      <c r="H27" s="103"/>
      <c r="I27" t="s">
        <v>133</v>
      </c>
      <c r="J27" t="s">
        <v>224</v>
      </c>
      <c r="K27" t="s">
        <v>224</v>
      </c>
      <c r="L27" t="s">
        <v>224</v>
      </c>
      <c r="M27" t="s">
        <v>280</v>
      </c>
    </row>
    <row r="28" spans="1:13" ht="25.5" x14ac:dyDescent="0.2">
      <c r="A28">
        <v>27</v>
      </c>
      <c r="B28" t="s">
        <v>79</v>
      </c>
      <c r="C28" t="s">
        <v>185</v>
      </c>
      <c r="G28" t="s">
        <v>247</v>
      </c>
      <c r="H28" s="103"/>
      <c r="I28" t="s">
        <v>138</v>
      </c>
      <c r="J28" t="s">
        <v>248</v>
      </c>
      <c r="K28" t="s">
        <v>226</v>
      </c>
      <c r="L28" t="s">
        <v>226</v>
      </c>
      <c r="M28" t="s">
        <v>281</v>
      </c>
    </row>
    <row r="29" spans="1:13" x14ac:dyDescent="0.2">
      <c r="A29">
        <v>28</v>
      </c>
      <c r="B29" t="s">
        <v>282</v>
      </c>
      <c r="F29" t="s">
        <v>176</v>
      </c>
      <c r="G29" t="s">
        <v>229</v>
      </c>
      <c r="H29" s="103"/>
      <c r="I29" t="s">
        <v>133</v>
      </c>
      <c r="J29" t="s">
        <v>224</v>
      </c>
      <c r="K29" t="s">
        <v>224</v>
      </c>
      <c r="L29" t="s">
        <v>224</v>
      </c>
      <c r="M29" t="s">
        <v>283</v>
      </c>
    </row>
    <row r="30" spans="1:13" x14ac:dyDescent="0.2">
      <c r="A30">
        <v>29</v>
      </c>
      <c r="B30" t="s">
        <v>186</v>
      </c>
      <c r="E30" t="s">
        <v>162</v>
      </c>
      <c r="F30" t="s">
        <v>172</v>
      </c>
      <c r="G30" t="s">
        <v>277</v>
      </c>
      <c r="H30" s="103"/>
      <c r="I30" t="s">
        <v>126</v>
      </c>
      <c r="J30" t="s">
        <v>224</v>
      </c>
      <c r="K30" t="s">
        <v>284</v>
      </c>
      <c r="L30" t="s">
        <v>284</v>
      </c>
      <c r="M30" t="s">
        <v>285</v>
      </c>
    </row>
    <row r="31" spans="1:13" x14ac:dyDescent="0.2">
      <c r="A31">
        <v>30</v>
      </c>
      <c r="B31" t="s">
        <v>139</v>
      </c>
      <c r="E31" t="s">
        <v>162</v>
      </c>
      <c r="F31" t="s">
        <v>187</v>
      </c>
      <c r="G31" s="96">
        <v>1500</v>
      </c>
      <c r="H31" s="103">
        <f>G31</f>
        <v>1500</v>
      </c>
      <c r="I31" t="s">
        <v>135</v>
      </c>
      <c r="J31" t="s">
        <v>257</v>
      </c>
      <c r="K31" t="s">
        <v>286</v>
      </c>
      <c r="L31" t="s">
        <v>229</v>
      </c>
      <c r="M31" t="s">
        <v>285</v>
      </c>
    </row>
    <row r="32" spans="1:13" x14ac:dyDescent="0.2">
      <c r="A32" t="s">
        <v>290</v>
      </c>
      <c r="H32" s="103">
        <f>SUM(H2:H31)</f>
        <v>9000</v>
      </c>
    </row>
    <row r="34" spans="1:1" x14ac:dyDescent="0.2">
      <c r="A34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B30" sqref="B30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6"/>
  </cols>
  <sheetData>
    <row r="1" spans="1:4" s="64" customFormat="1" x14ac:dyDescent="0.2">
      <c r="A1" s="64" t="s">
        <v>49</v>
      </c>
      <c r="B1" s="64" t="s">
        <v>43</v>
      </c>
      <c r="C1" s="66" t="s">
        <v>65</v>
      </c>
    </row>
    <row r="2" spans="1:4" s="64" customFormat="1" x14ac:dyDescent="0.2">
      <c r="C2" s="66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0" customFormat="1" x14ac:dyDescent="0.2">
      <c r="A5" s="70" t="s">
        <v>41</v>
      </c>
      <c r="B5" s="70">
        <f>500*1.2</f>
        <v>600</v>
      </c>
      <c r="C5" s="66"/>
    </row>
    <row r="6" spans="1:4" x14ac:dyDescent="0.2">
      <c r="A6" t="s">
        <v>22</v>
      </c>
      <c r="B6">
        <v>150000</v>
      </c>
    </row>
    <row r="7" spans="1:4" s="70" customFormat="1" x14ac:dyDescent="0.2">
      <c r="A7" s="70" t="s">
        <v>54</v>
      </c>
      <c r="B7" s="70">
        <v>40</v>
      </c>
      <c r="C7" s="66"/>
    </row>
    <row r="8" spans="1:4" s="71" customFormat="1" x14ac:dyDescent="0.2">
      <c r="A8" s="71" t="s">
        <v>55</v>
      </c>
      <c r="B8" s="71">
        <v>80</v>
      </c>
      <c r="C8" s="66"/>
    </row>
    <row r="9" spans="1:4" s="67" customFormat="1" x14ac:dyDescent="0.2">
      <c r="A9" s="67" t="s">
        <v>23</v>
      </c>
      <c r="B9" s="67">
        <v>0</v>
      </c>
      <c r="C9" s="66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3">
        <v>22500</v>
      </c>
      <c r="D13" s="66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6" t="s">
        <v>36</v>
      </c>
    </row>
    <row r="19" spans="1:4" x14ac:dyDescent="0.2">
      <c r="A19" t="s">
        <v>37</v>
      </c>
      <c r="B19" s="66">
        <v>1.24</v>
      </c>
      <c r="D19" s="66"/>
    </row>
    <row r="20" spans="1:4" x14ac:dyDescent="0.2">
      <c r="A20" t="s">
        <v>38</v>
      </c>
      <c r="B20">
        <v>3000</v>
      </c>
      <c r="D20" s="66"/>
    </row>
    <row r="21" spans="1:4" x14ac:dyDescent="0.2">
      <c r="A21" t="s">
        <v>39</v>
      </c>
      <c r="B21">
        <v>0</v>
      </c>
      <c r="D21" s="66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2" customFormat="1" x14ac:dyDescent="0.2">
      <c r="A25" s="72" t="s">
        <v>60</v>
      </c>
      <c r="B25" s="72">
        <f>3*4.75+8.75+16</f>
        <v>39</v>
      </c>
      <c r="C25" s="66" t="s">
        <v>62</v>
      </c>
    </row>
    <row r="26" spans="1:4" x14ac:dyDescent="0.2">
      <c r="A26" t="s">
        <v>63</v>
      </c>
      <c r="B26">
        <f>B25*B22</f>
        <v>49.53</v>
      </c>
    </row>
    <row r="27" spans="1:4" s="72" customFormat="1" x14ac:dyDescent="0.2">
      <c r="A27" s="72" t="s">
        <v>61</v>
      </c>
      <c r="B27" s="72">
        <v>33</v>
      </c>
      <c r="C27" s="66"/>
    </row>
    <row r="28" spans="1:4" s="72" customFormat="1" x14ac:dyDescent="0.2">
      <c r="A28" s="72" t="s">
        <v>64</v>
      </c>
      <c r="B28" s="72">
        <f>B27*B22</f>
        <v>41.910000000000004</v>
      </c>
      <c r="C28" s="66"/>
    </row>
    <row r="29" spans="1:4" s="71" customFormat="1" x14ac:dyDescent="0.2">
      <c r="A29" s="71" t="s">
        <v>53</v>
      </c>
      <c r="B29" s="71">
        <f>(B7+B8)*B26*4+B7*B28*5</f>
        <v>32156.400000000001</v>
      </c>
      <c r="C29" s="66"/>
    </row>
    <row r="30" spans="1:4" s="71" customFormat="1" x14ac:dyDescent="0.2">
      <c r="A30" s="71" t="s">
        <v>57</v>
      </c>
      <c r="B30" s="74">
        <v>8250</v>
      </c>
      <c r="C30" s="66"/>
    </row>
    <row r="31" spans="1:4" s="72" customFormat="1" x14ac:dyDescent="0.2">
      <c r="A31" s="72" t="s">
        <v>58</v>
      </c>
      <c r="B31" s="74">
        <f>B30*B22*B10</f>
        <v>52387.5</v>
      </c>
      <c r="C31" s="66"/>
    </row>
    <row r="33" spans="1:2" x14ac:dyDescent="0.2">
      <c r="A33" t="s">
        <v>44</v>
      </c>
      <c r="B33" s="74">
        <f>B29+B24+B31</f>
        <v>109093</v>
      </c>
    </row>
    <row r="34" spans="1:2" x14ac:dyDescent="0.2">
      <c r="A34" t="s">
        <v>67</v>
      </c>
      <c r="B34" s="74">
        <f>(Assumptions!B7*Assumptions!B4+Assumptions!B8*Assumptions!B5)*0.03</f>
        <v>3600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A7"/>
    </sheetView>
  </sheetViews>
  <sheetFormatPr defaultRowHeight="12.75" x14ac:dyDescent="0.2"/>
  <cols>
    <col min="1" max="1" width="17.5703125" style="66" bestFit="1" customWidth="1"/>
    <col min="2" max="16384" width="9.140625" style="66"/>
  </cols>
  <sheetData>
    <row r="1" spans="1:2" x14ac:dyDescent="0.2">
      <c r="A1" s="66" t="s">
        <v>68</v>
      </c>
    </row>
    <row r="2" spans="1:2" x14ac:dyDescent="0.2">
      <c r="A2" s="66" t="s">
        <v>69</v>
      </c>
      <c r="B2" s="66">
        <v>2500</v>
      </c>
    </row>
    <row r="3" spans="1:2" x14ac:dyDescent="0.2">
      <c r="A3" s="66" t="s">
        <v>70</v>
      </c>
      <c r="B3" s="66">
        <v>1750</v>
      </c>
    </row>
    <row r="4" spans="1:2" x14ac:dyDescent="0.2">
      <c r="A4" s="66" t="s">
        <v>71</v>
      </c>
      <c r="B4" s="66">
        <v>1200</v>
      </c>
    </row>
    <row r="5" spans="1:2" x14ac:dyDescent="0.2">
      <c r="A5" s="66" t="s">
        <v>72</v>
      </c>
      <c r="B5" s="66">
        <v>2500</v>
      </c>
    </row>
    <row r="6" spans="1:2" x14ac:dyDescent="0.2">
      <c r="A6" s="66" t="s">
        <v>73</v>
      </c>
      <c r="B6" s="66">
        <v>2500</v>
      </c>
    </row>
    <row r="7" spans="1:2" x14ac:dyDescent="0.2">
      <c r="A7" s="66" t="s">
        <v>74</v>
      </c>
      <c r="B7" s="66">
        <v>1200</v>
      </c>
    </row>
    <row r="8" spans="1:2" x14ac:dyDescent="0.2">
      <c r="B8" s="66">
        <f>SUM(B2:B7)</f>
        <v>11650</v>
      </c>
    </row>
    <row r="13" spans="1:2" x14ac:dyDescent="0.2">
      <c r="A13" s="66" t="s">
        <v>76</v>
      </c>
    </row>
    <row r="14" spans="1:2" x14ac:dyDescent="0.2">
      <c r="A14" s="66" t="s">
        <v>75</v>
      </c>
      <c r="B14" s="66">
        <v>4000</v>
      </c>
    </row>
    <row r="15" spans="1:2" x14ac:dyDescent="0.2">
      <c r="A15" s="66" t="s">
        <v>77</v>
      </c>
      <c r="B15" s="66">
        <v>1000</v>
      </c>
    </row>
    <row r="16" spans="1:2" x14ac:dyDescent="0.2">
      <c r="A16" s="66" t="s">
        <v>78</v>
      </c>
      <c r="B16" s="66">
        <v>1000</v>
      </c>
    </row>
    <row r="17" spans="1:2" x14ac:dyDescent="0.2">
      <c r="A17" s="66" t="s">
        <v>79</v>
      </c>
      <c r="B17" s="66">
        <v>1000</v>
      </c>
    </row>
    <row r="18" spans="1:2" x14ac:dyDescent="0.2">
      <c r="A18" s="66" t="s">
        <v>80</v>
      </c>
      <c r="B18" s="66">
        <v>1000</v>
      </c>
    </row>
    <row r="19" spans="1:2" x14ac:dyDescent="0.2">
      <c r="A19" s="66" t="s">
        <v>81</v>
      </c>
      <c r="B19" s="66">
        <v>1000</v>
      </c>
    </row>
    <row r="20" spans="1:2" x14ac:dyDescent="0.2">
      <c r="A20" s="66" t="s">
        <v>82</v>
      </c>
      <c r="B20" s="66">
        <v>1000</v>
      </c>
    </row>
    <row r="21" spans="1:2" x14ac:dyDescent="0.2">
      <c r="B21" s="66">
        <f>SUM(B14:B20)</f>
        <v>10000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0" sqref="B10"/>
    </sheetView>
  </sheetViews>
  <sheetFormatPr defaultRowHeight="12.75" x14ac:dyDescent="0.2"/>
  <cols>
    <col min="1" max="1" width="30.28515625" customWidth="1"/>
    <col min="2" max="2" width="12.7109375" customWidth="1"/>
  </cols>
  <sheetData>
    <row r="1" spans="1:2" x14ac:dyDescent="0.2">
      <c r="A1" t="s">
        <v>84</v>
      </c>
    </row>
    <row r="2" spans="1:2" x14ac:dyDescent="0.2">
      <c r="A2" t="s">
        <v>90</v>
      </c>
      <c r="B2">
        <f>sponsored!B7+sponsored!B24</f>
        <v>23</v>
      </c>
    </row>
    <row r="3" spans="1:2" x14ac:dyDescent="0.2">
      <c r="A3" t="s">
        <v>109</v>
      </c>
      <c r="B3">
        <f>tickets!A2</f>
        <v>54</v>
      </c>
    </row>
    <row r="4" spans="1:2" x14ac:dyDescent="0.2">
      <c r="A4" t="s">
        <v>105</v>
      </c>
      <c r="B4">
        <f>invoiced!B13</f>
        <v>25</v>
      </c>
    </row>
    <row r="5" spans="1:2" x14ac:dyDescent="0.2">
      <c r="A5" t="s">
        <v>110</v>
      </c>
      <c r="B5">
        <v>6</v>
      </c>
    </row>
    <row r="6" spans="1:2" x14ac:dyDescent="0.2">
      <c r="A6" t="s">
        <v>111</v>
      </c>
      <c r="B6">
        <v>5</v>
      </c>
    </row>
    <row r="7" spans="1:2" x14ac:dyDescent="0.2">
      <c r="A7" t="s">
        <v>140</v>
      </c>
      <c r="B7">
        <f>funded!A25</f>
        <v>25</v>
      </c>
    </row>
    <row r="9" spans="1:2" x14ac:dyDescent="0.2">
      <c r="A9" t="s">
        <v>112</v>
      </c>
      <c r="B9">
        <f>SUM(B2:B8)</f>
        <v>138</v>
      </c>
    </row>
    <row r="11" spans="1:2" x14ac:dyDescent="0.2">
      <c r="A11" t="s">
        <v>143</v>
      </c>
      <c r="B11">
        <v>15</v>
      </c>
    </row>
    <row r="12" spans="1:2" x14ac:dyDescent="0.2">
      <c r="A12" t="s">
        <v>144</v>
      </c>
      <c r="B12">
        <v>1</v>
      </c>
    </row>
    <row r="14" spans="1:2" x14ac:dyDescent="0.2">
      <c r="A14" t="s">
        <v>142</v>
      </c>
      <c r="B14">
        <f>B2+B4+B5+B6+B7+B11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readme1st</vt:lpstr>
      <vt:lpstr>summit 2017 budget</vt:lpstr>
      <vt:lpstr>catering</vt:lpstr>
      <vt:lpstr>operations</vt:lpstr>
      <vt:lpstr>funded</vt:lpstr>
      <vt:lpstr>travel</vt:lpstr>
      <vt:lpstr>Assumptions</vt:lpstr>
      <vt:lpstr>editors</vt:lpstr>
      <vt:lpstr>totals</vt:lpstr>
      <vt:lpstr>tickets</vt:lpstr>
      <vt:lpstr>invoiced</vt:lpstr>
      <vt:lpstr>sponsored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2017-06-17T13:49:37Z</dcterms:modified>
</cp:coreProperties>
</file>