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1340" windowHeight="8835"/>
  </bookViews>
  <sheets>
    <sheet name="Province info" sheetId="1" r:id="rId1"/>
    <sheet name="Building effects" sheetId="3" r:id="rId2"/>
    <sheet name="Optimizers" sheetId="4" r:id="rId3"/>
    <sheet name="Calculations" sheetId="2" r:id="rId4"/>
  </sheets>
  <definedNames>
    <definedName name="_xlnm._FilterDatabase" localSheetId="3" hidden="1">Calculations!$C$12:$D$13</definedName>
    <definedName name="_xlnm._FilterDatabase" localSheetId="0" hidden="1">'Province info'!$I$36:$I$37</definedName>
    <definedName name="farm_food">Calculations!$B$30</definedName>
    <definedName name="income_sci">'Province info'!$O$12</definedName>
    <definedName name="mod_income">'Province info'!$O$12</definedName>
    <definedName name="sci_mod_income">'Province info'!$O$12</definedName>
  </definedNames>
  <calcPr calcId="125725" iterate="1"/>
</workbook>
</file>

<file path=xl/calcChain.xml><?xml version="1.0" encoding="utf-8"?>
<calcChain xmlns="http://schemas.openxmlformats.org/spreadsheetml/2006/main">
  <c r="Q18" i="2"/>
  <c r="C11" s="1"/>
  <c r="Q14"/>
  <c r="C9" s="1"/>
  <c r="M7"/>
  <c r="M3"/>
  <c r="C8"/>
  <c r="N7"/>
  <c r="N3"/>
  <c r="I17"/>
  <c r="I18"/>
  <c r="I16"/>
  <c r="C47" i="4"/>
  <c r="F7" i="2"/>
  <c r="F3"/>
  <c r="K7"/>
  <c r="K3"/>
  <c r="H7"/>
  <c r="H3"/>
  <c r="J7"/>
  <c r="J3"/>
  <c r="B29"/>
  <c r="C19" s="1"/>
  <c r="Q16"/>
  <c r="C2" s="1"/>
  <c r="C25"/>
  <c r="M16" s="1"/>
  <c r="F8"/>
  <c r="F5"/>
  <c r="H8"/>
  <c r="H5"/>
  <c r="M15"/>
  <c r="C21"/>
  <c r="Q31"/>
  <c r="Q19"/>
  <c r="C6"/>
  <c r="Q3"/>
  <c r="J8"/>
  <c r="J5"/>
  <c r="K8"/>
  <c r="K5"/>
  <c r="G7"/>
  <c r="G8"/>
  <c r="G5"/>
  <c r="G3"/>
  <c r="L7"/>
  <c r="L8"/>
  <c r="L5"/>
  <c r="L3"/>
  <c r="I29"/>
  <c r="J29"/>
  <c r="K29" s="1"/>
  <c r="L29" s="1"/>
  <c r="M29" s="1"/>
  <c r="I31"/>
  <c r="J31" s="1"/>
  <c r="K31" s="1"/>
  <c r="L31" s="1"/>
  <c r="M31" s="1"/>
  <c r="I30"/>
  <c r="J30" s="1"/>
  <c r="K30" s="1"/>
  <c r="L30" s="1"/>
  <c r="M30" s="1"/>
  <c r="I33"/>
  <c r="J33" s="1"/>
  <c r="K33" s="1"/>
  <c r="L33" s="1"/>
  <c r="M33" s="1"/>
  <c r="I34"/>
  <c r="J34"/>
  <c r="K34" s="1"/>
  <c r="L34" s="1"/>
  <c r="M34" s="1"/>
  <c r="I35"/>
  <c r="J35" s="1"/>
  <c r="K35" s="1"/>
  <c r="L35" s="1"/>
  <c r="M35" s="1"/>
  <c r="I32"/>
  <c r="J32" s="1"/>
  <c r="K32" s="1"/>
  <c r="L32" s="1"/>
  <c r="M32" s="1"/>
  <c r="Q6"/>
  <c r="Q10"/>
  <c r="F4"/>
  <c r="H4"/>
  <c r="B46"/>
  <c r="K26" i="3" s="1"/>
  <c r="J4" i="2"/>
  <c r="K4"/>
  <c r="G4"/>
  <c r="G9" s="1"/>
  <c r="H17" s="1"/>
  <c r="L4"/>
  <c r="I4"/>
  <c r="I7"/>
  <c r="I8"/>
  <c r="I5"/>
  <c r="I3"/>
  <c r="I27"/>
  <c r="A8" i="4"/>
  <c r="D8"/>
  <c r="Q5" i="2"/>
  <c r="C15"/>
  <c r="C45"/>
  <c r="P25" i="3" s="1"/>
  <c r="B43" i="2"/>
  <c r="C12"/>
  <c r="C7"/>
  <c r="C22"/>
  <c r="N4"/>
  <c r="N5"/>
  <c r="N6"/>
  <c r="N8"/>
  <c r="Q15"/>
  <c r="C5"/>
  <c r="C14"/>
  <c r="H6"/>
  <c r="C4"/>
  <c r="C10"/>
  <c r="F23" i="1"/>
  <c r="C13" i="2"/>
  <c r="K23" i="3"/>
  <c r="M7"/>
  <c r="E10"/>
  <c r="E11"/>
  <c r="E12"/>
  <c r="E13"/>
  <c r="E14"/>
  <c r="E15"/>
  <c r="E16"/>
  <c r="E17"/>
  <c r="E18"/>
  <c r="E19"/>
  <c r="E20"/>
  <c r="E21"/>
  <c r="E22"/>
  <c r="E23"/>
  <c r="E24"/>
  <c r="E25"/>
  <c r="E26"/>
  <c r="E9"/>
  <c r="K9"/>
  <c r="B28" i="2"/>
  <c r="F6"/>
  <c r="F9" s="1"/>
  <c r="G16" s="1"/>
  <c r="I22"/>
  <c r="I23"/>
  <c r="G6"/>
  <c r="I6"/>
  <c r="I9" s="1"/>
  <c r="H18" s="1"/>
  <c r="I25"/>
  <c r="J6"/>
  <c r="J9" s="1"/>
  <c r="K6"/>
  <c r="L6"/>
  <c r="Q17"/>
  <c r="M4"/>
  <c r="M5"/>
  <c r="M6"/>
  <c r="M8"/>
  <c r="C15" i="1"/>
  <c r="M9" i="2" l="1"/>
  <c r="L9"/>
  <c r="H9"/>
  <c r="G18" s="1"/>
  <c r="K9"/>
  <c r="N9"/>
  <c r="C24"/>
  <c r="O14" i="1" s="1"/>
  <c r="K27" i="3"/>
  <c r="P27"/>
  <c r="P26"/>
  <c r="Q11" i="2"/>
  <c r="K10" i="1" s="1"/>
  <c r="O12"/>
  <c r="O16"/>
  <c r="O17"/>
  <c r="O18"/>
  <c r="K9" s="1"/>
  <c r="O15"/>
  <c r="C16" i="2"/>
  <c r="C3"/>
  <c r="O13" i="1" l="1"/>
  <c r="C20" i="2"/>
  <c r="A16" i="4" s="1"/>
  <c r="D16" l="1"/>
  <c r="C23" i="2"/>
  <c r="K4" i="1"/>
  <c r="O8"/>
  <c r="Q32" i="2" l="1"/>
  <c r="Q33" s="1"/>
  <c r="K5" i="1" s="1"/>
  <c r="K13"/>
  <c r="O35" i="2"/>
  <c r="O37" s="1"/>
  <c r="B47" i="4" l="1"/>
  <c r="B49"/>
  <c r="C32" i="2"/>
  <c r="P12" i="3" s="1"/>
  <c r="B38" i="2"/>
  <c r="K18" i="3" s="1"/>
  <c r="B31" i="2"/>
  <c r="K11" i="3" s="1"/>
  <c r="C31" i="2"/>
  <c r="P11" i="3" s="1"/>
  <c r="B33" i="2"/>
  <c r="I24" s="1"/>
  <c r="B34"/>
  <c r="C34"/>
  <c r="P14" i="3" s="1"/>
  <c r="B35" i="2"/>
  <c r="K15" i="3" s="1"/>
  <c r="B36" i="2"/>
  <c r="B37"/>
  <c r="K17" i="3" s="1"/>
  <c r="C49" i="4"/>
  <c r="B32" i="2"/>
  <c r="K12" i="3" s="1"/>
  <c r="J7"/>
  <c r="C38" i="2"/>
  <c r="P18" i="3" s="1"/>
  <c r="B39" i="2"/>
  <c r="B40"/>
  <c r="K20" i="3" s="1"/>
  <c r="B41" i="2"/>
  <c r="K21" i="3" s="1"/>
  <c r="C41" i="2"/>
  <c r="B42"/>
  <c r="K22" i="3" s="1"/>
  <c r="C42" i="2"/>
  <c r="P22" i="3" s="1"/>
  <c r="B44" i="2"/>
  <c r="K24" i="3" s="1"/>
  <c r="C44" i="2"/>
  <c r="P24" i="3" s="1"/>
  <c r="B45" i="2"/>
  <c r="K25" i="3" s="1"/>
  <c r="B30" i="2"/>
  <c r="K14" i="1"/>
  <c r="K15"/>
  <c r="K16" s="1"/>
  <c r="Q4" i="2"/>
  <c r="I20"/>
  <c r="I21"/>
  <c r="K17" i="1" s="1"/>
  <c r="A44" i="4" l="1"/>
  <c r="K16" i="3"/>
  <c r="I26" i="2"/>
  <c r="K13" i="3"/>
  <c r="K19"/>
  <c r="O21" i="1"/>
  <c r="O22" s="1"/>
  <c r="B31" i="4"/>
  <c r="B32"/>
  <c r="B33"/>
  <c r="I13" i="2"/>
  <c r="M12"/>
  <c r="N13"/>
  <c r="N14"/>
  <c r="M14"/>
  <c r="Q7" s="1"/>
  <c r="Q21"/>
  <c r="O7" i="1" s="1"/>
  <c r="O9" s="1"/>
  <c r="K10" i="3"/>
  <c r="P21"/>
  <c r="K8" i="1"/>
  <c r="K14" i="3"/>
  <c r="O5" i="1"/>
  <c r="O4"/>
  <c r="K18"/>
  <c r="N17" i="2" l="1"/>
  <c r="N19" s="1"/>
  <c r="Q9"/>
  <c r="B38" i="4"/>
  <c r="E38" s="1"/>
  <c r="E32"/>
  <c r="O25" i="1"/>
  <c r="Q8" i="2"/>
  <c r="Q12" s="1"/>
  <c r="M17"/>
  <c r="K25" i="1"/>
  <c r="B39" i="4"/>
  <c r="E39" s="1"/>
  <c r="E33"/>
  <c r="E31"/>
  <c r="B37"/>
  <c r="E37" s="1"/>
  <c r="E40" s="1"/>
  <c r="E44" s="1"/>
  <c r="C8"/>
  <c r="C16"/>
  <c r="M18" i="2" l="1"/>
  <c r="K21" i="1" s="1"/>
  <c r="F8" i="4"/>
  <c r="F16"/>
  <c r="K22" i="1"/>
  <c r="E34" i="4"/>
  <c r="E8"/>
  <c r="I8" s="1"/>
  <c r="E16"/>
  <c r="I16" s="1"/>
  <c r="K7" i="1"/>
  <c r="K6"/>
  <c r="K24" l="1"/>
  <c r="K30"/>
  <c r="K23"/>
  <c r="G16" i="4"/>
  <c r="A20" s="1"/>
  <c r="F22" s="1"/>
  <c r="K27" i="1"/>
  <c r="K26"/>
  <c r="K28"/>
  <c r="K31"/>
  <c r="G8" i="4"/>
</calcChain>
</file>

<file path=xl/sharedStrings.xml><?xml version="1.0" encoding="utf-8"?>
<sst xmlns="http://schemas.openxmlformats.org/spreadsheetml/2006/main" count="510" uniqueCount="283">
  <si>
    <t>General</t>
  </si>
  <si>
    <t>Buildings</t>
  </si>
  <si>
    <t>Other</t>
  </si>
  <si>
    <t>Acres</t>
  </si>
  <si>
    <t>Barren</t>
  </si>
  <si>
    <t>%</t>
  </si>
  <si>
    <t>Draft rate</t>
  </si>
  <si>
    <t>Homes</t>
  </si>
  <si>
    <t>Farms</t>
  </si>
  <si>
    <t>Raw TPA</t>
  </si>
  <si>
    <t>Mills</t>
  </si>
  <si>
    <t>Food produced/hour</t>
  </si>
  <si>
    <t>Raw WPA</t>
  </si>
  <si>
    <t>Banks</t>
  </si>
  <si>
    <t>TG</t>
  </si>
  <si>
    <t>Economy</t>
  </si>
  <si>
    <t>Military</t>
  </si>
  <si>
    <t>Armories</t>
  </si>
  <si>
    <t>Peasants</t>
  </si>
  <si>
    <t>Pay rate</t>
  </si>
  <si>
    <t>Barracks</t>
  </si>
  <si>
    <t>Elite ratio</t>
  </si>
  <si>
    <t>Forts</t>
  </si>
  <si>
    <t>GS</t>
  </si>
  <si>
    <t>Hospitals</t>
  </si>
  <si>
    <t>Modded science effects</t>
  </si>
  <si>
    <t>Guilds</t>
  </si>
  <si>
    <t>Income Science</t>
  </si>
  <si>
    <t>Raw science numbers</t>
  </si>
  <si>
    <t>Towers</t>
  </si>
  <si>
    <t>BE Science</t>
  </si>
  <si>
    <t>TD</t>
  </si>
  <si>
    <t>Pop Science</t>
  </si>
  <si>
    <t>WT</t>
  </si>
  <si>
    <t>Military science</t>
  </si>
  <si>
    <t>Libraries</t>
  </si>
  <si>
    <t>Food Science</t>
  </si>
  <si>
    <t>Schools</t>
  </si>
  <si>
    <t>Thievery Science</t>
  </si>
  <si>
    <t>Stables</t>
  </si>
  <si>
    <t>Magic Science</t>
  </si>
  <si>
    <t>Dungeons</t>
  </si>
  <si>
    <t>Sum:</t>
  </si>
  <si>
    <t>Spells</t>
  </si>
  <si>
    <t>Human</t>
  </si>
  <si>
    <t>Minor protection</t>
  </si>
  <si>
    <t>Dark elf</t>
  </si>
  <si>
    <t>Fertile lands</t>
  </si>
  <si>
    <t>Gnome</t>
  </si>
  <si>
    <t>Input</t>
  </si>
  <si>
    <t>Elf</t>
  </si>
  <si>
    <t>Output</t>
  </si>
  <si>
    <t>Monarch?</t>
  </si>
  <si>
    <t>Orc</t>
  </si>
  <si>
    <t>Not used yet</t>
  </si>
  <si>
    <t>Dwarf</t>
  </si>
  <si>
    <t>Spec/elite values</t>
  </si>
  <si>
    <t>Gnome pop bonus</t>
  </si>
  <si>
    <t>Off specs</t>
  </si>
  <si>
    <t>Def specs</t>
  </si>
  <si>
    <t>Elites off</t>
  </si>
  <si>
    <t>Elite def</t>
  </si>
  <si>
    <t>Elite NW</t>
  </si>
  <si>
    <t>Off NW</t>
  </si>
  <si>
    <t>Def NW</t>
  </si>
  <si>
    <t>Gnome thivery bonus</t>
  </si>
  <si>
    <t>HU</t>
  </si>
  <si>
    <t>Dark elf magic bonus</t>
  </si>
  <si>
    <t>DE</t>
  </si>
  <si>
    <t>Dark elf BE penalty</t>
  </si>
  <si>
    <t>GN</t>
  </si>
  <si>
    <t>Dwarf BE bonus</t>
  </si>
  <si>
    <t>EL</t>
  </si>
  <si>
    <t>Human income bonus</t>
  </si>
  <si>
    <t>OR</t>
  </si>
  <si>
    <t>Human science bonus</t>
  </si>
  <si>
    <t>DW</t>
  </si>
  <si>
    <t>Human magic penalty</t>
  </si>
  <si>
    <t>SUM</t>
  </si>
  <si>
    <t>Monarchy bonus</t>
  </si>
  <si>
    <t>Do not change any value in this sheet</t>
  </si>
  <si>
    <t>Army calcs</t>
  </si>
  <si>
    <t>Off points</t>
  </si>
  <si>
    <t>Def points</t>
  </si>
  <si>
    <t>Homes and pop</t>
  </si>
  <si>
    <t>Off</t>
  </si>
  <si>
    <t>Def</t>
  </si>
  <si>
    <t>pop with science</t>
  </si>
  <si>
    <t>Jobs</t>
  </si>
  <si>
    <t>Elites</t>
  </si>
  <si>
    <t>Optimal BE</t>
  </si>
  <si>
    <t>Horses</t>
  </si>
  <si>
    <t>Prisoners</t>
  </si>
  <si>
    <t>Science mods</t>
  </si>
  <si>
    <t>Military units - thieves</t>
  </si>
  <si>
    <t>All military units</t>
  </si>
  <si>
    <t>Modded off</t>
  </si>
  <si>
    <t>Base ME</t>
  </si>
  <si>
    <t>Modded def</t>
  </si>
  <si>
    <t>Generals</t>
  </si>
  <si>
    <t>Off ME</t>
  </si>
  <si>
    <t>NW</t>
  </si>
  <si>
    <t>Def ME</t>
  </si>
  <si>
    <t>TW additional def</t>
  </si>
  <si>
    <t>Thieves</t>
  </si>
  <si>
    <t>Wizards</t>
  </si>
  <si>
    <t>Science</t>
  </si>
  <si>
    <t>Total</t>
  </si>
  <si>
    <t>Mystic Guild bonus</t>
  </si>
  <si>
    <t>Training costs</t>
  </si>
  <si>
    <t>Spec cost</t>
  </si>
  <si>
    <t>Elite cost</t>
  </si>
  <si>
    <t>Mystic</t>
  </si>
  <si>
    <t>Personality</t>
  </si>
  <si>
    <t>Merchant</t>
  </si>
  <si>
    <t>Merchant bonus</t>
  </si>
  <si>
    <t>Matias' Province Simulator</t>
  </si>
  <si>
    <t>Cost</t>
  </si>
  <si>
    <t>if right race</t>
  </si>
  <si>
    <t>Freak</t>
  </si>
  <si>
    <t>Shepherd</t>
  </si>
  <si>
    <t>Shepherd bonus</t>
  </si>
  <si>
    <t>Attack times</t>
  </si>
  <si>
    <t>War</t>
  </si>
  <si>
    <t>No relations</t>
  </si>
  <si>
    <t>Agressive stance</t>
  </si>
  <si>
    <t>Hostile against you</t>
  </si>
  <si>
    <t>Write in the</t>
  </si>
  <si>
    <t>don't copy/paste or drag</t>
  </si>
  <si>
    <t>Orc science penalty</t>
  </si>
  <si>
    <t>Orc wage bonus</t>
  </si>
  <si>
    <t>Building effects calculator</t>
  </si>
  <si>
    <t>Building name</t>
  </si>
  <si>
    <t xml:space="preserve">Produces </t>
  </si>
  <si>
    <t xml:space="preserve"> </t>
  </si>
  <si>
    <t xml:space="preserve"> - </t>
  </si>
  <si>
    <t>bushels</t>
  </si>
  <si>
    <t>% of building</t>
  </si>
  <si>
    <t xml:space="preserve">% </t>
  </si>
  <si>
    <t xml:space="preserve">and </t>
  </si>
  <si>
    <t xml:space="preserve">% BE and </t>
  </si>
  <si>
    <t>Change these values in the Province info screen!</t>
  </si>
  <si>
    <t>This info is IRC-friendly and can be pasted without problems</t>
  </si>
  <si>
    <t xml:space="preserve">%, </t>
  </si>
  <si>
    <t xml:space="preserve">Reduces military losses by </t>
  </si>
  <si>
    <t xml:space="preserve">Reduces resource loss by </t>
  </si>
  <si>
    <t xml:space="preserve">Increases DME by </t>
  </si>
  <si>
    <t xml:space="preserve">Reduces attack time by </t>
  </si>
  <si>
    <t xml:space="preserve">Reduces training costs by </t>
  </si>
  <si>
    <t xml:space="preserve">Increases income by </t>
  </si>
  <si>
    <t xml:space="preserve">Reduces building costs by </t>
  </si>
  <si>
    <t xml:space="preserve">Trains </t>
  </si>
  <si>
    <t>wizards per hour</t>
  </si>
  <si>
    <t>runes per hour</t>
  </si>
  <si>
    <t xml:space="preserve">Chance of catching thives: </t>
  </si>
  <si>
    <t xml:space="preserve">Reduces thief losses by </t>
  </si>
  <si>
    <t>of your science</t>
  </si>
  <si>
    <t>horses</t>
  </si>
  <si>
    <t>gc</t>
  </si>
  <si>
    <t xml:space="preserve">Increases OME by </t>
  </si>
  <si>
    <t xml:space="preserve">Reduces wages by </t>
  </si>
  <si>
    <t xml:space="preserve">fills </t>
  </si>
  <si>
    <t xml:space="preserve"> jobs and earns you </t>
  </si>
  <si>
    <t xml:space="preserve"> acres</t>
  </si>
  <si>
    <t>chance to cure plage</t>
  </si>
  <si>
    <t xml:space="preserve">Reduces exploration cost by </t>
  </si>
  <si>
    <t xml:space="preserve">and gives a </t>
  </si>
  <si>
    <t xml:space="preserve">Holds </t>
  </si>
  <si>
    <t xml:space="preserve">extra offense, </t>
  </si>
  <si>
    <t xml:space="preserve">Increases thivery efficency by </t>
  </si>
  <si>
    <t xml:space="preserve">Chance of identifying thieves </t>
  </si>
  <si>
    <t xml:space="preserve">gc </t>
  </si>
  <si>
    <t>extra population</t>
  </si>
  <si>
    <t xml:space="preserve">books per hour and protects </t>
  </si>
  <si>
    <t xml:space="preserve">horses per hour and holds </t>
  </si>
  <si>
    <t xml:space="preserve">prisoners that give you </t>
  </si>
  <si>
    <t xml:space="preserve">Increases sci-effectiveness by </t>
  </si>
  <si>
    <t>Building effect at</t>
  </si>
  <si>
    <t xml:space="preserve">Houses </t>
  </si>
  <si>
    <t>Dwarf BE thief penalty</t>
  </si>
  <si>
    <t xml:space="preserve">of your elites is: </t>
  </si>
  <si>
    <t>Amount of elites</t>
  </si>
  <si>
    <t>Effect 1</t>
  </si>
  <si>
    <t>Effect 2</t>
  </si>
  <si>
    <t>Agressive + hostile</t>
  </si>
  <si>
    <t>TW (gnome)</t>
  </si>
  <si>
    <t>Income Sci</t>
  </si>
  <si>
    <t>BE Sci</t>
  </si>
  <si>
    <t>Pop Sci</t>
  </si>
  <si>
    <t>Military Sci</t>
  </si>
  <si>
    <t>Food Sci</t>
  </si>
  <si>
    <t>Thievery Sci</t>
  </si>
  <si>
    <t>Magic Sci</t>
  </si>
  <si>
    <t>D-specs ratio</t>
  </si>
  <si>
    <t>O-specs ratio</t>
  </si>
  <si>
    <t>Stances (soon to be added)</t>
  </si>
  <si>
    <t xml:space="preserve">   creating strategies and plans for your kingdom or simply experimenting with</t>
  </si>
  <si>
    <t>* This excel sheet is created by Matias from Paradox and can be used freely for</t>
  </si>
  <si>
    <t>* The sheet is made for the Age of Darkness on the WoL server and does not cover genesis changes</t>
  </si>
  <si>
    <t>* days to train x% of the elites you set under military</t>
  </si>
  <si>
    <t>BE calc</t>
  </si>
  <si>
    <t>Optimal filled jobs</t>
  </si>
  <si>
    <t>% optimal jobs filled</t>
  </si>
  <si>
    <t>BE</t>
  </si>
  <si>
    <t>Stances</t>
  </si>
  <si>
    <t>Income</t>
  </si>
  <si>
    <t>Schools effect</t>
  </si>
  <si>
    <t>Increased wages</t>
  </si>
  <si>
    <t>Off ME penalty</t>
  </si>
  <si>
    <t>Def ME bonus</t>
  </si>
  <si>
    <t>V 1.1</t>
  </si>
  <si>
    <t>Updated 10/10-2007</t>
  </si>
  <si>
    <t xml:space="preserve">Population/acre: </t>
  </si>
  <si>
    <t xml:space="preserve">BE: </t>
  </si>
  <si>
    <t xml:space="preserve">Networth: </t>
  </si>
  <si>
    <t xml:space="preserve">NW/acre: </t>
  </si>
  <si>
    <t xml:space="preserve">Mod TPA: </t>
  </si>
  <si>
    <t xml:space="preserve">Mod WPA: </t>
  </si>
  <si>
    <t xml:space="preserve">Nwpa from science: </t>
  </si>
  <si>
    <t xml:space="preserve">Peasants: </t>
  </si>
  <si>
    <t xml:space="preserve">Peasants/acre: </t>
  </si>
  <si>
    <t xml:space="preserve">Base income/hour: </t>
  </si>
  <si>
    <t xml:space="preserve">Mod income/hour: </t>
  </si>
  <si>
    <t xml:space="preserve">Military expenses: </t>
  </si>
  <si>
    <t xml:space="preserve">Net income: </t>
  </si>
  <si>
    <t xml:space="preserve">Total Offense: </t>
  </si>
  <si>
    <t xml:space="preserve">Total Defense: </t>
  </si>
  <si>
    <t xml:space="preserve">OPA with all elites: </t>
  </si>
  <si>
    <t xml:space="preserve">OPA with 50% elites: </t>
  </si>
  <si>
    <t xml:space="preserve">OPA with no elites: </t>
  </si>
  <si>
    <t xml:space="preserve">DPA with all home: </t>
  </si>
  <si>
    <t xml:space="preserve">DPA with 50% elites: </t>
  </si>
  <si>
    <t xml:space="preserve">DPA all elites out: </t>
  </si>
  <si>
    <t xml:space="preserve">opnw: </t>
  </si>
  <si>
    <t xml:space="preserve">dpnw: </t>
  </si>
  <si>
    <t xml:space="preserve">Elite: </t>
  </si>
  <si>
    <t xml:space="preserve">Specs: </t>
  </si>
  <si>
    <t xml:space="preserve">Food produced/hour: </t>
  </si>
  <si>
    <t xml:space="preserve">Food needed/hour: </t>
  </si>
  <si>
    <t xml:space="preserve">Food change: </t>
  </si>
  <si>
    <t xml:space="preserve">Income Science: </t>
  </si>
  <si>
    <t xml:space="preserve">BE Science: </t>
  </si>
  <si>
    <t xml:space="preserve">Pop Science: </t>
  </si>
  <si>
    <t xml:space="preserve">Military science: </t>
  </si>
  <si>
    <t xml:space="preserve">Food Science: </t>
  </si>
  <si>
    <t xml:space="preserve">Magic Science: </t>
  </si>
  <si>
    <t xml:space="preserve">Thievery Science: </t>
  </si>
  <si>
    <t xml:space="preserve">Wizards trained/hour: </t>
  </si>
  <si>
    <t xml:space="preserve">Days to train 1 WPA: </t>
  </si>
  <si>
    <t xml:space="preserve">Days to train </t>
  </si>
  <si>
    <t>Homes instead of stables optimizer</t>
  </si>
  <si>
    <t xml:space="preserve"> % acres for homes/stables</t>
  </si>
  <si>
    <t>Total opnw</t>
  </si>
  <si>
    <t>Total off</t>
  </si>
  <si>
    <t>Province</t>
  </si>
  <si>
    <t>Calculation for homes includes all 8 extra pop/home to go into off specs</t>
  </si>
  <si>
    <t>Extra off specs</t>
  </si>
  <si>
    <t>Off value</t>
  </si>
  <si>
    <t>Extra offense</t>
  </si>
  <si>
    <t>Extra NW</t>
  </si>
  <si>
    <t>New NW</t>
  </si>
  <si>
    <t>and that for each 1% increase in homes you increase your draft rate by 0,1%</t>
  </si>
  <si>
    <t>Offensive unit (standard set is an off spec)</t>
  </si>
  <si>
    <t>Total dpnw</t>
  </si>
  <si>
    <t>Would it be more efficent with Homes instead of Stables?</t>
  </si>
  <si>
    <t>Sum of opnw/dpnw from homes compared to stables</t>
  </si>
  <si>
    <t xml:space="preserve">(.5+min{(Pezzies+.5*Prisoners)/(2/3*Jobs),.5})*Sci+Race </t>
  </si>
  <si>
    <t>Banks vs hospitals</t>
  </si>
  <si>
    <t>Base losses</t>
  </si>
  <si>
    <t>% banks</t>
  </si>
  <si>
    <t>Put banks to 0% in buildings before doing this!</t>
  </si>
  <si>
    <t>Losses with hospitals</t>
  </si>
  <si>
    <t>Banks extra income per real day</t>
  </si>
  <si>
    <t>Extra income - cost of retraining sum (using % hospitals if added)</t>
  </si>
  <si>
    <t>% hospitals</t>
  </si>
  <si>
    <t xml:space="preserve"> | </t>
  </si>
  <si>
    <t xml:space="preserve">Elites: </t>
  </si>
  <si>
    <t xml:space="preserve">Off specs: </t>
  </si>
  <si>
    <t xml:space="preserve">Def specs: </t>
  </si>
  <si>
    <t xml:space="preserve">Total cost: </t>
  </si>
  <si>
    <t xml:space="preserve"> attacks made per day (assuming all elites and off specs sent)</t>
  </si>
  <si>
    <t xml:space="preserve"> attacks taken per day (assuming only def specs defend)</t>
  </si>
  <si>
    <t xml:space="preserve"> gc</t>
  </si>
</sst>
</file>

<file path=xl/styles.xml><?xml version="1.0" encoding="utf-8"?>
<styleSheet xmlns="http://schemas.openxmlformats.org/spreadsheetml/2006/main">
  <numFmts count="3">
    <numFmt numFmtId="168" formatCode="0.0"/>
    <numFmt numFmtId="169" formatCode="0.000"/>
    <numFmt numFmtId="170" formatCode="0.0000"/>
  </numFmts>
  <fonts count="17">
    <font>
      <sz val="10"/>
      <name val="Arial"/>
    </font>
    <font>
      <sz val="10"/>
      <name val="Arial"/>
    </font>
    <font>
      <u/>
      <sz val="10"/>
      <name val="Arial"/>
    </font>
    <font>
      <b/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color indexed="10"/>
      <name val="Arial"/>
      <family val="2"/>
    </font>
    <font>
      <b/>
      <u/>
      <sz val="12"/>
      <color indexed="10"/>
      <name val="Arial"/>
      <family val="2"/>
    </font>
    <font>
      <u/>
      <sz val="10"/>
      <color indexed="12"/>
      <name val="Arial"/>
    </font>
    <font>
      <b/>
      <sz val="12"/>
      <name val="Arial"/>
      <family val="2"/>
    </font>
    <font>
      <sz val="8"/>
      <name val="Arial"/>
    </font>
    <font>
      <b/>
      <sz val="10"/>
      <color indexed="10"/>
      <name val="Arial"/>
      <family val="2"/>
    </font>
    <font>
      <b/>
      <sz val="10"/>
      <color indexed="51"/>
      <name val="Arial"/>
      <family val="2"/>
    </font>
    <font>
      <b/>
      <sz val="11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6" fillId="0" borderId="1" xfId="0" applyFont="1" applyBorder="1"/>
    <xf numFmtId="0" fontId="0" fillId="0" borderId="2" xfId="0" applyBorder="1"/>
    <xf numFmtId="0" fontId="0" fillId="0" borderId="0" xfId="0" applyFill="1" applyBorder="1"/>
    <xf numFmtId="0" fontId="5" fillId="0" borderId="1" xfId="0" applyFont="1" applyBorder="1"/>
    <xf numFmtId="0" fontId="0" fillId="0" borderId="3" xfId="0" applyBorder="1"/>
    <xf numFmtId="0" fontId="7" fillId="0" borderId="2" xfId="0" applyFont="1" applyBorder="1" applyAlignment="1">
      <alignment horizontal="right"/>
    </xf>
    <xf numFmtId="0" fontId="5" fillId="2" borderId="0" xfId="0" applyFont="1" applyFill="1"/>
    <xf numFmtId="0" fontId="0" fillId="2" borderId="0" xfId="0" applyFill="1"/>
    <xf numFmtId="0" fontId="5" fillId="2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4" xfId="0" applyBorder="1"/>
    <xf numFmtId="0" fontId="0" fillId="3" borderId="5" xfId="0" applyFill="1" applyBorder="1"/>
    <xf numFmtId="0" fontId="0" fillId="0" borderId="6" xfId="0" applyBorder="1"/>
    <xf numFmtId="0" fontId="1" fillId="2" borderId="0" xfId="0" applyFont="1" applyFill="1" applyBorder="1"/>
    <xf numFmtId="2" fontId="0" fillId="2" borderId="5" xfId="0" applyNumberFormat="1" applyFill="1" applyBorder="1"/>
    <xf numFmtId="0" fontId="1" fillId="2" borderId="0" xfId="0" applyFont="1" applyFill="1"/>
    <xf numFmtId="168" fontId="0" fillId="2" borderId="5" xfId="0" applyNumberFormat="1" applyFill="1" applyBorder="1"/>
    <xf numFmtId="0" fontId="0" fillId="2" borderId="5" xfId="0" applyFill="1" applyBorder="1"/>
    <xf numFmtId="0" fontId="0" fillId="0" borderId="4" xfId="0" applyFill="1" applyBorder="1"/>
    <xf numFmtId="1" fontId="0" fillId="2" borderId="5" xfId="0" applyNumberFormat="1" applyFill="1" applyBorder="1"/>
    <xf numFmtId="0" fontId="0" fillId="4" borderId="5" xfId="0" applyFill="1" applyBorder="1"/>
    <xf numFmtId="0" fontId="5" fillId="0" borderId="4" xfId="0" applyFont="1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169" fontId="0" fillId="2" borderId="5" xfId="0" applyNumberFormat="1" applyFill="1" applyBorder="1"/>
    <xf numFmtId="0" fontId="0" fillId="0" borderId="1" xfId="0" applyBorder="1"/>
    <xf numFmtId="0" fontId="0" fillId="3" borderId="10" xfId="0" applyFill="1" applyBorder="1"/>
    <xf numFmtId="0" fontId="1" fillId="0" borderId="4" xfId="0" applyFont="1" applyFill="1" applyBorder="1"/>
    <xf numFmtId="0" fontId="0" fillId="3" borderId="11" xfId="0" applyFill="1" applyBorder="1"/>
    <xf numFmtId="0" fontId="1" fillId="0" borderId="7" xfId="0" applyFont="1" applyFill="1" applyBorder="1"/>
    <xf numFmtId="0" fontId="0" fillId="3" borderId="12" xfId="0" applyFill="1" applyBorder="1"/>
    <xf numFmtId="0" fontId="0" fillId="2" borderId="8" xfId="0" applyFill="1" applyBorder="1"/>
    <xf numFmtId="0" fontId="0" fillId="2" borderId="13" xfId="0" applyFill="1" applyBorder="1"/>
    <xf numFmtId="1" fontId="0" fillId="2" borderId="9" xfId="0" applyNumberFormat="1" applyFill="1" applyBorder="1"/>
    <xf numFmtId="2" fontId="0" fillId="2" borderId="14" xfId="0" applyNumberFormat="1" applyFill="1" applyBorder="1"/>
    <xf numFmtId="0" fontId="2" fillId="0" borderId="0" xfId="0" applyFont="1" applyBorder="1"/>
    <xf numFmtId="0" fontId="1" fillId="3" borderId="5" xfId="0" applyFont="1" applyFill="1" applyBorder="1"/>
    <xf numFmtId="2" fontId="0" fillId="2" borderId="15" xfId="0" applyNumberFormat="1" applyFill="1" applyBorder="1"/>
    <xf numFmtId="2" fontId="0" fillId="2" borderId="9" xfId="0" applyNumberFormat="1" applyFill="1" applyBorder="1"/>
    <xf numFmtId="1" fontId="0" fillId="0" borderId="0" xfId="0" applyNumberFormat="1" applyBorder="1"/>
    <xf numFmtId="0" fontId="0" fillId="5" borderId="0" xfId="0" applyFill="1" applyBorder="1"/>
    <xf numFmtId="0" fontId="4" fillId="3" borderId="16" xfId="0" applyFont="1" applyFill="1" applyBorder="1"/>
    <xf numFmtId="0" fontId="0" fillId="3" borderId="17" xfId="0" applyFill="1" applyBorder="1"/>
    <xf numFmtId="0" fontId="4" fillId="2" borderId="18" xfId="0" applyFont="1" applyFill="1" applyBorder="1"/>
    <xf numFmtId="0" fontId="0" fillId="2" borderId="19" xfId="0" applyFill="1" applyBorder="1"/>
    <xf numFmtId="0" fontId="4" fillId="4" borderId="7" xfId="0" applyFont="1" applyFill="1" applyBorder="1"/>
    <xf numFmtId="0" fontId="0" fillId="4" borderId="2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0" xfId="0" applyFill="1" applyBorder="1"/>
    <xf numFmtId="0" fontId="0" fillId="0" borderId="0" xfId="0" applyFill="1"/>
    <xf numFmtId="0" fontId="3" fillId="0" borderId="0" xfId="0" applyFont="1"/>
    <xf numFmtId="0" fontId="8" fillId="0" borderId="0" xfId="0" applyFont="1"/>
    <xf numFmtId="0" fontId="3" fillId="0" borderId="0" xfId="0" applyFont="1" applyFill="1" applyBorder="1"/>
    <xf numFmtId="0" fontId="4" fillId="0" borderId="0" xfId="0" applyFont="1" applyFill="1"/>
    <xf numFmtId="0" fontId="0" fillId="5" borderId="0" xfId="0" applyFill="1"/>
    <xf numFmtId="0" fontId="8" fillId="2" borderId="0" xfId="0" applyFont="1" applyFill="1"/>
    <xf numFmtId="0" fontId="0" fillId="2" borderId="21" xfId="0" applyFill="1" applyBorder="1"/>
    <xf numFmtId="0" fontId="9" fillId="0" borderId="0" xfId="0" applyFont="1"/>
    <xf numFmtId="0" fontId="10" fillId="0" borderId="0" xfId="0" applyFont="1"/>
    <xf numFmtId="0" fontId="5" fillId="2" borderId="22" xfId="0" applyFont="1" applyFill="1" applyBorder="1"/>
    <xf numFmtId="0" fontId="0" fillId="2" borderId="23" xfId="0" applyFill="1" applyBorder="1"/>
    <xf numFmtId="0" fontId="0" fillId="2" borderId="22" xfId="0" applyFill="1" applyBorder="1"/>
    <xf numFmtId="1" fontId="0" fillId="2" borderId="5" xfId="2" applyNumberFormat="1" applyFill="1" applyBorder="1"/>
    <xf numFmtId="0" fontId="0" fillId="2" borderId="24" xfId="0" applyFill="1" applyBorder="1"/>
    <xf numFmtId="1" fontId="0" fillId="2" borderId="15" xfId="0" applyNumberFormat="1" applyFill="1" applyBorder="1"/>
    <xf numFmtId="0" fontId="0" fillId="2" borderId="25" xfId="0" applyFill="1" applyBorder="1"/>
    <xf numFmtId="1" fontId="0" fillId="5" borderId="5" xfId="0" applyNumberFormat="1" applyFill="1" applyBorder="1"/>
    <xf numFmtId="0" fontId="0" fillId="5" borderId="5" xfId="0" applyFill="1" applyBorder="1"/>
    <xf numFmtId="1" fontId="0" fillId="2" borderId="0" xfId="0" applyNumberFormat="1" applyFill="1"/>
    <xf numFmtId="0" fontId="0" fillId="6" borderId="0" xfId="0" applyFill="1"/>
    <xf numFmtId="2" fontId="0" fillId="6" borderId="5" xfId="0" applyNumberFormat="1" applyFill="1" applyBorder="1"/>
    <xf numFmtId="168" fontId="0" fillId="6" borderId="5" xfId="0" applyNumberFormat="1" applyFill="1" applyBorder="1"/>
    <xf numFmtId="0" fontId="0" fillId="6" borderId="0" xfId="0" applyFill="1" applyBorder="1"/>
    <xf numFmtId="0" fontId="5" fillId="6" borderId="0" xfId="0" applyFont="1" applyFill="1"/>
    <xf numFmtId="0" fontId="0" fillId="6" borderId="21" xfId="0" applyFill="1" applyBorder="1"/>
    <xf numFmtId="0" fontId="0" fillId="3" borderId="26" xfId="0" applyFill="1" applyBorder="1"/>
    <xf numFmtId="0" fontId="0" fillId="5" borderId="4" xfId="0" applyFill="1" applyBorder="1"/>
    <xf numFmtId="0" fontId="4" fillId="0" borderId="4" xfId="0" applyFont="1" applyBorder="1"/>
    <xf numFmtId="0" fontId="5" fillId="0" borderId="4" xfId="0" applyFont="1" applyFill="1" applyBorder="1"/>
    <xf numFmtId="0" fontId="0" fillId="0" borderId="6" xfId="0" applyFill="1" applyBorder="1"/>
    <xf numFmtId="0" fontId="5" fillId="0" borderId="7" xfId="0" applyFont="1" applyBorder="1"/>
    <xf numFmtId="0" fontId="8" fillId="5" borderId="0" xfId="0" applyFont="1" applyFill="1"/>
    <xf numFmtId="0" fontId="0" fillId="7" borderId="5" xfId="0" applyFill="1" applyBorder="1"/>
    <xf numFmtId="0" fontId="0" fillId="3" borderId="5" xfId="0" applyFill="1" applyBorder="1" applyAlignment="1">
      <alignment horizontal="right"/>
    </xf>
    <xf numFmtId="1" fontId="0" fillId="5" borderId="0" xfId="0" applyNumberFormat="1" applyFill="1"/>
    <xf numFmtId="0" fontId="0" fillId="5" borderId="27" xfId="0" applyFill="1" applyBorder="1"/>
    <xf numFmtId="0" fontId="0" fillId="5" borderId="28" xfId="0" applyFill="1" applyBorder="1"/>
    <xf numFmtId="1" fontId="0" fillId="5" borderId="15" xfId="0" applyNumberFormat="1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10" xfId="0" applyFill="1" applyBorder="1"/>
    <xf numFmtId="0" fontId="0" fillId="5" borderId="31" xfId="0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2" xfId="0" applyFill="1" applyBorder="1"/>
    <xf numFmtId="0" fontId="8" fillId="5" borderId="5" xfId="0" applyFont="1" applyFill="1" applyBorder="1"/>
    <xf numFmtId="2" fontId="0" fillId="2" borderId="5" xfId="0" applyNumberFormat="1" applyFill="1" applyBorder="1" applyAlignment="1">
      <alignment horizontal="right"/>
    </xf>
    <xf numFmtId="0" fontId="4" fillId="6" borderId="27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36" xfId="0" applyFill="1" applyBorder="1"/>
    <xf numFmtId="0" fontId="0" fillId="0" borderId="28" xfId="0" applyBorder="1"/>
    <xf numFmtId="168" fontId="0" fillId="0" borderId="32" xfId="0" applyNumberFormat="1" applyBorder="1"/>
    <xf numFmtId="168" fontId="0" fillId="0" borderId="34" xfId="0" applyNumberFormat="1" applyBorder="1"/>
    <xf numFmtId="0" fontId="0" fillId="0" borderId="21" xfId="0" applyBorder="1"/>
    <xf numFmtId="168" fontId="0" fillId="0" borderId="36" xfId="0" applyNumberFormat="1" applyBorder="1"/>
    <xf numFmtId="0" fontId="0" fillId="6" borderId="28" xfId="0" applyFill="1" applyBorder="1"/>
    <xf numFmtId="1" fontId="0" fillId="2" borderId="21" xfId="0" applyNumberFormat="1" applyFill="1" applyBorder="1"/>
    <xf numFmtId="1" fontId="0" fillId="0" borderId="0" xfId="0" applyNumberFormat="1"/>
    <xf numFmtId="0" fontId="11" fillId="0" borderId="2" xfId="1" applyBorder="1" applyAlignment="1" applyProtection="1"/>
    <xf numFmtId="0" fontId="0" fillId="6" borderId="5" xfId="0" applyFill="1" applyBorder="1"/>
    <xf numFmtId="0" fontId="0" fillId="5" borderId="6" xfId="0" applyFill="1" applyBorder="1"/>
    <xf numFmtId="0" fontId="2" fillId="5" borderId="4" xfId="0" applyFont="1" applyFill="1" applyBorder="1"/>
    <xf numFmtId="0" fontId="5" fillId="5" borderId="0" xfId="0" applyFont="1" applyFill="1" applyBorder="1"/>
    <xf numFmtId="0" fontId="9" fillId="0" borderId="0" xfId="0" applyFont="1" applyBorder="1"/>
    <xf numFmtId="0" fontId="8" fillId="6" borderId="0" xfId="0" applyFont="1" applyFill="1"/>
    <xf numFmtId="2" fontId="0" fillId="6" borderId="14" xfId="0" applyNumberFormat="1" applyFill="1" applyBorder="1"/>
    <xf numFmtId="0" fontId="8" fillId="2" borderId="8" xfId="0" applyFont="1" applyFill="1" applyBorder="1"/>
    <xf numFmtId="0" fontId="0" fillId="0" borderId="27" xfId="0" applyBorder="1"/>
    <xf numFmtId="0" fontId="0" fillId="0" borderId="33" xfId="0" applyBorder="1"/>
    <xf numFmtId="0" fontId="0" fillId="0" borderId="33" xfId="0" applyFill="1" applyBorder="1"/>
    <xf numFmtId="0" fontId="0" fillId="0" borderId="35" xfId="0" applyBorder="1"/>
    <xf numFmtId="0" fontId="12" fillId="0" borderId="0" xfId="0" applyFont="1"/>
    <xf numFmtId="0" fontId="0" fillId="6" borderId="22" xfId="0" applyFill="1" applyBorder="1"/>
    <xf numFmtId="2" fontId="0" fillId="2" borderId="22" xfId="0" applyNumberFormat="1" applyFill="1" applyBorder="1"/>
    <xf numFmtId="0" fontId="0" fillId="0" borderId="32" xfId="0" applyBorder="1"/>
    <xf numFmtId="0" fontId="0" fillId="0" borderId="34" xfId="0" applyBorder="1"/>
    <xf numFmtId="0" fontId="0" fillId="0" borderId="36" xfId="0" applyBorder="1"/>
    <xf numFmtId="0" fontId="14" fillId="0" borderId="0" xfId="0" applyFont="1"/>
    <xf numFmtId="0" fontId="15" fillId="0" borderId="0" xfId="0" applyFont="1" applyFill="1"/>
    <xf numFmtId="169" fontId="0" fillId="2" borderId="22" xfId="0" applyNumberFormat="1" applyFill="1" applyBorder="1"/>
    <xf numFmtId="0" fontId="0" fillId="5" borderId="33" xfId="0" applyFill="1" applyBorder="1"/>
    <xf numFmtId="168" fontId="0" fillId="5" borderId="5" xfId="0" applyNumberFormat="1" applyFill="1" applyBorder="1"/>
    <xf numFmtId="2" fontId="0" fillId="5" borderId="5" xfId="0" applyNumberFormat="1" applyFill="1" applyBorder="1"/>
    <xf numFmtId="0" fontId="4" fillId="0" borderId="22" xfId="0" applyFont="1" applyBorder="1"/>
    <xf numFmtId="0" fontId="0" fillId="0" borderId="23" xfId="0" applyBorder="1"/>
    <xf numFmtId="0" fontId="4" fillId="0" borderId="23" xfId="0" applyFont="1" applyBorder="1"/>
    <xf numFmtId="168" fontId="0" fillId="0" borderId="23" xfId="0" applyNumberFormat="1" applyBorder="1"/>
    <xf numFmtId="0" fontId="0" fillId="0" borderId="23" xfId="0" applyBorder="1" applyAlignment="1">
      <alignment horizontal="left"/>
    </xf>
    <xf numFmtId="0" fontId="0" fillId="0" borderId="24" xfId="0" applyBorder="1"/>
    <xf numFmtId="0" fontId="4" fillId="0" borderId="0" xfId="0" applyFont="1"/>
    <xf numFmtId="0" fontId="0" fillId="0" borderId="21" xfId="0" applyFill="1" applyBorder="1"/>
    <xf numFmtId="0" fontId="0" fillId="6" borderId="27" xfId="0" applyFill="1" applyBorder="1"/>
    <xf numFmtId="0" fontId="0" fillId="6" borderId="24" xfId="0" applyFill="1" applyBorder="1"/>
    <xf numFmtId="0" fontId="0" fillId="5" borderId="14" xfId="0" applyFill="1" applyBorder="1"/>
    <xf numFmtId="0" fontId="0" fillId="4" borderId="0" xfId="0" applyFill="1"/>
    <xf numFmtId="0" fontId="4" fillId="4" borderId="0" xfId="0" applyFont="1" applyFill="1"/>
    <xf numFmtId="0" fontId="4" fillId="0" borderId="0" xfId="0" applyFont="1" applyFill="1" applyBorder="1"/>
    <xf numFmtId="0" fontId="0" fillId="0" borderId="0" xfId="0" applyNumberFormat="1" applyFill="1" applyBorder="1" applyAlignment="1"/>
    <xf numFmtId="0" fontId="8" fillId="0" borderId="0" xfId="0" applyFont="1" applyFill="1" applyBorder="1"/>
    <xf numFmtId="169" fontId="0" fillId="6" borderId="5" xfId="0" applyNumberFormat="1" applyFill="1" applyBorder="1"/>
    <xf numFmtId="0" fontId="5" fillId="0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0" xfId="0" applyFont="1" applyBorder="1"/>
    <xf numFmtId="0" fontId="0" fillId="0" borderId="5" xfId="0" applyBorder="1"/>
    <xf numFmtId="0" fontId="0" fillId="0" borderId="37" xfId="0" applyBorder="1"/>
    <xf numFmtId="168" fontId="0" fillId="0" borderId="4" xfId="0" applyNumberFormat="1" applyBorder="1"/>
    <xf numFmtId="168" fontId="0" fillId="0" borderId="0" xfId="0" applyNumberFormat="1" applyBorder="1"/>
    <xf numFmtId="1" fontId="0" fillId="0" borderId="0" xfId="0" applyNumberFormat="1" applyBorder="1" applyAlignment="1">
      <alignment horizontal="right"/>
    </xf>
    <xf numFmtId="170" fontId="0" fillId="5" borderId="26" xfId="0" applyNumberFormat="1" applyFill="1" applyBorder="1"/>
    <xf numFmtId="0" fontId="0" fillId="0" borderId="20" xfId="0" applyBorder="1"/>
    <xf numFmtId="0" fontId="16" fillId="0" borderId="1" xfId="0" applyFont="1" applyBorder="1"/>
    <xf numFmtId="0" fontId="0" fillId="8" borderId="5" xfId="0" applyFill="1" applyBorder="1"/>
    <xf numFmtId="0" fontId="0" fillId="0" borderId="26" xfId="0" applyBorder="1"/>
    <xf numFmtId="168" fontId="0" fillId="0" borderId="21" xfId="0" applyNumberFormat="1" applyBorder="1"/>
    <xf numFmtId="1" fontId="0" fillId="0" borderId="21" xfId="0" applyNumberFormat="1" applyBorder="1"/>
  </cellXfs>
  <cellStyles count="3">
    <cellStyle name="Hyperlänk" xfId="1" builtinId="8"/>
    <cellStyle name="Normal" xfId="0" builtinId="0"/>
    <cellStyle name="Pro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6"/>
  <sheetViews>
    <sheetView tabSelected="1" zoomScale="90" workbookViewId="0">
      <selection activeCell="K1" sqref="K1"/>
    </sheetView>
  </sheetViews>
  <sheetFormatPr defaultRowHeight="12.75"/>
  <cols>
    <col min="2" max="2" width="5.42578125" customWidth="1"/>
    <col min="3" max="3" width="9.7109375" bestFit="1" customWidth="1"/>
    <col min="4" max="4" width="4.7109375" customWidth="1"/>
    <col min="5" max="5" width="10" customWidth="1"/>
    <col min="6" max="6" width="7.140625" customWidth="1"/>
    <col min="7" max="8" width="4.7109375" customWidth="1"/>
    <col min="9" max="9" width="10.42578125" customWidth="1"/>
    <col min="10" max="10" width="8.5703125" customWidth="1"/>
    <col min="12" max="12" width="4.7109375" customWidth="1"/>
    <col min="14" max="14" width="10" customWidth="1"/>
    <col min="15" max="15" width="10.140625" customWidth="1"/>
    <col min="16" max="16" width="4.7109375" customWidth="1"/>
    <col min="17" max="17" width="4" customWidth="1"/>
  </cols>
  <sheetData>
    <row r="1" spans="1:21" ht="18" customHeight="1">
      <c r="A1" s="1" t="s">
        <v>116</v>
      </c>
      <c r="B1" s="2"/>
      <c r="C1" s="2"/>
      <c r="D1" s="2"/>
      <c r="E1" s="2"/>
      <c r="F1" s="148" t="s">
        <v>210</v>
      </c>
      <c r="G1" s="161" t="s">
        <v>211</v>
      </c>
      <c r="H1" s="3"/>
      <c r="I1" s="3"/>
      <c r="J1" s="117"/>
      <c r="M1" s="2"/>
      <c r="N1" s="2"/>
      <c r="P1" s="2"/>
      <c r="Q1" s="3"/>
    </row>
    <row r="2" spans="1:21" ht="13.5" customHeight="1" thickBot="1"/>
    <row r="3" spans="1:21">
      <c r="A3" s="4" t="s">
        <v>0</v>
      </c>
      <c r="B3" s="2"/>
      <c r="C3" s="2"/>
      <c r="D3" s="5"/>
      <c r="E3" s="4" t="s">
        <v>1</v>
      </c>
      <c r="F3" s="6"/>
      <c r="G3" s="5"/>
      <c r="I3" s="7" t="s">
        <v>0</v>
      </c>
      <c r="J3" s="8"/>
      <c r="K3" s="8"/>
      <c r="M3" s="77" t="s">
        <v>109</v>
      </c>
      <c r="N3" s="73"/>
      <c r="O3" s="76"/>
      <c r="P3" s="11"/>
      <c r="R3" s="44" t="s">
        <v>49</v>
      </c>
      <c r="S3" s="45"/>
    </row>
    <row r="4" spans="1:21">
      <c r="A4" s="12" t="s">
        <v>3</v>
      </c>
      <c r="B4" s="11"/>
      <c r="C4" s="13">
        <v>1000</v>
      </c>
      <c r="D4" s="14"/>
      <c r="E4" s="79" t="s">
        <v>4</v>
      </c>
      <c r="F4" s="13">
        <v>0</v>
      </c>
      <c r="G4" s="14" t="s">
        <v>5</v>
      </c>
      <c r="I4" s="15" t="s">
        <v>212</v>
      </c>
      <c r="J4" s="8"/>
      <c r="K4" s="16">
        <f>Calculations!C20/'Province info'!C4</f>
        <v>28.249999999999996</v>
      </c>
      <c r="M4" s="73" t="s">
        <v>235</v>
      </c>
      <c r="N4" s="73"/>
      <c r="O4" s="75">
        <f>Calculations!N9*Calculations!B34</f>
        <v>900</v>
      </c>
      <c r="P4" s="11"/>
      <c r="R4" s="46" t="s">
        <v>51</v>
      </c>
      <c r="S4" s="47"/>
    </row>
    <row r="5" spans="1:21" ht="13.5" thickBot="1">
      <c r="A5" s="12" t="s">
        <v>6</v>
      </c>
      <c r="B5" s="11"/>
      <c r="C5" s="13">
        <v>62</v>
      </c>
      <c r="D5" s="14" t="s">
        <v>5</v>
      </c>
      <c r="E5" s="79" t="s">
        <v>7</v>
      </c>
      <c r="F5" s="13">
        <v>0</v>
      </c>
      <c r="G5" s="14" t="s">
        <v>5</v>
      </c>
      <c r="I5" s="17" t="s">
        <v>213</v>
      </c>
      <c r="J5" s="8"/>
      <c r="K5" s="18">
        <f>Calculations!Q33*100</f>
        <v>100.56329552238805</v>
      </c>
      <c r="L5" t="s">
        <v>5</v>
      </c>
      <c r="M5" s="73" t="s">
        <v>236</v>
      </c>
      <c r="N5" s="73"/>
      <c r="O5" s="75">
        <f>Calculations!M9*Calculations!B34</f>
        <v>350</v>
      </c>
      <c r="P5" s="11"/>
      <c r="R5" s="48" t="s">
        <v>54</v>
      </c>
      <c r="S5" s="49"/>
    </row>
    <row r="6" spans="1:21">
      <c r="D6" s="14"/>
      <c r="E6" s="79" t="s">
        <v>8</v>
      </c>
      <c r="F6" s="13">
        <v>9</v>
      </c>
      <c r="G6" s="14" t="s">
        <v>5</v>
      </c>
      <c r="I6" s="10" t="s">
        <v>214</v>
      </c>
      <c r="J6" s="8"/>
      <c r="K6" s="21">
        <f>Calculations!Q12</f>
        <v>164760.44312169313</v>
      </c>
      <c r="M6" s="53"/>
      <c r="N6" s="53"/>
      <c r="O6" s="53"/>
      <c r="P6" s="11"/>
    </row>
    <row r="7" spans="1:21" ht="13.5" thickBot="1">
      <c r="A7" s="12" t="s">
        <v>9</v>
      </c>
      <c r="B7" s="11"/>
      <c r="C7" s="13">
        <v>2</v>
      </c>
      <c r="D7" s="14"/>
      <c r="E7" s="79" t="s">
        <v>10</v>
      </c>
      <c r="F7" s="13">
        <v>0</v>
      </c>
      <c r="G7" s="14" t="s">
        <v>5</v>
      </c>
      <c r="I7" s="34" t="s">
        <v>215</v>
      </c>
      <c r="J7" s="34"/>
      <c r="K7" s="41">
        <f>Calculations!Q12/C4</f>
        <v>164.76044312169313</v>
      </c>
      <c r="M7" s="8" t="s">
        <v>237</v>
      </c>
      <c r="N7" s="8"/>
      <c r="O7" s="21">
        <f>Calculations!Q21</f>
        <v>7919.3595223880593</v>
      </c>
      <c r="P7" s="11"/>
    </row>
    <row r="8" spans="1:21">
      <c r="A8" s="12" t="s">
        <v>12</v>
      </c>
      <c r="B8" s="11"/>
      <c r="C8" s="13">
        <v>1</v>
      </c>
      <c r="D8" s="14"/>
      <c r="E8" s="79" t="s">
        <v>13</v>
      </c>
      <c r="F8" s="13">
        <v>50</v>
      </c>
      <c r="G8" s="14" t="s">
        <v>5</v>
      </c>
      <c r="I8" s="59" t="s">
        <v>216</v>
      </c>
      <c r="J8" s="8"/>
      <c r="K8" s="37">
        <f>C7*(Calculations!C41)*(1+0.01*O17)*(Calculations!C3)*(Calculations!C7)</f>
        <v>4.5999999999999996</v>
      </c>
      <c r="M8" s="8" t="s">
        <v>238</v>
      </c>
      <c r="N8" s="8"/>
      <c r="O8" s="21">
        <f>Calculations!C20*0.25</f>
        <v>7062.4999999999991</v>
      </c>
      <c r="P8" s="11"/>
      <c r="Q8" s="3"/>
    </row>
    <row r="9" spans="1:21" ht="13.5" thickBot="1">
      <c r="A9" s="12"/>
      <c r="B9" s="11"/>
      <c r="C9" s="3"/>
      <c r="D9" s="14"/>
      <c r="E9" s="79" t="s">
        <v>14</v>
      </c>
      <c r="F9" s="13">
        <v>0</v>
      </c>
      <c r="G9" s="14" t="s">
        <v>5</v>
      </c>
      <c r="I9" s="125" t="s">
        <v>217</v>
      </c>
      <c r="J9" s="34"/>
      <c r="K9" s="41">
        <f>C8*(1+0.01*O18)*Calculations!C4*Calculations!C10</f>
        <v>0.75</v>
      </c>
      <c r="M9" s="8" t="s">
        <v>239</v>
      </c>
      <c r="N9" s="8"/>
      <c r="O9" s="21">
        <f>O7-O8</f>
        <v>856.85952238806021</v>
      </c>
      <c r="P9" s="11"/>
      <c r="R9" s="154" t="s">
        <v>195</v>
      </c>
      <c r="S9" s="153"/>
      <c r="T9" s="153"/>
      <c r="U9" s="11"/>
    </row>
    <row r="10" spans="1:21">
      <c r="A10" s="23" t="s">
        <v>16</v>
      </c>
      <c r="B10" s="11"/>
      <c r="C10" s="11"/>
      <c r="D10" s="14"/>
      <c r="E10" s="79" t="s">
        <v>17</v>
      </c>
      <c r="F10" s="13">
        <v>0</v>
      </c>
      <c r="G10" s="14" t="s">
        <v>5</v>
      </c>
      <c r="H10" s="11"/>
      <c r="I10" s="123" t="s">
        <v>218</v>
      </c>
      <c r="J10" s="73"/>
      <c r="K10" s="124">
        <f>Calculations!Q11/C4</f>
        <v>6.5716931216931229</v>
      </c>
      <c r="P10" s="11"/>
      <c r="U10" s="11"/>
    </row>
    <row r="11" spans="1:21" ht="13.5" customHeight="1" thickBot="1">
      <c r="A11" s="24" t="s">
        <v>19</v>
      </c>
      <c r="B11" s="25"/>
      <c r="C11" s="26">
        <v>200</v>
      </c>
      <c r="D11" s="14" t="s">
        <v>5</v>
      </c>
      <c r="E11" s="79" t="s">
        <v>20</v>
      </c>
      <c r="F11" s="13">
        <v>0</v>
      </c>
      <c r="G11" s="14" t="s">
        <v>5</v>
      </c>
      <c r="M11" s="7" t="s">
        <v>25</v>
      </c>
      <c r="N11" s="8"/>
      <c r="O11" s="8"/>
      <c r="P11" s="11"/>
      <c r="Q11" s="3"/>
    </row>
    <row r="12" spans="1:21">
      <c r="A12" s="28" t="s">
        <v>21</v>
      </c>
      <c r="B12" s="2"/>
      <c r="C12" s="29">
        <v>30</v>
      </c>
      <c r="D12" s="14" t="s">
        <v>5</v>
      </c>
      <c r="E12" s="79" t="s">
        <v>22</v>
      </c>
      <c r="F12" s="13">
        <v>0</v>
      </c>
      <c r="G12" s="14" t="s">
        <v>5</v>
      </c>
      <c r="I12" s="7" t="s">
        <v>15</v>
      </c>
      <c r="J12" s="8"/>
      <c r="K12" s="8"/>
      <c r="M12" s="10" t="s">
        <v>240</v>
      </c>
      <c r="N12" s="8"/>
      <c r="O12" s="16">
        <f>C17*Calculations!C24</f>
        <v>19.5</v>
      </c>
      <c r="P12" t="s">
        <v>5</v>
      </c>
      <c r="Q12" s="3"/>
    </row>
    <row r="13" spans="1:21">
      <c r="A13" s="30" t="s">
        <v>194</v>
      </c>
      <c r="B13" s="11"/>
      <c r="C13" s="31">
        <v>30</v>
      </c>
      <c r="D13" s="14" t="s">
        <v>5</v>
      </c>
      <c r="E13" s="79" t="s">
        <v>23</v>
      </c>
      <c r="F13" s="13">
        <v>0</v>
      </c>
      <c r="G13" s="14" t="s">
        <v>5</v>
      </c>
      <c r="I13" s="8" t="s">
        <v>219</v>
      </c>
      <c r="J13" s="8"/>
      <c r="K13" s="21">
        <f>Calculations!C23</f>
        <v>9734.9999999999982</v>
      </c>
      <c r="M13" s="10" t="s">
        <v>241</v>
      </c>
      <c r="N13" s="8"/>
      <c r="O13" s="16">
        <f>C18*Calculations!C24</f>
        <v>20.8</v>
      </c>
      <c r="P13" t="s">
        <v>5</v>
      </c>
      <c r="Q13" s="3"/>
    </row>
    <row r="14" spans="1:21" ht="13.5" customHeight="1" thickBot="1">
      <c r="A14" s="32" t="s">
        <v>193</v>
      </c>
      <c r="B14" s="25"/>
      <c r="C14" s="33">
        <v>40</v>
      </c>
      <c r="D14" s="14" t="s">
        <v>5</v>
      </c>
      <c r="E14" s="79" t="s">
        <v>24</v>
      </c>
      <c r="F14" s="13">
        <v>0</v>
      </c>
      <c r="G14" s="14" t="s">
        <v>5</v>
      </c>
      <c r="I14" s="8" t="s">
        <v>220</v>
      </c>
      <c r="J14" s="8"/>
      <c r="K14" s="16">
        <f>PRODUCT(K13/C4)</f>
        <v>9.7349999999999977</v>
      </c>
      <c r="M14" s="10" t="s">
        <v>242</v>
      </c>
      <c r="N14" s="8"/>
      <c r="O14" s="16">
        <f>C19*Calculations!C24</f>
        <v>13</v>
      </c>
      <c r="P14" t="s">
        <v>5</v>
      </c>
      <c r="Q14" s="3"/>
    </row>
    <row r="15" spans="1:21">
      <c r="A15" s="20"/>
      <c r="B15" s="3"/>
      <c r="C15" s="3">
        <f>SUM(C12:C14)</f>
        <v>100</v>
      </c>
      <c r="D15" s="14" t="s">
        <v>5</v>
      </c>
      <c r="E15" s="79" t="s">
        <v>26</v>
      </c>
      <c r="F15" s="13">
        <v>0</v>
      </c>
      <c r="G15" s="14" t="s">
        <v>5</v>
      </c>
      <c r="I15" s="8" t="s">
        <v>221</v>
      </c>
      <c r="J15" s="8"/>
      <c r="K15" s="21">
        <f>(K13*2.1)+(Calculations!C25*0.5)</f>
        <v>20443.499999999996</v>
      </c>
      <c r="L15" t="s">
        <v>158</v>
      </c>
      <c r="M15" s="10" t="s">
        <v>243</v>
      </c>
      <c r="N15" s="8"/>
      <c r="O15" s="16">
        <f>C21*Calculations!C24</f>
        <v>0</v>
      </c>
      <c r="P15" t="s">
        <v>5</v>
      </c>
    </row>
    <row r="16" spans="1:21">
      <c r="A16" s="23" t="s">
        <v>28</v>
      </c>
      <c r="B16" s="11"/>
      <c r="C16" s="11"/>
      <c r="D16" s="14"/>
      <c r="E16" s="79" t="s">
        <v>29</v>
      </c>
      <c r="F16" s="13">
        <v>0</v>
      </c>
      <c r="G16" s="14" t="s">
        <v>5</v>
      </c>
      <c r="I16" s="8" t="s">
        <v>222</v>
      </c>
      <c r="J16" s="8"/>
      <c r="K16" s="21">
        <f>(K15+Calculations!B32)*Calculations!C32*(1+income_sci*0.01)*Calculations!C8*Calculations!C12*Calculations!C14</f>
        <v>64181.114750712295</v>
      </c>
      <c r="L16" t="s">
        <v>158</v>
      </c>
      <c r="M16" s="10" t="s">
        <v>244</v>
      </c>
      <c r="N16" s="8"/>
      <c r="O16" s="16">
        <f>C20*Calculations!C24</f>
        <v>0</v>
      </c>
      <c r="P16" t="s">
        <v>5</v>
      </c>
    </row>
    <row r="17" spans="1:18">
      <c r="A17" s="12" t="s">
        <v>186</v>
      </c>
      <c r="B17" s="11"/>
      <c r="C17" s="13">
        <v>15</v>
      </c>
      <c r="D17" s="14" t="s">
        <v>5</v>
      </c>
      <c r="E17" s="79" t="s">
        <v>31</v>
      </c>
      <c r="F17" s="13">
        <v>0</v>
      </c>
      <c r="G17" s="14" t="s">
        <v>5</v>
      </c>
      <c r="I17" s="8" t="s">
        <v>223</v>
      </c>
      <c r="J17" s="8"/>
      <c r="K17" s="21">
        <f>(Calculations!I21/2)*(C11*0.01)*Calculations!C34*Calculations!C16</f>
        <v>17515</v>
      </c>
      <c r="L17" t="s">
        <v>158</v>
      </c>
      <c r="M17" s="10" t="s">
        <v>246</v>
      </c>
      <c r="N17" s="8"/>
      <c r="O17" s="16">
        <f>C22*Calculations!C24</f>
        <v>130</v>
      </c>
      <c r="P17" t="s">
        <v>5</v>
      </c>
    </row>
    <row r="18" spans="1:18">
      <c r="A18" s="12" t="s">
        <v>187</v>
      </c>
      <c r="B18" s="11"/>
      <c r="C18" s="13">
        <v>16</v>
      </c>
      <c r="D18" s="14" t="s">
        <v>5</v>
      </c>
      <c r="E18" s="79" t="s">
        <v>33</v>
      </c>
      <c r="F18" s="13">
        <v>0</v>
      </c>
      <c r="G18" s="14" t="s">
        <v>5</v>
      </c>
      <c r="H18" s="11"/>
      <c r="I18" s="8" t="s">
        <v>224</v>
      </c>
      <c r="J18" s="8"/>
      <c r="K18" s="21">
        <f>K16-K17</f>
        <v>46666.114750712295</v>
      </c>
      <c r="L18" t="s">
        <v>158</v>
      </c>
      <c r="M18" s="10" t="s">
        <v>245</v>
      </c>
      <c r="N18" s="8"/>
      <c r="O18" s="16">
        <f>C23*Calculations!C24</f>
        <v>0</v>
      </c>
      <c r="P18" t="s">
        <v>5</v>
      </c>
    </row>
    <row r="19" spans="1:18" ht="13.5" customHeight="1">
      <c r="A19" s="12" t="s">
        <v>188</v>
      </c>
      <c r="B19" s="11"/>
      <c r="C19" s="13">
        <v>10</v>
      </c>
      <c r="D19" s="14" t="s">
        <v>5</v>
      </c>
      <c r="E19" s="79" t="s">
        <v>35</v>
      </c>
      <c r="F19" s="13">
        <v>0</v>
      </c>
      <c r="G19" s="14" t="s">
        <v>5</v>
      </c>
      <c r="H19" s="11"/>
      <c r="Q19" s="11"/>
      <c r="R19" s="11"/>
    </row>
    <row r="20" spans="1:18">
      <c r="A20" s="12" t="s">
        <v>190</v>
      </c>
      <c r="B20" s="11"/>
      <c r="C20" s="13">
        <v>0</v>
      </c>
      <c r="D20" s="14" t="s">
        <v>5</v>
      </c>
      <c r="E20" s="79" t="s">
        <v>37</v>
      </c>
      <c r="F20" s="13">
        <v>0</v>
      </c>
      <c r="G20" s="14" t="s">
        <v>5</v>
      </c>
      <c r="I20" s="9" t="s">
        <v>16</v>
      </c>
      <c r="J20" s="8"/>
      <c r="K20" s="8"/>
      <c r="M20" s="9" t="s">
        <v>2</v>
      </c>
      <c r="N20" s="10"/>
      <c r="O20" s="8"/>
      <c r="Q20" s="38"/>
      <c r="R20" s="11"/>
    </row>
    <row r="21" spans="1:18">
      <c r="A21" s="20" t="s">
        <v>189</v>
      </c>
      <c r="B21" s="11"/>
      <c r="C21" s="22">
        <v>0</v>
      </c>
      <c r="D21" s="14" t="s">
        <v>5</v>
      </c>
      <c r="E21" s="79" t="s">
        <v>39</v>
      </c>
      <c r="F21" s="39">
        <v>0</v>
      </c>
      <c r="G21" s="14" t="s">
        <v>5</v>
      </c>
      <c r="I21" s="8" t="s">
        <v>225</v>
      </c>
      <c r="J21" s="8"/>
      <c r="K21" s="21">
        <f>Calculations!M18</f>
        <v>60272.051400000011</v>
      </c>
      <c r="M21" s="73" t="s">
        <v>247</v>
      </c>
      <c r="N21" s="73"/>
      <c r="O21" s="74">
        <f>Calculations!B39</f>
        <v>0</v>
      </c>
      <c r="Q21" s="11"/>
      <c r="R21" s="11"/>
    </row>
    <row r="22" spans="1:18" ht="13.5" customHeight="1" thickBot="1">
      <c r="A22" s="12" t="s">
        <v>191</v>
      </c>
      <c r="B22" s="11"/>
      <c r="C22" s="13">
        <v>100</v>
      </c>
      <c r="D22" s="14" t="s">
        <v>5</v>
      </c>
      <c r="E22" s="79" t="s">
        <v>41</v>
      </c>
      <c r="F22" s="13">
        <v>0</v>
      </c>
      <c r="G22" s="14" t="s">
        <v>5</v>
      </c>
      <c r="I22" s="34" t="s">
        <v>226</v>
      </c>
      <c r="J22" s="35"/>
      <c r="K22" s="36">
        <f>Calculations!N19</f>
        <v>56300.832000000009</v>
      </c>
      <c r="M22" s="73" t="s">
        <v>248</v>
      </c>
      <c r="N22" s="73"/>
      <c r="O22" s="75" t="e">
        <f>(C4/O21)/24</f>
        <v>#DIV/0!</v>
      </c>
      <c r="Q22" s="42"/>
      <c r="R22" s="11"/>
    </row>
    <row r="23" spans="1:18">
      <c r="A23" s="12" t="s">
        <v>192</v>
      </c>
      <c r="B23" s="11"/>
      <c r="C23" s="13">
        <v>0</v>
      </c>
      <c r="D23" s="14" t="s">
        <v>5</v>
      </c>
      <c r="E23" s="80" t="s">
        <v>42</v>
      </c>
      <c r="F23" s="43">
        <f>SUM(F4:F22)</f>
        <v>59</v>
      </c>
      <c r="G23" s="14" t="s">
        <v>5</v>
      </c>
      <c r="I23" s="8" t="s">
        <v>227</v>
      </c>
      <c r="J23" s="8"/>
      <c r="K23" s="37">
        <f>K21/C4</f>
        <v>60.272051400000009</v>
      </c>
      <c r="Q23" s="42"/>
      <c r="R23" s="11"/>
    </row>
    <row r="24" spans="1:18">
      <c r="A24" s="12"/>
      <c r="B24" s="11"/>
      <c r="C24" s="11"/>
      <c r="D24" s="83"/>
      <c r="E24" s="12"/>
      <c r="F24" s="11"/>
      <c r="G24" s="14"/>
      <c r="I24" s="8" t="s">
        <v>228</v>
      </c>
      <c r="J24" s="8"/>
      <c r="K24" s="40">
        <f>(K21-(Calculations!M14)*(Calculations!I24)/2)/C4</f>
        <v>43.834219200000007</v>
      </c>
      <c r="M24" s="150" t="s">
        <v>249</v>
      </c>
      <c r="N24" s="114"/>
      <c r="O24" s="13">
        <v>100</v>
      </c>
      <c r="P24" t="s">
        <v>5</v>
      </c>
      <c r="R24" s="11"/>
    </row>
    <row r="25" spans="1:18" ht="13.5" thickBot="1">
      <c r="A25" s="23" t="s">
        <v>43</v>
      </c>
      <c r="B25" s="11"/>
      <c r="C25" s="11"/>
      <c r="D25" s="14"/>
      <c r="E25" s="81" t="b">
        <v>1</v>
      </c>
      <c r="F25" s="11" t="s">
        <v>118</v>
      </c>
      <c r="G25" s="14"/>
      <c r="I25" s="34" t="s">
        <v>229</v>
      </c>
      <c r="J25" s="34"/>
      <c r="K25" s="41">
        <f>(Calculations!M12+Calculations!M15+Calculations!M16)*(Calculations!I24)/C4</f>
        <v>27.396387000000008</v>
      </c>
      <c r="M25" s="131" t="s">
        <v>180</v>
      </c>
      <c r="N25" s="151"/>
      <c r="O25" s="75">
        <f>((O24*0.01)*O4*Calculations!I13)/(K18*24)</f>
        <v>3.7402674495702652</v>
      </c>
      <c r="Q25" s="42"/>
      <c r="R25" s="11"/>
    </row>
    <row r="26" spans="1:18">
      <c r="A26" s="12" t="s">
        <v>185</v>
      </c>
      <c r="B26" s="11"/>
      <c r="C26" s="13"/>
      <c r="D26" s="14"/>
      <c r="E26" s="12" t="s">
        <v>46</v>
      </c>
      <c r="F26" s="13"/>
      <c r="G26" s="14"/>
      <c r="I26" s="8" t="s">
        <v>230</v>
      </c>
      <c r="J26" s="8"/>
      <c r="K26" s="37">
        <f>K22/C4</f>
        <v>56.300832000000007</v>
      </c>
      <c r="M26" s="3" t="s">
        <v>199</v>
      </c>
      <c r="N26" s="3"/>
      <c r="O26" s="156"/>
      <c r="P26" s="3"/>
      <c r="Q26" s="42"/>
      <c r="R26" s="11"/>
    </row>
    <row r="27" spans="1:18" ht="13.5" customHeight="1">
      <c r="A27" s="12" t="s">
        <v>45</v>
      </c>
      <c r="B27" s="11"/>
      <c r="C27" s="13" t="b">
        <v>1</v>
      </c>
      <c r="D27" s="14"/>
      <c r="E27" s="12" t="s">
        <v>55</v>
      </c>
      <c r="F27" s="13"/>
      <c r="G27" s="14"/>
      <c r="I27" s="8" t="s">
        <v>231</v>
      </c>
      <c r="J27" s="8"/>
      <c r="K27" s="16">
        <f>(K22-(Calculations!N14)*(Calculations!I26)/2)/C4</f>
        <v>45.744426000000004</v>
      </c>
      <c r="P27" s="11"/>
      <c r="Q27" s="11"/>
      <c r="R27" s="11"/>
    </row>
    <row r="28" spans="1:18">
      <c r="A28" s="20" t="s">
        <v>47</v>
      </c>
      <c r="B28" s="11"/>
      <c r="C28" s="13" t="b">
        <v>1</v>
      </c>
      <c r="D28" s="14"/>
      <c r="E28" s="12" t="s">
        <v>50</v>
      </c>
      <c r="F28" s="13"/>
      <c r="G28" s="14"/>
      <c r="I28" s="8" t="s">
        <v>232</v>
      </c>
      <c r="J28" s="8"/>
      <c r="K28" s="16">
        <f>(K22-(Calculations!N14)*(Calculations!I26))/C4</f>
        <v>35.188020000000002</v>
      </c>
      <c r="R28" s="11"/>
    </row>
    <row r="29" spans="1:18">
      <c r="A29" s="12"/>
      <c r="B29" s="11"/>
      <c r="C29" s="11"/>
      <c r="D29" s="14"/>
      <c r="E29" s="12" t="s">
        <v>48</v>
      </c>
      <c r="F29" s="13"/>
      <c r="G29" s="14"/>
      <c r="L29" s="11"/>
      <c r="M29" s="162"/>
      <c r="R29" s="11"/>
    </row>
    <row r="30" spans="1:18" ht="13.5" customHeight="1">
      <c r="A30" s="82" t="s">
        <v>113</v>
      </c>
      <c r="B30" s="3"/>
      <c r="C30" s="3"/>
      <c r="D30" s="14"/>
      <c r="E30" s="12" t="s">
        <v>44</v>
      </c>
      <c r="F30" s="13" t="b">
        <v>1</v>
      </c>
      <c r="G30" s="14"/>
      <c r="I30" s="65" t="s">
        <v>233</v>
      </c>
      <c r="J30" s="64"/>
      <c r="K30" s="27">
        <f>K21/K6</f>
        <v>0.36581627396742727</v>
      </c>
      <c r="L30" s="38"/>
      <c r="Q30" s="42"/>
      <c r="R30" s="11"/>
    </row>
    <row r="31" spans="1:18" ht="13.5" customHeight="1">
      <c r="A31" s="20" t="s">
        <v>119</v>
      </c>
      <c r="B31" s="11"/>
      <c r="C31" s="13"/>
      <c r="D31" s="83"/>
      <c r="E31" s="12" t="s">
        <v>53</v>
      </c>
      <c r="F31" s="13"/>
      <c r="G31" s="83"/>
      <c r="I31" s="65" t="s">
        <v>234</v>
      </c>
      <c r="J31" s="64"/>
      <c r="K31" s="27">
        <f>K22/K6</f>
        <v>0.34171328343913138</v>
      </c>
      <c r="L31" s="3"/>
      <c r="M31" s="148"/>
      <c r="Q31" s="42"/>
      <c r="R31" s="11"/>
    </row>
    <row r="32" spans="1:18">
      <c r="A32" s="12" t="s">
        <v>114</v>
      </c>
      <c r="B32" s="11"/>
      <c r="C32" s="13"/>
      <c r="D32" s="83"/>
      <c r="E32" s="12"/>
      <c r="F32" s="3"/>
      <c r="G32" s="83"/>
      <c r="J32" s="3"/>
      <c r="K32" s="3"/>
      <c r="L32" s="3"/>
      <c r="N32" s="11"/>
      <c r="P32" s="11"/>
      <c r="Q32" s="42"/>
      <c r="R32" s="11"/>
    </row>
    <row r="33" spans="1:18">
      <c r="A33" s="20" t="s">
        <v>112</v>
      </c>
      <c r="B33" s="11"/>
      <c r="C33" s="13"/>
      <c r="D33" s="83"/>
      <c r="E33" s="120" t="s">
        <v>127</v>
      </c>
      <c r="F33" s="121" t="b">
        <v>1</v>
      </c>
      <c r="G33" s="119"/>
      <c r="I33" s="57" t="s">
        <v>197</v>
      </c>
      <c r="J33" s="3"/>
      <c r="K33" s="3"/>
      <c r="L33" s="3"/>
      <c r="P33" s="11"/>
      <c r="Q33" s="42"/>
      <c r="R33" s="11"/>
    </row>
    <row r="34" spans="1:18">
      <c r="A34" s="20" t="s">
        <v>120</v>
      </c>
      <c r="B34" s="11"/>
      <c r="C34" s="13"/>
      <c r="D34" s="14"/>
      <c r="E34" s="120" t="s">
        <v>128</v>
      </c>
      <c r="F34" s="43"/>
      <c r="G34" s="119"/>
      <c r="H34" s="54"/>
      <c r="I34" s="155" t="s">
        <v>196</v>
      </c>
      <c r="J34" s="3"/>
      <c r="K34" s="3"/>
      <c r="L34" s="3"/>
      <c r="P34" s="11"/>
      <c r="Q34" s="42"/>
      <c r="R34" s="11"/>
    </row>
    <row r="35" spans="1:18">
      <c r="A35" s="12"/>
      <c r="B35" s="11"/>
      <c r="C35" s="11"/>
      <c r="D35" s="14"/>
      <c r="E35" s="12"/>
      <c r="F35" s="11"/>
      <c r="G35" s="14"/>
      <c r="H35" s="55"/>
      <c r="I35" s="148"/>
      <c r="P35" s="11"/>
      <c r="Q35" s="42"/>
      <c r="R35" s="11"/>
    </row>
    <row r="36" spans="1:18" ht="13.5" thickBot="1">
      <c r="A36" s="84" t="s">
        <v>52</v>
      </c>
      <c r="B36" s="25"/>
      <c r="C36" s="26"/>
      <c r="D36" s="52"/>
      <c r="E36" s="50"/>
      <c r="F36" s="51"/>
      <c r="G36" s="52"/>
      <c r="I36" s="157" t="s">
        <v>198</v>
      </c>
      <c r="J36" s="56"/>
      <c r="P36" s="11"/>
      <c r="Q36" s="11"/>
      <c r="R36" s="11"/>
    </row>
    <row r="37" spans="1:18">
      <c r="H37" s="54"/>
      <c r="I37" s="56"/>
      <c r="J37" s="11"/>
      <c r="P37" s="11"/>
      <c r="Q37" s="11"/>
    </row>
    <row r="38" spans="1:18">
      <c r="E38" s="11"/>
      <c r="F38" s="11"/>
      <c r="G38" s="38"/>
      <c r="J38" s="38"/>
      <c r="K38" s="38"/>
      <c r="L38" s="11"/>
      <c r="M38" s="11"/>
      <c r="N38" s="38"/>
      <c r="O38" s="38"/>
      <c r="P38" s="38"/>
      <c r="Q38" s="38"/>
    </row>
    <row r="39" spans="1:18">
      <c r="E39" s="11"/>
      <c r="F39" s="11"/>
      <c r="G39" s="11"/>
      <c r="K39" s="11"/>
      <c r="L39" s="11"/>
      <c r="M39" s="11"/>
      <c r="N39" s="11"/>
      <c r="O39" s="11"/>
      <c r="P39" s="11"/>
      <c r="Q39" s="11"/>
    </row>
    <row r="40" spans="1:18">
      <c r="E40" s="11"/>
      <c r="F40" s="11"/>
      <c r="G40" s="11"/>
      <c r="H40" s="54"/>
      <c r="I40" s="54"/>
      <c r="J40" s="11"/>
      <c r="K40" s="11"/>
      <c r="L40" s="11"/>
      <c r="M40" s="11"/>
      <c r="N40" s="11"/>
      <c r="O40" s="11"/>
      <c r="P40" s="11"/>
      <c r="Q40" s="11"/>
    </row>
    <row r="41" spans="1:18">
      <c r="E41" s="11"/>
      <c r="F41" s="11"/>
      <c r="G41" s="11"/>
      <c r="J41" s="11"/>
      <c r="K41" s="11"/>
      <c r="L41" s="11"/>
      <c r="M41" s="11"/>
      <c r="N41" s="11"/>
      <c r="O41" s="11"/>
      <c r="P41" s="11"/>
      <c r="Q41" s="11"/>
    </row>
    <row r="42" spans="1:18">
      <c r="E42" s="11"/>
      <c r="F42" s="11"/>
      <c r="G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8"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8"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>
      <c r="H45" s="11"/>
      <c r="I45" s="11"/>
    </row>
    <row r="46" spans="1:18">
      <c r="H46" s="11"/>
      <c r="I46" s="11"/>
    </row>
  </sheetData>
  <protectedRanges>
    <protectedRange sqref="A3:G36" name="Område1"/>
  </protectedRanges>
  <phoneticPr fontId="0" type="noConversion"/>
  <pageMargins left="0.75" right="0.75" top="1" bottom="1" header="0.5" footer="0.5"/>
  <pageSetup paperSize="9" orientation="portrait" verticalDpi="0" r:id="rId1"/>
  <headerFooter alignWithMargins="0"/>
  <ignoredErrors>
    <ignoredError sqref="C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3:S29"/>
  <sheetViews>
    <sheetView workbookViewId="0">
      <selection activeCell="I6" sqref="I6"/>
    </sheetView>
  </sheetViews>
  <sheetFormatPr defaultRowHeight="12.75"/>
  <cols>
    <col min="1" max="1" width="2.85546875" customWidth="1"/>
    <col min="3" max="3" width="5.140625" customWidth="1"/>
    <col min="4" max="4" width="2.85546875" customWidth="1"/>
    <col min="5" max="5" width="7.7109375" customWidth="1"/>
    <col min="6" max="6" width="3.7109375" customWidth="1"/>
    <col min="7" max="7" width="2.85546875" customWidth="1"/>
    <col min="10" max="10" width="8.42578125" customWidth="1"/>
    <col min="11" max="11" width="7.85546875" customWidth="1"/>
    <col min="12" max="12" width="3.85546875" customWidth="1"/>
    <col min="14" max="14" width="9.28515625" customWidth="1"/>
    <col min="15" max="16" width="8.5703125" customWidth="1"/>
    <col min="17" max="17" width="4.28515625" customWidth="1"/>
  </cols>
  <sheetData>
    <row r="3" spans="2:19">
      <c r="B3" s="136" t="s">
        <v>141</v>
      </c>
      <c r="J3" s="137" t="s">
        <v>142</v>
      </c>
    </row>
    <row r="5" spans="2:19" ht="15.75">
      <c r="B5" s="130" t="s">
        <v>131</v>
      </c>
    </row>
    <row r="7" spans="2:19">
      <c r="B7" s="142" t="s">
        <v>132</v>
      </c>
      <c r="C7" s="143"/>
      <c r="D7" s="143" t="s">
        <v>135</v>
      </c>
      <c r="E7" s="143" t="s">
        <v>137</v>
      </c>
      <c r="F7" s="143"/>
      <c r="G7" s="143" t="s">
        <v>135</v>
      </c>
      <c r="H7" s="144" t="s">
        <v>177</v>
      </c>
      <c r="I7" s="143"/>
      <c r="J7" s="145">
        <f>'Province info'!K5</f>
        <v>100.56329552238805</v>
      </c>
      <c r="K7" s="143" t="s">
        <v>140</v>
      </c>
      <c r="L7" s="143"/>
      <c r="M7" s="146">
        <f>'Province info'!C4</f>
        <v>1000</v>
      </c>
      <c r="N7" s="143" t="s">
        <v>163</v>
      </c>
      <c r="O7" s="143"/>
      <c r="P7" s="143"/>
      <c r="Q7" s="143"/>
      <c r="R7" s="143"/>
      <c r="S7" s="147"/>
    </row>
    <row r="8" spans="2:19">
      <c r="B8" s="127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 t="s">
        <v>134</v>
      </c>
      <c r="O8" s="11"/>
      <c r="P8" s="11"/>
      <c r="Q8" s="11"/>
      <c r="R8" s="11"/>
      <c r="S8" s="134"/>
    </row>
    <row r="9" spans="2:19">
      <c r="B9" s="139" t="s">
        <v>7</v>
      </c>
      <c r="C9" s="43"/>
      <c r="D9" s="43" t="s">
        <v>135</v>
      </c>
      <c r="E9" s="43">
        <f>'Province info'!F5</f>
        <v>0</v>
      </c>
      <c r="F9" s="11" t="s">
        <v>138</v>
      </c>
      <c r="G9" s="11" t="s">
        <v>135</v>
      </c>
      <c r="H9" s="3" t="s">
        <v>178</v>
      </c>
      <c r="I9" s="3"/>
      <c r="J9" s="3"/>
      <c r="K9" s="71">
        <f>Calculations!B29</f>
        <v>0</v>
      </c>
      <c r="L9" s="11" t="s">
        <v>134</v>
      </c>
      <c r="M9" s="11" t="s">
        <v>172</v>
      </c>
      <c r="N9" s="11"/>
      <c r="O9" s="11"/>
      <c r="P9" s="11"/>
      <c r="Q9" s="11"/>
      <c r="R9" s="11"/>
      <c r="S9" s="134"/>
    </row>
    <row r="10" spans="2:19">
      <c r="B10" s="139" t="s">
        <v>8</v>
      </c>
      <c r="C10" s="43"/>
      <c r="D10" s="43" t="s">
        <v>135</v>
      </c>
      <c r="E10" s="43">
        <f>'Province info'!F6</f>
        <v>9</v>
      </c>
      <c r="F10" s="11" t="s">
        <v>138</v>
      </c>
      <c r="G10" s="11" t="s">
        <v>135</v>
      </c>
      <c r="H10" s="3" t="s">
        <v>133</v>
      </c>
      <c r="I10" s="3"/>
      <c r="J10" s="3"/>
      <c r="K10" s="70">
        <f>Calculations!B30</f>
        <v>6335.4876179104476</v>
      </c>
      <c r="L10" s="11" t="s">
        <v>134</v>
      </c>
      <c r="M10" s="11" t="s">
        <v>136</v>
      </c>
      <c r="N10" s="11"/>
      <c r="O10" s="11"/>
      <c r="P10" s="11"/>
      <c r="Q10" s="11"/>
      <c r="R10" s="11"/>
      <c r="S10" s="134"/>
    </row>
    <row r="11" spans="2:19">
      <c r="B11" s="139" t="s">
        <v>10</v>
      </c>
      <c r="C11" s="43"/>
      <c r="D11" s="43" t="s">
        <v>135</v>
      </c>
      <c r="E11" s="43">
        <f>'Province info'!F7</f>
        <v>0</v>
      </c>
      <c r="F11" s="11" t="s">
        <v>138</v>
      </c>
      <c r="G11" s="11" t="s">
        <v>135</v>
      </c>
      <c r="H11" s="3" t="s">
        <v>150</v>
      </c>
      <c r="I11" s="3"/>
      <c r="J11" s="3"/>
      <c r="K11" s="140">
        <f>(1-Calculations!B31)*100</f>
        <v>0</v>
      </c>
      <c r="L11" s="11" t="s">
        <v>143</v>
      </c>
      <c r="M11" s="11" t="s">
        <v>165</v>
      </c>
      <c r="N11" s="11"/>
      <c r="O11" s="11"/>
      <c r="P11" s="140">
        <f>(1-Calculations!C31)*100</f>
        <v>0</v>
      </c>
      <c r="Q11" s="11" t="s">
        <v>5</v>
      </c>
      <c r="R11" s="11"/>
      <c r="S11" s="134"/>
    </row>
    <row r="12" spans="2:19">
      <c r="B12" s="139" t="s">
        <v>13</v>
      </c>
      <c r="C12" s="43"/>
      <c r="D12" s="43" t="s">
        <v>135</v>
      </c>
      <c r="E12" s="43">
        <f>'Province info'!F8</f>
        <v>50</v>
      </c>
      <c r="F12" s="11" t="s">
        <v>138</v>
      </c>
      <c r="G12" s="11" t="s">
        <v>135</v>
      </c>
      <c r="H12" s="3" t="s">
        <v>149</v>
      </c>
      <c r="I12" s="3"/>
      <c r="J12" s="3"/>
      <c r="K12" s="70">
        <f>Calculations!B32</f>
        <v>12570.411940298507</v>
      </c>
      <c r="L12" s="11" t="s">
        <v>171</v>
      </c>
      <c r="M12" s="11" t="s">
        <v>139</v>
      </c>
      <c r="N12" s="11"/>
      <c r="O12" s="11"/>
      <c r="P12" s="140">
        <f>(Calculations!C32-1)*100</f>
        <v>25.140823880597019</v>
      </c>
      <c r="Q12" s="11" t="s">
        <v>5</v>
      </c>
      <c r="R12" s="11"/>
      <c r="S12" s="134"/>
    </row>
    <row r="13" spans="2:19">
      <c r="B13" s="139" t="s">
        <v>14</v>
      </c>
      <c r="C13" s="43"/>
      <c r="D13" s="43" t="s">
        <v>135</v>
      </c>
      <c r="E13" s="43">
        <f>'Province info'!F9</f>
        <v>0</v>
      </c>
      <c r="F13" s="11" t="s">
        <v>138</v>
      </c>
      <c r="G13" s="11" t="s">
        <v>135</v>
      </c>
      <c r="H13" s="3" t="s">
        <v>159</v>
      </c>
      <c r="I13" s="3"/>
      <c r="J13" s="3"/>
      <c r="K13" s="140">
        <f>(Calculations!B33-1)*100</f>
        <v>0</v>
      </c>
      <c r="L13" s="11" t="s">
        <v>5</v>
      </c>
      <c r="M13" s="11"/>
      <c r="N13" s="11"/>
      <c r="O13" s="11"/>
      <c r="P13" s="11"/>
      <c r="Q13" s="11"/>
      <c r="R13" s="11"/>
      <c r="S13" s="134"/>
    </row>
    <row r="14" spans="2:19">
      <c r="B14" s="139" t="s">
        <v>17</v>
      </c>
      <c r="C14" s="43"/>
      <c r="D14" s="43" t="s">
        <v>135</v>
      </c>
      <c r="E14" s="43">
        <f>'Province info'!F10</f>
        <v>0</v>
      </c>
      <c r="F14" s="11" t="s">
        <v>138</v>
      </c>
      <c r="G14" s="11" t="s">
        <v>135</v>
      </c>
      <c r="H14" s="3" t="s">
        <v>148</v>
      </c>
      <c r="I14" s="3"/>
      <c r="J14" s="3"/>
      <c r="K14" s="140">
        <f>(1-Calculations!B34)*100</f>
        <v>0</v>
      </c>
      <c r="L14" s="11" t="s">
        <v>143</v>
      </c>
      <c r="M14" s="11" t="s">
        <v>160</v>
      </c>
      <c r="N14" s="11"/>
      <c r="O14" s="11"/>
      <c r="P14" s="140">
        <f>(1-Calculations!C34)*100</f>
        <v>0</v>
      </c>
      <c r="Q14" s="11" t="s">
        <v>5</v>
      </c>
      <c r="R14" s="11"/>
      <c r="S14" s="134"/>
    </row>
    <row r="15" spans="2:19">
      <c r="B15" s="139" t="s">
        <v>20</v>
      </c>
      <c r="C15" s="43"/>
      <c r="D15" s="43" t="s">
        <v>135</v>
      </c>
      <c r="E15" s="43">
        <f>'Province info'!F11</f>
        <v>0</v>
      </c>
      <c r="F15" s="11" t="s">
        <v>138</v>
      </c>
      <c r="G15" s="11" t="s">
        <v>135</v>
      </c>
      <c r="H15" s="3" t="s">
        <v>147</v>
      </c>
      <c r="I15" s="3"/>
      <c r="J15" s="3"/>
      <c r="K15" s="140">
        <f>(1-Calculations!B35)*100</f>
        <v>0</v>
      </c>
      <c r="L15" s="11" t="s">
        <v>5</v>
      </c>
      <c r="M15" s="11"/>
      <c r="N15" s="11"/>
      <c r="O15" s="11"/>
      <c r="P15" s="11"/>
      <c r="Q15" s="11"/>
      <c r="R15" s="11"/>
      <c r="S15" s="134"/>
    </row>
    <row r="16" spans="2:19">
      <c r="B16" s="139" t="s">
        <v>22</v>
      </c>
      <c r="C16" s="43"/>
      <c r="D16" s="43" t="s">
        <v>135</v>
      </c>
      <c r="E16" s="43">
        <f>'Province info'!F12</f>
        <v>0</v>
      </c>
      <c r="F16" s="11" t="s">
        <v>138</v>
      </c>
      <c r="G16" s="11" t="s">
        <v>135</v>
      </c>
      <c r="H16" s="3" t="s">
        <v>146</v>
      </c>
      <c r="I16" s="3"/>
      <c r="J16" s="3"/>
      <c r="K16" s="140">
        <f>(Calculations!B36-1)*100</f>
        <v>0</v>
      </c>
      <c r="L16" s="11" t="s">
        <v>5</v>
      </c>
      <c r="M16" s="11"/>
      <c r="N16" s="11"/>
      <c r="O16" s="11"/>
      <c r="P16" s="11"/>
      <c r="Q16" s="11"/>
      <c r="R16" s="11"/>
      <c r="S16" s="134"/>
    </row>
    <row r="17" spans="2:19">
      <c r="B17" s="139" t="s">
        <v>23</v>
      </c>
      <c r="C17" s="43"/>
      <c r="D17" s="43" t="s">
        <v>135</v>
      </c>
      <c r="E17" s="43">
        <f>'Province info'!F13</f>
        <v>0</v>
      </c>
      <c r="F17" s="11" t="s">
        <v>138</v>
      </c>
      <c r="G17" s="11" t="s">
        <v>135</v>
      </c>
      <c r="H17" s="3" t="s">
        <v>145</v>
      </c>
      <c r="I17" s="3"/>
      <c r="J17" s="3"/>
      <c r="K17" s="140">
        <f>(1-Calculations!B37)*100</f>
        <v>0</v>
      </c>
      <c r="L17" s="11" t="s">
        <v>5</v>
      </c>
      <c r="M17" s="11"/>
      <c r="N17" s="11"/>
      <c r="O17" s="11"/>
      <c r="P17" s="11"/>
      <c r="Q17" s="11"/>
      <c r="R17" s="11"/>
      <c r="S17" s="134"/>
    </row>
    <row r="18" spans="2:19">
      <c r="B18" s="139" t="s">
        <v>24</v>
      </c>
      <c r="C18" s="43"/>
      <c r="D18" s="43" t="s">
        <v>135</v>
      </c>
      <c r="E18" s="43">
        <f>'Province info'!F14</f>
        <v>0</v>
      </c>
      <c r="F18" s="11" t="s">
        <v>138</v>
      </c>
      <c r="G18" s="11" t="s">
        <v>135</v>
      </c>
      <c r="H18" s="3" t="s">
        <v>144</v>
      </c>
      <c r="I18" s="3"/>
      <c r="J18" s="3"/>
      <c r="K18" s="140">
        <f>(1-Calculations!B38)*100</f>
        <v>0</v>
      </c>
      <c r="L18" s="11" t="s">
        <v>138</v>
      </c>
      <c r="M18" s="11" t="s">
        <v>166</v>
      </c>
      <c r="N18" s="11"/>
      <c r="O18" s="11"/>
      <c r="P18" s="140">
        <f>(Calculations!C38)*100</f>
        <v>0</v>
      </c>
      <c r="Q18" s="11" t="s">
        <v>138</v>
      </c>
      <c r="R18" s="11" t="s">
        <v>164</v>
      </c>
      <c r="S18" s="134"/>
    </row>
    <row r="19" spans="2:19">
      <c r="B19" s="139" t="s">
        <v>26</v>
      </c>
      <c r="C19" s="43"/>
      <c r="D19" s="43" t="s">
        <v>135</v>
      </c>
      <c r="E19" s="43">
        <f>'Province info'!F15</f>
        <v>0</v>
      </c>
      <c r="F19" s="11" t="s">
        <v>138</v>
      </c>
      <c r="G19" s="11" t="s">
        <v>135</v>
      </c>
      <c r="H19" s="3" t="s">
        <v>151</v>
      </c>
      <c r="I19" s="3"/>
      <c r="J19" s="3"/>
      <c r="K19" s="141">
        <f>(Calculations!B39)</f>
        <v>0</v>
      </c>
      <c r="L19" s="11" t="s">
        <v>134</v>
      </c>
      <c r="M19" s="11" t="s">
        <v>152</v>
      </c>
      <c r="N19" s="11"/>
      <c r="O19" s="11"/>
      <c r="P19" s="11"/>
      <c r="Q19" s="11"/>
      <c r="R19" s="11"/>
      <c r="S19" s="134"/>
    </row>
    <row r="20" spans="2:19">
      <c r="B20" s="139" t="s">
        <v>29</v>
      </c>
      <c r="C20" s="43"/>
      <c r="D20" s="43" t="s">
        <v>135</v>
      </c>
      <c r="E20" s="43">
        <f>'Province info'!F16</f>
        <v>0</v>
      </c>
      <c r="F20" s="11" t="s">
        <v>138</v>
      </c>
      <c r="G20" s="11" t="s">
        <v>135</v>
      </c>
      <c r="H20" s="3" t="s">
        <v>133</v>
      </c>
      <c r="I20" s="3"/>
      <c r="J20" s="3"/>
      <c r="K20" s="70">
        <f>(Calculations!B40)</f>
        <v>0</v>
      </c>
      <c r="L20" s="11" t="s">
        <v>134</v>
      </c>
      <c r="M20" s="11" t="s">
        <v>153</v>
      </c>
      <c r="N20" s="11"/>
      <c r="O20" s="11"/>
      <c r="P20" s="11"/>
      <c r="Q20" s="11"/>
      <c r="R20" s="11"/>
      <c r="S20" s="134"/>
    </row>
    <row r="21" spans="2:19">
      <c r="B21" s="139" t="s">
        <v>31</v>
      </c>
      <c r="C21" s="43"/>
      <c r="D21" s="43" t="s">
        <v>135</v>
      </c>
      <c r="E21" s="43">
        <f>'Province info'!F17</f>
        <v>0</v>
      </c>
      <c r="F21" s="11" t="s">
        <v>138</v>
      </c>
      <c r="G21" s="11" t="s">
        <v>135</v>
      </c>
      <c r="H21" s="3" t="s">
        <v>155</v>
      </c>
      <c r="I21" s="3"/>
      <c r="J21" s="3"/>
      <c r="K21" s="70">
        <f>(1-Calculations!B41)*100</f>
        <v>0</v>
      </c>
      <c r="L21" s="11" t="s">
        <v>143</v>
      </c>
      <c r="M21" s="11" t="s">
        <v>169</v>
      </c>
      <c r="N21" s="11"/>
      <c r="O21" s="11"/>
      <c r="P21" s="140">
        <f>(Calculations!C41-1)*100</f>
        <v>0</v>
      </c>
      <c r="Q21" s="11" t="s">
        <v>5</v>
      </c>
      <c r="R21" s="11"/>
      <c r="S21" s="134"/>
    </row>
    <row r="22" spans="2:19">
      <c r="B22" s="139" t="s">
        <v>33</v>
      </c>
      <c r="C22" s="43"/>
      <c r="D22" s="43" t="s">
        <v>135</v>
      </c>
      <c r="E22" s="43">
        <f>'Province info'!F18</f>
        <v>0</v>
      </c>
      <c r="F22" s="11" t="s">
        <v>138</v>
      </c>
      <c r="G22" s="11" t="s">
        <v>135</v>
      </c>
      <c r="H22" s="3" t="s">
        <v>154</v>
      </c>
      <c r="I22" s="3"/>
      <c r="J22" s="3"/>
      <c r="K22" s="140">
        <f>(1-Calculations!B42)*100</f>
        <v>0</v>
      </c>
      <c r="L22" s="11" t="s">
        <v>143</v>
      </c>
      <c r="M22" s="11" t="s">
        <v>170</v>
      </c>
      <c r="N22" s="11"/>
      <c r="O22" s="11"/>
      <c r="P22" s="140">
        <f>(1-Calculations!C42)*100</f>
        <v>0</v>
      </c>
      <c r="Q22" s="11" t="s">
        <v>5</v>
      </c>
      <c r="R22" s="11"/>
      <c r="S22" s="134"/>
    </row>
    <row r="23" spans="2:19">
      <c r="B23" s="139" t="s">
        <v>35</v>
      </c>
      <c r="C23" s="43"/>
      <c r="D23" s="43" t="s">
        <v>135</v>
      </c>
      <c r="E23" s="43">
        <f>'Province info'!F19</f>
        <v>0</v>
      </c>
      <c r="F23" s="11" t="s">
        <v>138</v>
      </c>
      <c r="G23" s="11" t="s">
        <v>135</v>
      </c>
      <c r="H23" s="3" t="s">
        <v>176</v>
      </c>
      <c r="I23" s="3"/>
      <c r="J23" s="3"/>
      <c r="K23" s="140">
        <f>(Calculations!B43-1)*100</f>
        <v>0</v>
      </c>
      <c r="L23" s="11" t="s">
        <v>138</v>
      </c>
      <c r="M23" s="11"/>
      <c r="N23" s="11"/>
      <c r="O23" s="11"/>
      <c r="P23" s="11"/>
      <c r="Q23" s="11"/>
      <c r="R23" s="11"/>
      <c r="S23" s="134"/>
    </row>
    <row r="24" spans="2:19">
      <c r="B24" s="139" t="s">
        <v>37</v>
      </c>
      <c r="C24" s="43"/>
      <c r="D24" s="43" t="s">
        <v>135</v>
      </c>
      <c r="E24" s="43">
        <f>'Province info'!F20</f>
        <v>0</v>
      </c>
      <c r="F24" s="11" t="s">
        <v>138</v>
      </c>
      <c r="G24" s="11" t="s">
        <v>135</v>
      </c>
      <c r="H24" s="3" t="s">
        <v>133</v>
      </c>
      <c r="I24" s="3"/>
      <c r="J24" s="3"/>
      <c r="K24" s="70">
        <f>(Calculations!B44)</f>
        <v>0</v>
      </c>
      <c r="L24" s="11" t="s">
        <v>134</v>
      </c>
      <c r="M24" s="11" t="s">
        <v>173</v>
      </c>
      <c r="N24" s="11"/>
      <c r="O24" s="11"/>
      <c r="P24" s="140">
        <f>(1-Calculations!C44)*100</f>
        <v>0</v>
      </c>
      <c r="Q24" s="11" t="s">
        <v>138</v>
      </c>
      <c r="R24" s="11" t="s">
        <v>156</v>
      </c>
      <c r="S24" s="134"/>
    </row>
    <row r="25" spans="2:19">
      <c r="B25" s="139" t="s">
        <v>39</v>
      </c>
      <c r="C25" s="43"/>
      <c r="D25" s="43" t="s">
        <v>135</v>
      </c>
      <c r="E25" s="43">
        <f>'Province info'!F21</f>
        <v>0</v>
      </c>
      <c r="F25" s="11" t="s">
        <v>138</v>
      </c>
      <c r="G25" s="11" t="s">
        <v>135</v>
      </c>
      <c r="H25" s="3" t="s">
        <v>133</v>
      </c>
      <c r="I25" s="3"/>
      <c r="J25" s="3"/>
      <c r="K25" s="70">
        <f>(Calculations!B45)</f>
        <v>0</v>
      </c>
      <c r="L25" s="11" t="s">
        <v>134</v>
      </c>
      <c r="M25" s="11" t="s">
        <v>174</v>
      </c>
      <c r="N25" s="11"/>
      <c r="O25" s="11"/>
      <c r="P25" s="70">
        <f>(Calculations!C45)</f>
        <v>0</v>
      </c>
      <c r="Q25" s="11" t="s">
        <v>134</v>
      </c>
      <c r="R25" s="11" t="s">
        <v>157</v>
      </c>
      <c r="S25" s="134"/>
    </row>
    <row r="26" spans="2:19">
      <c r="B26" s="139" t="s">
        <v>41</v>
      </c>
      <c r="C26" s="43"/>
      <c r="D26" s="43" t="s">
        <v>135</v>
      </c>
      <c r="E26" s="43">
        <f>'Province info'!F22</f>
        <v>0</v>
      </c>
      <c r="F26" s="11" t="s">
        <v>138</v>
      </c>
      <c r="G26" s="11" t="s">
        <v>135</v>
      </c>
      <c r="H26" s="3" t="s">
        <v>167</v>
      </c>
      <c r="I26" s="3"/>
      <c r="J26" s="3"/>
      <c r="K26" s="70">
        <f>(Calculations!B46)</f>
        <v>0</v>
      </c>
      <c r="L26" s="11" t="s">
        <v>134</v>
      </c>
      <c r="M26" s="11" t="s">
        <v>175</v>
      </c>
      <c r="N26" s="11"/>
      <c r="O26" s="11"/>
      <c r="P26" s="71">
        <f>K26*3</f>
        <v>0</v>
      </c>
      <c r="Q26" s="11" t="s">
        <v>134</v>
      </c>
      <c r="R26" s="11" t="s">
        <v>168</v>
      </c>
      <c r="S26" s="134"/>
    </row>
    <row r="27" spans="2:19">
      <c r="B27" s="129"/>
      <c r="C27" s="112"/>
      <c r="D27" s="112"/>
      <c r="E27" s="112"/>
      <c r="F27" s="112"/>
      <c r="G27" s="112"/>
      <c r="H27" s="112"/>
      <c r="I27" s="112"/>
      <c r="J27" s="112" t="s">
        <v>161</v>
      </c>
      <c r="K27" s="71">
        <f>K26/2</f>
        <v>0</v>
      </c>
      <c r="L27" s="112"/>
      <c r="M27" s="112" t="s">
        <v>162</v>
      </c>
      <c r="N27" s="112"/>
      <c r="O27" s="149"/>
      <c r="P27" s="71">
        <f>K26/2</f>
        <v>0</v>
      </c>
      <c r="Q27" s="112" t="s">
        <v>158</v>
      </c>
      <c r="R27" s="112"/>
      <c r="S27" s="135"/>
    </row>
    <row r="29" spans="2:19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</sheetData>
  <protectedRanges>
    <protectedRange sqref="B9:B26" name="Område1"/>
  </protectedRanges>
  <phoneticPr fontId="1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9"/>
  <sheetViews>
    <sheetView zoomScale="90" workbookViewId="0">
      <selection activeCell="I18" sqref="I18"/>
    </sheetView>
  </sheetViews>
  <sheetFormatPr defaultRowHeight="12.75"/>
  <cols>
    <col min="2" max="3" width="12.28515625" customWidth="1"/>
    <col min="4" max="4" width="10.140625" customWidth="1"/>
    <col min="5" max="5" width="10.28515625" customWidth="1"/>
    <col min="8" max="8" width="6.5703125" customWidth="1"/>
    <col min="10" max="10" width="4.85546875" customWidth="1"/>
  </cols>
  <sheetData>
    <row r="1" spans="1:10" ht="13.5" thickBot="1"/>
    <row r="2" spans="1:10" ht="15">
      <c r="A2" s="170" t="s">
        <v>250</v>
      </c>
      <c r="B2" s="2"/>
      <c r="C2" s="2"/>
      <c r="D2" s="2"/>
      <c r="E2" s="2" t="s">
        <v>262</v>
      </c>
      <c r="F2" s="2"/>
      <c r="G2" s="2"/>
      <c r="H2" s="2"/>
      <c r="I2" s="2"/>
      <c r="J2" s="5"/>
    </row>
    <row r="3" spans="1:10">
      <c r="A3" s="12"/>
      <c r="B3" s="11"/>
      <c r="C3" s="11"/>
      <c r="D3" s="11"/>
      <c r="E3" s="163" t="s">
        <v>257</v>
      </c>
      <c r="F3" s="163" t="s">
        <v>101</v>
      </c>
      <c r="G3" s="11"/>
      <c r="H3" s="11"/>
      <c r="I3" s="11"/>
      <c r="J3" s="14"/>
    </row>
    <row r="4" spans="1:10">
      <c r="A4" s="79">
        <v>10</v>
      </c>
      <c r="B4" s="11" t="s">
        <v>251</v>
      </c>
      <c r="C4" s="11"/>
      <c r="D4" s="11"/>
      <c r="E4" s="13">
        <v>8</v>
      </c>
      <c r="F4" s="13">
        <v>6.5</v>
      </c>
      <c r="G4" s="11"/>
      <c r="H4" s="11"/>
      <c r="I4" s="11"/>
      <c r="J4" s="14"/>
    </row>
    <row r="5" spans="1:10">
      <c r="A5" s="12"/>
      <c r="B5" s="11"/>
      <c r="C5" s="11"/>
      <c r="D5" s="11"/>
      <c r="E5" s="11"/>
      <c r="F5" s="11"/>
      <c r="G5" s="11"/>
      <c r="H5" s="11"/>
      <c r="I5" s="11"/>
      <c r="J5" s="14"/>
    </row>
    <row r="6" spans="1:10">
      <c r="A6" s="81" t="s">
        <v>39</v>
      </c>
      <c r="B6" s="11"/>
      <c r="C6" s="11"/>
      <c r="D6" s="11"/>
      <c r="E6" s="162" t="s">
        <v>254</v>
      </c>
      <c r="F6" s="11"/>
      <c r="G6" s="11"/>
      <c r="H6" s="11"/>
      <c r="I6" s="11"/>
      <c r="J6" s="14"/>
    </row>
    <row r="7" spans="1:10">
      <c r="A7" s="164" t="s">
        <v>91</v>
      </c>
      <c r="B7" s="112"/>
      <c r="C7" s="112" t="s">
        <v>258</v>
      </c>
      <c r="D7" s="112" t="s">
        <v>259</v>
      </c>
      <c r="E7" s="112" t="s">
        <v>260</v>
      </c>
      <c r="F7" s="112" t="s">
        <v>253</v>
      </c>
      <c r="G7" s="112" t="s">
        <v>252</v>
      </c>
      <c r="H7" s="11"/>
      <c r="I7" s="11" t="s">
        <v>263</v>
      </c>
      <c r="J7" s="14"/>
    </row>
    <row r="8" spans="1:10">
      <c r="A8" s="12">
        <f>(0.01*A4*'Province info'!C4)*50</f>
        <v>5000</v>
      </c>
      <c r="B8" s="11"/>
      <c r="C8" s="42">
        <f>A8*Calculations!I24</f>
        <v>5886.0000000000009</v>
      </c>
      <c r="D8" s="11">
        <f>A8*0.6</f>
        <v>3000</v>
      </c>
      <c r="E8" s="42">
        <f>Calculations!Q12-Calculations!Q10+D8</f>
        <v>167760.44312169313</v>
      </c>
      <c r="F8" s="42">
        <f>(Calculations!M17-Calculations!M15)*Calculations!I24+Optimizers!C8</f>
        <v>66158.051400000011</v>
      </c>
      <c r="G8" s="152">
        <f>F8/E8</f>
        <v>0.39436025661907126</v>
      </c>
      <c r="H8" s="11"/>
      <c r="I8" s="11">
        <f>Calculations!N19/Optimizers!E8</f>
        <v>0.33560254701496878</v>
      </c>
      <c r="J8" s="14"/>
    </row>
    <row r="9" spans="1:10">
      <c r="A9" s="12"/>
      <c r="B9" s="11"/>
      <c r="C9" s="11"/>
      <c r="D9" s="11"/>
      <c r="E9" s="11"/>
      <c r="F9" s="11"/>
      <c r="G9" s="11"/>
      <c r="H9" s="11"/>
      <c r="I9" s="11"/>
      <c r="J9" s="14"/>
    </row>
    <row r="10" spans="1:10">
      <c r="A10" s="12"/>
      <c r="B10" s="11"/>
      <c r="C10" s="11"/>
      <c r="D10" s="11"/>
      <c r="E10" s="11"/>
      <c r="F10" s="11"/>
      <c r="G10" s="11"/>
      <c r="H10" s="11"/>
      <c r="I10" s="11"/>
      <c r="J10" s="14"/>
    </row>
    <row r="11" spans="1:10">
      <c r="A11" s="12" t="s">
        <v>255</v>
      </c>
      <c r="B11" s="11"/>
      <c r="C11" s="11"/>
      <c r="D11" s="11"/>
      <c r="E11" s="11"/>
      <c r="F11" s="11"/>
      <c r="G11" s="11"/>
      <c r="H11" s="11"/>
      <c r="I11" s="11"/>
      <c r="J11" s="14"/>
    </row>
    <row r="12" spans="1:10">
      <c r="A12" s="12" t="s">
        <v>261</v>
      </c>
      <c r="B12" s="11"/>
      <c r="C12" s="11"/>
      <c r="D12" s="11"/>
      <c r="E12" s="11"/>
      <c r="F12" s="11"/>
      <c r="G12" s="11"/>
      <c r="H12" s="11"/>
      <c r="I12" s="11"/>
      <c r="J12" s="14"/>
    </row>
    <row r="13" spans="1:10">
      <c r="A13" s="12"/>
      <c r="B13" s="11"/>
      <c r="C13" s="11"/>
      <c r="D13" s="11"/>
      <c r="E13" s="11"/>
      <c r="F13" s="11"/>
      <c r="G13" s="11"/>
      <c r="H13" s="11"/>
      <c r="I13" s="11"/>
      <c r="J13" s="14"/>
    </row>
    <row r="14" spans="1:10">
      <c r="A14" s="81" t="s">
        <v>7</v>
      </c>
      <c r="B14" s="11"/>
      <c r="C14" s="11"/>
      <c r="D14" s="11"/>
      <c r="E14" s="162" t="s">
        <v>254</v>
      </c>
      <c r="F14" s="11"/>
      <c r="G14" s="11"/>
      <c r="H14" s="11"/>
      <c r="I14" s="11"/>
      <c r="J14" s="14"/>
    </row>
    <row r="15" spans="1:10">
      <c r="A15" s="164" t="s">
        <v>256</v>
      </c>
      <c r="B15" s="112"/>
      <c r="C15" s="112" t="s">
        <v>258</v>
      </c>
      <c r="D15" s="112" t="s">
        <v>259</v>
      </c>
      <c r="E15" s="112" t="s">
        <v>260</v>
      </c>
      <c r="F15" s="112" t="s">
        <v>253</v>
      </c>
      <c r="G15" s="112" t="s">
        <v>252</v>
      </c>
      <c r="H15" s="11"/>
      <c r="I15" s="11" t="s">
        <v>263</v>
      </c>
      <c r="J15" s="14"/>
    </row>
    <row r="16" spans="1:10">
      <c r="A16" s="165">
        <f>(8*(1+0.01*'Province info'!O14))*('Province info'!C4*0.01*A4)+(0*Optimizers!A4*Calculations!C20)</f>
        <v>903.99999999999989</v>
      </c>
      <c r="B16" s="11"/>
      <c r="C16" s="42">
        <f>A16*E4*Calculations!I24</f>
        <v>8513.510400000001</v>
      </c>
      <c r="D16" s="166">
        <f>A16*F4</f>
        <v>5875.9999999999991</v>
      </c>
      <c r="E16" s="167">
        <f>(Calculations!Q12-Calculations!Q10)+D16</f>
        <v>170636.44312169313</v>
      </c>
      <c r="F16" s="42">
        <f>(Calculations!M17-Calculations!M15+(Optimizers!A16*Optimizers!E4))*Calculations!I24</f>
        <v>68785.56180000001</v>
      </c>
      <c r="G16" s="152">
        <f>F16/E16</f>
        <v>0.40311178867543596</v>
      </c>
      <c r="H16" s="11"/>
      <c r="I16" s="11">
        <f>Calculations!N19/E16</f>
        <v>0.32994611801564472</v>
      </c>
      <c r="J16" s="14"/>
    </row>
    <row r="17" spans="1:11">
      <c r="A17" s="12"/>
      <c r="B17" s="11"/>
      <c r="C17" s="11"/>
      <c r="D17" s="11"/>
      <c r="E17" s="11"/>
      <c r="F17" s="11"/>
      <c r="G17" s="11"/>
      <c r="H17" s="11"/>
      <c r="I17" s="11"/>
      <c r="J17" s="14"/>
    </row>
    <row r="18" spans="1:11">
      <c r="A18" s="12"/>
      <c r="B18" s="11"/>
      <c r="C18" s="11"/>
      <c r="D18" s="11"/>
      <c r="E18" s="11"/>
      <c r="F18" s="11"/>
      <c r="G18" s="11"/>
      <c r="H18" s="11"/>
      <c r="I18" s="11"/>
      <c r="J18" s="14"/>
    </row>
    <row r="19" spans="1:11">
      <c r="A19" s="12" t="s">
        <v>265</v>
      </c>
      <c r="B19" s="11"/>
      <c r="C19" s="11"/>
      <c r="D19" s="11"/>
      <c r="E19" s="11"/>
      <c r="F19" s="11"/>
      <c r="G19" s="11"/>
      <c r="H19" s="11"/>
      <c r="I19" s="11"/>
      <c r="J19" s="14"/>
    </row>
    <row r="20" spans="1:11">
      <c r="A20" s="168">
        <f>(G16+I16)-(G8+I8)</f>
        <v>3.095103057040749E-3</v>
      </c>
      <c r="B20" s="11"/>
      <c r="C20" s="11"/>
      <c r="D20" s="11"/>
      <c r="E20" s="11"/>
      <c r="F20" s="11"/>
      <c r="G20" s="11"/>
      <c r="H20" s="11"/>
      <c r="I20" s="11"/>
      <c r="J20" s="14"/>
    </row>
    <row r="21" spans="1:11">
      <c r="A21" s="12"/>
      <c r="B21" s="11"/>
      <c r="C21" s="11"/>
      <c r="D21" s="11"/>
      <c r="E21" s="11"/>
      <c r="F21" s="11"/>
      <c r="G21" s="11"/>
      <c r="H21" s="11"/>
      <c r="I21" s="11"/>
      <c r="J21" s="14"/>
    </row>
    <row r="22" spans="1:11">
      <c r="A22" s="12" t="s">
        <v>264</v>
      </c>
      <c r="B22" s="11"/>
      <c r="C22" s="11"/>
      <c r="D22" s="11"/>
      <c r="E22" s="11"/>
      <c r="F22" s="71" t="str">
        <f>IF(A20&gt;0,"YES","NO")</f>
        <v>YES</v>
      </c>
      <c r="G22" s="11"/>
      <c r="H22" s="11"/>
      <c r="I22" s="11"/>
      <c r="J22" s="14"/>
    </row>
    <row r="23" spans="1:11" ht="13.5" thickBot="1">
      <c r="A23" s="12"/>
      <c r="B23" s="11"/>
      <c r="C23" s="11"/>
      <c r="D23" s="11"/>
      <c r="E23" s="11"/>
      <c r="F23" s="11"/>
      <c r="G23" s="11"/>
      <c r="H23" s="11"/>
      <c r="I23" s="11"/>
      <c r="J23" s="14"/>
    </row>
    <row r="24" spans="1:11">
      <c r="A24" s="28"/>
      <c r="B24" s="2"/>
      <c r="C24" s="2" t="s">
        <v>270</v>
      </c>
      <c r="D24" s="2"/>
      <c r="E24" s="2"/>
      <c r="F24" s="2"/>
      <c r="G24" s="2"/>
      <c r="H24" s="2"/>
      <c r="I24" s="2"/>
      <c r="J24" s="2"/>
      <c r="K24" s="5"/>
    </row>
    <row r="25" spans="1:11">
      <c r="A25" s="81" t="s">
        <v>267</v>
      </c>
      <c r="B25" s="11"/>
      <c r="C25" s="11"/>
      <c r="D25" s="11"/>
      <c r="E25" s="11"/>
      <c r="F25" s="11"/>
      <c r="G25" s="11"/>
      <c r="H25" s="11"/>
      <c r="I25" s="11"/>
      <c r="J25" s="11"/>
      <c r="K25" s="14"/>
    </row>
    <row r="26" spans="1:11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4"/>
    </row>
    <row r="27" spans="1:11">
      <c r="A27" s="172">
        <v>0</v>
      </c>
      <c r="B27" s="11" t="s">
        <v>269</v>
      </c>
      <c r="C27" s="11" t="s">
        <v>275</v>
      </c>
      <c r="D27" s="171">
        <v>2</v>
      </c>
      <c r="E27" s="11" t="s">
        <v>280</v>
      </c>
      <c r="F27" s="11"/>
      <c r="G27" s="11"/>
      <c r="H27" s="11"/>
      <c r="I27" s="11"/>
      <c r="J27" s="11"/>
      <c r="K27" s="14"/>
    </row>
    <row r="28" spans="1:11">
      <c r="A28" s="172">
        <v>20</v>
      </c>
      <c r="B28" s="11" t="s">
        <v>274</v>
      </c>
      <c r="C28" s="11" t="s">
        <v>275</v>
      </c>
      <c r="D28" s="171">
        <v>2</v>
      </c>
      <c r="E28" t="s">
        <v>281</v>
      </c>
    </row>
    <row r="29" spans="1:11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4"/>
    </row>
    <row r="30" spans="1:11">
      <c r="A30" s="11"/>
      <c r="B30" s="11" t="s">
        <v>268</v>
      </c>
      <c r="C30" s="11" t="s">
        <v>275</v>
      </c>
      <c r="E30" s="11" t="s">
        <v>117</v>
      </c>
      <c r="F30" s="11"/>
      <c r="G30" s="11"/>
      <c r="H30" s="11"/>
      <c r="I30" s="11"/>
      <c r="J30" s="11"/>
      <c r="K30" s="14"/>
    </row>
    <row r="31" spans="1:11">
      <c r="A31" s="11" t="s">
        <v>276</v>
      </c>
      <c r="B31" s="166">
        <f>(Calculations!I20*Calculations!I18)*0.07*D27</f>
        <v>651.63000000000011</v>
      </c>
      <c r="C31" s="11" t="s">
        <v>275</v>
      </c>
      <c r="E31" s="42">
        <f>B31*Calculations!N9</f>
        <v>586467.00000000012</v>
      </c>
      <c r="F31" s="11"/>
      <c r="G31" s="11"/>
      <c r="H31" s="11"/>
      <c r="I31" s="11"/>
      <c r="J31" s="11"/>
      <c r="K31" s="14"/>
    </row>
    <row r="32" spans="1:11">
      <c r="A32" s="11" t="s">
        <v>277</v>
      </c>
      <c r="B32" s="166">
        <f>(Calculations!I20*Calculations!I16)*0.07*D27</f>
        <v>651.63000000000011</v>
      </c>
      <c r="C32" s="11" t="s">
        <v>275</v>
      </c>
      <c r="E32" s="42">
        <f>B32*Calculations!M9</f>
        <v>228070.50000000003</v>
      </c>
      <c r="F32" s="11"/>
      <c r="G32" s="11"/>
      <c r="H32" s="11"/>
      <c r="I32" s="11"/>
      <c r="J32" s="11"/>
      <c r="K32" s="14"/>
    </row>
    <row r="33" spans="1:11">
      <c r="A33" s="112" t="s">
        <v>278</v>
      </c>
      <c r="B33" s="173">
        <f>(Calculations!I20*Calculations!I17)*0.07*D28</f>
        <v>868.84</v>
      </c>
      <c r="C33" s="11" t="s">
        <v>275</v>
      </c>
      <c r="E33" s="112">
        <f>B33*Calculations!M9</f>
        <v>304094</v>
      </c>
      <c r="F33" s="11"/>
      <c r="G33" s="11"/>
      <c r="H33" s="11"/>
      <c r="I33" s="11"/>
      <c r="J33" s="11"/>
      <c r="K33" s="14"/>
    </row>
    <row r="34" spans="1:11">
      <c r="A34" s="11" t="s">
        <v>279</v>
      </c>
      <c r="B34" s="11"/>
      <c r="C34" s="11" t="s">
        <v>275</v>
      </c>
      <c r="E34" s="42">
        <f>SUM(E31:E33)</f>
        <v>1118631.5</v>
      </c>
      <c r="F34" s="11" t="s">
        <v>282</v>
      </c>
      <c r="G34" s="11"/>
      <c r="H34" s="11"/>
      <c r="I34" s="11"/>
      <c r="J34" s="11"/>
      <c r="K34" s="14"/>
    </row>
    <row r="35" spans="1:11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4"/>
    </row>
    <row r="36" spans="1:11">
      <c r="A36" s="12"/>
      <c r="B36" s="11" t="s">
        <v>271</v>
      </c>
      <c r="C36" s="11"/>
      <c r="D36" s="11" t="s">
        <v>275</v>
      </c>
      <c r="E36" s="11" t="s">
        <v>117</v>
      </c>
      <c r="F36" s="11"/>
      <c r="G36" s="11"/>
      <c r="H36" s="11"/>
      <c r="I36" s="11"/>
      <c r="J36" s="11"/>
      <c r="K36" s="14"/>
    </row>
    <row r="37" spans="1:11">
      <c r="A37" s="11" t="s">
        <v>276</v>
      </c>
      <c r="B37" s="166">
        <f>B31*B47</f>
        <v>337.08571074598217</v>
      </c>
      <c r="C37" s="11" t="s">
        <v>275</v>
      </c>
      <c r="E37" s="42">
        <f>B37*Calculations!N9</f>
        <v>303377.13967138395</v>
      </c>
      <c r="F37" s="11"/>
      <c r="G37" s="11"/>
      <c r="H37" s="11"/>
      <c r="I37" s="11"/>
      <c r="J37" s="11"/>
      <c r="K37" s="14"/>
    </row>
    <row r="38" spans="1:11">
      <c r="A38" s="11" t="s">
        <v>277</v>
      </c>
      <c r="B38" s="166">
        <f>B32*B47</f>
        <v>337.08571074598217</v>
      </c>
      <c r="C38" s="11" t="s">
        <v>275</v>
      </c>
      <c r="E38" s="42">
        <f>B38*Calculations!M9</f>
        <v>117979.99876109375</v>
      </c>
      <c r="F38" s="11"/>
      <c r="G38" s="11"/>
      <c r="H38" s="11"/>
      <c r="I38" s="11"/>
      <c r="J38" s="11"/>
      <c r="K38" s="14"/>
    </row>
    <row r="39" spans="1:11">
      <c r="A39" s="149" t="s">
        <v>278</v>
      </c>
      <c r="B39" s="173">
        <f>B33*B47</f>
        <v>449.44761432797611</v>
      </c>
      <c r="C39" s="11" t="s">
        <v>275</v>
      </c>
      <c r="E39" s="174">
        <f>B39*Calculations!M9</f>
        <v>157306.66501479165</v>
      </c>
      <c r="F39" s="11"/>
      <c r="G39" s="11"/>
      <c r="H39" s="11"/>
      <c r="I39" s="11"/>
      <c r="J39" s="11"/>
      <c r="K39" s="14"/>
    </row>
    <row r="40" spans="1:11">
      <c r="A40" s="11" t="s">
        <v>279</v>
      </c>
      <c r="B40" s="11"/>
      <c r="C40" s="11" t="s">
        <v>275</v>
      </c>
      <c r="E40" s="42">
        <f>SUM(E37:E39)</f>
        <v>578663.80344726937</v>
      </c>
      <c r="F40" s="11" t="s">
        <v>282</v>
      </c>
      <c r="G40" s="11"/>
      <c r="H40" s="11"/>
      <c r="I40" s="11"/>
      <c r="J40" s="11"/>
      <c r="K40" s="14"/>
    </row>
    <row r="41" spans="1:11">
      <c r="A41" t="s">
        <v>134</v>
      </c>
    </row>
    <row r="43" spans="1:11">
      <c r="A43" s="12" t="s">
        <v>272</v>
      </c>
      <c r="B43" s="11"/>
      <c r="C43" s="11"/>
      <c r="D43" s="11" t="s">
        <v>275</v>
      </c>
      <c r="E43" s="11" t="s">
        <v>273</v>
      </c>
      <c r="F43" s="11"/>
      <c r="G43" s="11"/>
      <c r="H43" s="11"/>
      <c r="I43" s="11"/>
      <c r="J43" s="11"/>
      <c r="K43" s="14"/>
    </row>
    <row r="44" spans="1:11">
      <c r="A44" s="12">
        <f>((((1+(income_sci*0.01))*Optimizers!C49)*('Province info'!K15+Optimizers!B49))-'Province info'!K16)*24</f>
        <v>-954027.17401709512</v>
      </c>
      <c r="B44" s="11"/>
      <c r="C44" s="11" t="s">
        <v>275</v>
      </c>
      <c r="E44" s="11">
        <f>A44-E40</f>
        <v>-1532690.9774643644</v>
      </c>
      <c r="F44" s="11" t="s">
        <v>282</v>
      </c>
      <c r="G44" s="11"/>
      <c r="H44" s="11"/>
      <c r="I44" s="11"/>
      <c r="J44" s="11"/>
      <c r="K44" s="14"/>
    </row>
    <row r="45" spans="1:11" ht="13.5" thickBot="1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169"/>
    </row>
    <row r="47" spans="1:11">
      <c r="A47" s="10" t="s">
        <v>24</v>
      </c>
      <c r="B47" s="16">
        <f>1-D47*(A28*0.01)*'Province info'!K5*0.01*(1-(A28*0.01))</f>
        <v>0.51729618149253731</v>
      </c>
      <c r="C47" s="138">
        <f>E47*('Province info'!F11*0.01)*'Province info'!K2*0.01*(1-('Province info'!F11*0.01))</f>
        <v>0</v>
      </c>
      <c r="D47" s="71">
        <v>3</v>
      </c>
      <c r="E47" s="71">
        <v>2</v>
      </c>
    </row>
    <row r="49" spans="1:5">
      <c r="A49" s="10" t="s">
        <v>13</v>
      </c>
      <c r="B49" s="18">
        <f>D49*('Province info'!C4*('Province info'!K5*0.01)*(A27*0.01))</f>
        <v>0</v>
      </c>
      <c r="C49" s="132">
        <f>1+E49*((A27*0.01*'Province info'!C4)/'Province info'!C4)*(0.01*'Province info'!K5)*(1-((A27*0.01*'Province info'!C4)/'Province info'!C4))</f>
        <v>1</v>
      </c>
      <c r="D49" s="71">
        <v>25</v>
      </c>
      <c r="E49" s="71">
        <v>1</v>
      </c>
    </row>
  </sheetData>
  <phoneticPr fontId="1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6"/>
  <sheetViews>
    <sheetView zoomScale="90" workbookViewId="0">
      <selection activeCell="I24" sqref="I24"/>
    </sheetView>
  </sheetViews>
  <sheetFormatPr defaultRowHeight="12.75"/>
  <cols>
    <col min="1" max="1" width="10.42578125" customWidth="1"/>
    <col min="2" max="2" width="10.28515625" customWidth="1"/>
    <col min="3" max="3" width="9.85546875" customWidth="1"/>
    <col min="4" max="4" width="7" customWidth="1"/>
    <col min="5" max="5" width="5.7109375" customWidth="1"/>
    <col min="6" max="6" width="4.7109375" customWidth="1"/>
    <col min="9" max="10" width="7.85546875" customWidth="1"/>
    <col min="11" max="11" width="8" customWidth="1"/>
    <col min="15" max="15" width="8.5703125" customWidth="1"/>
    <col min="16" max="16" width="9.5703125" customWidth="1"/>
    <col min="17" max="17" width="9.28515625" bestFit="1" customWidth="1"/>
  </cols>
  <sheetData>
    <row r="1" spans="1:17">
      <c r="E1" s="159" t="s">
        <v>56</v>
      </c>
      <c r="F1" s="53"/>
      <c r="G1" s="53"/>
      <c r="H1" s="53"/>
      <c r="I1" s="53"/>
      <c r="J1" s="53"/>
      <c r="K1" s="53"/>
      <c r="L1" s="53"/>
    </row>
    <row r="2" spans="1:17">
      <c r="A2" s="58" t="s">
        <v>57</v>
      </c>
      <c r="B2" s="58"/>
      <c r="C2" s="71">
        <f>IF(Q16,1.1,1)</f>
        <v>1</v>
      </c>
      <c r="E2" s="8" t="s">
        <v>58</v>
      </c>
      <c r="F2" s="73"/>
      <c r="G2" s="8" t="s">
        <v>59</v>
      </c>
      <c r="H2" s="8" t="s">
        <v>60</v>
      </c>
      <c r="I2" s="8" t="s">
        <v>61</v>
      </c>
      <c r="J2" s="8" t="s">
        <v>62</v>
      </c>
      <c r="K2" s="8" t="s">
        <v>63</v>
      </c>
      <c r="L2" s="8" t="s">
        <v>64</v>
      </c>
      <c r="M2" s="8" t="s">
        <v>110</v>
      </c>
      <c r="N2" s="8" t="s">
        <v>111</v>
      </c>
      <c r="P2" s="9" t="s">
        <v>101</v>
      </c>
      <c r="Q2" s="8"/>
    </row>
    <row r="3" spans="1:17">
      <c r="A3" s="58" t="s">
        <v>65</v>
      </c>
      <c r="B3" s="58"/>
      <c r="C3" s="71">
        <f>IF(Q16,1.4,1)</f>
        <v>1</v>
      </c>
      <c r="E3" s="8" t="s">
        <v>66</v>
      </c>
      <c r="F3" s="8">
        <f>IF('Province info'!F30,5,0)</f>
        <v>5</v>
      </c>
      <c r="G3" s="8">
        <f>IF('Province info'!F30,5,0)</f>
        <v>5</v>
      </c>
      <c r="H3" s="8">
        <f>IF('Province info'!F30,6,0)</f>
        <v>6</v>
      </c>
      <c r="I3" s="8">
        <f>IF('Province info'!F30,4,0)</f>
        <v>4</v>
      </c>
      <c r="J3" s="8">
        <f>IF('Province info'!F30,L22,0)</f>
        <v>5.5</v>
      </c>
      <c r="K3" s="8">
        <f>IF('Province info'!F30,4,0)</f>
        <v>4</v>
      </c>
      <c r="L3" s="8">
        <f>IF('Province info'!F30,6,0)</f>
        <v>6</v>
      </c>
      <c r="M3" s="73">
        <f>IF('Province info'!F30,350,0)</f>
        <v>350</v>
      </c>
      <c r="N3" s="73">
        <f>IF('Province info'!F30,M22,0)</f>
        <v>900</v>
      </c>
      <c r="P3" s="8" t="s">
        <v>3</v>
      </c>
      <c r="Q3" s="8">
        <f>('Province info'!C4*55)-('Province info'!F4*'Province info'!C4*0.01*40)</f>
        <v>55000</v>
      </c>
    </row>
    <row r="4" spans="1:17">
      <c r="A4" s="58" t="s">
        <v>67</v>
      </c>
      <c r="B4" s="58"/>
      <c r="C4" s="71">
        <f>IF(Q15,1.25,1)</f>
        <v>1</v>
      </c>
      <c r="E4" s="8" t="s">
        <v>68</v>
      </c>
      <c r="F4" s="8">
        <f>IF('Province info'!F26,6,0)</f>
        <v>0</v>
      </c>
      <c r="G4" s="8">
        <f>IF('Province info'!F26,5,0)</f>
        <v>0</v>
      </c>
      <c r="H4" s="59">
        <f>IF('Province info'!F26,4,0)</f>
        <v>0</v>
      </c>
      <c r="I4" s="8">
        <f>IF('Province info'!F26,6,0)</f>
        <v>0</v>
      </c>
      <c r="J4" s="8">
        <f>IF('Province info'!F26,L23,0)</f>
        <v>0</v>
      </c>
      <c r="K4" s="8">
        <f>IF('Province info'!F26,4.8,0)</f>
        <v>0</v>
      </c>
      <c r="L4" s="8">
        <f>IF('Province info'!F26,5,0)</f>
        <v>0</v>
      </c>
      <c r="M4" s="73">
        <f>IF('Province info'!F26,350,0)</f>
        <v>0</v>
      </c>
      <c r="N4" s="73">
        <f>IF('Province info'!F26,M23,0)</f>
        <v>0</v>
      </c>
      <c r="P4" s="8" t="s">
        <v>18</v>
      </c>
      <c r="Q4" s="72">
        <f>'Province info'!K13*1</f>
        <v>9734.9999999999982</v>
      </c>
    </row>
    <row r="5" spans="1:17">
      <c r="A5" s="58" t="s">
        <v>69</v>
      </c>
      <c r="B5" s="58"/>
      <c r="C5" s="71">
        <f>IF(Q15,1,1)</f>
        <v>1</v>
      </c>
      <c r="E5" s="8" t="s">
        <v>70</v>
      </c>
      <c r="F5" s="8">
        <f>IF('Province info'!F29,5,0)</f>
        <v>0</v>
      </c>
      <c r="G5" s="8">
        <f>IF('Province info'!F29,5,0)</f>
        <v>0</v>
      </c>
      <c r="H5" s="8">
        <f>IF('Province info'!F29,5,0)</f>
        <v>0</v>
      </c>
      <c r="I5" s="8">
        <f>IF('Province info'!F29,5,0)</f>
        <v>0</v>
      </c>
      <c r="J5" s="8">
        <f>IF('Province info'!F29,L24,0)</f>
        <v>0</v>
      </c>
      <c r="K5" s="8">
        <f>IF('Province info'!F29,4,0)</f>
        <v>0</v>
      </c>
      <c r="L5" s="8">
        <f>IF('Province info'!F29,5,0)</f>
        <v>0</v>
      </c>
      <c r="M5" s="73">
        <f>IF('Province info'!F29,350,0)</f>
        <v>0</v>
      </c>
      <c r="N5" s="73">
        <f>IF('Province info'!F29,M24,0)</f>
        <v>0</v>
      </c>
      <c r="P5" s="8" t="s">
        <v>104</v>
      </c>
      <c r="Q5" s="8">
        <f>('Province info'!C7*'Province info'!C4)*4</f>
        <v>8000</v>
      </c>
    </row>
    <row r="6" spans="1:17">
      <c r="A6" s="58" t="s">
        <v>71</v>
      </c>
      <c r="B6" s="58"/>
      <c r="C6" s="71">
        <f>IF(Q19,0.2,0)</f>
        <v>0</v>
      </c>
      <c r="E6" s="8" t="s">
        <v>72</v>
      </c>
      <c r="F6" s="8">
        <f>IF('Province info'!F28,5,0)</f>
        <v>0</v>
      </c>
      <c r="G6" s="8">
        <f>IF('Province info'!F28,5,0)</f>
        <v>0</v>
      </c>
      <c r="H6" s="8">
        <f>IF('Province info'!F28,6,0)</f>
        <v>0</v>
      </c>
      <c r="I6" s="8">
        <f>IF('Province info'!F28,4,0)</f>
        <v>0</v>
      </c>
      <c r="J6" s="8">
        <f>IF('Province info'!F28,L25,0)</f>
        <v>0</v>
      </c>
      <c r="K6" s="8">
        <f>IF('Province info'!F28,4,0)</f>
        <v>0</v>
      </c>
      <c r="L6" s="8">
        <f>IF('Province info'!F28,5,0)</f>
        <v>0</v>
      </c>
      <c r="M6" s="73">
        <f>IF('Province info'!F28,350,0)</f>
        <v>0</v>
      </c>
      <c r="N6" s="73">
        <f>IF('Province info'!F28,M25,0)</f>
        <v>0</v>
      </c>
      <c r="P6" s="8" t="s">
        <v>105</v>
      </c>
      <c r="Q6" s="8">
        <f>('Province info'!C8*'Province info'!C4)*4</f>
        <v>4000</v>
      </c>
    </row>
    <row r="7" spans="1:17">
      <c r="A7" s="58" t="s">
        <v>179</v>
      </c>
      <c r="B7" s="58"/>
      <c r="C7" s="71">
        <f>IF(Q19,0.5,1)</f>
        <v>1</v>
      </c>
      <c r="E7" s="8" t="s">
        <v>74</v>
      </c>
      <c r="F7" s="8">
        <f>IF('Province info'!F31,5,0)</f>
        <v>0</v>
      </c>
      <c r="G7" s="8">
        <f>IF('Province info'!F31,6,0)</f>
        <v>0</v>
      </c>
      <c r="H7" s="8">
        <f>IF('Province info'!F31,8,0)</f>
        <v>0</v>
      </c>
      <c r="I7" s="8">
        <f>IF('Province info'!F31,2,0)</f>
        <v>0</v>
      </c>
      <c r="J7" s="8">
        <f>IF('Province info'!F31,L26,0)</f>
        <v>0</v>
      </c>
      <c r="K7" s="8">
        <f>IF('Province info'!F31,4,0)</f>
        <v>0</v>
      </c>
      <c r="L7" s="8">
        <f>IF('Province info'!F31,5,0)</f>
        <v>0</v>
      </c>
      <c r="M7" s="73">
        <f>IF('Province info'!F31,350,0)</f>
        <v>0</v>
      </c>
      <c r="N7" s="73">
        <f>IF('Province info'!F31,M26,0)</f>
        <v>0</v>
      </c>
      <c r="P7" s="8" t="s">
        <v>89</v>
      </c>
      <c r="Q7" s="72">
        <f>(Calculations!M14/Calculations!H9)*Calculations!J9</f>
        <v>25599.749999999996</v>
      </c>
    </row>
    <row r="8" spans="1:17">
      <c r="A8" s="58" t="s">
        <v>73</v>
      </c>
      <c r="B8" s="58"/>
      <c r="C8" s="71">
        <f>IF(Q14,1.3,1)</f>
        <v>1.3</v>
      </c>
      <c r="E8" s="60" t="s">
        <v>76</v>
      </c>
      <c r="F8" s="60">
        <f>IF('Province info'!F27,5,0)</f>
        <v>0</v>
      </c>
      <c r="G8" s="60">
        <f>IF('Province info'!F27,5,0)</f>
        <v>0</v>
      </c>
      <c r="H8" s="60">
        <f>IF('Province info'!F27,6,0)</f>
        <v>0</v>
      </c>
      <c r="I8" s="60">
        <f>IF('Province info'!F27,7,0)</f>
        <v>0</v>
      </c>
      <c r="J8" s="60">
        <f>IF('Province info'!F27,L27,0)</f>
        <v>0</v>
      </c>
      <c r="K8" s="60">
        <f>IF('Province info'!F27,4,0)</f>
        <v>0</v>
      </c>
      <c r="L8" s="60">
        <f>IF('Province info'!F27,5,0)</f>
        <v>0</v>
      </c>
      <c r="M8" s="78">
        <f>IF('Province info'!F27,350,0)</f>
        <v>0</v>
      </c>
      <c r="N8" s="78">
        <f>IF('Province info'!F27,M27,0)</f>
        <v>0</v>
      </c>
      <c r="P8" s="8" t="s">
        <v>58</v>
      </c>
      <c r="Q8" s="72">
        <f>(M12/F9)*K9</f>
        <v>18618</v>
      </c>
    </row>
    <row r="9" spans="1:17">
      <c r="A9" s="58" t="s">
        <v>75</v>
      </c>
      <c r="B9" s="58"/>
      <c r="C9" s="71">
        <f>IF(Q14,1.3,1)</f>
        <v>1.3</v>
      </c>
      <c r="E9" s="58" t="s">
        <v>78</v>
      </c>
      <c r="F9" s="58">
        <f t="shared" ref="F9:L9" si="0">SUM(F3:F8)</f>
        <v>5</v>
      </c>
      <c r="G9" s="58">
        <f t="shared" si="0"/>
        <v>5</v>
      </c>
      <c r="H9" s="58">
        <f t="shared" si="0"/>
        <v>6</v>
      </c>
      <c r="I9" s="58">
        <f t="shared" si="0"/>
        <v>4</v>
      </c>
      <c r="J9" s="58">
        <f t="shared" si="0"/>
        <v>5.5</v>
      </c>
      <c r="K9" s="58">
        <f t="shared" si="0"/>
        <v>4</v>
      </c>
      <c r="L9" s="58">
        <f t="shared" si="0"/>
        <v>6</v>
      </c>
      <c r="M9" s="58">
        <f>SUM(M3:M8)</f>
        <v>350</v>
      </c>
      <c r="N9" s="58">
        <f>SUM(N3:N8)</f>
        <v>900</v>
      </c>
      <c r="P9" s="8" t="s">
        <v>59</v>
      </c>
      <c r="Q9" s="72">
        <f>(N13/G9)*L9</f>
        <v>37236</v>
      </c>
    </row>
    <row r="10" spans="1:17">
      <c r="A10" s="58" t="s">
        <v>77</v>
      </c>
      <c r="B10" s="58"/>
      <c r="C10" s="92">
        <f>IF(Q14,0.75,1)</f>
        <v>0.75</v>
      </c>
      <c r="D10" s="122"/>
      <c r="F10" s="61"/>
      <c r="P10" s="8" t="s">
        <v>91</v>
      </c>
      <c r="Q10" s="72">
        <f>M15*0.6</f>
        <v>0</v>
      </c>
    </row>
    <row r="11" spans="1:17" ht="15.75" customHeight="1">
      <c r="A11" s="58" t="s">
        <v>129</v>
      </c>
      <c r="B11" s="58"/>
      <c r="C11" s="71">
        <f>IF(Q18,0.85,1)</f>
        <v>1</v>
      </c>
      <c r="D11" s="62" t="s">
        <v>80</v>
      </c>
      <c r="K11" s="63" t="s">
        <v>81</v>
      </c>
      <c r="L11" s="64"/>
      <c r="M11" s="19" t="s">
        <v>82</v>
      </c>
      <c r="N11" s="19" t="s">
        <v>83</v>
      </c>
      <c r="P11" s="60" t="s">
        <v>106</v>
      </c>
      <c r="Q11" s="115">
        <f>SUM(M29:M35)</f>
        <v>6571.6931216931225</v>
      </c>
    </row>
    <row r="12" spans="1:17">
      <c r="A12" s="58" t="s">
        <v>79</v>
      </c>
      <c r="B12" s="58"/>
      <c r="C12" s="71">
        <f>IF('Province info'!C36,1.1,1)</f>
        <v>1</v>
      </c>
      <c r="D12" s="54"/>
      <c r="K12" s="65" t="s">
        <v>58</v>
      </c>
      <c r="L12" s="64"/>
      <c r="M12" s="66">
        <f>PRODUCT(Calculations!G16,Calculations!I20,Calculations!I16)</f>
        <v>23272.5</v>
      </c>
      <c r="N12" s="19"/>
      <c r="P12" s="58" t="s">
        <v>107</v>
      </c>
      <c r="Q12" s="88">
        <f>SUM(Q3:Q11)</f>
        <v>164760.44312169313</v>
      </c>
    </row>
    <row r="13" spans="1:17">
      <c r="A13" s="58" t="s">
        <v>108</v>
      </c>
      <c r="B13" s="58"/>
      <c r="C13" s="71">
        <f>IF('Province info'!C33,2,1)</f>
        <v>1</v>
      </c>
      <c r="G13" s="73" t="s">
        <v>181</v>
      </c>
      <c r="H13" s="73"/>
      <c r="I13" s="75">
        <f>I18*I20</f>
        <v>4654.5</v>
      </c>
      <c r="K13" s="65" t="s">
        <v>59</v>
      </c>
      <c r="L13" s="64"/>
      <c r="M13" s="19"/>
      <c r="N13" s="21">
        <f>PRODUCT(Calculations!H17,Calculations!I17,Calculations!I20)</f>
        <v>31030</v>
      </c>
    </row>
    <row r="14" spans="1:17">
      <c r="A14" s="85" t="s">
        <v>115</v>
      </c>
      <c r="B14" s="58"/>
      <c r="C14" s="101">
        <f>IF('Province info'!C32,1.15,1)</f>
        <v>1</v>
      </c>
      <c r="D14" s="54"/>
      <c r="K14" s="65" t="s">
        <v>89</v>
      </c>
      <c r="L14" s="67"/>
      <c r="M14" s="68">
        <f>Calculations!I18*Calculations!G18*Calculations!I20</f>
        <v>27926.999999999996</v>
      </c>
      <c r="N14" s="68">
        <f>Calculations!I18*Calculations!H18*Calculations!I20</f>
        <v>18618</v>
      </c>
      <c r="P14" s="86" t="s">
        <v>44</v>
      </c>
      <c r="Q14" s="86" t="b">
        <f>'Province info'!F30</f>
        <v>1</v>
      </c>
    </row>
    <row r="15" spans="1:17">
      <c r="A15" s="85" t="s">
        <v>121</v>
      </c>
      <c r="B15" s="58"/>
      <c r="C15" s="71">
        <f>IF('Province info'!C34,'Province info'!C4*4,0)</f>
        <v>0</v>
      </c>
      <c r="G15" s="8" t="s">
        <v>85</v>
      </c>
      <c r="H15" s="8" t="s">
        <v>86</v>
      </c>
      <c r="I15" s="8" t="s">
        <v>5</v>
      </c>
      <c r="K15" s="65" t="s">
        <v>91</v>
      </c>
      <c r="L15" s="64"/>
      <c r="M15" s="19">
        <f>50*1*(0.01*'Province info'!C4*'Province info'!F21)</f>
        <v>0</v>
      </c>
      <c r="N15" s="19"/>
      <c r="P15" s="86" t="s">
        <v>46</v>
      </c>
      <c r="Q15" s="86">
        <f>'Province info'!F26</f>
        <v>0</v>
      </c>
    </row>
    <row r="16" spans="1:17" ht="13.5" customHeight="1">
      <c r="A16" s="85" t="s">
        <v>130</v>
      </c>
      <c r="B16" s="58"/>
      <c r="C16" s="71">
        <f>IF(Q18,0.5,1)</f>
        <v>1</v>
      </c>
      <c r="G16" s="8">
        <f>Calculations!F9</f>
        <v>5</v>
      </c>
      <c r="H16" s="8">
        <v>0</v>
      </c>
      <c r="I16" s="8">
        <f>'Province info'!C13*0.01</f>
        <v>0.3</v>
      </c>
      <c r="K16" s="65" t="s">
        <v>92</v>
      </c>
      <c r="L16" s="64"/>
      <c r="M16" s="21">
        <f>C25*3</f>
        <v>0</v>
      </c>
      <c r="N16" s="19"/>
      <c r="P16" s="86" t="s">
        <v>48</v>
      </c>
      <c r="Q16" s="86">
        <f>'Province info'!F29</f>
        <v>0</v>
      </c>
    </row>
    <row r="17" spans="1:17" ht="13.5" thickBot="1">
      <c r="G17" s="8">
        <v>0</v>
      </c>
      <c r="H17" s="8">
        <f>Calculations!G9</f>
        <v>5</v>
      </c>
      <c r="I17" s="8">
        <f>'Province info'!C14*0.01</f>
        <v>0.4</v>
      </c>
      <c r="K17" s="89" t="s">
        <v>42</v>
      </c>
      <c r="L17" s="90"/>
      <c r="M17" s="91">
        <f>SUM(M12:M16)</f>
        <v>51199.5</v>
      </c>
      <c r="N17" s="92">
        <f>SUM(N12:N15)</f>
        <v>49648</v>
      </c>
      <c r="P17" s="86" t="s">
        <v>50</v>
      </c>
      <c r="Q17" s="86">
        <f>'Province info'!F28</f>
        <v>0</v>
      </c>
    </row>
    <row r="18" spans="1:17" ht="13.5" thickBot="1">
      <c r="G18" s="69">
        <f>Calculations!H9</f>
        <v>6</v>
      </c>
      <c r="H18" s="69">
        <f>Calculations!I9</f>
        <v>4</v>
      </c>
      <c r="I18" s="69">
        <f>'Province info'!C12*0.01</f>
        <v>0.3</v>
      </c>
      <c r="K18" s="93" t="s">
        <v>96</v>
      </c>
      <c r="L18" s="94"/>
      <c r="M18" s="95">
        <f>M17*I24</f>
        <v>60272.051400000011</v>
      </c>
      <c r="N18" s="96"/>
      <c r="P18" s="86" t="s">
        <v>53</v>
      </c>
      <c r="Q18" s="86">
        <f>'Province info'!F31</f>
        <v>0</v>
      </c>
    </row>
    <row r="19" spans="1:17" ht="13.5" thickBot="1">
      <c r="A19" s="58" t="s">
        <v>84</v>
      </c>
      <c r="B19" s="58"/>
      <c r="C19" s="71">
        <f>IF('Province info'!C31,'Province info'!C4*25+B29-((0.01*'Province info'!F4)*10*'Province info'!C4)+((Calculations!M14/5)/7),'Province info'!C4*25+B29+'Province info'!C4*0.01*'Province info'!F5*5-((0.01*'Province info'!F4)*10*'Province info'!C4))</f>
        <v>25000</v>
      </c>
      <c r="K19" s="97" t="s">
        <v>98</v>
      </c>
      <c r="L19" s="98"/>
      <c r="M19" s="99"/>
      <c r="N19" s="100">
        <f>(N17+I27)*I26</f>
        <v>56300.832000000009</v>
      </c>
      <c r="P19" s="86" t="s">
        <v>55</v>
      </c>
      <c r="Q19" s="86">
        <f>'Province info'!F27</f>
        <v>0</v>
      </c>
    </row>
    <row r="20" spans="1:17">
      <c r="A20" s="58" t="s">
        <v>87</v>
      </c>
      <c r="B20" s="58"/>
      <c r="C20" s="71">
        <f>PRODUCT('Province info'!O14*0.01+1,Calculations!C19,C2)</f>
        <v>28249.999999999996</v>
      </c>
      <c r="G20" s="8" t="s">
        <v>94</v>
      </c>
      <c r="H20" s="8"/>
      <c r="I20" s="19">
        <f>Calculations!C20-'Province info'!K13-'Province info'!C8*'Province info'!C4-'Province info'!C7*'Province info'!C4</f>
        <v>15515</v>
      </c>
    </row>
    <row r="21" spans="1:17">
      <c r="A21" s="58" t="s">
        <v>88</v>
      </c>
      <c r="B21" s="58"/>
      <c r="C21" s="71">
        <f>('Province info'!C4*25)-(0.01*'Province info'!F5*'Province info'!C4*25)-(('Province info'!F4*'Province info'!C4*0.01)*25)</f>
        <v>25000</v>
      </c>
      <c r="G21" s="8" t="s">
        <v>95</v>
      </c>
      <c r="H21" s="8"/>
      <c r="I21" s="19">
        <f>Calculations!C20-'Province info'!K13-'Province info'!C8*'Province info'!C4</f>
        <v>17515</v>
      </c>
      <c r="K21" s="103" t="s">
        <v>89</v>
      </c>
      <c r="L21" s="114" t="s">
        <v>101</v>
      </c>
      <c r="M21" s="104" t="s">
        <v>117</v>
      </c>
      <c r="O21" t="s">
        <v>11</v>
      </c>
      <c r="Q21" s="116">
        <f>IF('Province info'!C28,1.25*(B30*Calculations!C12+(2*'Province info'!F4*0.01*'Province info'!C4)+Calculations!C15*('Province info'!O16*0.01+1)),B30*Calculations!C12+(2*('Province info'!F4*0.01*'Province info'!C4))+Calculations!C15*(1+'Province info'!O16*0.01))</f>
        <v>7919.3595223880593</v>
      </c>
    </row>
    <row r="22" spans="1:17">
      <c r="A22" s="58" t="s">
        <v>90</v>
      </c>
      <c r="B22" s="58"/>
      <c r="C22" s="70">
        <f>0.67*C21</f>
        <v>16750</v>
      </c>
      <c r="G22" s="8" t="s">
        <v>97</v>
      </c>
      <c r="H22" s="8"/>
      <c r="I22" s="8">
        <f>(1-('Province info'!C11*0.01-1)*0.1)*(1+('Province info'!C11*0.01-1)*0.2)</f>
        <v>1.08</v>
      </c>
      <c r="K22" s="105" t="s">
        <v>66</v>
      </c>
      <c r="L22" s="76">
        <v>5.5</v>
      </c>
      <c r="M22" s="106">
        <v>900</v>
      </c>
    </row>
    <row r="23" spans="1:17">
      <c r="A23" s="58" t="s">
        <v>18</v>
      </c>
      <c r="B23" s="58"/>
      <c r="C23" s="71">
        <f>(Calculations!C20)*(1-0.01*'Province info'!C5)-('Province info'!C8*'Province info'!C4)</f>
        <v>9734.9999999999982</v>
      </c>
      <c r="G23" s="8" t="s">
        <v>99</v>
      </c>
      <c r="H23" s="8"/>
      <c r="I23" s="8">
        <f>(0.03*3)+1</f>
        <v>1.0900000000000001</v>
      </c>
      <c r="K23" s="105" t="s">
        <v>68</v>
      </c>
      <c r="L23" s="76">
        <v>6.5</v>
      </c>
      <c r="M23" s="106">
        <v>1000</v>
      </c>
      <c r="O23" s="77" t="s">
        <v>122</v>
      </c>
      <c r="P23" s="73"/>
      <c r="Q23" s="73"/>
    </row>
    <row r="24" spans="1:17">
      <c r="A24" s="58" t="s">
        <v>93</v>
      </c>
      <c r="B24" s="58"/>
      <c r="C24" s="71">
        <f>C9*B43*C11</f>
        <v>1.3</v>
      </c>
      <c r="G24" s="8" t="s">
        <v>100</v>
      </c>
      <c r="H24" s="8"/>
      <c r="I24" s="8">
        <f>B33*I22*I23</f>
        <v>1.1772000000000002</v>
      </c>
      <c r="K24" s="105" t="s">
        <v>70</v>
      </c>
      <c r="L24" s="76">
        <v>5.25</v>
      </c>
      <c r="M24" s="106">
        <v>300</v>
      </c>
      <c r="O24" s="73" t="s">
        <v>124</v>
      </c>
      <c r="P24" s="73"/>
      <c r="Q24" s="118"/>
    </row>
    <row r="25" spans="1:17">
      <c r="A25" s="58" t="s">
        <v>92</v>
      </c>
      <c r="B25" s="58"/>
      <c r="C25" s="71">
        <f>('Province info'!F22*0.01*'Province info'!C4)*20</f>
        <v>0</v>
      </c>
      <c r="G25" s="8" t="s">
        <v>45</v>
      </c>
      <c r="H25" s="8"/>
      <c r="I25" s="8">
        <f>IF('Province info'!C27,1.05,1)</f>
        <v>1.05</v>
      </c>
      <c r="K25" s="105" t="s">
        <v>72</v>
      </c>
      <c r="L25" s="76">
        <v>5.75</v>
      </c>
      <c r="M25" s="106">
        <v>800</v>
      </c>
      <c r="O25" s="73" t="s">
        <v>125</v>
      </c>
      <c r="P25" s="73"/>
      <c r="Q25" s="118"/>
    </row>
    <row r="26" spans="1:17">
      <c r="G26" s="8" t="s">
        <v>102</v>
      </c>
      <c r="H26" s="8"/>
      <c r="I26" s="8">
        <f>I22*I25*B36</f>
        <v>1.1340000000000001</v>
      </c>
      <c r="K26" s="105" t="s">
        <v>74</v>
      </c>
      <c r="L26" s="76">
        <v>6.5</v>
      </c>
      <c r="M26" s="106">
        <v>700</v>
      </c>
      <c r="O26" s="73" t="s">
        <v>126</v>
      </c>
      <c r="P26" s="73"/>
      <c r="Q26" s="118"/>
    </row>
    <row r="27" spans="1:17">
      <c r="D27" t="s">
        <v>182</v>
      </c>
      <c r="E27" s="11" t="s">
        <v>183</v>
      </c>
      <c r="G27" s="10" t="s">
        <v>103</v>
      </c>
      <c r="H27" s="8"/>
      <c r="I27" s="8">
        <f>IF('Province info'!C26,'Province info'!K13/4,0)</f>
        <v>0</v>
      </c>
      <c r="K27" s="107" t="s">
        <v>76</v>
      </c>
      <c r="L27" s="78">
        <v>7</v>
      </c>
      <c r="M27" s="108">
        <v>1200</v>
      </c>
      <c r="O27" s="73" t="s">
        <v>184</v>
      </c>
      <c r="P27" s="73"/>
      <c r="Q27" s="118"/>
    </row>
    <row r="28" spans="1:17">
      <c r="A28" s="73" t="s">
        <v>4</v>
      </c>
      <c r="B28" s="118">
        <f>'Province info'!C4*0.01*'Province info'!F4*D28</f>
        <v>0</v>
      </c>
      <c r="C28" s="131"/>
      <c r="D28" s="71">
        <v>2</v>
      </c>
      <c r="E28" s="133"/>
      <c r="O28" s="73" t="s">
        <v>123</v>
      </c>
      <c r="P28" s="73"/>
      <c r="Q28" s="118"/>
    </row>
    <row r="29" spans="1:17">
      <c r="A29" s="10" t="s">
        <v>7</v>
      </c>
      <c r="B29" s="19">
        <f>'Province info'!C4*0.01*'Province info'!F5*D29</f>
        <v>0</v>
      </c>
      <c r="C29" s="65"/>
      <c r="D29" s="152">
        <v>8</v>
      </c>
      <c r="E29" s="134"/>
      <c r="G29" s="126" t="s">
        <v>27</v>
      </c>
      <c r="H29" s="109"/>
      <c r="I29" s="13">
        <f>'Province info'!C17</f>
        <v>15</v>
      </c>
      <c r="J29" s="109">
        <f>I29/2</f>
        <v>7.5</v>
      </c>
      <c r="K29" s="109">
        <f t="shared" ref="K29:K35" si="1">POWER(J29,2)</f>
        <v>56.25</v>
      </c>
      <c r="L29" s="109">
        <f>'Province info'!C4*Calculations!K29</f>
        <v>56250</v>
      </c>
      <c r="M29" s="110">
        <f>L29/105</f>
        <v>535.71428571428567</v>
      </c>
    </row>
    <row r="30" spans="1:17">
      <c r="A30" s="10" t="s">
        <v>8</v>
      </c>
      <c r="B30" s="21">
        <f>D30*('Province info'!F6*0.01*'Province info'!C4)*(1+('Province info'!O16*0.01))*('Province info'!K5*0.01)</f>
        <v>6335.4876179104476</v>
      </c>
      <c r="C30" s="65"/>
      <c r="D30" s="71">
        <v>70</v>
      </c>
      <c r="E30" s="134"/>
      <c r="G30" s="127" t="s">
        <v>30</v>
      </c>
      <c r="H30" s="11"/>
      <c r="I30" s="13">
        <f>'Province info'!C18</f>
        <v>16</v>
      </c>
      <c r="J30" s="11">
        <f>I30/1</f>
        <v>16</v>
      </c>
      <c r="K30" s="11">
        <f t="shared" si="1"/>
        <v>256</v>
      </c>
      <c r="L30" s="11">
        <f>'Province info'!C4*Calculations!K30</f>
        <v>256000</v>
      </c>
      <c r="M30" s="111">
        <f t="shared" ref="M30:M35" si="2">L30/105</f>
        <v>2438.0952380952381</v>
      </c>
      <c r="O30" s="77" t="s">
        <v>200</v>
      </c>
      <c r="P30" s="73"/>
      <c r="Q30" s="73"/>
    </row>
    <row r="31" spans="1:17">
      <c r="A31" s="10" t="s">
        <v>10</v>
      </c>
      <c r="B31" s="16">
        <f>1-D31*('Province info'!F7*0.01)*'Province info'!K5*0.01*(1-('Province info'!F7*0.01))</f>
        <v>1</v>
      </c>
      <c r="C31" s="132">
        <f>1-E31*('Province info'!F7*0.01)*'Province info'!K5*0.01*(1-('Province info'!F7*0.01))</f>
        <v>1</v>
      </c>
      <c r="D31" s="71">
        <v>4</v>
      </c>
      <c r="E31" s="71">
        <v>3</v>
      </c>
      <c r="G31" s="127" t="s">
        <v>32</v>
      </c>
      <c r="H31" s="11"/>
      <c r="I31" s="13">
        <f>'Province info'!C19</f>
        <v>10</v>
      </c>
      <c r="J31" s="11">
        <f>I31/1</f>
        <v>10</v>
      </c>
      <c r="K31" s="11">
        <f t="shared" si="1"/>
        <v>100</v>
      </c>
      <c r="L31" s="11">
        <f>'Province info'!C4*Calculations!K31</f>
        <v>100000</v>
      </c>
      <c r="M31" s="111">
        <f t="shared" si="2"/>
        <v>952.38095238095241</v>
      </c>
      <c r="O31" s="73" t="s">
        <v>201</v>
      </c>
      <c r="P31" s="73"/>
      <c r="Q31" s="118">
        <f>0.67*C21</f>
        <v>16750</v>
      </c>
    </row>
    <row r="32" spans="1:17">
      <c r="A32" s="10" t="s">
        <v>13</v>
      </c>
      <c r="B32" s="18">
        <f>D32*('Province info'!F8*'Province info'!C4*0.01)*'Province info'!K5*0.01</f>
        <v>12570.411940298507</v>
      </c>
      <c r="C32" s="132">
        <f>1+E32*(('Province info'!F8*0.01*'Province info'!C4)/'Province info'!C4)*(0.01*'Province info'!K5)*(1-(('Province info'!F8*0.01*'Province info'!C4)/'Province info'!C4))</f>
        <v>1.2514082388059702</v>
      </c>
      <c r="D32" s="71">
        <v>25</v>
      </c>
      <c r="E32" s="71">
        <v>1</v>
      </c>
      <c r="G32" s="128" t="s">
        <v>34</v>
      </c>
      <c r="H32" s="11"/>
      <c r="I32" s="22">
        <f>'Province info'!C21</f>
        <v>0</v>
      </c>
      <c r="J32" s="11">
        <f>I32/1.25</f>
        <v>0</v>
      </c>
      <c r="K32" s="11">
        <f t="shared" si="1"/>
        <v>0</v>
      </c>
      <c r="L32" s="11">
        <f>'Province info'!C4*Calculations!K32</f>
        <v>0</v>
      </c>
      <c r="M32" s="111">
        <f t="shared" si="2"/>
        <v>0</v>
      </c>
      <c r="O32" s="73" t="s">
        <v>202</v>
      </c>
      <c r="P32" s="73"/>
      <c r="Q32" s="158">
        <f>(C23+B46/2)/Q31</f>
        <v>0.5811940298507462</v>
      </c>
    </row>
    <row r="33" spans="1:17">
      <c r="A33" s="10" t="s">
        <v>14</v>
      </c>
      <c r="B33" s="16">
        <f>1+D33*('Province info'!F9*0.01)*'Province info'!K5*0.01*(1-('Province info'!F9*0.01))</f>
        <v>1</v>
      </c>
      <c r="C33" s="65"/>
      <c r="D33" s="71">
        <v>1.5</v>
      </c>
      <c r="E33" s="134"/>
      <c r="G33" s="127" t="s">
        <v>36</v>
      </c>
      <c r="H33" s="11"/>
      <c r="I33" s="87">
        <f>'Province info'!C20</f>
        <v>0</v>
      </c>
      <c r="J33" s="11">
        <f>I33/6</f>
        <v>0</v>
      </c>
      <c r="K33" s="11">
        <f t="shared" si="1"/>
        <v>0</v>
      </c>
      <c r="L33" s="11">
        <f>'Province info'!C4*Calculations!K33</f>
        <v>0</v>
      </c>
      <c r="M33" s="111">
        <f t="shared" si="2"/>
        <v>0</v>
      </c>
      <c r="O33" s="73" t="s">
        <v>203</v>
      </c>
      <c r="P33" s="73"/>
      <c r="Q33" s="118">
        <f>(0.6+0.4*MIN(Q32,1))*(1+'Province info'!O13*0.01)+Calculations!C6</f>
        <v>1.0056329552238805</v>
      </c>
    </row>
    <row r="34" spans="1:17">
      <c r="A34" s="10" t="s">
        <v>17</v>
      </c>
      <c r="B34" s="16">
        <f>1-D34*('Province info'!F10*0.01)*'Province info'!K5*0.01*(1-('Province info'!F10*0.01))</f>
        <v>1</v>
      </c>
      <c r="C34" s="132">
        <f>1-E34*('Province info'!F10*0.01)*'Province info'!K5*0.01*(1-('Province info'!F10*0.01))</f>
        <v>1</v>
      </c>
      <c r="D34" s="71">
        <v>1.5</v>
      </c>
      <c r="E34" s="71">
        <v>2</v>
      </c>
      <c r="G34" s="127" t="s">
        <v>38</v>
      </c>
      <c r="H34" s="11"/>
      <c r="I34" s="13">
        <f>'Province info'!C22</f>
        <v>100</v>
      </c>
      <c r="J34" s="11">
        <f>I34/6</f>
        <v>16.666666666666668</v>
      </c>
      <c r="K34" s="11">
        <f t="shared" si="1"/>
        <v>277.77777777777783</v>
      </c>
      <c r="L34" s="11">
        <f>'Province info'!C4*Calculations!K34</f>
        <v>277777.77777777781</v>
      </c>
      <c r="M34" s="111">
        <f t="shared" si="2"/>
        <v>2645.5026455026459</v>
      </c>
    </row>
    <row r="35" spans="1:17">
      <c r="A35" s="10" t="s">
        <v>20</v>
      </c>
      <c r="B35" s="16">
        <f>1-D35*('Province info'!F11*0.01)*'Province info'!K5*0.01*(1-('Province info'!F11*0.01))</f>
        <v>1</v>
      </c>
      <c r="C35" s="65"/>
      <c r="D35" s="71">
        <v>1.5</v>
      </c>
      <c r="E35" s="134"/>
      <c r="G35" s="129" t="s">
        <v>40</v>
      </c>
      <c r="H35" s="112"/>
      <c r="I35" s="13">
        <f>'Province info'!C23</f>
        <v>0</v>
      </c>
      <c r="J35" s="112">
        <f>I35/5</f>
        <v>0</v>
      </c>
      <c r="K35" s="112">
        <f t="shared" si="1"/>
        <v>0</v>
      </c>
      <c r="L35" s="112">
        <f>'Province info'!C4*Calculations!K35</f>
        <v>0</v>
      </c>
      <c r="M35" s="113">
        <f t="shared" si="2"/>
        <v>0</v>
      </c>
      <c r="O35">
        <f>(0.5+MIN((C23+0.5*B46)/(Q31),0.5))*(1+0.01*'Province info'!O13)+C6</f>
        <v>1.208</v>
      </c>
    </row>
    <row r="36" spans="1:17">
      <c r="A36" s="10" t="s">
        <v>22</v>
      </c>
      <c r="B36" s="102">
        <f>1+D36*('Province info'!F12*0.01)*'Province info'!K5*0.01*(1-('Province info'!F12*0.01))</f>
        <v>1</v>
      </c>
      <c r="C36" s="65"/>
      <c r="D36" s="71">
        <v>1.5</v>
      </c>
      <c r="E36" s="134"/>
    </row>
    <row r="37" spans="1:17">
      <c r="A37" s="10" t="s">
        <v>23</v>
      </c>
      <c r="B37" s="16">
        <f>1-D37*('Province info'!F13*0.01)*'Province info'!K5*0.01*(1-('Province info'!F13*0.01))</f>
        <v>1</v>
      </c>
      <c r="C37" s="65"/>
      <c r="D37" s="71">
        <v>2</v>
      </c>
      <c r="E37" s="134"/>
      <c r="G37" s="160" t="s">
        <v>204</v>
      </c>
      <c r="H37" s="153"/>
      <c r="I37" s="153"/>
      <c r="O37">
        <f>MIN(O35,0.5)</f>
        <v>0.5</v>
      </c>
    </row>
    <row r="38" spans="1:17">
      <c r="A38" s="10" t="s">
        <v>24</v>
      </c>
      <c r="B38" s="16">
        <f>1-D38*('Province info'!F14*0.01)*'Province info'!K5*0.01*(1-('Province info'!F14*0.01))</f>
        <v>1</v>
      </c>
      <c r="C38" s="138">
        <f>E38*('Province info'!F14*0.01)*'Province info'!K5*0.01*(1-('Province info'!F14*0.01))</f>
        <v>0</v>
      </c>
      <c r="D38" s="71">
        <v>3</v>
      </c>
      <c r="E38" s="71">
        <v>2</v>
      </c>
      <c r="G38" s="153" t="s">
        <v>205</v>
      </c>
      <c r="H38" s="153"/>
      <c r="I38" s="22"/>
      <c r="O38" t="s">
        <v>266</v>
      </c>
    </row>
    <row r="39" spans="1:17">
      <c r="A39" s="10" t="s">
        <v>26</v>
      </c>
      <c r="B39" s="102">
        <f>(('Province info'!F15*D39*'Province info'!C4)*('Province info'!K5*0.01)*0.02)*C13</f>
        <v>0</v>
      </c>
      <c r="C39" s="65"/>
      <c r="D39" s="71">
        <v>0.01</v>
      </c>
      <c r="E39" s="134"/>
      <c r="G39" s="153" t="s">
        <v>209</v>
      </c>
      <c r="H39" s="153"/>
      <c r="I39" s="22"/>
    </row>
    <row r="40" spans="1:17">
      <c r="A40" s="10" t="s">
        <v>29</v>
      </c>
      <c r="B40" s="21">
        <f>D40*('Province info'!F16*'Province info'!C4*0.01)*('Province info'!K5*0.01)</f>
        <v>0</v>
      </c>
      <c r="C40" s="65"/>
      <c r="D40" s="71">
        <v>10</v>
      </c>
      <c r="E40" s="134"/>
      <c r="G40" s="153" t="s">
        <v>206</v>
      </c>
      <c r="H40" s="153"/>
      <c r="I40" s="22"/>
    </row>
    <row r="41" spans="1:17">
      <c r="A41" s="10" t="s">
        <v>31</v>
      </c>
      <c r="B41" s="74">
        <f>1-D41*('Province info'!F17*0.01)*'Province info'!K5*0.01*(1-('Province info'!F17*0.01))</f>
        <v>1</v>
      </c>
      <c r="C41" s="132">
        <f>1+E41*('Province info'!F17*0.01)*'Province info'!K5*0.01*(1-('Province info'!F17*0.01))</f>
        <v>1</v>
      </c>
      <c r="D41" s="71">
        <v>4</v>
      </c>
      <c r="E41" s="71">
        <v>3</v>
      </c>
      <c r="G41" s="153" t="s">
        <v>207</v>
      </c>
      <c r="H41" s="153"/>
      <c r="I41" s="22"/>
    </row>
    <row r="42" spans="1:17">
      <c r="A42" s="10" t="s">
        <v>33</v>
      </c>
      <c r="B42" s="16">
        <f>1-D42*('Province info'!F18*0.01)*'Province info'!K5*0.01*(1-('Province info'!F18*0.01))</f>
        <v>1</v>
      </c>
      <c r="C42" s="132">
        <f>1-E42*('Province info'!F18*0.01)*'Province info'!K5*0.01*(1-('Province info'!F18*0.01))</f>
        <v>1</v>
      </c>
      <c r="D42" s="71">
        <v>2.5</v>
      </c>
      <c r="E42" s="71">
        <v>4</v>
      </c>
      <c r="G42" s="153" t="s">
        <v>208</v>
      </c>
      <c r="H42" s="153"/>
      <c r="I42" s="22"/>
    </row>
    <row r="43" spans="1:17">
      <c r="A43" s="10" t="s">
        <v>35</v>
      </c>
      <c r="B43" s="19">
        <f>1+D43*('Province info'!F19*0.01)*(1-('Province info'!F19*0.01))</f>
        <v>1</v>
      </c>
      <c r="C43" s="65"/>
      <c r="D43" s="71">
        <v>2</v>
      </c>
      <c r="E43" s="134"/>
    </row>
    <row r="44" spans="1:17">
      <c r="A44" s="10" t="s">
        <v>37</v>
      </c>
      <c r="B44" s="18">
        <f>D44*('Province info'!F20*'Province info'!C4*0.01)*'Province info'!K5*0.01</f>
        <v>0</v>
      </c>
      <c r="C44" s="132">
        <f>1-E44*('Province info'!F20*0.01)*'Province info'!K5*0.01*(1-('Province info'!F20*0.01))</f>
        <v>1</v>
      </c>
      <c r="D44" s="71">
        <v>4</v>
      </c>
      <c r="E44" s="71">
        <v>3</v>
      </c>
    </row>
    <row r="45" spans="1:17">
      <c r="A45" s="10" t="s">
        <v>39</v>
      </c>
      <c r="B45" s="21">
        <f>D45*('Province info'!F21*'Province info'!C4*0.01)*'Province info'!K5*0.01</f>
        <v>0</v>
      </c>
      <c r="C45" s="65">
        <f>E45*('Province info'!F21*'Province info'!C4*0.01)</f>
        <v>0</v>
      </c>
      <c r="D45" s="71">
        <v>1</v>
      </c>
      <c r="E45" s="71">
        <v>50</v>
      </c>
    </row>
    <row r="46" spans="1:17">
      <c r="A46" s="10" t="s">
        <v>41</v>
      </c>
      <c r="B46" s="19">
        <f>D46*('Province info'!F22*'Province info'!C4*0.01)</f>
        <v>0</v>
      </c>
      <c r="C46" s="65"/>
      <c r="D46" s="71">
        <v>20</v>
      </c>
      <c r="E46" s="135"/>
    </row>
  </sheetData>
  <sheetProtection selectLockedCells="1" selectUnlockedCells="1"/>
  <phoneticPr fontId="0" type="noConversion"/>
  <pageMargins left="0.75" right="0.75" top="1" bottom="1" header="0.5" footer="0.5"/>
  <pageSetup paperSize="9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4</vt:i4>
      </vt:variant>
    </vt:vector>
  </HeadingPairs>
  <TitlesOfParts>
    <vt:vector size="8" baseType="lpstr">
      <vt:lpstr>Province info</vt:lpstr>
      <vt:lpstr>Building effects</vt:lpstr>
      <vt:lpstr>Optimizers</vt:lpstr>
      <vt:lpstr>Calculations</vt:lpstr>
      <vt:lpstr>farm_food</vt:lpstr>
      <vt:lpstr>income_sci</vt:lpstr>
      <vt:lpstr>mod_income</vt:lpstr>
      <vt:lpstr>sci_mod_income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Matias' Utopia calculator</dc:title>
  <dc:creator>Matias Ekstrand</dc:creator>
  <cp:lastModifiedBy>Matias</cp:lastModifiedBy>
  <dcterms:created xsi:type="dcterms:W3CDTF">2007-06-28T10:41:18Z</dcterms:created>
  <dcterms:modified xsi:type="dcterms:W3CDTF">2010-01-09T20:36:50Z</dcterms:modified>
</cp:coreProperties>
</file>