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 activeTab="5"/>
  </bookViews>
  <sheets>
    <sheet name="BOM" sheetId="6" r:id="rId1"/>
    <sheet name="Stats" sheetId="7" r:id="rId2"/>
    <sheet name="Kickstarter" sheetId="5" r:id="rId3"/>
    <sheet name="Pledges" sheetId="20" r:id="rId4"/>
    <sheet name="Manufacturing" sheetId="15" r:id="rId5"/>
    <sheet name="Place" sheetId="16" r:id="rId6"/>
    <sheet name="Digikey" sheetId="18" r:id="rId7"/>
    <sheet name="Cable" sheetId="19" r:id="rId8"/>
  </sheets>
  <definedNames>
    <definedName name="_xlnm.Print_Area" localSheetId="0">BOM!$G$1:$M$37</definedName>
    <definedName name="_xlnm.Print_Area" localSheetId="5">Place!$A$1:$J$36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J14" i="5"/>
  <c r="J15" i="5"/>
  <c r="J20" i="5"/>
  <c r="J23" i="5"/>
  <c r="J25" i="5"/>
  <c r="J26" i="5"/>
  <c r="I10" i="5"/>
  <c r="I14" i="5"/>
  <c r="I15" i="5"/>
  <c r="I20" i="5"/>
  <c r="I23" i="5"/>
  <c r="I25" i="5"/>
  <c r="I26" i="5"/>
  <c r="H10" i="5"/>
  <c r="H14" i="5"/>
  <c r="H15" i="5"/>
  <c r="H20" i="5"/>
  <c r="H23" i="5"/>
  <c r="H25" i="5"/>
  <c r="H26" i="5"/>
  <c r="H20" i="15"/>
  <c r="I19" i="15"/>
  <c r="H19" i="15"/>
  <c r="G20" i="15"/>
  <c r="G19" i="15"/>
  <c r="J49" i="5"/>
  <c r="J48" i="5"/>
  <c r="J50" i="5"/>
  <c r="J56" i="5"/>
  <c r="J55" i="5"/>
  <c r="J57" i="5"/>
  <c r="J66" i="5"/>
  <c r="J69" i="5"/>
  <c r="J70" i="5"/>
  <c r="J73" i="5"/>
  <c r="I49" i="5"/>
  <c r="I48" i="5"/>
  <c r="I50" i="5"/>
  <c r="I56" i="5"/>
  <c r="I55" i="5"/>
  <c r="I57" i="5"/>
  <c r="I66" i="5"/>
  <c r="I69" i="5"/>
  <c r="I70" i="5"/>
  <c r="I73" i="5"/>
  <c r="H49" i="5"/>
  <c r="H48" i="5"/>
  <c r="H50" i="5"/>
  <c r="H56" i="5"/>
  <c r="H55" i="5"/>
  <c r="H57" i="5"/>
  <c r="H66" i="5"/>
  <c r="H69" i="5"/>
  <c r="H70" i="5"/>
  <c r="H73" i="5"/>
  <c r="G49" i="5"/>
  <c r="G48" i="5"/>
  <c r="G50" i="5"/>
  <c r="G56" i="5"/>
  <c r="G55" i="5"/>
  <c r="G57" i="5"/>
  <c r="G66" i="5"/>
  <c r="G69" i="5"/>
  <c r="G70" i="5"/>
  <c r="G73" i="5"/>
  <c r="F49" i="5"/>
  <c r="F48" i="5"/>
  <c r="F50" i="5"/>
  <c r="F56" i="5"/>
  <c r="F55" i="5"/>
  <c r="F57" i="5"/>
  <c r="F66" i="5"/>
  <c r="F69" i="5"/>
  <c r="F70" i="5"/>
  <c r="F73" i="5"/>
  <c r="F72" i="5"/>
  <c r="C53" i="5"/>
  <c r="C56" i="5"/>
  <c r="D53" i="5"/>
  <c r="D56" i="5"/>
  <c r="E53" i="5"/>
  <c r="E56" i="5"/>
  <c r="F53" i="5"/>
  <c r="G53" i="5"/>
  <c r="H53" i="5"/>
  <c r="I53" i="5"/>
  <c r="J53" i="5"/>
  <c r="B53" i="5"/>
  <c r="B56" i="5"/>
  <c r="J54" i="5"/>
  <c r="I54" i="5"/>
  <c r="H54" i="5"/>
  <c r="G54" i="5"/>
  <c r="J46" i="5"/>
  <c r="J47" i="5"/>
  <c r="J72" i="5"/>
  <c r="J65" i="5"/>
  <c r="J60" i="5"/>
  <c r="J61" i="5"/>
  <c r="J62" i="5"/>
  <c r="J63" i="5"/>
  <c r="C54" i="5"/>
  <c r="C55" i="5"/>
  <c r="D54" i="5"/>
  <c r="D55" i="5"/>
  <c r="E54" i="5"/>
  <c r="E55" i="5"/>
  <c r="F54" i="5"/>
  <c r="C57" i="5"/>
  <c r="D57" i="5"/>
  <c r="E57" i="5"/>
  <c r="B54" i="5"/>
  <c r="B55" i="5"/>
  <c r="C46" i="5"/>
  <c r="D46" i="5"/>
  <c r="E46" i="5"/>
  <c r="F46" i="5"/>
  <c r="G46" i="5"/>
  <c r="H46" i="5"/>
  <c r="I46" i="5"/>
  <c r="B46" i="5"/>
  <c r="B75" i="5"/>
  <c r="F47" i="5"/>
  <c r="C49" i="5"/>
  <c r="D49" i="5"/>
  <c r="E49" i="5"/>
  <c r="B49" i="5"/>
  <c r="H36" i="5"/>
  <c r="H38" i="5"/>
  <c r="H37" i="5"/>
  <c r="H39" i="5"/>
  <c r="D10" i="5"/>
  <c r="D14" i="5"/>
  <c r="D15" i="5"/>
  <c r="D20" i="5"/>
  <c r="D23" i="5"/>
  <c r="H47" i="5"/>
  <c r="H72" i="5"/>
  <c r="I36" i="5"/>
  <c r="I38" i="5"/>
  <c r="I37" i="5"/>
  <c r="I39" i="5"/>
  <c r="I47" i="5"/>
  <c r="I72" i="5"/>
  <c r="G36" i="5"/>
  <c r="G38" i="5"/>
  <c r="G37" i="5"/>
  <c r="G39" i="5"/>
  <c r="G47" i="5"/>
  <c r="G72" i="5"/>
  <c r="C60" i="5"/>
  <c r="D60" i="5"/>
  <c r="E60" i="5"/>
  <c r="F60" i="5"/>
  <c r="G60" i="5"/>
  <c r="H60" i="5"/>
  <c r="I60" i="5"/>
  <c r="B60" i="5"/>
  <c r="C36" i="5"/>
  <c r="D36" i="5"/>
  <c r="E36" i="5"/>
  <c r="F36" i="5"/>
  <c r="B36" i="5"/>
  <c r="B47" i="5"/>
  <c r="C47" i="5"/>
  <c r="D47" i="5"/>
  <c r="E47" i="5"/>
  <c r="C38" i="5"/>
  <c r="C65" i="5"/>
  <c r="D38" i="5"/>
  <c r="D65" i="5"/>
  <c r="E38" i="5"/>
  <c r="E65" i="5"/>
  <c r="F38" i="5"/>
  <c r="F65" i="5"/>
  <c r="G65" i="5"/>
  <c r="H65" i="5"/>
  <c r="I65" i="5"/>
  <c r="C37" i="5"/>
  <c r="C39" i="5"/>
  <c r="G61" i="5"/>
  <c r="G62" i="5"/>
  <c r="G63" i="5"/>
  <c r="C48" i="5"/>
  <c r="C50" i="5"/>
  <c r="C66" i="5"/>
  <c r="D37" i="5"/>
  <c r="D39" i="5"/>
  <c r="H61" i="5"/>
  <c r="H62" i="5"/>
  <c r="H63" i="5"/>
  <c r="D48" i="5"/>
  <c r="D50" i="5"/>
  <c r="D66" i="5"/>
  <c r="E37" i="5"/>
  <c r="E39" i="5"/>
  <c r="I61" i="5"/>
  <c r="I62" i="5"/>
  <c r="I63" i="5"/>
  <c r="E48" i="5"/>
  <c r="E50" i="5"/>
  <c r="E66" i="5"/>
  <c r="F37" i="5"/>
  <c r="F39" i="5"/>
  <c r="B38" i="5"/>
  <c r="B37" i="5"/>
  <c r="B39" i="5"/>
  <c r="B57" i="5"/>
  <c r="F61" i="5"/>
  <c r="F62" i="5"/>
  <c r="F63" i="5"/>
  <c r="B48" i="5"/>
  <c r="B50" i="5"/>
  <c r="B66" i="5"/>
  <c r="B65" i="5"/>
  <c r="B33" i="5"/>
  <c r="E95" i="5"/>
  <c r="E96" i="5"/>
  <c r="D95" i="5"/>
  <c r="D96" i="5"/>
  <c r="C61" i="5"/>
  <c r="C62" i="5"/>
  <c r="C63" i="5"/>
  <c r="D61" i="5"/>
  <c r="D62" i="5"/>
  <c r="D63" i="5"/>
  <c r="E61" i="5"/>
  <c r="E62" i="5"/>
  <c r="E63" i="5"/>
  <c r="B61" i="5"/>
  <c r="B62" i="5"/>
  <c r="B63" i="5"/>
  <c r="C31" i="5"/>
  <c r="B31" i="5"/>
  <c r="B10" i="5"/>
  <c r="C10" i="5"/>
  <c r="E10" i="5"/>
  <c r="F10" i="5"/>
  <c r="G10" i="5"/>
  <c r="D18" i="19"/>
  <c r="D15" i="19"/>
  <c r="D16" i="19"/>
  <c r="C69" i="5"/>
  <c r="D69" i="5"/>
  <c r="E69" i="5"/>
  <c r="E14" i="5"/>
  <c r="C70" i="5"/>
  <c r="D70" i="5"/>
  <c r="E70" i="5"/>
  <c r="B69" i="5"/>
  <c r="B70" i="5"/>
  <c r="B2" i="7"/>
  <c r="B6" i="7"/>
  <c r="B7" i="7"/>
  <c r="B8" i="7"/>
  <c r="B14" i="7"/>
  <c r="C14" i="5"/>
  <c r="C15" i="5"/>
  <c r="C20" i="5"/>
  <c r="C23" i="5"/>
  <c r="C25" i="5"/>
  <c r="D25" i="5"/>
  <c r="E15" i="5"/>
  <c r="E20" i="5"/>
  <c r="E23" i="5"/>
  <c r="E25" i="5"/>
  <c r="F14" i="5"/>
  <c r="F15" i="5"/>
  <c r="F20" i="5"/>
  <c r="F23" i="5"/>
  <c r="F25" i="5"/>
  <c r="G14" i="5"/>
  <c r="G15" i="5"/>
  <c r="G20" i="5"/>
  <c r="G23" i="5"/>
  <c r="G25" i="5"/>
  <c r="B14" i="5"/>
  <c r="B15" i="5"/>
  <c r="B20" i="5"/>
  <c r="B23" i="5"/>
  <c r="B25" i="5"/>
  <c r="C26" i="5"/>
  <c r="D26" i="5"/>
  <c r="E26" i="5"/>
  <c r="F26" i="5"/>
  <c r="G26" i="5"/>
  <c r="B26" i="5"/>
  <c r="B6" i="15"/>
  <c r="B7" i="15"/>
  <c r="D8" i="19"/>
  <c r="D10" i="19"/>
  <c r="D7" i="19"/>
  <c r="D5" i="19"/>
  <c r="C17" i="15"/>
  <c r="C18" i="15"/>
  <c r="G18" i="15"/>
  <c r="D24" i="15"/>
  <c r="C24" i="15"/>
  <c r="C16" i="15"/>
  <c r="G16" i="15"/>
  <c r="D23" i="15"/>
  <c r="C23" i="15"/>
  <c r="B24" i="15"/>
  <c r="B23" i="15"/>
  <c r="D17" i="15"/>
  <c r="D18" i="15"/>
  <c r="H18" i="15"/>
  <c r="H17" i="15"/>
  <c r="G17" i="15"/>
  <c r="D16" i="15"/>
  <c r="E16" i="15"/>
  <c r="I16" i="15"/>
  <c r="H16" i="15"/>
  <c r="I15" i="15"/>
  <c r="H15" i="15"/>
  <c r="G15" i="15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J18" i="6"/>
  <c r="J21" i="6"/>
  <c r="J4" i="6"/>
  <c r="J34" i="6"/>
  <c r="J11" i="6"/>
  <c r="J19" i="6"/>
  <c r="J15" i="6"/>
  <c r="J20" i="6"/>
  <c r="J16" i="6"/>
  <c r="J17" i="6"/>
  <c r="J22" i="6"/>
  <c r="J14" i="6"/>
  <c r="J12" i="6"/>
  <c r="J10" i="6"/>
  <c r="J13" i="6"/>
  <c r="J23" i="6"/>
  <c r="J24" i="6"/>
  <c r="J2" i="6"/>
  <c r="J7" i="6"/>
  <c r="J8" i="6"/>
  <c r="J5" i="6"/>
  <c r="J6" i="6"/>
  <c r="J9" i="6"/>
  <c r="J3" i="6"/>
  <c r="J29" i="6"/>
  <c r="J33" i="6"/>
  <c r="B3" i="7"/>
  <c r="J27" i="6"/>
  <c r="J26" i="6"/>
  <c r="J31" i="6"/>
  <c r="J28" i="6"/>
  <c r="J25" i="6"/>
  <c r="J32" i="6"/>
  <c r="J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<sst xmlns="http://schemas.openxmlformats.org/spreadsheetml/2006/main" count="712" uniqueCount="358">
  <si>
    <t>Reference</t>
  </si>
  <si>
    <t>Mfg Part Num</t>
  </si>
  <si>
    <t>Description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</si>
  <si>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</si>
  <si>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</si>
  <si>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</si>
  <si>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</si>
  <si>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</si>
  <si>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</si>
  <si>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</si>
  <si>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</si>
  <si>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</si>
  <si>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</si>
  <si>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</si>
  <si>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</si>
  <si>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</si>
  <si>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</si>
  <si>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</si>
  <si>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</si>
  <si>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</si>
  <si>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</si>
  <si>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</si>
  <si>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</si>
  <si>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</si>
  <si>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</si>
  <si>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</si>
  <si>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</si>
  <si>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</si>
  <si>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</si>
  <si>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</si>
  <si>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</si>
  <si>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</si>
  <si>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</si>
  <si>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</si>
  <si>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</si>
  <si>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</si>
  <si>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</si>
  <si>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</si>
  <si>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</si>
  <si>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</si>
  <si>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</si>
  <si>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</si>
  <si>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</si>
  <si>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</si>
  <si>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</si>
  <si>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</si>
  <si>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</si>
  <si>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</si>
  <si>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</si>
  <si>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</si>
  <si>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</si>
  <si>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</si>
  <si>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</si>
  <si>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</si>
  <si>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</si>
  <si>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</si>
  <si>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</si>
  <si>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</si>
  <si>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</si>
  <si>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</si>
  <si>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</si>
  <si>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</si>
  <si>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</si>
  <si>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</si>
  <si>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</si>
  <si>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</si>
  <si>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</si>
  <si>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</si>
  <si>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</si>
  <si>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</si>
  <si>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</si>
  <si>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</si>
  <si>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</si>
  <si>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</si>
  <si>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</si>
  <si>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</si>
  <si>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</si>
  <si>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</si>
  <si>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</si>
  <si>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</si>
  <si>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</si>
  <si>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</si>
  <si>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</si>
  <si>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</si>
  <si>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</si>
  <si>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</si>
  <si>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</si>
  <si>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</si>
  <si>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</si>
  <si>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</si>
  <si>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</si>
  <si>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</si>
  <si>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</si>
  <si>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</si>
  <si>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</si>
  <si>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</si>
  <si>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</si>
  <si>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</si>
  <si>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</si>
  <si>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</si>
  <si>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</si>
  <si>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</si>
  <si>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</si>
  <si>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</si>
  <si>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</si>
  <si>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</si>
  <si>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</si>
  <si>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</si>
  <si>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</si>
  <si>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</si>
  <si>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</si>
  <si>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</si>
  <si>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</si>
  <si>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</si>
  <si>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</si>
  <si>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</si>
  <si>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</si>
  <si>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</si>
  <si>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</si>
  <si>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</si>
  <si>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</si>
  <si>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</si>
  <si>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</si>
  <si>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</si>
  <si>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</si>
  <si>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</si>
  <si>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</si>
  <si>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</si>
  <si>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</si>
  <si>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</si>
  <si>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</si>
  <si>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</si>
  <si>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</si>
  <si>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</si>
  <si>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</si>
  <si>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</si>
  <si>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</si>
  <si>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</si>
  <si>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</si>
  <si>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</si>
  <si>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</si>
  <si>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</si>
  <si>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</si>
  <si>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JST Sales America, Inc.</t>
  </si>
  <si>
    <t>70247-3051</t>
  </si>
  <si>
    <t>M20-9980446</t>
  </si>
  <si>
    <t>Harwin, Inc.</t>
  </si>
  <si>
    <t>M20-9981246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</si>
  <si>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</si>
  <si>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</si>
  <si>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</si>
  <si>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</si>
  <si>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</si>
  <si>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</si>
  <si>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</si>
  <si>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</si>
  <si>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</si>
  <si>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</si>
  <si>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</si>
  <si>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</si>
  <si>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</si>
  <si>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</si>
  <si>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</si>
  <si>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</si>
  <si>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</si>
  <si>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</si>
  <si>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</si>
  <si>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</si>
  <si>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</si>
  <si>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</si>
  <si>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</si>
  <si>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</si>
  <si>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</si>
  <si>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</si>
  <si>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</si>
  <si>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</si>
  <si>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</si>
  <si>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</si>
  <si>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</si>
  <si>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</si>
  <si>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</si>
  <si>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</si>
  <si>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C31,C66</t>
  </si>
  <si>
    <t>Capacitor - 0.01uF</t>
  </si>
  <si>
    <t>C8,C10,C12,C14,C20,C33,C53,C55,C57,C59,C63,C71,C73</t>
  </si>
  <si>
    <t>C2,C3,C5,C16,C64,C6,C24,C27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</si>
  <si>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</si>
  <si>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</si>
  <si>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</si>
  <si>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</si>
  <si>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</si>
  <si>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</si>
  <si>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</si>
  <si>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</si>
  <si>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</si>
  <si>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</si>
  <si>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</si>
  <si>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</si>
  <si>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</si>
  <si>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</si>
  <si>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Manufacturing</t>
  </si>
  <si>
    <t>Schippers</t>
  </si>
  <si>
    <t>NRE</t>
  </si>
  <si>
    <t>raw</t>
  </si>
  <si>
    <t>fully loaded</t>
  </si>
  <si>
    <t>952-2264-ND</t>
  </si>
  <si>
    <t>M20-9990346</t>
  </si>
  <si>
    <t>Advanced Assembly</t>
  </si>
  <si>
    <t>Done?</t>
  </si>
  <si>
    <t>Number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</si>
  <si>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</si>
  <si>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</si>
  <si>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</si>
  <si>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</si>
  <si>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</si>
  <si>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</si>
  <si>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</si>
  <si>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</si>
  <si>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</si>
  <si>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</si>
  <si>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</si>
  <si>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</si>
  <si>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</si>
  <si>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</si>
  <si>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</si>
  <si>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</si>
  <si>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</si>
  <si>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</si>
  <si>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</si>
  <si>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</si>
  <si>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VSOP8</t>
  </si>
  <si>
    <t>http://www.mouser.com/ProductDetail/Microchip-Technology/24AA256-I-SN/?qs=sGAEpiMZZMuVhdAcoizlRbwEyZ%252bZRHI58GqgwuNvwSM%3d</t>
  </si>
  <si>
    <t>TSSOP20</t>
  </si>
  <si>
    <t>PIN HEADER - Electrode Connector - 2x12 RA male shrouded header</t>
  </si>
  <si>
    <t>http://www.digikey.com/product-detail/en/90130-3124/WM8269-ND/760981</t>
  </si>
  <si>
    <t>WM8269-ND</t>
  </si>
  <si>
    <t>90130-3124</t>
  </si>
  <si>
    <t>http://www.digikey.com/product-detail/en/S4B-PH-K-S(LF)(SN)/455-1721-ND/926628</t>
  </si>
  <si>
    <t>JST_4PIN - PH Series - through hole, right angle</t>
  </si>
  <si>
    <t>455-1721-ND</t>
  </si>
  <si>
    <t>S4B-PH-K-S(LF)(SN)</t>
  </si>
  <si>
    <t>Inductors - 3.3 uH - high current</t>
  </si>
  <si>
    <t>24</t>
  </si>
  <si>
    <t>http://www.mouser.com/ProductDetail/Molex/90130-3124/?qs=%2fha2pyFaduifq0gOAPFsUL0AUQEtqHDhDHnBGHHUPc8%3d</t>
  </si>
  <si>
    <t>Mouser or Digikey</t>
  </si>
  <si>
    <t>Schippers - including BOM</t>
  </si>
  <si>
    <t>Advanced Assembly - including BOM</t>
  </si>
  <si>
    <t>BOM cost</t>
  </si>
  <si>
    <t>Seeed Studio - including PCB and BOM</t>
  </si>
  <si>
    <t>PCB cost</t>
  </si>
  <si>
    <t>Advanced Assembly 100</t>
  </si>
  <si>
    <t>Seeed 100</t>
  </si>
  <si>
    <t>Seeed 500</t>
  </si>
  <si>
    <t>Schippers 100</t>
  </si>
  <si>
    <t>Schippers 500</t>
  </si>
  <si>
    <t>Advanced Assembly 500</t>
  </si>
  <si>
    <t>Defect rate</t>
  </si>
  <si>
    <t>subtotal</t>
  </si>
  <si>
    <t>including defects</t>
  </si>
  <si>
    <t>board price</t>
  </si>
  <si>
    <t>how many to order</t>
  </si>
  <si>
    <t>accessory cost</t>
  </si>
  <si>
    <t>how many pledged</t>
  </si>
  <si>
    <t>cost</t>
  </si>
  <si>
    <t>revenue</t>
  </si>
  <si>
    <t>net</t>
  </si>
  <si>
    <t>Schippers-Seeed</t>
  </si>
  <si>
    <t>AA-Seeed</t>
  </si>
  <si>
    <t>Quantity</t>
  </si>
  <si>
    <t>Cable cost estimator</t>
  </si>
  <si>
    <t>Molex housing</t>
  </si>
  <si>
    <t>Molex terminal</t>
  </si>
  <si>
    <t>Wire</t>
  </si>
  <si>
    <t>DIN connectors</t>
  </si>
  <si>
    <t>labor</t>
  </si>
  <si>
    <t>Cable cost</t>
  </si>
  <si>
    <t>Materials total</t>
  </si>
  <si>
    <t>Cable</t>
  </si>
  <si>
    <t>Blue LED</t>
  </si>
  <si>
    <t>http://www.digikey.com/product-detail/en/LTST-C230TBKT/160-1889-1-ND/3306146</t>
  </si>
  <si>
    <t>160-1889-1-ND</t>
  </si>
  <si>
    <t>LTST-C230TBKT</t>
  </si>
  <si>
    <t>tax</t>
  </si>
  <si>
    <t>Sales tax rate</t>
  </si>
  <si>
    <t>shipping</t>
  </si>
  <si>
    <t>domestic shipping</t>
  </si>
  <si>
    <t>Mounting holes</t>
  </si>
  <si>
    <t>Total</t>
  </si>
  <si>
    <t>BOM</t>
  </si>
  <si>
    <t>Holes per board (not incl. vias)</t>
  </si>
  <si>
    <t>Unique BOM line items</t>
  </si>
  <si>
    <t>Connector cost</t>
  </si>
  <si>
    <t>ERJ-3EKF3920V</t>
  </si>
  <si>
    <t>tax rate</t>
  </si>
  <si>
    <t>taxes</t>
  </si>
  <si>
    <t>net after taxes</t>
  </si>
  <si>
    <t>t-shirt cost</t>
  </si>
  <si>
    <t>international shipping</t>
  </si>
  <si>
    <t>domestic postage</t>
  </si>
  <si>
    <t>international postage</t>
  </si>
  <si>
    <t>Boards</t>
  </si>
  <si>
    <t>how many</t>
  </si>
  <si>
    <t>t-shirt cost domestic</t>
  </si>
  <si>
    <t>t-shirt cost international</t>
  </si>
  <si>
    <t>stickers cost</t>
  </si>
  <si>
    <t>stickers pledge level</t>
  </si>
  <si>
    <t>t-shirt pledge level</t>
  </si>
  <si>
    <t>total net</t>
  </si>
  <si>
    <t>total revenue</t>
  </si>
  <si>
    <t>board cost</t>
  </si>
  <si>
    <t>board pledge levels</t>
  </si>
  <si>
    <t>HackEEG  single</t>
  </si>
  <si>
    <t>HackEEG researcher</t>
  </si>
  <si>
    <t>boards</t>
  </si>
  <si>
    <t>no accessories</t>
  </si>
  <si>
    <t>with electrodes</t>
  </si>
  <si>
    <t>Pledge levels</t>
  </si>
  <si>
    <t>Name</t>
  </si>
  <si>
    <t>Prize</t>
  </si>
  <si>
    <t>Battery holder</t>
  </si>
  <si>
    <t>battery holder</t>
  </si>
  <si>
    <t>power connector</t>
  </si>
  <si>
    <t>labor cost</t>
  </si>
  <si>
    <t>per hour</t>
  </si>
  <si>
    <t>with accessories</t>
  </si>
  <si>
    <t>printed circuit board level</t>
  </si>
  <si>
    <t>printed circuit board cost</t>
  </si>
  <si>
    <t>Printed Circuit Boards</t>
  </si>
  <si>
    <t>board + accessory cost</t>
  </si>
  <si>
    <t>Accessories</t>
  </si>
  <si>
    <t>HackEEG Single</t>
  </si>
  <si>
    <t>HackEEG Researcher</t>
  </si>
  <si>
    <t>quantity</t>
  </si>
  <si>
    <t>discount</t>
  </si>
  <si>
    <t>how many pledged total</t>
  </si>
  <si>
    <t>how many are researcher level</t>
  </si>
  <si>
    <t>robot costs</t>
  </si>
  <si>
    <t>net after robots</t>
  </si>
  <si>
    <t>Listed on website</t>
  </si>
  <si>
    <t>space costs</t>
  </si>
  <si>
    <t>work tables, lights</t>
  </si>
  <si>
    <t>robot total</t>
  </si>
  <si>
    <t>finance 50%</t>
  </si>
  <si>
    <t>Worthington</t>
  </si>
  <si>
    <t>Worthington 100</t>
  </si>
  <si>
    <t>CONN</t>
  </si>
  <si>
    <t>Anode mark toward ADS1299</t>
  </si>
  <si>
    <t>"T" (cathode) points away from ADS1299</t>
  </si>
  <si>
    <t>C2,C3,C5,C6,C16,C24,C27,C64</t>
  </si>
  <si>
    <t>Worthington 240</t>
  </si>
  <si>
    <t>Worthington 500</t>
  </si>
  <si>
    <t>Arietta supporter</t>
  </si>
  <si>
    <t>Arietta printed circuit board</t>
  </si>
  <si>
    <t>Arietta shield with short USB cable</t>
  </si>
  <si>
    <t>bare PCB</t>
  </si>
  <si>
    <t>Arietta shield with Arietta</t>
  </si>
  <si>
    <t>Arietta shield with short USB cable, Arietta, SD card, wifi module, antenna</t>
  </si>
  <si>
    <t>Arietta shield 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</si>
</sst>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/>
    <xf numFmtId="3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right" wrapText="1"/>
    </xf>
    <xf numFmtId="49" fontId="0" fillId="0" borderId="0" xfId="0" applyNumberFormat="1" applyFont="1" applyAlignment="1">
      <alignment wrapText="1"/>
    </xf>
    <xf numFmtId="3" fontId="1" fillId="0" borderId="0" xfId="0" applyNumberFormat="1" applyFont="1"/>
    <xf numFmtId="0" fontId="0" fillId="0" borderId="0" xfId="0" applyFill="1"/>
    <xf numFmtId="0" fontId="0" fillId="3" borderId="0" xfId="0" applyFont="1" applyFill="1"/>
    <xf numFmtId="0" fontId="0" fillId="0" borderId="0" xfId="0" applyFont="1" applyFill="1"/>
    <xf numFmtId="9" fontId="0" fillId="0" borderId="0" xfId="0" applyNumberFormat="1" applyFont="1" applyFill="1"/>
    <xf numFmtId="49" fontId="0" fillId="0" borderId="0" xfId="0" applyNumberFormat="1"/>
    <xf numFmtId="0" fontId="0" fillId="0" borderId="0" xfId="0" applyAlignment="1">
      <alignment horizontal="center"/>
    </xf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2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4uconnector.com/online/SearchPro.asp?FormName=ProSearch&amp;FormAction=search&amp;s_GroupNo=&amp;s_keyword=19950" TargetMode="External"/><Relationship Id="rId21" Type="http://schemas.openxmlformats.org/officeDocument/2006/relationships/hyperlink" Target="http://digikey.com/Suppliers/us/Lite-On.page?lang=en" TargetMode="External"/><Relationship Id="rId22" Type="http://schemas.openxmlformats.org/officeDocument/2006/relationships/hyperlink" Target="http://digikey.com/Suppliers/us/Panasonic-Electronic-Components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www.digikey.com/product-detail/en/ERJ-3EKF1002V/P10.0KHCT-ND/198102" TargetMode="External"/><Relationship Id="rId26" Type="http://schemas.openxmlformats.org/officeDocument/2006/relationships/hyperlink" Target="http://www.4uconnector.com/online/SearchPro.asp?FormName=ProSearch&amp;FormAction=search&amp;s_GroupNo=&amp;s_keyword=18677" TargetMode="External"/><Relationship Id="rId27" Type="http://schemas.openxmlformats.org/officeDocument/2006/relationships/hyperlink" Target="http://www.digikey.com/product-detail/en/C0603C103K8RACTU/399-11132-1-ND/4357813" TargetMode="External"/><Relationship Id="rId28" Type="http://schemas.openxmlformats.org/officeDocument/2006/relationships/hyperlink" Target="http://www.mouser.com/ProductDetail/Molex/90130-3124/?qs=%2fha2pyFaduifq0gOAPFsUL0AUQEtqHDhDHnBGHHUPc8%3d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M20-9980446/952-2123-ND/3728087" TargetMode="External"/><Relationship Id="rId19" Type="http://schemas.openxmlformats.org/officeDocument/2006/relationships/hyperlink" Target="http://www.digikey.com/product-detail/en/M20-9981246/952-1917-ND/372788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46"/>
  <sheetViews>
    <sheetView topLeftCell="A16" workbookViewId="0">
      <selection activeCell="A22" sqref="A22:XFD22"/>
    </sheetView>
  </sheetViews>
  <sheetFormatPr baseColWidth="10" defaultRowHeight="15" x14ac:dyDescent="0"/>
  <cols>
    <col min="2" max="2" width="53.1640625" style="2" customWidth="1"/>
    <col min="3" max="3" width="8.33203125" style="2" customWidth="1"/>
    <col min="4" max="4" width="8.6640625" style="2" customWidth="1"/>
    <col min="5" max="5" width="20.1640625" style="2" customWidth="1"/>
    <col min="6" max="6" width="26.6640625" customWidth="1"/>
    <col min="7" max="7" width="21.33203125" customWidth="1"/>
    <col min="11" max="11" width="46.83203125" customWidth="1"/>
    <col min="12" max="12" width="16.6640625" customWidth="1"/>
    <col min="13" max="13" width="16.1640625" customWidth="1"/>
  </cols>
  <sheetData>
    <row r="1" spans="1:14" ht="30">
      <c r="A1" t="s">
        <v>209</v>
      </c>
      <c r="B1" s="2" t="s">
        <v>0</v>
      </c>
      <c r="C1" s="2" t="s">
        <v>167</v>
      </c>
      <c r="D1" s="2" t="s">
        <v>66</v>
      </c>
      <c r="E1" s="2" t="s">
        <v>61</v>
      </c>
      <c r="F1" s="2" t="s">
        <v>1</v>
      </c>
      <c r="G1" s="2" t="s">
        <v>42</v>
      </c>
      <c r="H1" s="2" t="s">
        <v>191</v>
      </c>
      <c r="I1" s="2" t="s">
        <v>121</v>
      </c>
      <c r="J1" s="2" t="s">
        <v>123</v>
      </c>
      <c r="K1" s="2" t="s">
        <v>2</v>
      </c>
      <c r="L1" s="2" t="s">
        <v>227</v>
      </c>
      <c r="M1" s="2" t="s">
        <v>60</v>
      </c>
      <c r="N1" t="s">
        <v>49</v>
      </c>
    </row>
    <row r="2" spans="1:14" ht="30">
      <c r="A2">
        <v>1</v>
      </c>
      <c r="B2" s="2" t="s">
        <v>10</v>
      </c>
      <c r="C2" s="2" t="s">
        <v>119</v>
      </c>
      <c r="D2" s="2" t="s">
        <v>169</v>
      </c>
      <c r="E2" s="2" t="s">
        <v>154</v>
      </c>
      <c r="F2" s="2" t="s">
        <v>190</v>
      </c>
      <c r="G2" s="2" t="s">
        <v>94</v>
      </c>
      <c r="H2" s="2">
        <v>1</v>
      </c>
      <c r="I2" s="2">
        <v>64</v>
      </c>
      <c r="J2" s="2">
        <f>H2*I2</f>
        <v>64</v>
      </c>
      <c r="K2" s="2" t="s">
        <v>189</v>
      </c>
      <c r="L2" s="2" t="s">
        <v>228</v>
      </c>
      <c r="M2" s="2"/>
      <c r="N2" s="3" t="s">
        <v>95</v>
      </c>
    </row>
    <row r="3" spans="1:14" ht="30">
      <c r="A3">
        <v>2</v>
      </c>
      <c r="B3" s="2" t="s">
        <v>16</v>
      </c>
      <c r="C3" s="2" t="s">
        <v>119</v>
      </c>
      <c r="D3" s="2" t="s">
        <v>230</v>
      </c>
      <c r="E3" s="2" t="s">
        <v>154</v>
      </c>
      <c r="F3" s="2" t="s">
        <v>220</v>
      </c>
      <c r="G3" s="2" t="s">
        <v>221</v>
      </c>
      <c r="H3" s="2">
        <v>1</v>
      </c>
      <c r="I3" s="2">
        <v>8</v>
      </c>
      <c r="J3" s="2">
        <f>H3*I3</f>
        <v>8</v>
      </c>
      <c r="K3" s="2" t="s">
        <v>218</v>
      </c>
      <c r="L3" s="2" t="s">
        <v>228</v>
      </c>
      <c r="M3" s="2"/>
      <c r="N3" s="3" t="s">
        <v>219</v>
      </c>
    </row>
    <row r="4" spans="1:14">
      <c r="A4">
        <v>3</v>
      </c>
      <c r="B4" s="2" t="s">
        <v>222</v>
      </c>
      <c r="C4" s="2" t="s">
        <v>119</v>
      </c>
      <c r="D4" s="2" t="s">
        <v>232</v>
      </c>
      <c r="E4" s="2" t="s">
        <v>154</v>
      </c>
      <c r="F4" s="2" t="s">
        <v>153</v>
      </c>
      <c r="G4" s="2" t="s">
        <v>107</v>
      </c>
      <c r="H4" s="2">
        <v>2</v>
      </c>
      <c r="I4" s="2">
        <v>20</v>
      </c>
      <c r="J4" s="2">
        <f>H4*I4</f>
        <v>40</v>
      </c>
      <c r="K4" s="2" t="s">
        <v>70</v>
      </c>
      <c r="L4" s="2" t="s">
        <v>228</v>
      </c>
      <c r="M4" s="2"/>
      <c r="N4" s="3" t="s">
        <v>108</v>
      </c>
    </row>
    <row r="5" spans="1:14">
      <c r="A5">
        <v>4</v>
      </c>
      <c r="B5" s="2" t="s">
        <v>13</v>
      </c>
      <c r="C5" s="2" t="s">
        <v>119</v>
      </c>
      <c r="D5" s="2" t="s">
        <v>171</v>
      </c>
      <c r="E5" s="2" t="s">
        <v>137</v>
      </c>
      <c r="F5" s="2" t="s">
        <v>140</v>
      </c>
      <c r="G5" s="2" t="s">
        <v>100</v>
      </c>
      <c r="H5" s="2">
        <v>1</v>
      </c>
      <c r="I5" s="2">
        <v>8</v>
      </c>
      <c r="J5" s="2">
        <f t="shared" ref="J5:J34" si="0">H5*I5</f>
        <v>8</v>
      </c>
      <c r="K5" s="2" t="s">
        <v>101</v>
      </c>
      <c r="L5" s="2" t="s">
        <v>225</v>
      </c>
      <c r="M5" s="2"/>
      <c r="N5" s="3" t="s">
        <v>231</v>
      </c>
    </row>
    <row r="6" spans="1:14" ht="30">
      <c r="A6">
        <v>5</v>
      </c>
      <c r="B6" s="2" t="s">
        <v>14</v>
      </c>
      <c r="C6" s="2" t="s">
        <v>119</v>
      </c>
      <c r="D6" s="2" t="s">
        <v>170</v>
      </c>
      <c r="E6" s="2" t="s">
        <v>154</v>
      </c>
      <c r="F6" s="2" t="s">
        <v>141</v>
      </c>
      <c r="G6" s="2" t="s">
        <v>102</v>
      </c>
      <c r="H6" s="2">
        <v>1</v>
      </c>
      <c r="I6" s="2">
        <v>5</v>
      </c>
      <c r="J6" s="2">
        <f t="shared" si="0"/>
        <v>5</v>
      </c>
      <c r="K6" s="2" t="s">
        <v>63</v>
      </c>
      <c r="L6" s="2" t="s">
        <v>228</v>
      </c>
      <c r="M6" s="2"/>
      <c r="N6" s="3" t="s">
        <v>103</v>
      </c>
    </row>
    <row r="7" spans="1:14" ht="30">
      <c r="A7">
        <v>6</v>
      </c>
      <c r="B7" s="2" t="s">
        <v>11</v>
      </c>
      <c r="C7" s="2" t="s">
        <v>119</v>
      </c>
      <c r="D7" s="2" t="s">
        <v>170</v>
      </c>
      <c r="E7" s="2" t="s">
        <v>154</v>
      </c>
      <c r="F7" s="2" t="s">
        <v>138</v>
      </c>
      <c r="G7" s="2" t="s">
        <v>96</v>
      </c>
      <c r="H7" s="2">
        <v>1</v>
      </c>
      <c r="I7" s="2">
        <v>5</v>
      </c>
      <c r="J7" s="2">
        <f t="shared" si="0"/>
        <v>5</v>
      </c>
      <c r="K7" s="2" t="s">
        <v>64</v>
      </c>
      <c r="L7" s="2" t="s">
        <v>228</v>
      </c>
      <c r="M7" s="2"/>
      <c r="N7" s="3" t="s">
        <v>97</v>
      </c>
    </row>
    <row r="8" spans="1:14" ht="30">
      <c r="A8">
        <v>7</v>
      </c>
      <c r="B8" s="2" t="s">
        <v>12</v>
      </c>
      <c r="C8" s="2" t="s">
        <v>119</v>
      </c>
      <c r="D8" s="2" t="s">
        <v>170</v>
      </c>
      <c r="E8" s="2" t="s">
        <v>154</v>
      </c>
      <c r="F8" s="2" t="s">
        <v>139</v>
      </c>
      <c r="G8" s="2" t="s">
        <v>98</v>
      </c>
      <c r="H8" s="2">
        <v>1</v>
      </c>
      <c r="I8" s="2">
        <v>5</v>
      </c>
      <c r="J8" s="2">
        <f t="shared" si="0"/>
        <v>5</v>
      </c>
      <c r="K8" s="2" t="s">
        <v>65</v>
      </c>
      <c r="L8" s="2" t="s">
        <v>228</v>
      </c>
      <c r="M8" s="2"/>
      <c r="N8" s="3" t="s">
        <v>99</v>
      </c>
    </row>
    <row r="9" spans="1:14" ht="30">
      <c r="A9">
        <v>8</v>
      </c>
      <c r="B9" s="2" t="s">
        <v>15</v>
      </c>
      <c r="C9" s="2" t="s">
        <v>119</v>
      </c>
      <c r="D9" s="2" t="s">
        <v>170</v>
      </c>
      <c r="E9" s="2" t="s">
        <v>154</v>
      </c>
      <c r="F9" s="2" t="s">
        <v>142</v>
      </c>
      <c r="G9" s="2" t="s">
        <v>104</v>
      </c>
      <c r="H9" s="2">
        <v>2</v>
      </c>
      <c r="I9" s="2">
        <v>5</v>
      </c>
      <c r="J9" s="2">
        <f t="shared" si="0"/>
        <v>10</v>
      </c>
      <c r="K9" s="2" t="s">
        <v>106</v>
      </c>
      <c r="L9" s="2" t="s">
        <v>228</v>
      </c>
      <c r="M9" s="2"/>
      <c r="N9" s="3" t="s">
        <v>105</v>
      </c>
    </row>
    <row r="10" spans="1:14" ht="30">
      <c r="A10">
        <v>9</v>
      </c>
      <c r="B10" s="2" t="s">
        <v>216</v>
      </c>
      <c r="C10" s="2" t="s">
        <v>119</v>
      </c>
      <c r="D10" s="2" t="s">
        <v>67</v>
      </c>
      <c r="E10" s="2" t="s">
        <v>131</v>
      </c>
      <c r="F10" s="2" t="s">
        <v>130</v>
      </c>
      <c r="G10" s="2" t="s">
        <v>53</v>
      </c>
      <c r="H10" s="2">
        <v>26</v>
      </c>
      <c r="I10" s="2">
        <v>2</v>
      </c>
      <c r="J10" s="2">
        <f>H10*I10</f>
        <v>52</v>
      </c>
      <c r="K10" s="2" t="s">
        <v>8</v>
      </c>
      <c r="L10" s="2" t="s">
        <v>228</v>
      </c>
      <c r="M10" s="2"/>
      <c r="N10" s="3" t="s">
        <v>54</v>
      </c>
    </row>
    <row r="11" spans="1:14" ht="30">
      <c r="A11">
        <v>10</v>
      </c>
      <c r="B11" s="2" t="s">
        <v>31</v>
      </c>
      <c r="C11" s="2" t="s">
        <v>119</v>
      </c>
      <c r="D11" s="2" t="s">
        <v>67</v>
      </c>
      <c r="E11" s="2" t="s">
        <v>149</v>
      </c>
      <c r="F11" s="2" t="s">
        <v>152</v>
      </c>
      <c r="G11" s="2" t="s">
        <v>84</v>
      </c>
      <c r="H11" s="2">
        <v>18</v>
      </c>
      <c r="I11" s="2">
        <v>2</v>
      </c>
      <c r="J11" s="2">
        <f>H11*I11</f>
        <v>36</v>
      </c>
      <c r="K11" s="2" t="s">
        <v>32</v>
      </c>
      <c r="L11" s="2" t="s">
        <v>228</v>
      </c>
      <c r="M11" s="2"/>
      <c r="N11" s="3" t="s">
        <v>83</v>
      </c>
    </row>
    <row r="12" spans="1:14" ht="30">
      <c r="A12">
        <v>11</v>
      </c>
      <c r="B12" s="2" t="s">
        <v>6</v>
      </c>
      <c r="C12" s="2" t="s">
        <v>119</v>
      </c>
      <c r="D12" s="2" t="s">
        <v>67</v>
      </c>
      <c r="E12" s="2" t="s">
        <v>129</v>
      </c>
      <c r="F12" s="2" t="s">
        <v>128</v>
      </c>
      <c r="G12" s="2" t="s">
        <v>73</v>
      </c>
      <c r="H12" s="2">
        <v>17</v>
      </c>
      <c r="I12" s="2">
        <v>2</v>
      </c>
      <c r="J12" s="2">
        <f>H12*I12</f>
        <v>34</v>
      </c>
      <c r="K12" s="2" t="s">
        <v>7</v>
      </c>
      <c r="L12" s="2" t="s">
        <v>228</v>
      </c>
      <c r="M12" s="2" t="s">
        <v>71</v>
      </c>
      <c r="N12" s="3" t="s">
        <v>72</v>
      </c>
    </row>
    <row r="13" spans="1:14">
      <c r="A13">
        <v>12</v>
      </c>
      <c r="B13" s="2" t="s">
        <v>184</v>
      </c>
      <c r="C13" s="2" t="s">
        <v>119</v>
      </c>
      <c r="D13" s="2" t="s">
        <v>67</v>
      </c>
      <c r="E13" s="2" t="s">
        <v>131</v>
      </c>
      <c r="F13" s="2" t="s">
        <v>132</v>
      </c>
      <c r="G13" s="2" t="s">
        <v>55</v>
      </c>
      <c r="H13" s="2">
        <v>13</v>
      </c>
      <c r="I13" s="2">
        <v>2</v>
      </c>
      <c r="J13" s="2">
        <f t="shared" si="0"/>
        <v>26</v>
      </c>
      <c r="K13" s="2" t="s">
        <v>9</v>
      </c>
      <c r="L13" s="2" t="s">
        <v>228</v>
      </c>
      <c r="M13" s="2"/>
      <c r="N13" s="3" t="s">
        <v>56</v>
      </c>
    </row>
    <row r="14" spans="1:14">
      <c r="A14">
        <v>13</v>
      </c>
      <c r="B14" s="2" t="s">
        <v>348</v>
      </c>
      <c r="C14" s="2" t="s">
        <v>119</v>
      </c>
      <c r="D14" s="2" t="s">
        <v>67</v>
      </c>
      <c r="E14" s="2" t="s">
        <v>127</v>
      </c>
      <c r="F14" s="2" t="s">
        <v>126</v>
      </c>
      <c r="G14" s="2" t="s">
        <v>51</v>
      </c>
      <c r="H14" s="2">
        <v>8</v>
      </c>
      <c r="I14" s="2">
        <v>2</v>
      </c>
      <c r="J14" s="2">
        <f>H14*I14</f>
        <v>16</v>
      </c>
      <c r="K14" s="2" t="s">
        <v>5</v>
      </c>
      <c r="L14" s="2" t="s">
        <v>228</v>
      </c>
      <c r="M14" s="2"/>
      <c r="N14" s="3" t="s">
        <v>52</v>
      </c>
    </row>
    <row r="15" spans="1:14" ht="30">
      <c r="A15">
        <v>20</v>
      </c>
      <c r="B15" s="2" t="s">
        <v>27</v>
      </c>
      <c r="C15" s="2" t="s">
        <v>119</v>
      </c>
      <c r="D15" s="2" t="s">
        <v>67</v>
      </c>
      <c r="E15" s="2" t="s">
        <v>149</v>
      </c>
      <c r="F15" s="2" t="s">
        <v>150</v>
      </c>
      <c r="G15" s="2" t="s">
        <v>85</v>
      </c>
      <c r="H15" s="2">
        <v>6</v>
      </c>
      <c r="I15" s="2">
        <v>2</v>
      </c>
      <c r="J15" s="2">
        <f>H15*I15</f>
        <v>12</v>
      </c>
      <c r="K15" s="2" t="s">
        <v>28</v>
      </c>
      <c r="L15" s="2" t="s">
        <v>228</v>
      </c>
      <c r="M15" s="2"/>
      <c r="N15" s="3" t="s">
        <v>86</v>
      </c>
    </row>
    <row r="16" spans="1:14">
      <c r="A16">
        <v>14</v>
      </c>
      <c r="B16" s="2" t="s">
        <v>23</v>
      </c>
      <c r="C16" s="2" t="s">
        <v>119</v>
      </c>
      <c r="D16" s="2" t="s">
        <v>215</v>
      </c>
      <c r="E16" s="2" t="s">
        <v>127</v>
      </c>
      <c r="F16" s="2" t="s">
        <v>214</v>
      </c>
      <c r="G16" s="2" t="s">
        <v>213</v>
      </c>
      <c r="H16" s="2">
        <v>4</v>
      </c>
      <c r="I16" s="2">
        <v>2</v>
      </c>
      <c r="J16" s="2">
        <f>H16*I16</f>
        <v>8</v>
      </c>
      <c r="K16" s="2" t="s">
        <v>241</v>
      </c>
      <c r="L16" s="2" t="s">
        <v>228</v>
      </c>
      <c r="M16" s="2"/>
      <c r="N16" s="3" t="s">
        <v>217</v>
      </c>
    </row>
    <row r="17" spans="1:21" ht="45">
      <c r="A17">
        <v>15</v>
      </c>
      <c r="B17" s="2" t="s">
        <v>181</v>
      </c>
      <c r="C17" s="2" t="s">
        <v>119</v>
      </c>
      <c r="D17" s="2" t="s">
        <v>67</v>
      </c>
      <c r="E17" s="2" t="s">
        <v>125</v>
      </c>
      <c r="F17" s="2" t="s">
        <v>124</v>
      </c>
      <c r="G17" s="2" t="s">
        <v>48</v>
      </c>
      <c r="H17" s="2">
        <v>3</v>
      </c>
      <c r="I17" s="2">
        <v>2</v>
      </c>
      <c r="J17" s="2">
        <f>H17*I17</f>
        <v>6</v>
      </c>
      <c r="K17" s="2" t="s">
        <v>3</v>
      </c>
      <c r="L17" s="2" t="s">
        <v>228</v>
      </c>
      <c r="M17" s="2"/>
      <c r="N17" s="3" t="s">
        <v>50</v>
      </c>
    </row>
    <row r="18" spans="1:21">
      <c r="A18">
        <v>16</v>
      </c>
      <c r="B18" s="2" t="s">
        <v>182</v>
      </c>
      <c r="C18" s="2" t="s">
        <v>119</v>
      </c>
      <c r="D18" s="2" t="s">
        <v>67</v>
      </c>
      <c r="E18" s="2" t="s">
        <v>131</v>
      </c>
      <c r="F18" s="2" t="s">
        <v>188</v>
      </c>
      <c r="G18" s="2" t="s">
        <v>187</v>
      </c>
      <c r="H18" s="2">
        <v>2</v>
      </c>
      <c r="I18" s="2">
        <v>2</v>
      </c>
      <c r="J18" s="2">
        <f t="shared" si="0"/>
        <v>4</v>
      </c>
      <c r="K18" s="2" t="s">
        <v>183</v>
      </c>
      <c r="L18" s="2" t="s">
        <v>228</v>
      </c>
      <c r="M18" s="2"/>
      <c r="N18" s="3" t="s">
        <v>186</v>
      </c>
    </row>
    <row r="19" spans="1:21" ht="30">
      <c r="A19">
        <v>21</v>
      </c>
      <c r="B19" s="2" t="s">
        <v>29</v>
      </c>
      <c r="C19" s="2" t="s">
        <v>119</v>
      </c>
      <c r="D19" s="2" t="s">
        <v>67</v>
      </c>
      <c r="E19" s="2" t="s">
        <v>149</v>
      </c>
      <c r="F19" s="2" t="s">
        <v>151</v>
      </c>
      <c r="G19" s="2" t="s">
        <v>89</v>
      </c>
      <c r="H19" s="2">
        <v>2</v>
      </c>
      <c r="I19" s="2">
        <v>2</v>
      </c>
      <c r="J19" s="2">
        <f>H19*I19</f>
        <v>4</v>
      </c>
      <c r="K19" s="2" t="s">
        <v>30</v>
      </c>
      <c r="L19" s="2" t="s">
        <v>228</v>
      </c>
      <c r="M19" s="2"/>
      <c r="N19" s="3" t="s">
        <v>90</v>
      </c>
    </row>
    <row r="20" spans="1:21" ht="30">
      <c r="A20">
        <v>22</v>
      </c>
      <c r="B20" s="2" t="s">
        <v>25</v>
      </c>
      <c r="C20" s="2" t="s">
        <v>119</v>
      </c>
      <c r="D20" s="2" t="s">
        <v>67</v>
      </c>
      <c r="E20" s="2" t="s">
        <v>149</v>
      </c>
      <c r="F20" s="2" t="s">
        <v>148</v>
      </c>
      <c r="G20" s="2" t="s">
        <v>91</v>
      </c>
      <c r="H20" s="2">
        <v>2</v>
      </c>
      <c r="I20" s="2">
        <v>2</v>
      </c>
      <c r="J20" s="2">
        <f>H20*I20</f>
        <v>4</v>
      </c>
      <c r="K20" s="2" t="s">
        <v>26</v>
      </c>
      <c r="L20" s="2" t="s">
        <v>228</v>
      </c>
      <c r="M20" s="2"/>
      <c r="N20" s="3" t="s">
        <v>92</v>
      </c>
    </row>
    <row r="21" spans="1:21" ht="30">
      <c r="A21">
        <v>23</v>
      </c>
      <c r="B21" s="2" t="s">
        <v>180</v>
      </c>
      <c r="C21" s="2" t="s">
        <v>119</v>
      </c>
      <c r="D21" s="2" t="s">
        <v>67</v>
      </c>
      <c r="E21" s="2" t="s">
        <v>149</v>
      </c>
      <c r="F21" s="2" t="s">
        <v>292</v>
      </c>
      <c r="G21" s="2" t="s">
        <v>177</v>
      </c>
      <c r="H21" s="2">
        <v>1</v>
      </c>
      <c r="I21" s="2">
        <v>2</v>
      </c>
      <c r="J21" s="2">
        <f>H21*I21</f>
        <v>2</v>
      </c>
      <c r="K21" s="2" t="s">
        <v>178</v>
      </c>
      <c r="L21" s="2" t="s">
        <v>228</v>
      </c>
      <c r="M21" s="2"/>
      <c r="N21" s="3" t="s">
        <v>179</v>
      </c>
    </row>
    <row r="22" spans="1:21" ht="45">
      <c r="A22">
        <v>18</v>
      </c>
      <c r="B22" s="2" t="s">
        <v>176</v>
      </c>
      <c r="C22" s="2" t="s">
        <v>119</v>
      </c>
      <c r="D22" s="2" t="s">
        <v>69</v>
      </c>
      <c r="E22" s="2" t="s">
        <v>125</v>
      </c>
      <c r="F22" s="2" t="s">
        <v>198</v>
      </c>
      <c r="G22" s="2" t="s">
        <v>197</v>
      </c>
      <c r="H22" s="2">
        <v>2</v>
      </c>
      <c r="I22" s="2">
        <v>2</v>
      </c>
      <c r="J22" s="2">
        <f>H22*I22</f>
        <v>4</v>
      </c>
      <c r="K22" s="2" t="s">
        <v>4</v>
      </c>
      <c r="L22" s="2" t="s">
        <v>228</v>
      </c>
      <c r="M22" s="2"/>
      <c r="N22" s="3" t="s">
        <v>196</v>
      </c>
    </row>
    <row r="23" spans="1:21" ht="30">
      <c r="A23">
        <v>17</v>
      </c>
      <c r="B23" s="2" t="s">
        <v>76</v>
      </c>
      <c r="C23" s="2" t="s">
        <v>119</v>
      </c>
      <c r="D23" s="2" t="s">
        <v>68</v>
      </c>
      <c r="E23" s="2" t="s">
        <v>134</v>
      </c>
      <c r="F23" s="2" t="s">
        <v>133</v>
      </c>
      <c r="G23" s="2" t="s">
        <v>78</v>
      </c>
      <c r="H23" s="2">
        <v>1</v>
      </c>
      <c r="I23" s="2">
        <v>2</v>
      </c>
      <c r="J23" s="2">
        <f t="shared" si="0"/>
        <v>2</v>
      </c>
      <c r="K23" s="2" t="s">
        <v>74</v>
      </c>
      <c r="L23" s="2" t="s">
        <v>228</v>
      </c>
      <c r="M23" s="2" t="s">
        <v>346</v>
      </c>
      <c r="N23" s="3" t="s">
        <v>77</v>
      </c>
    </row>
    <row r="24" spans="1:21" ht="45">
      <c r="A24">
        <v>19</v>
      </c>
      <c r="B24" s="2" t="s">
        <v>75</v>
      </c>
      <c r="C24" s="2" t="s">
        <v>119</v>
      </c>
      <c r="D24" s="2" t="s">
        <v>68</v>
      </c>
      <c r="E24" s="2" t="s">
        <v>136</v>
      </c>
      <c r="F24" s="2" t="s">
        <v>281</v>
      </c>
      <c r="G24" s="2" t="s">
        <v>280</v>
      </c>
      <c r="H24" s="2">
        <v>1</v>
      </c>
      <c r="I24" s="2">
        <v>2</v>
      </c>
      <c r="J24" s="2">
        <f t="shared" ref="J24:J29" si="1">H24*I24</f>
        <v>2</v>
      </c>
      <c r="K24" s="2" t="s">
        <v>278</v>
      </c>
      <c r="L24" s="2" t="s">
        <v>228</v>
      </c>
      <c r="M24" s="2" t="s">
        <v>347</v>
      </c>
      <c r="N24" s="3" t="s">
        <v>279</v>
      </c>
    </row>
    <row r="25" spans="1:21">
      <c r="A25">
        <v>24</v>
      </c>
      <c r="B25" s="2" t="s">
        <v>87</v>
      </c>
      <c r="C25" s="2" t="s">
        <v>168</v>
      </c>
      <c r="D25" s="2" t="s">
        <v>345</v>
      </c>
      <c r="E25" s="2" t="s">
        <v>146</v>
      </c>
      <c r="F25" s="2" t="s">
        <v>206</v>
      </c>
      <c r="G25" s="2" t="s">
        <v>205</v>
      </c>
      <c r="H25" s="2">
        <v>5</v>
      </c>
      <c r="I25" s="2">
        <v>3</v>
      </c>
      <c r="J25" s="2">
        <f t="shared" si="1"/>
        <v>15</v>
      </c>
      <c r="K25" s="2" t="s">
        <v>59</v>
      </c>
      <c r="L25" s="2" t="s">
        <v>228</v>
      </c>
      <c r="M25" s="2"/>
      <c r="N25" s="3" t="s">
        <v>199</v>
      </c>
    </row>
    <row r="26" spans="1:21">
      <c r="A26">
        <v>25</v>
      </c>
      <c r="B26" s="2" t="s">
        <v>20</v>
      </c>
      <c r="C26" s="2" t="s">
        <v>168</v>
      </c>
      <c r="D26" s="2" t="s">
        <v>345</v>
      </c>
      <c r="E26" s="2" t="s">
        <v>146</v>
      </c>
      <c r="F26" s="2" t="s">
        <v>147</v>
      </c>
      <c r="G26" s="2" t="s">
        <v>115</v>
      </c>
      <c r="H26" s="2">
        <v>1</v>
      </c>
      <c r="I26" s="2">
        <v>24</v>
      </c>
      <c r="J26" s="2">
        <f t="shared" si="1"/>
        <v>24</v>
      </c>
      <c r="K26" s="2" t="s">
        <v>57</v>
      </c>
      <c r="L26" s="2" t="s">
        <v>228</v>
      </c>
      <c r="M26" s="2"/>
      <c r="N26" s="3" t="s">
        <v>114</v>
      </c>
    </row>
    <row r="27" spans="1:21">
      <c r="A27">
        <v>26</v>
      </c>
      <c r="B27" s="2" t="s">
        <v>19</v>
      </c>
      <c r="C27" s="2" t="s">
        <v>168</v>
      </c>
      <c r="D27" s="2" t="s">
        <v>345</v>
      </c>
      <c r="E27" s="2" t="s">
        <v>146</v>
      </c>
      <c r="F27" s="2" t="s">
        <v>145</v>
      </c>
      <c r="G27" s="2" t="s">
        <v>113</v>
      </c>
      <c r="H27" s="2">
        <v>1</v>
      </c>
      <c r="I27" s="2">
        <v>8</v>
      </c>
      <c r="J27" s="2">
        <f t="shared" si="1"/>
        <v>8</v>
      </c>
      <c r="K27" s="2" t="s">
        <v>174</v>
      </c>
      <c r="L27" s="2" t="s">
        <v>228</v>
      </c>
      <c r="M27" s="2"/>
      <c r="N27" s="3" t="s">
        <v>112</v>
      </c>
    </row>
    <row r="28" spans="1:21">
      <c r="A28">
        <v>27</v>
      </c>
      <c r="B28" s="2" t="s">
        <v>21</v>
      </c>
      <c r="C28" s="2" t="s">
        <v>168</v>
      </c>
      <c r="D28" s="2" t="s">
        <v>345</v>
      </c>
      <c r="E28" s="2" t="s">
        <v>146</v>
      </c>
      <c r="F28" s="2" t="s">
        <v>195</v>
      </c>
      <c r="G28" s="2" t="s">
        <v>194</v>
      </c>
      <c r="H28" s="2">
        <v>1</v>
      </c>
      <c r="I28" s="2">
        <v>20</v>
      </c>
      <c r="J28" s="2">
        <f t="shared" si="1"/>
        <v>20</v>
      </c>
      <c r="K28" s="2" t="s">
        <v>175</v>
      </c>
      <c r="L28" s="2" t="s">
        <v>228</v>
      </c>
      <c r="M28" s="2"/>
      <c r="N28" s="3" t="s">
        <v>193</v>
      </c>
    </row>
    <row r="29" spans="1:21">
      <c r="A29">
        <v>28</v>
      </c>
      <c r="B29" s="2" t="s">
        <v>17</v>
      </c>
      <c r="C29" s="2" t="s">
        <v>168</v>
      </c>
      <c r="D29" s="4" t="s">
        <v>345</v>
      </c>
      <c r="E29" s="2" t="s">
        <v>143</v>
      </c>
      <c r="F29" s="2" t="s">
        <v>240</v>
      </c>
      <c r="G29" s="2" t="s">
        <v>239</v>
      </c>
      <c r="H29" s="2">
        <v>1</v>
      </c>
      <c r="I29" s="2">
        <v>2</v>
      </c>
      <c r="J29" s="2">
        <f t="shared" si="1"/>
        <v>2</v>
      </c>
      <c r="K29" s="2" t="s">
        <v>238</v>
      </c>
      <c r="L29" s="2" t="s">
        <v>228</v>
      </c>
      <c r="M29" s="2"/>
      <c r="N29" s="3" t="s">
        <v>237</v>
      </c>
    </row>
    <row r="30" spans="1:21" ht="30">
      <c r="A30">
        <v>29</v>
      </c>
      <c r="B30" s="2" t="s">
        <v>18</v>
      </c>
      <c r="C30" s="2" t="s">
        <v>168</v>
      </c>
      <c r="D30" s="4" t="s">
        <v>345</v>
      </c>
      <c r="E30" s="2" t="s">
        <v>109</v>
      </c>
      <c r="F30" s="2" t="s">
        <v>236</v>
      </c>
      <c r="G30" s="2" t="s">
        <v>235</v>
      </c>
      <c r="H30" s="2">
        <v>1</v>
      </c>
      <c r="I30" s="2" t="s">
        <v>242</v>
      </c>
      <c r="J30" s="2">
        <f t="shared" si="0"/>
        <v>24</v>
      </c>
      <c r="K30" s="2" t="s">
        <v>233</v>
      </c>
      <c r="L30" s="2" t="s">
        <v>244</v>
      </c>
      <c r="M30" s="2"/>
      <c r="N30" s="3" t="s">
        <v>234</v>
      </c>
      <c r="U30" s="3" t="s">
        <v>243</v>
      </c>
    </row>
    <row r="31" spans="1:21">
      <c r="A31">
        <v>30</v>
      </c>
      <c r="B31" s="2" t="s">
        <v>88</v>
      </c>
      <c r="C31" s="2" t="s">
        <v>168</v>
      </c>
      <c r="D31" s="4" t="s">
        <v>345</v>
      </c>
      <c r="E31" s="2" t="s">
        <v>62</v>
      </c>
      <c r="F31" s="2">
        <v>18689</v>
      </c>
      <c r="G31" s="2"/>
      <c r="H31" s="2">
        <v>6</v>
      </c>
      <c r="I31" s="2">
        <v>8</v>
      </c>
      <c r="J31" s="2">
        <f t="shared" si="0"/>
        <v>48</v>
      </c>
      <c r="K31" s="2" t="s">
        <v>82</v>
      </c>
      <c r="L31" s="2" t="s">
        <v>226</v>
      </c>
      <c r="M31" s="2"/>
      <c r="N31" s="3" t="s">
        <v>116</v>
      </c>
    </row>
    <row r="32" spans="1:21">
      <c r="A32">
        <v>31</v>
      </c>
      <c r="B32" s="2" t="s">
        <v>22</v>
      </c>
      <c r="C32" s="2" t="s">
        <v>168</v>
      </c>
      <c r="D32" s="4" t="s">
        <v>345</v>
      </c>
      <c r="E32" s="2" t="s">
        <v>62</v>
      </c>
      <c r="F32" s="2">
        <v>19950</v>
      </c>
      <c r="G32" s="2"/>
      <c r="H32" s="2">
        <v>1</v>
      </c>
      <c r="I32" s="2">
        <v>10</v>
      </c>
      <c r="J32" s="2">
        <f t="shared" si="0"/>
        <v>10</v>
      </c>
      <c r="K32" s="2" t="s">
        <v>157</v>
      </c>
      <c r="L32" s="2" t="s">
        <v>226</v>
      </c>
      <c r="M32" s="2"/>
      <c r="N32" s="3" t="s">
        <v>117</v>
      </c>
    </row>
    <row r="33" spans="1:14">
      <c r="A33">
        <v>32</v>
      </c>
      <c r="B33" s="2" t="s">
        <v>156</v>
      </c>
      <c r="C33" s="2" t="s">
        <v>168</v>
      </c>
      <c r="D33" s="4" t="s">
        <v>345</v>
      </c>
      <c r="E33" s="2" t="s">
        <v>62</v>
      </c>
      <c r="F33" s="2">
        <v>19950</v>
      </c>
      <c r="G33" s="2"/>
      <c r="H33" s="2">
        <v>1</v>
      </c>
      <c r="I33" s="2">
        <v>36</v>
      </c>
      <c r="J33" s="2">
        <f t="shared" si="0"/>
        <v>36</v>
      </c>
      <c r="K33" s="2" t="s">
        <v>158</v>
      </c>
      <c r="L33" s="2" t="s">
        <v>226</v>
      </c>
      <c r="M33" s="2"/>
      <c r="N33" s="3" t="s">
        <v>159</v>
      </c>
    </row>
    <row r="34" spans="1:14">
      <c r="A34">
        <v>33</v>
      </c>
      <c r="B34" s="2" t="s">
        <v>33</v>
      </c>
      <c r="C34" s="2" t="s">
        <v>168</v>
      </c>
      <c r="D34" s="4" t="s">
        <v>345</v>
      </c>
      <c r="E34" s="2" t="s">
        <v>62</v>
      </c>
      <c r="F34" s="2">
        <v>18677</v>
      </c>
      <c r="G34" s="2"/>
      <c r="H34" s="2">
        <v>1</v>
      </c>
      <c r="I34" s="2">
        <v>6</v>
      </c>
      <c r="J34" s="2">
        <f t="shared" si="0"/>
        <v>6</v>
      </c>
      <c r="K34" s="2" t="s">
        <v>34</v>
      </c>
      <c r="L34" s="2" t="s">
        <v>226</v>
      </c>
      <c r="M34" s="2"/>
      <c r="N34" s="3" t="s">
        <v>155</v>
      </c>
    </row>
    <row r="35" spans="1:14">
      <c r="A35">
        <v>34</v>
      </c>
      <c r="B35" s="2" t="s">
        <v>35</v>
      </c>
      <c r="C35" s="2" t="s">
        <v>118</v>
      </c>
      <c r="F35" s="2"/>
      <c r="G35" s="2"/>
      <c r="H35" s="2"/>
      <c r="I35" s="2"/>
      <c r="J35" s="2"/>
      <c r="K35" s="2" t="s">
        <v>36</v>
      </c>
      <c r="L35" s="2" t="s">
        <v>229</v>
      </c>
      <c r="M35" s="2" t="s">
        <v>93</v>
      </c>
    </row>
    <row r="36" spans="1:14">
      <c r="A36">
        <v>35</v>
      </c>
      <c r="B36" s="2" t="s">
        <v>37</v>
      </c>
      <c r="C36" s="2" t="s">
        <v>118</v>
      </c>
      <c r="F36" s="2"/>
      <c r="G36" s="2"/>
      <c r="H36" s="2"/>
      <c r="I36" s="2"/>
      <c r="J36" s="2"/>
      <c r="K36" s="2" t="s">
        <v>38</v>
      </c>
      <c r="L36" s="2" t="s">
        <v>229</v>
      </c>
      <c r="M36" s="2" t="s">
        <v>93</v>
      </c>
    </row>
    <row r="37" spans="1:14">
      <c r="A37">
        <v>36</v>
      </c>
      <c r="B37" s="2" t="s">
        <v>39</v>
      </c>
      <c r="C37" s="2" t="s">
        <v>118</v>
      </c>
      <c r="F37" s="2"/>
      <c r="G37" s="2"/>
      <c r="H37" s="2"/>
      <c r="I37" s="2"/>
      <c r="J37" s="2"/>
      <c r="K37" s="2" t="s">
        <v>40</v>
      </c>
      <c r="L37" s="2" t="s">
        <v>229</v>
      </c>
      <c r="M37" s="2" t="s">
        <v>93</v>
      </c>
    </row>
    <row r="38" spans="1:14">
      <c r="F38" s="2"/>
      <c r="G38" s="2"/>
      <c r="H38" s="2"/>
      <c r="I38" s="2"/>
    </row>
    <row r="42" spans="1:14">
      <c r="B42" s="6"/>
    </row>
    <row r="43" spans="1:14">
      <c r="C43" s="5"/>
    </row>
    <row r="44" spans="1:14">
      <c r="C44" s="5"/>
    </row>
    <row r="46" spans="1:14">
      <c r="B46" s="6"/>
      <c r="C46" s="5"/>
    </row>
  </sheetData>
  <sortState ref="B2:N37">
    <sortCondition ref="G2:G37"/>
  </sortState>
  <phoneticPr fontId="6" type="noConversion"/>
  <hyperlinks>
    <hyperlink ref="N17" r:id="rId1"/>
    <hyperlink ref="N14" r:id="rId2"/>
    <hyperlink ref="N10" r:id="rId3"/>
    <hyperlink ref="N13" r:id="rId4"/>
    <hyperlink ref="N22" r:id="rId5" display="http://www.digikey.com/product-detail/en/LMK325BJ107MM-T/587-1965-1-ND/1646628"/>
    <hyperlink ref="N12" r:id="rId6"/>
    <hyperlink ref="N11" r:id="rId7"/>
    <hyperlink ref="N19" r:id="rId8"/>
    <hyperlink ref="N20" r:id="rId9"/>
    <hyperlink ref="N16" r:id="rId10"/>
    <hyperlink ref="N2" r:id="rId11"/>
    <hyperlink ref="N7" r:id="rId12"/>
    <hyperlink ref="N8" r:id="rId13"/>
    <hyperlink ref="N6" r:id="rId14"/>
    <hyperlink ref="N9" r:id="rId15"/>
    <hyperlink ref="N3" r:id="rId16"/>
    <hyperlink ref="N4" r:id="rId17"/>
    <hyperlink ref="N27" r:id="rId18"/>
    <hyperlink ref="N26" r:id="rId19"/>
    <hyperlink ref="N32" r:id="rId20"/>
    <hyperlink ref="E24" r:id="rId21"/>
    <hyperlink ref="E20" r:id="rId22"/>
    <hyperlink ref="E30:E32" r:id="rId23" display="Panasonic Electronic Components"/>
    <hyperlink ref="E21" r:id="rId24"/>
    <hyperlink ref="N15" r:id="rId25"/>
    <hyperlink ref="N34" r:id="rId26"/>
    <hyperlink ref="N18" r:id="rId27"/>
    <hyperlink ref="U30" r:id="rId28"/>
  </hyperlinks>
  <pageMargins left="0.75" right="0.75" top="1" bottom="1" header="0.5" footer="0.5"/>
  <pageSetup scale="7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3" sqref="A3"/>
    </sheetView>
  </sheetViews>
  <sheetFormatPr baseColWidth="10" defaultRowHeight="15" x14ac:dyDescent="0"/>
  <cols>
    <col min="1" max="1" width="29" customWidth="1"/>
  </cols>
  <sheetData>
    <row r="1" spans="1:4" s="1" customFormat="1">
      <c r="A1" s="1" t="s">
        <v>288</v>
      </c>
    </row>
    <row r="2" spans="1:4" s="1" customFormat="1">
      <c r="A2" s="11" t="s">
        <v>290</v>
      </c>
      <c r="B2" s="27">
        <f>COUNTIF(BOM!C:C,"=SMT")+COUNTIF(BOM!C:C,"=TH")</f>
        <v>33</v>
      </c>
    </row>
    <row r="3" spans="1:4">
      <c r="A3" s="28" t="s">
        <v>173</v>
      </c>
      <c r="B3">
        <f>SUM(BOM!H5:H38)</f>
        <v>131</v>
      </c>
      <c r="C3" s="2"/>
      <c r="D3" s="2"/>
    </row>
    <row r="4" spans="1:4">
      <c r="A4" s="6"/>
      <c r="C4" s="2"/>
      <c r="D4" s="2"/>
    </row>
    <row r="5" spans="1:4">
      <c r="A5" s="7" t="s">
        <v>122</v>
      </c>
      <c r="B5" s="4"/>
    </row>
    <row r="6" spans="1:4">
      <c r="A6" s="4" t="s">
        <v>119</v>
      </c>
      <c r="B6" s="8">
        <f>SUMIF(BOM!C5:C37,"=SMT",BOM!H5:H37)</f>
        <v>112</v>
      </c>
    </row>
    <row r="7" spans="1:4">
      <c r="A7" s="4" t="s">
        <v>120</v>
      </c>
      <c r="B7" s="8">
        <f>SUMIF(BOM!C22:C38,"=TH",BOM!H22:H38)</f>
        <v>19</v>
      </c>
    </row>
    <row r="8" spans="1:4">
      <c r="A8" s="4" t="s">
        <v>287</v>
      </c>
      <c r="B8" s="8">
        <f>SUM(B6:B7)</f>
        <v>131</v>
      </c>
    </row>
    <row r="9" spans="1:4">
      <c r="A9" s="4"/>
      <c r="B9" s="8"/>
    </row>
    <row r="10" spans="1:4">
      <c r="A10" s="7" t="s">
        <v>166</v>
      </c>
      <c r="B10" s="8"/>
    </row>
    <row r="11" spans="1:4">
      <c r="A11" s="4" t="s">
        <v>172</v>
      </c>
      <c r="B11" s="8">
        <v>148</v>
      </c>
    </row>
    <row r="12" spans="1:4">
      <c r="A12" s="4" t="s">
        <v>165</v>
      </c>
      <c r="B12" s="8">
        <v>115</v>
      </c>
    </row>
    <row r="13" spans="1:4">
      <c r="A13" s="4" t="s">
        <v>286</v>
      </c>
      <c r="B13" s="8">
        <v>6</v>
      </c>
    </row>
    <row r="14" spans="1:4">
      <c r="A14" s="4" t="s">
        <v>289</v>
      </c>
      <c r="B14" s="8">
        <f>B12+B13</f>
        <v>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3" workbookViewId="0">
      <selection activeCell="B18" sqref="B18"/>
    </sheetView>
  </sheetViews>
  <sheetFormatPr baseColWidth="10" defaultRowHeight="15" x14ac:dyDescent="0"/>
  <cols>
    <col min="1" max="1" width="27.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2.1640625" customWidth="1"/>
    <col min="7" max="7" width="22" customWidth="1"/>
    <col min="8" max="8" width="18.5" customWidth="1"/>
    <col min="9" max="9" width="16.5" customWidth="1"/>
    <col min="10" max="10" width="15.83203125" customWidth="1"/>
  </cols>
  <sheetData>
    <row r="1" spans="1:10">
      <c r="A1" s="1" t="s">
        <v>43</v>
      </c>
    </row>
    <row r="2" spans="1:10">
      <c r="A2" s="1"/>
    </row>
    <row r="3" spans="1:10">
      <c r="A3" s="1" t="s">
        <v>256</v>
      </c>
      <c r="B3" s="24">
        <v>0.1</v>
      </c>
    </row>
    <row r="4" spans="1:10">
      <c r="A4" s="1" t="s">
        <v>283</v>
      </c>
      <c r="B4">
        <v>9.5000000000000001E-2</v>
      </c>
    </row>
    <row r="5" spans="1:10">
      <c r="B5" s="1"/>
    </row>
    <row r="6" spans="1:10">
      <c r="A6" s="1" t="s">
        <v>2</v>
      </c>
      <c r="B6" t="s">
        <v>251</v>
      </c>
      <c r="C6" s="11" t="s">
        <v>252</v>
      </c>
      <c r="D6" t="s">
        <v>253</v>
      </c>
      <c r="E6" t="s">
        <v>254</v>
      </c>
      <c r="F6" t="s">
        <v>250</v>
      </c>
      <c r="G6" t="s">
        <v>255</v>
      </c>
      <c r="H6" t="s">
        <v>344</v>
      </c>
      <c r="I6" t="s">
        <v>349</v>
      </c>
      <c r="J6" t="s">
        <v>350</v>
      </c>
    </row>
    <row r="7" spans="1:10">
      <c r="A7" t="s">
        <v>45</v>
      </c>
      <c r="B7" s="10">
        <v>6</v>
      </c>
      <c r="C7" s="10">
        <v>8</v>
      </c>
      <c r="D7" s="10">
        <v>8</v>
      </c>
      <c r="E7" s="10">
        <v>8</v>
      </c>
      <c r="F7" s="10">
        <v>8</v>
      </c>
      <c r="G7" s="10">
        <v>8</v>
      </c>
      <c r="H7" s="10">
        <v>8</v>
      </c>
      <c r="I7" s="10">
        <v>8</v>
      </c>
      <c r="J7" s="10">
        <v>8</v>
      </c>
    </row>
    <row r="8" spans="1:10">
      <c r="A8" t="s">
        <v>44</v>
      </c>
      <c r="B8" s="10">
        <v>75</v>
      </c>
      <c r="C8" s="10">
        <v>75</v>
      </c>
      <c r="D8" s="10">
        <v>75</v>
      </c>
      <c r="E8" s="10">
        <v>75</v>
      </c>
      <c r="F8" s="10">
        <v>75</v>
      </c>
      <c r="G8" s="10">
        <v>75</v>
      </c>
      <c r="H8" s="10"/>
      <c r="I8" s="10"/>
      <c r="J8" s="10"/>
    </row>
    <row r="9" spans="1:10">
      <c r="A9" t="s">
        <v>46</v>
      </c>
      <c r="B9" s="10">
        <v>11.5</v>
      </c>
      <c r="C9" s="10">
        <v>5</v>
      </c>
      <c r="D9" s="10">
        <v>37.5</v>
      </c>
      <c r="E9" s="10">
        <v>32.5</v>
      </c>
      <c r="F9" s="10">
        <v>33.729999999999997</v>
      </c>
      <c r="G9" s="10">
        <v>10.76</v>
      </c>
      <c r="H9" s="10">
        <v>124</v>
      </c>
      <c r="I9" s="10">
        <v>99</v>
      </c>
      <c r="J9" s="10">
        <v>93</v>
      </c>
    </row>
    <row r="10" spans="1:10">
      <c r="A10" t="s">
        <v>277</v>
      </c>
      <c r="B10" s="10">
        <f>Cable!$D$10</f>
        <v>19.16</v>
      </c>
      <c r="C10" s="10">
        <f>Cable!$D$10</f>
        <v>19.16</v>
      </c>
      <c r="D10" s="10">
        <f>Cable!$D$10</f>
        <v>19.16</v>
      </c>
      <c r="E10" s="10">
        <f>Cable!$D$10</f>
        <v>19.16</v>
      </c>
      <c r="F10" s="10">
        <f>Cable!$D$10</f>
        <v>19.16</v>
      </c>
      <c r="G10" s="10">
        <f>Cable!$D$10</f>
        <v>19.16</v>
      </c>
      <c r="H10" s="10">
        <f>Cable!$D$10</f>
        <v>19.16</v>
      </c>
      <c r="I10" s="10">
        <f>Cable!$D$10</f>
        <v>19.16</v>
      </c>
      <c r="J10" s="10">
        <f>Cable!$D$10</f>
        <v>19.16</v>
      </c>
    </row>
    <row r="11" spans="1:10">
      <c r="A11" t="s">
        <v>47</v>
      </c>
      <c r="B11" s="10">
        <v>2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  <c r="I11" s="10">
        <v>2</v>
      </c>
      <c r="J11" s="10">
        <v>2</v>
      </c>
    </row>
    <row r="12" spans="1:10">
      <c r="A12" t="s">
        <v>160</v>
      </c>
      <c r="B12" s="10">
        <v>3</v>
      </c>
      <c r="C12" s="10">
        <v>3</v>
      </c>
      <c r="D12" s="10">
        <v>0</v>
      </c>
      <c r="E12" s="10">
        <v>0</v>
      </c>
      <c r="F12" s="10">
        <v>3</v>
      </c>
      <c r="G12" s="10">
        <v>3</v>
      </c>
      <c r="H12" s="10">
        <v>2</v>
      </c>
      <c r="I12" s="10">
        <v>2</v>
      </c>
      <c r="J12" s="10">
        <v>2</v>
      </c>
    </row>
    <row r="13" spans="1:10"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t="s">
        <v>257</v>
      </c>
      <c r="B14" s="10">
        <f t="shared" ref="B14:G14" si="0">SUM(B7:B12)</f>
        <v>116.66</v>
      </c>
      <c r="C14" s="10">
        <f t="shared" si="0"/>
        <v>112.16</v>
      </c>
      <c r="D14" s="10">
        <f t="shared" si="0"/>
        <v>141.66</v>
      </c>
      <c r="E14" s="10">
        <f t="shared" si="0"/>
        <v>136.66</v>
      </c>
      <c r="F14" s="10">
        <f t="shared" si="0"/>
        <v>140.88999999999999</v>
      </c>
      <c r="G14" s="10">
        <f t="shared" si="0"/>
        <v>117.92</v>
      </c>
      <c r="H14" s="10">
        <f t="shared" ref="H14:I14" si="1">SUM(H7:H12)</f>
        <v>155.16</v>
      </c>
      <c r="I14" s="10">
        <f t="shared" si="1"/>
        <v>130.16</v>
      </c>
      <c r="J14" s="10">
        <f t="shared" ref="J14" si="2">SUM(J7:J12)</f>
        <v>124.16</v>
      </c>
    </row>
    <row r="15" spans="1:10">
      <c r="A15" t="s">
        <v>258</v>
      </c>
      <c r="B15" s="10">
        <f>B14*(1+$B$3)</f>
        <v>128.32599999999999</v>
      </c>
      <c r="C15" s="10">
        <f t="shared" ref="C15:G15" si="3">C14*(1+$B$3)</f>
        <v>123.376</v>
      </c>
      <c r="D15" s="10">
        <f t="shared" si="3"/>
        <v>155.82600000000002</v>
      </c>
      <c r="E15" s="10">
        <f t="shared" si="3"/>
        <v>150.32600000000002</v>
      </c>
      <c r="F15" s="10">
        <f t="shared" si="3"/>
        <v>154.97899999999998</v>
      </c>
      <c r="G15" s="10">
        <f t="shared" si="3"/>
        <v>129.71200000000002</v>
      </c>
      <c r="H15" s="10">
        <f t="shared" ref="H15:I15" si="4">H14*(1+$B$3)</f>
        <v>170.67600000000002</v>
      </c>
      <c r="I15" s="10">
        <f t="shared" si="4"/>
        <v>143.17600000000002</v>
      </c>
      <c r="J15" s="10">
        <f t="shared" ref="J15" si="5">J14*(1+$B$3)</f>
        <v>136.57599999999999</v>
      </c>
    </row>
    <row r="16" spans="1:10"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t="s">
        <v>161</v>
      </c>
      <c r="B18" s="10">
        <v>0.4</v>
      </c>
      <c r="C18" s="10">
        <v>0.4</v>
      </c>
      <c r="D18" s="10">
        <v>0.4</v>
      </c>
      <c r="E18" s="10">
        <v>0.4</v>
      </c>
      <c r="F18" s="10">
        <v>0.4</v>
      </c>
      <c r="G18" s="10">
        <v>0.4</v>
      </c>
      <c r="H18" s="10">
        <v>0.4</v>
      </c>
      <c r="I18" s="10">
        <v>0.4</v>
      </c>
      <c r="J18" s="10">
        <v>0.4</v>
      </c>
    </row>
    <row r="19" spans="1:10">
      <c r="B19" s="10"/>
      <c r="C19" s="10"/>
      <c r="D19" s="10"/>
      <c r="E19" s="10"/>
      <c r="F19" s="10"/>
      <c r="G19" s="10"/>
      <c r="H19" s="10"/>
      <c r="I19" s="10"/>
      <c r="J19" s="10"/>
    </row>
    <row r="20" spans="1:10">
      <c r="A20" t="s">
        <v>162</v>
      </c>
      <c r="B20" s="10">
        <f>B15+B15*B18</f>
        <v>179.65639999999999</v>
      </c>
      <c r="C20" s="10">
        <f t="shared" ref="C20:G20" si="6">C15+C15*C18</f>
        <v>172.72640000000001</v>
      </c>
      <c r="D20" s="10">
        <f t="shared" si="6"/>
        <v>218.15640000000002</v>
      </c>
      <c r="E20" s="10">
        <f t="shared" si="6"/>
        <v>210.45640000000003</v>
      </c>
      <c r="F20" s="10">
        <f t="shared" si="6"/>
        <v>216.97059999999999</v>
      </c>
      <c r="G20" s="10">
        <f t="shared" si="6"/>
        <v>181.59680000000003</v>
      </c>
      <c r="H20" s="10">
        <f t="shared" ref="H20:I20" si="7">H15+H15*H18</f>
        <v>238.94640000000004</v>
      </c>
      <c r="I20" s="10">
        <f t="shared" si="7"/>
        <v>200.44640000000004</v>
      </c>
      <c r="J20" s="10">
        <f t="shared" ref="J20" si="8">J15+J15*J18</f>
        <v>191.2064</v>
      </c>
    </row>
    <row r="21" spans="1:10">
      <c r="A21" t="s">
        <v>163</v>
      </c>
      <c r="B21" s="10">
        <v>0.4</v>
      </c>
      <c r="C21" s="10">
        <v>0.4</v>
      </c>
      <c r="D21" s="10">
        <v>0.4</v>
      </c>
      <c r="E21" s="10">
        <v>0.4</v>
      </c>
      <c r="F21" s="10">
        <v>0.4</v>
      </c>
      <c r="G21" s="10">
        <v>0.4</v>
      </c>
      <c r="H21" s="10">
        <v>0.4</v>
      </c>
      <c r="I21" s="10">
        <v>0.4</v>
      </c>
      <c r="J21" s="10">
        <v>0.4</v>
      </c>
    </row>
    <row r="22" spans="1:10"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t="s">
        <v>164</v>
      </c>
      <c r="B23" s="10">
        <f t="shared" ref="B23:G23" si="9">B20+B20*B21</f>
        <v>251.51895999999999</v>
      </c>
      <c r="C23" s="10">
        <f t="shared" si="9"/>
        <v>241.81696000000002</v>
      </c>
      <c r="D23" s="10">
        <f t="shared" si="9"/>
        <v>305.41896000000003</v>
      </c>
      <c r="E23" s="10">
        <f t="shared" si="9"/>
        <v>294.63896000000005</v>
      </c>
      <c r="F23" s="10">
        <f t="shared" si="9"/>
        <v>303.75883999999996</v>
      </c>
      <c r="G23" s="10">
        <f t="shared" si="9"/>
        <v>254.23552000000007</v>
      </c>
      <c r="H23" s="10">
        <f t="shared" ref="H23:I23" si="10">H20+H20*H21</f>
        <v>334.52496000000008</v>
      </c>
      <c r="I23" s="10">
        <f t="shared" si="10"/>
        <v>280.62496000000004</v>
      </c>
      <c r="J23" s="10">
        <f t="shared" ref="J23" si="11">J20+J20*J21</f>
        <v>267.68896000000001</v>
      </c>
    </row>
    <row r="24" spans="1:10">
      <c r="A24" t="s">
        <v>285</v>
      </c>
      <c r="B24" s="10">
        <v>15</v>
      </c>
      <c r="C24" s="10">
        <v>15</v>
      </c>
      <c r="D24" s="10">
        <v>15</v>
      </c>
      <c r="E24" s="10">
        <v>15</v>
      </c>
      <c r="F24" s="10">
        <v>15</v>
      </c>
      <c r="G24" s="10">
        <v>15</v>
      </c>
      <c r="H24" s="10">
        <v>15</v>
      </c>
      <c r="I24" s="10">
        <v>15</v>
      </c>
      <c r="J24" s="10">
        <v>15</v>
      </c>
    </row>
    <row r="25" spans="1:10">
      <c r="A25" t="s">
        <v>282</v>
      </c>
      <c r="B25" s="10">
        <f t="shared" ref="B25:H25" si="12">B23*$B$4</f>
        <v>23.894301200000001</v>
      </c>
      <c r="C25" s="10">
        <f t="shared" si="12"/>
        <v>22.972611200000003</v>
      </c>
      <c r="D25" s="10">
        <f t="shared" si="12"/>
        <v>29.014801200000004</v>
      </c>
      <c r="E25" s="10">
        <f t="shared" si="12"/>
        <v>27.990701200000004</v>
      </c>
      <c r="F25" s="10">
        <f t="shared" si="12"/>
        <v>28.857089799999997</v>
      </c>
      <c r="G25" s="10">
        <f t="shared" si="12"/>
        <v>24.152374400000006</v>
      </c>
      <c r="H25" s="10">
        <f t="shared" si="12"/>
        <v>31.779871200000009</v>
      </c>
      <c r="I25" s="10">
        <f t="shared" ref="I25:J25" si="13">I23*$B$4</f>
        <v>26.659371200000006</v>
      </c>
      <c r="J25" s="10">
        <f t="shared" si="13"/>
        <v>25.4304512</v>
      </c>
    </row>
    <row r="26" spans="1:10">
      <c r="A26" t="s">
        <v>41</v>
      </c>
      <c r="B26" s="10">
        <f t="shared" ref="B26:J26" si="14">SUM(B23:B25)</f>
        <v>290.41326119999997</v>
      </c>
      <c r="C26" s="10">
        <f t="shared" si="14"/>
        <v>279.78957120000001</v>
      </c>
      <c r="D26" s="10">
        <f t="shared" si="14"/>
        <v>349.43376120000005</v>
      </c>
      <c r="E26" s="10">
        <f t="shared" si="14"/>
        <v>337.62966120000004</v>
      </c>
      <c r="F26" s="10">
        <f t="shared" si="14"/>
        <v>347.61592979999995</v>
      </c>
      <c r="G26" s="10">
        <f t="shared" si="14"/>
        <v>293.38789440000005</v>
      </c>
      <c r="H26" s="10">
        <f t="shared" si="14"/>
        <v>381.30483120000008</v>
      </c>
      <c r="I26" s="10">
        <f t="shared" si="14"/>
        <v>322.28433120000005</v>
      </c>
      <c r="J26" s="10">
        <f t="shared" si="14"/>
        <v>308.1194112</v>
      </c>
    </row>
    <row r="28" spans="1:10">
      <c r="A28" s="11" t="s">
        <v>332</v>
      </c>
      <c r="B28" s="1">
        <v>100</v>
      </c>
      <c r="C28" s="1">
        <v>500</v>
      </c>
    </row>
    <row r="29" spans="1:10">
      <c r="A29" t="s">
        <v>309</v>
      </c>
      <c r="B29">
        <v>350</v>
      </c>
      <c r="C29">
        <v>192</v>
      </c>
    </row>
    <row r="30" spans="1:10">
      <c r="A30" t="s">
        <v>261</v>
      </c>
      <c r="B30">
        <v>40</v>
      </c>
      <c r="C30">
        <v>40</v>
      </c>
    </row>
    <row r="31" spans="1:10">
      <c r="A31" t="s">
        <v>328</v>
      </c>
      <c r="B31">
        <f>SUM(B29:B30)</f>
        <v>390</v>
      </c>
      <c r="C31">
        <f>SUM(C29:C30)</f>
        <v>232</v>
      </c>
    </row>
    <row r="32" spans="1:10">
      <c r="A32" t="s">
        <v>259</v>
      </c>
      <c r="B32">
        <v>352</v>
      </c>
      <c r="C32">
        <v>352</v>
      </c>
    </row>
    <row r="33" spans="1:10">
      <c r="A33" t="s">
        <v>324</v>
      </c>
      <c r="B33">
        <f>B32+B30</f>
        <v>392</v>
      </c>
      <c r="C33">
        <v>392</v>
      </c>
    </row>
    <row r="35" spans="1:10">
      <c r="A35" s="1" t="s">
        <v>327</v>
      </c>
      <c r="B35" s="25"/>
      <c r="C35" s="25"/>
      <c r="D35" s="25"/>
      <c r="E35" s="25"/>
      <c r="F35" s="25"/>
      <c r="G35" s="25"/>
      <c r="H35" s="25"/>
      <c r="I35" s="25"/>
    </row>
    <row r="36" spans="1:10">
      <c r="A36" s="11" t="s">
        <v>301</v>
      </c>
      <c r="B36" s="25">
        <f>B42/2</f>
        <v>50</v>
      </c>
      <c r="C36" s="25">
        <f t="shared" ref="C36:I36" si="15">C42/2</f>
        <v>75</v>
      </c>
      <c r="D36" s="25">
        <f t="shared" si="15"/>
        <v>100</v>
      </c>
      <c r="E36" s="25">
        <f t="shared" si="15"/>
        <v>150</v>
      </c>
      <c r="F36" s="25">
        <f t="shared" si="15"/>
        <v>200</v>
      </c>
      <c r="G36" s="25">
        <f t="shared" si="15"/>
        <v>250</v>
      </c>
      <c r="H36" s="25">
        <f t="shared" si="15"/>
        <v>300</v>
      </c>
      <c r="I36" s="25">
        <f t="shared" si="15"/>
        <v>350</v>
      </c>
    </row>
    <row r="37" spans="1:10">
      <c r="A37" s="11" t="s">
        <v>263</v>
      </c>
      <c r="B37" s="25">
        <f t="shared" ref="B37:I37" si="16">B36*$B$91</f>
        <v>500</v>
      </c>
      <c r="C37" s="25">
        <f t="shared" si="16"/>
        <v>750</v>
      </c>
      <c r="D37" s="25">
        <f t="shared" si="16"/>
        <v>1000</v>
      </c>
      <c r="E37" s="25">
        <f t="shared" si="16"/>
        <v>1500</v>
      </c>
      <c r="F37" s="25">
        <f t="shared" si="16"/>
        <v>2000</v>
      </c>
      <c r="G37" s="25">
        <f t="shared" si="16"/>
        <v>2500</v>
      </c>
      <c r="H37" s="25">
        <f t="shared" si="16"/>
        <v>3000</v>
      </c>
      <c r="I37" s="25">
        <f t="shared" si="16"/>
        <v>3500</v>
      </c>
    </row>
    <row r="38" spans="1:10">
      <c r="A38" s="11" t="s">
        <v>264</v>
      </c>
      <c r="B38" s="25">
        <f t="shared" ref="B38:I38" si="17">B36*$B$90</f>
        <v>1250</v>
      </c>
      <c r="C38" s="25">
        <f t="shared" si="17"/>
        <v>1875</v>
      </c>
      <c r="D38" s="25">
        <f t="shared" si="17"/>
        <v>2500</v>
      </c>
      <c r="E38" s="25">
        <f t="shared" si="17"/>
        <v>3750</v>
      </c>
      <c r="F38" s="25">
        <f t="shared" si="17"/>
        <v>5000</v>
      </c>
      <c r="G38" s="25">
        <f t="shared" si="17"/>
        <v>6250</v>
      </c>
      <c r="H38" s="25">
        <f t="shared" si="17"/>
        <v>7500</v>
      </c>
      <c r="I38" s="25">
        <f t="shared" si="17"/>
        <v>8750</v>
      </c>
    </row>
    <row r="39" spans="1:10">
      <c r="A39" s="11" t="s">
        <v>265</v>
      </c>
      <c r="B39" s="25">
        <f>B38-B37</f>
        <v>750</v>
      </c>
      <c r="C39" s="25">
        <f t="shared" ref="C39:I39" si="18">C38-C37</f>
        <v>1125</v>
      </c>
      <c r="D39" s="25">
        <f t="shared" si="18"/>
        <v>1500</v>
      </c>
      <c r="E39" s="25">
        <f t="shared" si="18"/>
        <v>2250</v>
      </c>
      <c r="F39" s="25">
        <f t="shared" si="18"/>
        <v>3000</v>
      </c>
      <c r="G39" s="25">
        <f t="shared" si="18"/>
        <v>3750</v>
      </c>
      <c r="H39" s="25">
        <f t="shared" si="18"/>
        <v>4500</v>
      </c>
      <c r="I39" s="25">
        <f t="shared" si="18"/>
        <v>5250</v>
      </c>
    </row>
    <row r="41" spans="1:10" s="1" customFormat="1">
      <c r="A41" s="1" t="s">
        <v>300</v>
      </c>
    </row>
    <row r="42" spans="1:10" s="1" customFormat="1">
      <c r="A42" s="11" t="s">
        <v>334</v>
      </c>
      <c r="B42" s="31">
        <v>100</v>
      </c>
      <c r="C42" s="31">
        <v>150</v>
      </c>
      <c r="D42" s="31">
        <v>200</v>
      </c>
      <c r="E42" s="31">
        <v>300</v>
      </c>
      <c r="F42" s="31">
        <v>400</v>
      </c>
      <c r="G42" s="31">
        <v>500</v>
      </c>
      <c r="H42" s="31">
        <v>600</v>
      </c>
      <c r="I42" s="31">
        <v>700</v>
      </c>
      <c r="J42" s="31">
        <v>1000</v>
      </c>
    </row>
    <row r="43" spans="1:10" s="1" customFormat="1">
      <c r="A43" s="11" t="s">
        <v>335</v>
      </c>
      <c r="B43" s="33">
        <v>0.2</v>
      </c>
      <c r="C43" s="32"/>
      <c r="D43" s="32"/>
      <c r="E43" s="32"/>
      <c r="F43" s="32"/>
      <c r="G43" s="32"/>
      <c r="H43" s="32"/>
      <c r="I43" s="32"/>
      <c r="J43" s="32"/>
    </row>
    <row r="44" spans="1:10" s="1" customFormat="1"/>
    <row r="45" spans="1:10" s="1" customFormat="1">
      <c r="A45" s="1" t="s">
        <v>330</v>
      </c>
    </row>
    <row r="46" spans="1:10">
      <c r="A46" t="s">
        <v>262</v>
      </c>
      <c r="B46" s="30">
        <f>B42*(1-$B$43)</f>
        <v>80</v>
      </c>
      <c r="C46" s="30">
        <f t="shared" ref="C46:I46" si="19">C42*(1-$B$43)</f>
        <v>120</v>
      </c>
      <c r="D46" s="30">
        <f t="shared" si="19"/>
        <v>160</v>
      </c>
      <c r="E46" s="30">
        <f t="shared" si="19"/>
        <v>240</v>
      </c>
      <c r="F46" s="30">
        <f t="shared" si="19"/>
        <v>320</v>
      </c>
      <c r="G46" s="30">
        <f t="shared" si="19"/>
        <v>400</v>
      </c>
      <c r="H46" s="30">
        <f t="shared" si="19"/>
        <v>480</v>
      </c>
      <c r="I46" s="30">
        <f t="shared" si="19"/>
        <v>560</v>
      </c>
      <c r="J46" s="30">
        <f t="shared" ref="J46" si="20">J42*(1-$B$43)</f>
        <v>800</v>
      </c>
    </row>
    <row r="47" spans="1:10">
      <c r="A47" t="s">
        <v>260</v>
      </c>
      <c r="B47" s="25">
        <f>B46*(1+$B$3)</f>
        <v>88</v>
      </c>
      <c r="C47" s="25">
        <f t="shared" ref="C47:I47" si="21">C46*(1+$B$3)</f>
        <v>132</v>
      </c>
      <c r="D47" s="25">
        <f t="shared" si="21"/>
        <v>176</v>
      </c>
      <c r="E47" s="25">
        <f t="shared" si="21"/>
        <v>264</v>
      </c>
      <c r="F47" s="25">
        <f t="shared" si="21"/>
        <v>352</v>
      </c>
      <c r="G47" s="25">
        <f t="shared" si="21"/>
        <v>440.00000000000006</v>
      </c>
      <c r="H47" s="25">
        <f t="shared" si="21"/>
        <v>528</v>
      </c>
      <c r="I47" s="25">
        <f t="shared" si="21"/>
        <v>616</v>
      </c>
      <c r="J47" s="25">
        <f t="shared" ref="J47" si="22">J46*(1+$B$3)</f>
        <v>880.00000000000011</v>
      </c>
    </row>
    <row r="48" spans="1:10">
      <c r="A48" t="s">
        <v>263</v>
      </c>
      <c r="B48" s="25">
        <f>$B$29*B47</f>
        <v>30800</v>
      </c>
      <c r="C48" s="25">
        <f>$B$29*C47</f>
        <v>46200</v>
      </c>
      <c r="D48" s="25">
        <f>$B$29*D47</f>
        <v>61600</v>
      </c>
      <c r="E48" s="25">
        <f>$B$29*E47</f>
        <v>92400</v>
      </c>
      <c r="F48" s="25">
        <f>$B$29*F47</f>
        <v>123200</v>
      </c>
      <c r="G48" s="25">
        <f>$C$29*G47</f>
        <v>84480.000000000015</v>
      </c>
      <c r="H48" s="25">
        <f>$C$29*H47</f>
        <v>101376</v>
      </c>
      <c r="I48" s="25">
        <f>$C$29*I47</f>
        <v>118272</v>
      </c>
      <c r="J48" s="25">
        <f>$C$29*J47</f>
        <v>168960.00000000003</v>
      </c>
    </row>
    <row r="49" spans="1:10">
      <c r="A49" t="s">
        <v>264</v>
      </c>
      <c r="B49" s="25">
        <f>B46*$B$32</f>
        <v>28160</v>
      </c>
      <c r="C49" s="25">
        <f t="shared" ref="C49:I49" si="23">C46*$B$32</f>
        <v>42240</v>
      </c>
      <c r="D49" s="25">
        <f t="shared" si="23"/>
        <v>56320</v>
      </c>
      <c r="E49" s="25">
        <f t="shared" si="23"/>
        <v>84480</v>
      </c>
      <c r="F49" s="25">
        <f t="shared" si="23"/>
        <v>112640</v>
      </c>
      <c r="G49" s="25">
        <f t="shared" si="23"/>
        <v>140800</v>
      </c>
      <c r="H49" s="25">
        <f t="shared" si="23"/>
        <v>168960</v>
      </c>
      <c r="I49" s="25">
        <f t="shared" si="23"/>
        <v>197120</v>
      </c>
      <c r="J49" s="25">
        <f t="shared" ref="J49" si="24">J46*$B$32</f>
        <v>281600</v>
      </c>
    </row>
    <row r="50" spans="1:10">
      <c r="A50" t="s">
        <v>265</v>
      </c>
      <c r="B50" s="25">
        <f>B49-B48</f>
        <v>-2640</v>
      </c>
      <c r="C50" s="25">
        <f t="shared" ref="C50:I50" si="25">C49-C48</f>
        <v>-3960</v>
      </c>
      <c r="D50" s="25">
        <f t="shared" si="25"/>
        <v>-5280</v>
      </c>
      <c r="E50" s="25">
        <f t="shared" si="25"/>
        <v>-7920</v>
      </c>
      <c r="F50" s="25">
        <f t="shared" si="25"/>
        <v>-10560</v>
      </c>
      <c r="G50" s="25">
        <f t="shared" si="25"/>
        <v>56319.999999999985</v>
      </c>
      <c r="H50" s="25">
        <f t="shared" si="25"/>
        <v>67584</v>
      </c>
      <c r="I50" s="25">
        <f t="shared" si="25"/>
        <v>78848</v>
      </c>
      <c r="J50" s="25">
        <f t="shared" ref="J50" si="26">J49-J48</f>
        <v>112639.99999999997</v>
      </c>
    </row>
    <row r="51" spans="1:10">
      <c r="B51" s="25"/>
      <c r="C51" s="25"/>
      <c r="D51" s="25"/>
      <c r="E51" s="25"/>
      <c r="F51" s="25"/>
      <c r="G51" s="25"/>
      <c r="H51" s="25"/>
      <c r="I51" s="25"/>
      <c r="J51" s="25"/>
    </row>
    <row r="52" spans="1:10" s="1" customFormat="1">
      <c r="A52" s="1" t="s">
        <v>331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 s="30" customFormat="1">
      <c r="A53" s="30" t="s">
        <v>262</v>
      </c>
      <c r="B53" s="30">
        <f>FLOOR(B42*$B$43,1)</f>
        <v>20</v>
      </c>
      <c r="C53" s="30">
        <f t="shared" ref="C53:I53" si="27">FLOOR(C42*$B$43,1)</f>
        <v>30</v>
      </c>
      <c r="D53" s="30">
        <f t="shared" si="27"/>
        <v>40</v>
      </c>
      <c r="E53" s="30">
        <f t="shared" si="27"/>
        <v>60</v>
      </c>
      <c r="F53" s="30">
        <f t="shared" si="27"/>
        <v>80</v>
      </c>
      <c r="G53" s="30">
        <f t="shared" si="27"/>
        <v>100</v>
      </c>
      <c r="H53" s="30">
        <f t="shared" si="27"/>
        <v>120</v>
      </c>
      <c r="I53" s="30">
        <f t="shared" si="27"/>
        <v>140</v>
      </c>
      <c r="J53" s="30">
        <f t="shared" ref="J53" si="28">FLOOR(J42*$B$43,1)</f>
        <v>200</v>
      </c>
    </row>
    <row r="54" spans="1:10">
      <c r="A54" t="s">
        <v>260</v>
      </c>
      <c r="B54" s="25">
        <f>CEILING(B53*(1+$B$3),1)</f>
        <v>22</v>
      </c>
      <c r="C54" s="25">
        <f t="shared" ref="C54:E54" si="29">C53*(1+$B$3)</f>
        <v>33</v>
      </c>
      <c r="D54" s="25">
        <f t="shared" si="29"/>
        <v>44</v>
      </c>
      <c r="E54" s="25">
        <f t="shared" si="29"/>
        <v>66</v>
      </c>
      <c r="F54" s="25">
        <f t="shared" ref="F54" si="30">F53*(1+$B$3)</f>
        <v>88</v>
      </c>
      <c r="G54" s="25">
        <f t="shared" ref="G54" si="31">G53*(1+$B$3)</f>
        <v>110.00000000000001</v>
      </c>
      <c r="H54" s="25">
        <f t="shared" ref="H54" si="32">H53*(1+$B$3)</f>
        <v>132</v>
      </c>
      <c r="I54" s="25">
        <f t="shared" ref="I54:J54" si="33">I53*(1+$B$3)</f>
        <v>154</v>
      </c>
      <c r="J54" s="25">
        <f t="shared" si="33"/>
        <v>220.00000000000003</v>
      </c>
    </row>
    <row r="55" spans="1:10">
      <c r="A55" t="s">
        <v>263</v>
      </c>
      <c r="B55" s="25">
        <f>$B$29*B54</f>
        <v>7700</v>
      </c>
      <c r="C55" s="25">
        <f t="shared" ref="C55:F55" si="34">$B$29*C54</f>
        <v>11550</v>
      </c>
      <c r="D55" s="25">
        <f t="shared" si="34"/>
        <v>15400</v>
      </c>
      <c r="E55" s="25">
        <f t="shared" si="34"/>
        <v>23100</v>
      </c>
      <c r="F55" s="25">
        <f t="shared" si="34"/>
        <v>30800</v>
      </c>
      <c r="G55" s="25">
        <f>$C$29*G54</f>
        <v>21120.000000000004</v>
      </c>
      <c r="H55" s="25">
        <f>$C$29*H54</f>
        <v>25344</v>
      </c>
      <c r="I55" s="25">
        <f>$C$29*I54</f>
        <v>29568</v>
      </c>
      <c r="J55" s="25">
        <f>$C$29*J54</f>
        <v>42240.000000000007</v>
      </c>
    </row>
    <row r="56" spans="1:10">
      <c r="A56" t="s">
        <v>264</v>
      </c>
      <c r="B56" s="25">
        <f>(B53*$B$32)-(B53*$C$96)</f>
        <v>6240</v>
      </c>
      <c r="C56" s="25">
        <f t="shared" ref="C56:J56" si="35">(C53*$B$32)-(C53*$C$96)</f>
        <v>9360</v>
      </c>
      <c r="D56" s="25">
        <f t="shared" si="35"/>
        <v>12480</v>
      </c>
      <c r="E56" s="25">
        <f t="shared" si="35"/>
        <v>18720</v>
      </c>
      <c r="F56" s="25">
        <f t="shared" si="35"/>
        <v>24960</v>
      </c>
      <c r="G56" s="25">
        <f t="shared" si="35"/>
        <v>31200</v>
      </c>
      <c r="H56" s="25">
        <f t="shared" si="35"/>
        <v>37440</v>
      </c>
      <c r="I56" s="25">
        <f t="shared" si="35"/>
        <v>43680</v>
      </c>
      <c r="J56" s="25">
        <f t="shared" si="35"/>
        <v>62400</v>
      </c>
    </row>
    <row r="57" spans="1:10">
      <c r="A57" t="s">
        <v>265</v>
      </c>
      <c r="B57" s="25">
        <f>B56-B55</f>
        <v>-1460</v>
      </c>
      <c r="C57" s="25">
        <f t="shared" ref="C57:J57" si="36">C56-C55</f>
        <v>-2190</v>
      </c>
      <c r="D57" s="25">
        <f t="shared" si="36"/>
        <v>-2920</v>
      </c>
      <c r="E57" s="25">
        <f t="shared" si="36"/>
        <v>-4380</v>
      </c>
      <c r="F57" s="25">
        <f t="shared" si="36"/>
        <v>-5840</v>
      </c>
      <c r="G57" s="25">
        <f t="shared" si="36"/>
        <v>10079.999999999996</v>
      </c>
      <c r="H57" s="25">
        <f t="shared" si="36"/>
        <v>12096</v>
      </c>
      <c r="I57" s="25">
        <f t="shared" si="36"/>
        <v>14112</v>
      </c>
      <c r="J57" s="25">
        <f t="shared" si="36"/>
        <v>20159.999999999993</v>
      </c>
    </row>
    <row r="58" spans="1:10">
      <c r="B58" s="25"/>
      <c r="C58" s="25"/>
      <c r="D58" s="25"/>
      <c r="E58" s="25"/>
      <c r="F58" s="25"/>
      <c r="G58" s="25"/>
      <c r="H58" s="25"/>
      <c r="I58" s="25"/>
      <c r="J58" s="25"/>
    </row>
    <row r="59" spans="1:10">
      <c r="A59" s="1" t="s">
        <v>329</v>
      </c>
      <c r="B59" s="25"/>
      <c r="C59" s="25"/>
      <c r="D59" s="25"/>
      <c r="E59" s="25"/>
      <c r="F59" s="25"/>
      <c r="G59" s="25"/>
      <c r="H59" s="25"/>
      <c r="I59" s="25"/>
      <c r="J59" s="25"/>
    </row>
    <row r="60" spans="1:10">
      <c r="A60" t="s">
        <v>301</v>
      </c>
      <c r="B60" s="25">
        <f>B42</f>
        <v>100</v>
      </c>
      <c r="C60" s="25">
        <f t="shared" ref="C60:I60" si="37">C42</f>
        <v>150</v>
      </c>
      <c r="D60" s="25">
        <f t="shared" si="37"/>
        <v>200</v>
      </c>
      <c r="E60" s="25">
        <f t="shared" si="37"/>
        <v>300</v>
      </c>
      <c r="F60" s="25">
        <f t="shared" si="37"/>
        <v>400</v>
      </c>
      <c r="G60" s="25">
        <f t="shared" si="37"/>
        <v>500</v>
      </c>
      <c r="H60" s="25">
        <f t="shared" si="37"/>
        <v>600</v>
      </c>
      <c r="I60" s="25">
        <f t="shared" si="37"/>
        <v>700</v>
      </c>
      <c r="J60" s="25">
        <f t="shared" ref="J60" si="38">J42</f>
        <v>1000</v>
      </c>
    </row>
    <row r="61" spans="1:10">
      <c r="A61" t="s">
        <v>263</v>
      </c>
      <c r="B61" s="25">
        <f>$B$30*B60</f>
        <v>4000</v>
      </c>
      <c r="C61" s="25">
        <f t="shared" ref="C61:J61" si="39">$B$30*C60</f>
        <v>6000</v>
      </c>
      <c r="D61" s="25">
        <f t="shared" si="39"/>
        <v>8000</v>
      </c>
      <c r="E61" s="25">
        <f t="shared" si="39"/>
        <v>12000</v>
      </c>
      <c r="F61" s="25">
        <f t="shared" si="39"/>
        <v>16000</v>
      </c>
      <c r="G61" s="25">
        <f t="shared" si="39"/>
        <v>20000</v>
      </c>
      <c r="H61" s="25">
        <f t="shared" si="39"/>
        <v>24000</v>
      </c>
      <c r="I61" s="25">
        <f t="shared" si="39"/>
        <v>28000</v>
      </c>
      <c r="J61" s="25">
        <f t="shared" si="39"/>
        <v>40000</v>
      </c>
    </row>
    <row r="62" spans="1:10">
      <c r="A62" t="s">
        <v>264</v>
      </c>
      <c r="B62" s="25">
        <f>B61</f>
        <v>4000</v>
      </c>
      <c r="C62" s="25">
        <f t="shared" ref="C62:J62" si="40">C61</f>
        <v>6000</v>
      </c>
      <c r="D62" s="25">
        <f t="shared" si="40"/>
        <v>8000</v>
      </c>
      <c r="E62" s="25">
        <f t="shared" si="40"/>
        <v>12000</v>
      </c>
      <c r="F62" s="25">
        <f t="shared" si="40"/>
        <v>16000</v>
      </c>
      <c r="G62" s="25">
        <f t="shared" si="40"/>
        <v>20000</v>
      </c>
      <c r="H62" s="25">
        <f t="shared" si="40"/>
        <v>24000</v>
      </c>
      <c r="I62" s="25">
        <f t="shared" si="40"/>
        <v>28000</v>
      </c>
      <c r="J62" s="25">
        <f t="shared" si="40"/>
        <v>40000</v>
      </c>
    </row>
    <row r="63" spans="1:10">
      <c r="A63" t="s">
        <v>265</v>
      </c>
      <c r="B63" s="25">
        <f>B62-B61</f>
        <v>0</v>
      </c>
      <c r="C63" s="25">
        <f t="shared" ref="C63:J63" si="41">C62-C61</f>
        <v>0</v>
      </c>
      <c r="D63" s="25">
        <f t="shared" si="41"/>
        <v>0</v>
      </c>
      <c r="E63" s="25">
        <f t="shared" si="41"/>
        <v>0</v>
      </c>
      <c r="F63" s="25">
        <f t="shared" si="41"/>
        <v>0</v>
      </c>
      <c r="G63" s="25">
        <f t="shared" si="41"/>
        <v>0</v>
      </c>
      <c r="H63" s="25">
        <f t="shared" si="41"/>
        <v>0</v>
      </c>
      <c r="I63" s="25">
        <f t="shared" si="41"/>
        <v>0</v>
      </c>
      <c r="J63" s="25">
        <f t="shared" si="41"/>
        <v>0</v>
      </c>
    </row>
    <row r="64" spans="1:10">
      <c r="B64" s="25"/>
      <c r="C64" s="25"/>
      <c r="D64" s="25"/>
      <c r="E64" s="25"/>
      <c r="F64" s="25"/>
      <c r="G64" s="25"/>
      <c r="H64" s="25"/>
      <c r="I64" s="25"/>
      <c r="J64" s="25"/>
    </row>
    <row r="65" spans="1:10">
      <c r="A65" t="s">
        <v>308</v>
      </c>
      <c r="B65" s="25">
        <f t="shared" ref="B65:J65" si="42">B38+B49+B56+B1</f>
        <v>35650</v>
      </c>
      <c r="C65" s="25">
        <f t="shared" si="42"/>
        <v>53475</v>
      </c>
      <c r="D65" s="25">
        <f t="shared" si="42"/>
        <v>71300</v>
      </c>
      <c r="E65" s="25">
        <f t="shared" si="42"/>
        <v>106950</v>
      </c>
      <c r="F65" s="25">
        <f t="shared" si="42"/>
        <v>142600</v>
      </c>
      <c r="G65" s="25">
        <f t="shared" si="42"/>
        <v>178250</v>
      </c>
      <c r="H65" s="25">
        <f t="shared" si="42"/>
        <v>213900</v>
      </c>
      <c r="I65" s="25">
        <f t="shared" si="42"/>
        <v>249550</v>
      </c>
      <c r="J65" s="25">
        <f t="shared" si="42"/>
        <v>344000</v>
      </c>
    </row>
    <row r="66" spans="1:10">
      <c r="A66" t="s">
        <v>307</v>
      </c>
      <c r="B66" s="25">
        <f t="shared" ref="B66:J66" si="43">B39+B50+B57+F63</f>
        <v>-3350</v>
      </c>
      <c r="C66" s="25">
        <f t="shared" si="43"/>
        <v>-5025</v>
      </c>
      <c r="D66" s="25">
        <f t="shared" si="43"/>
        <v>-6700</v>
      </c>
      <c r="E66" s="25">
        <f t="shared" si="43"/>
        <v>-10050</v>
      </c>
      <c r="F66" s="25">
        <f t="shared" si="43"/>
        <v>-13400</v>
      </c>
      <c r="G66" s="25">
        <f t="shared" si="43"/>
        <v>70149.999999999985</v>
      </c>
      <c r="H66" s="25">
        <f t="shared" si="43"/>
        <v>84180</v>
      </c>
      <c r="I66" s="25">
        <f t="shared" si="43"/>
        <v>98210</v>
      </c>
      <c r="J66" s="25">
        <f t="shared" si="43"/>
        <v>132799.99999999997</v>
      </c>
    </row>
    <row r="68" spans="1:10">
      <c r="A68" t="s">
        <v>293</v>
      </c>
      <c r="B68">
        <v>0.3</v>
      </c>
    </row>
    <row r="69" spans="1:10">
      <c r="A69" t="s">
        <v>294</v>
      </c>
      <c r="B69" s="25">
        <f>B66*$B$68</f>
        <v>-1005</v>
      </c>
      <c r="C69" s="25">
        <f t="shared" ref="C69:H69" si="44">C66*$B$68</f>
        <v>-1507.5</v>
      </c>
      <c r="D69" s="25">
        <f t="shared" si="44"/>
        <v>-2010</v>
      </c>
      <c r="E69" s="25">
        <f t="shared" si="44"/>
        <v>-3015</v>
      </c>
      <c r="F69" s="25">
        <f t="shared" si="44"/>
        <v>-4020</v>
      </c>
      <c r="G69" s="25">
        <f t="shared" si="44"/>
        <v>21044.999999999996</v>
      </c>
      <c r="H69" s="25">
        <f t="shared" si="44"/>
        <v>25254</v>
      </c>
      <c r="I69" s="25">
        <f t="shared" ref="I69:J69" si="45">I66*$B$68</f>
        <v>29463</v>
      </c>
      <c r="J69" s="25">
        <f t="shared" si="45"/>
        <v>39839.999999999993</v>
      </c>
    </row>
    <row r="70" spans="1:10">
      <c r="A70" t="s">
        <v>295</v>
      </c>
      <c r="B70" s="25">
        <f>B66-B69</f>
        <v>-2345</v>
      </c>
      <c r="C70" s="25">
        <f t="shared" ref="C70:I70" si="46">C66-C69</f>
        <v>-3517.5</v>
      </c>
      <c r="D70" s="25">
        <f t="shared" si="46"/>
        <v>-4690</v>
      </c>
      <c r="E70" s="25">
        <f t="shared" si="46"/>
        <v>-7035</v>
      </c>
      <c r="F70" s="25">
        <f t="shared" si="46"/>
        <v>-9380</v>
      </c>
      <c r="G70" s="25">
        <f t="shared" si="46"/>
        <v>49104.999999999985</v>
      </c>
      <c r="H70" s="25">
        <f t="shared" si="46"/>
        <v>58926</v>
      </c>
      <c r="I70" s="25">
        <f t="shared" si="46"/>
        <v>68747</v>
      </c>
      <c r="J70" s="25">
        <f t="shared" ref="J70" si="47">J66-J69</f>
        <v>92959.999999999971</v>
      </c>
    </row>
    <row r="72" spans="1:10">
      <c r="A72" t="s">
        <v>336</v>
      </c>
      <c r="B72" s="25">
        <v>51000</v>
      </c>
      <c r="E72" t="s">
        <v>337</v>
      </c>
      <c r="F72" s="25">
        <f>F70-$B$75</f>
        <v>-66880</v>
      </c>
      <c r="G72" s="25">
        <f>G70-$B$75</f>
        <v>-8395.0000000000146</v>
      </c>
      <c r="H72" s="25">
        <f>H70-$B$75</f>
        <v>1426</v>
      </c>
      <c r="I72" s="25">
        <f>I70-$B$75</f>
        <v>11247</v>
      </c>
      <c r="J72" s="25">
        <f>J70-$B$75</f>
        <v>35459.999999999971</v>
      </c>
    </row>
    <row r="73" spans="1:10">
      <c r="A73" t="s">
        <v>339</v>
      </c>
      <c r="B73" s="25">
        <v>5000</v>
      </c>
      <c r="E73" t="s">
        <v>342</v>
      </c>
      <c r="F73" s="25">
        <f>F70-$B$75/2</f>
        <v>-38130</v>
      </c>
      <c r="G73" s="25">
        <f>G70-$B$75/2</f>
        <v>20354.999999999985</v>
      </c>
      <c r="H73" s="25">
        <f>H70-$B$75/2</f>
        <v>30176</v>
      </c>
      <c r="I73" s="25">
        <f>I70-$B$75/2</f>
        <v>39997</v>
      </c>
      <c r="J73" s="25">
        <f>J70-$B$75/2</f>
        <v>64209.999999999971</v>
      </c>
    </row>
    <row r="74" spans="1:10">
      <c r="A74" t="s">
        <v>340</v>
      </c>
      <c r="B74" s="25">
        <v>1500</v>
      </c>
    </row>
    <row r="75" spans="1:10">
      <c r="A75" t="s">
        <v>341</v>
      </c>
      <c r="B75" s="25">
        <f>SUM(B72:B74)</f>
        <v>57500</v>
      </c>
    </row>
    <row r="77" spans="1:10">
      <c r="A77" t="s">
        <v>304</v>
      </c>
      <c r="B77">
        <v>1</v>
      </c>
    </row>
    <row r="78" spans="1:10">
      <c r="A78" t="s">
        <v>305</v>
      </c>
      <c r="B78">
        <v>5</v>
      </c>
    </row>
    <row r="80" spans="1:10">
      <c r="A80" t="s">
        <v>296</v>
      </c>
      <c r="B80">
        <v>7.28</v>
      </c>
    </row>
    <row r="81" spans="1:5">
      <c r="A81" t="s">
        <v>284</v>
      </c>
      <c r="B81">
        <v>0.75</v>
      </c>
    </row>
    <row r="82" spans="1:5">
      <c r="A82" t="s">
        <v>298</v>
      </c>
      <c r="B82">
        <v>3</v>
      </c>
    </row>
    <row r="83" spans="1:5">
      <c r="A83" t="s">
        <v>299</v>
      </c>
      <c r="B83">
        <v>7</v>
      </c>
    </row>
    <row r="85" spans="1:5">
      <c r="A85" t="s">
        <v>302</v>
      </c>
      <c r="B85">
        <v>12</v>
      </c>
    </row>
    <row r="86" spans="1:5">
      <c r="A86" t="s">
        <v>303</v>
      </c>
      <c r="B86">
        <v>16</v>
      </c>
    </row>
    <row r="88" spans="1:5">
      <c r="A88" t="s">
        <v>306</v>
      </c>
      <c r="B88">
        <v>25</v>
      </c>
    </row>
    <row r="90" spans="1:5">
      <c r="A90" t="s">
        <v>325</v>
      </c>
      <c r="B90">
        <v>25</v>
      </c>
    </row>
    <row r="91" spans="1:5">
      <c r="A91" t="s">
        <v>326</v>
      </c>
      <c r="B91">
        <v>10</v>
      </c>
    </row>
    <row r="94" spans="1:5">
      <c r="A94" t="s">
        <v>310</v>
      </c>
      <c r="B94" t="s">
        <v>313</v>
      </c>
      <c r="C94" t="s">
        <v>333</v>
      </c>
      <c r="D94" t="s">
        <v>314</v>
      </c>
      <c r="E94" t="s">
        <v>315</v>
      </c>
    </row>
    <row r="95" spans="1:5">
      <c r="A95" t="s">
        <v>311</v>
      </c>
      <c r="B95">
        <v>1</v>
      </c>
      <c r="C95">
        <v>0</v>
      </c>
      <c r="D95">
        <f>B32</f>
        <v>352</v>
      </c>
      <c r="E95">
        <f>B33</f>
        <v>392</v>
      </c>
    </row>
    <row r="96" spans="1:5">
      <c r="A96" t="s">
        <v>312</v>
      </c>
      <c r="B96">
        <v>4</v>
      </c>
      <c r="C96">
        <v>40</v>
      </c>
      <c r="D96">
        <f>D95*4-C96</f>
        <v>1368</v>
      </c>
      <c r="E96">
        <f>E95*4-C96</f>
        <v>1528</v>
      </c>
    </row>
    <row r="98" spans="1:2">
      <c r="A98" t="s">
        <v>297</v>
      </c>
      <c r="B98">
        <v>25</v>
      </c>
    </row>
    <row r="101" spans="1:2">
      <c r="A10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RowHeight="15" x14ac:dyDescent="0"/>
  <cols>
    <col min="1" max="1" width="60.6640625" customWidth="1"/>
    <col min="2" max="2" width="24" customWidth="1"/>
  </cols>
  <sheetData>
    <row r="1" spans="1:2">
      <c r="A1" s="1" t="s">
        <v>316</v>
      </c>
    </row>
    <row r="3" spans="1:2">
      <c r="A3" s="1" t="s">
        <v>317</v>
      </c>
      <c r="B3" s="1" t="s">
        <v>318</v>
      </c>
    </row>
    <row r="4" spans="1:2">
      <c r="A4" t="s">
        <v>351</v>
      </c>
      <c r="B4" t="s">
        <v>338</v>
      </c>
    </row>
    <row r="5" spans="1:2">
      <c r="A5" t="s">
        <v>352</v>
      </c>
      <c r="B5" t="s">
        <v>354</v>
      </c>
    </row>
    <row r="6" spans="1:2">
      <c r="A6" t="s">
        <v>353</v>
      </c>
      <c r="B6" t="s">
        <v>353</v>
      </c>
    </row>
    <row r="7" spans="1:2">
      <c r="A7" t="s">
        <v>355</v>
      </c>
      <c r="B7" t="s">
        <v>356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5" sqref="B5"/>
    </sheetView>
  </sheetViews>
  <sheetFormatPr baseColWidth="10" defaultRowHeight="15" x14ac:dyDescent="0"/>
  <cols>
    <col min="1" max="1" width="34.1640625" customWidth="1"/>
  </cols>
  <sheetData>
    <row r="1" spans="1:13">
      <c r="A1" s="1" t="s">
        <v>200</v>
      </c>
    </row>
    <row r="3" spans="1:13">
      <c r="A3" t="s">
        <v>247</v>
      </c>
      <c r="B3">
        <v>68</v>
      </c>
    </row>
    <row r="4" spans="1:13">
      <c r="A4" t="s">
        <v>291</v>
      </c>
      <c r="B4">
        <v>7</v>
      </c>
    </row>
    <row r="5" spans="1:13">
      <c r="A5" t="s">
        <v>249</v>
      </c>
      <c r="B5">
        <v>10</v>
      </c>
    </row>
    <row r="6" spans="1:13">
      <c r="A6" t="s">
        <v>275</v>
      </c>
      <c r="B6">
        <f>Cable!D10</f>
        <v>19.16</v>
      </c>
    </row>
    <row r="7" spans="1:13">
      <c r="A7" t="s">
        <v>276</v>
      </c>
      <c r="B7">
        <f>SUM(B3:B6)</f>
        <v>104.16</v>
      </c>
    </row>
    <row r="12" spans="1:13">
      <c r="C12" t="s">
        <v>203</v>
      </c>
      <c r="G12" t="s">
        <v>204</v>
      </c>
    </row>
    <row r="13" spans="1:13">
      <c r="B13" t="s">
        <v>202</v>
      </c>
      <c r="C13">
        <v>100</v>
      </c>
      <c r="D13">
        <v>500</v>
      </c>
      <c r="E13">
        <v>1000</v>
      </c>
      <c r="G13">
        <v>100</v>
      </c>
      <c r="H13">
        <v>500</v>
      </c>
      <c r="I13">
        <v>1000</v>
      </c>
    </row>
    <row r="15" spans="1:13">
      <c r="A15" t="s">
        <v>201</v>
      </c>
      <c r="B15" s="12">
        <v>650</v>
      </c>
      <c r="C15" s="10">
        <v>37.5</v>
      </c>
      <c r="D15" s="10">
        <v>32.5</v>
      </c>
      <c r="E15" s="10">
        <v>29.75</v>
      </c>
      <c r="G15" s="10">
        <f t="shared" ref="G15:I16" si="0">(B15+C15*G$13)/G$13</f>
        <v>44</v>
      </c>
      <c r="H15" s="10">
        <f t="shared" si="0"/>
        <v>32.575000000000003</v>
      </c>
      <c r="I15" s="10">
        <f t="shared" si="0"/>
        <v>29.782499999999999</v>
      </c>
      <c r="K15" s="10"/>
      <c r="L15" s="10"/>
      <c r="M15" s="10"/>
    </row>
    <row r="16" spans="1:13">
      <c r="A16" t="s">
        <v>245</v>
      </c>
      <c r="B16" s="12">
        <v>650</v>
      </c>
      <c r="C16" s="10">
        <f>C15+$B$7</f>
        <v>141.66</v>
      </c>
      <c r="D16" s="10">
        <f>D15+$B$7</f>
        <v>136.66</v>
      </c>
      <c r="E16" s="10">
        <f>E15+$B$7</f>
        <v>133.91</v>
      </c>
      <c r="G16" s="10">
        <f t="shared" si="0"/>
        <v>148.16</v>
      </c>
      <c r="H16" s="10">
        <f t="shared" si="0"/>
        <v>136.94332</v>
      </c>
      <c r="I16" s="10">
        <f t="shared" si="0"/>
        <v>134.04666</v>
      </c>
    </row>
    <row r="17" spans="1:9">
      <c r="A17" t="s">
        <v>207</v>
      </c>
      <c r="B17">
        <v>100</v>
      </c>
      <c r="C17" s="10">
        <f>3272.85/C13</f>
        <v>32.728499999999997</v>
      </c>
      <c r="D17" s="10">
        <f>5348.75/D13</f>
        <v>10.6975</v>
      </c>
      <c r="E17" s="10"/>
      <c r="G17" s="10">
        <f t="shared" ref="G17:H18" si="1">(B17+C17*G$13)/G$13</f>
        <v>33.728499999999997</v>
      </c>
      <c r="H17" s="10">
        <f t="shared" si="1"/>
        <v>10.762957</v>
      </c>
      <c r="I17" s="10"/>
    </row>
    <row r="18" spans="1:9">
      <c r="A18" t="s">
        <v>246</v>
      </c>
      <c r="B18">
        <v>100</v>
      </c>
      <c r="C18" s="10">
        <f>C17+$B$7</f>
        <v>136.88849999999999</v>
      </c>
      <c r="D18" s="10">
        <f>D17+$B$7</f>
        <v>114.8575</v>
      </c>
      <c r="E18" s="10"/>
      <c r="G18" s="10">
        <f t="shared" si="1"/>
        <v>137.88849999999999</v>
      </c>
      <c r="H18" s="10">
        <f t="shared" si="1"/>
        <v>115.131277</v>
      </c>
      <c r="I18" s="10"/>
    </row>
    <row r="19" spans="1:9">
      <c r="A19" t="s">
        <v>248</v>
      </c>
      <c r="B19">
        <v>200</v>
      </c>
      <c r="C19" s="10">
        <v>84.5</v>
      </c>
      <c r="D19" s="10">
        <v>76.5</v>
      </c>
      <c r="E19" s="10">
        <v>75</v>
      </c>
      <c r="G19" s="10">
        <f>($B19+(C19*100))/100</f>
        <v>86.5</v>
      </c>
      <c r="H19" s="10">
        <f>($B19+(D19*100))/100</f>
        <v>78.5</v>
      </c>
      <c r="I19" s="10">
        <f>($B19+(E19*100))/100</f>
        <v>77</v>
      </c>
    </row>
    <row r="20" spans="1:9">
      <c r="A20" t="s">
        <v>343</v>
      </c>
      <c r="B20">
        <v>300</v>
      </c>
      <c r="C20">
        <v>113.52</v>
      </c>
      <c r="D20">
        <v>113.52</v>
      </c>
      <c r="G20" s="10">
        <f>($B20+(C20*100))/100</f>
        <v>116.52</v>
      </c>
      <c r="H20" s="10">
        <f>($B20+(D20*100))/100</f>
        <v>116.52</v>
      </c>
    </row>
    <row r="22" spans="1:9">
      <c r="A22" s="1" t="s">
        <v>268</v>
      </c>
      <c r="B22">
        <v>100</v>
      </c>
      <c r="C22">
        <v>200</v>
      </c>
      <c r="D22">
        <v>300</v>
      </c>
    </row>
    <row r="23" spans="1:9">
      <c r="A23" t="s">
        <v>266</v>
      </c>
      <c r="B23" s="25">
        <f>($G16-$G19)*B$22</f>
        <v>6166</v>
      </c>
      <c r="C23" s="25">
        <f>($G16-$G19)*C$22</f>
        <v>12332</v>
      </c>
      <c r="D23" s="25">
        <f>($G16-$G19)*D$22</f>
        <v>18498</v>
      </c>
    </row>
    <row r="24" spans="1:9">
      <c r="A24" t="s">
        <v>267</v>
      </c>
      <c r="B24" s="25">
        <f>($G18-$G19)*$B22</f>
        <v>5138.8499999999995</v>
      </c>
      <c r="C24" s="25">
        <f>($G18-$G19)*C$22</f>
        <v>10277.699999999999</v>
      </c>
      <c r="D24" s="25">
        <f>($G18-$G19)*D22</f>
        <v>15416.549999999997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5"/>
  <sheetViews>
    <sheetView tabSelected="1" workbookViewId="0">
      <selection activeCell="F2" sqref="F2"/>
    </sheetView>
  </sheetViews>
  <sheetFormatPr baseColWidth="10" defaultRowHeight="15" x14ac:dyDescent="0"/>
  <cols>
    <col min="1" max="1" width="6.5" style="15" customWidth="1"/>
    <col min="2" max="2" width="8.83203125" style="17" customWidth="1"/>
    <col min="3" max="3" width="28.5" style="16" customWidth="1"/>
    <col min="4" max="4" width="10.83203125" style="17"/>
    <col min="5" max="5" width="10.83203125" style="15"/>
    <col min="6" max="6" width="35.5" style="15" customWidth="1"/>
    <col min="7" max="7" width="25.33203125" style="15" customWidth="1"/>
    <col min="8" max="8" width="17.33203125" style="15" customWidth="1"/>
    <col min="9" max="9" width="48.5" style="15" customWidth="1"/>
    <col min="11" max="16384" width="10.83203125" style="15"/>
  </cols>
  <sheetData>
    <row r="1" spans="1:10" s="13" customFormat="1" ht="23">
      <c r="A1" s="21" t="s">
        <v>357</v>
      </c>
      <c r="B1" s="22"/>
      <c r="C1" s="14"/>
      <c r="D1" s="22"/>
      <c r="F1" s="23">
        <v>41976</v>
      </c>
      <c r="J1"/>
    </row>
    <row r="2" spans="1:10" s="13" customFormat="1">
      <c r="B2" s="22"/>
      <c r="C2" s="14"/>
      <c r="D2" s="22"/>
      <c r="J2"/>
    </row>
    <row r="3" spans="1:10" s="18" customFormat="1">
      <c r="A3" s="18" t="s">
        <v>208</v>
      </c>
      <c r="B3" s="19" t="s">
        <v>209</v>
      </c>
      <c r="C3" s="20" t="s">
        <v>0</v>
      </c>
      <c r="D3" s="19" t="s">
        <v>191</v>
      </c>
      <c r="E3" s="20" t="s">
        <v>66</v>
      </c>
      <c r="F3" s="20" t="s">
        <v>61</v>
      </c>
      <c r="G3" s="18" t="s">
        <v>1</v>
      </c>
      <c r="H3" s="18" t="s">
        <v>42</v>
      </c>
      <c r="I3" s="18" t="s">
        <v>2</v>
      </c>
      <c r="J3" s="18" t="s">
        <v>60</v>
      </c>
    </row>
    <row r="4" spans="1:10" customFormat="1">
      <c r="B4" s="35"/>
      <c r="C4" s="2"/>
      <c r="D4" s="34"/>
      <c r="E4" s="34"/>
      <c r="F4" s="34"/>
      <c r="G4" s="34"/>
      <c r="H4" s="34"/>
      <c r="I4" s="34"/>
    </row>
    <row r="5" spans="1:10" customFormat="1">
      <c r="B5" s="35"/>
      <c r="C5" s="2"/>
      <c r="D5" s="34"/>
      <c r="E5" s="34"/>
      <c r="F5" s="34"/>
      <c r="G5" s="34"/>
      <c r="H5" s="34"/>
      <c r="I5" s="34"/>
    </row>
    <row r="6" spans="1:10" customFormat="1">
      <c r="B6" s="35"/>
      <c r="C6" s="2"/>
      <c r="D6" s="34"/>
      <c r="E6" s="34"/>
      <c r="F6" s="34"/>
      <c r="G6" s="34"/>
      <c r="H6" s="34"/>
      <c r="I6" s="34"/>
    </row>
    <row r="7" spans="1:10" customFormat="1">
      <c r="B7" s="35"/>
      <c r="C7" s="2"/>
      <c r="D7" s="34"/>
      <c r="E7" s="34"/>
      <c r="F7" s="34"/>
      <c r="G7" s="34"/>
      <c r="H7" s="34"/>
      <c r="I7" s="34"/>
    </row>
    <row r="8" spans="1:10" customFormat="1">
      <c r="B8" s="35"/>
      <c r="C8" s="2"/>
      <c r="D8" s="34"/>
      <c r="E8" s="34"/>
      <c r="F8" s="34"/>
      <c r="G8" s="34"/>
      <c r="H8" s="34"/>
      <c r="I8" s="34"/>
    </row>
    <row r="9" spans="1:10" customFormat="1">
      <c r="B9" s="35"/>
      <c r="C9" s="2"/>
      <c r="D9" s="34"/>
      <c r="E9" s="34"/>
      <c r="F9" s="34"/>
      <c r="G9" s="34"/>
      <c r="H9" s="34"/>
      <c r="I9" s="34"/>
    </row>
    <row r="10" spans="1:10" customFormat="1">
      <c r="B10" s="35"/>
      <c r="C10" s="2"/>
      <c r="D10" s="34"/>
      <c r="E10" s="34"/>
      <c r="F10" s="34"/>
      <c r="G10" s="34"/>
      <c r="H10" s="34"/>
      <c r="I10" s="34"/>
    </row>
    <row r="11" spans="1:10" customFormat="1">
      <c r="B11" s="35"/>
      <c r="C11" s="2"/>
      <c r="D11" s="34"/>
      <c r="E11" s="34"/>
      <c r="F11" s="34"/>
      <c r="G11" s="34"/>
      <c r="H11" s="34"/>
      <c r="I11" s="34"/>
    </row>
    <row r="12" spans="1:10" customFormat="1">
      <c r="B12" s="35"/>
      <c r="C12" s="2"/>
      <c r="D12" s="34"/>
      <c r="E12" s="34"/>
      <c r="F12" s="34"/>
      <c r="G12" s="34"/>
      <c r="H12" s="34"/>
      <c r="I12" s="34"/>
    </row>
    <row r="13" spans="1:10" customFormat="1">
      <c r="B13" s="35"/>
      <c r="C13" s="2"/>
      <c r="D13" s="34"/>
      <c r="E13" s="34"/>
      <c r="F13" s="34"/>
      <c r="G13" s="34"/>
      <c r="H13" s="34"/>
      <c r="I13" s="34"/>
    </row>
    <row r="14" spans="1:10" customFormat="1">
      <c r="B14" s="35"/>
      <c r="C14" s="2"/>
      <c r="D14" s="34"/>
      <c r="E14" s="34"/>
      <c r="F14" s="34"/>
      <c r="G14" s="34"/>
      <c r="H14" s="34"/>
      <c r="I14" s="34"/>
    </row>
    <row r="15" spans="1:10" customFormat="1">
      <c r="B15" s="35"/>
      <c r="C15" s="2"/>
      <c r="D15" s="34"/>
      <c r="E15" s="34"/>
      <c r="F15" s="34"/>
      <c r="G15" s="34"/>
      <c r="H15" s="34"/>
      <c r="I15" s="34"/>
    </row>
    <row r="16" spans="1:10" customFormat="1">
      <c r="B16" s="35"/>
      <c r="C16" s="2"/>
      <c r="D16" s="34"/>
      <c r="E16" s="34"/>
      <c r="F16" s="34"/>
      <c r="G16" s="34"/>
      <c r="H16" s="34"/>
      <c r="I16" s="34"/>
    </row>
    <row r="17" spans="2:9" customFormat="1">
      <c r="B17" s="35"/>
      <c r="C17" s="2"/>
      <c r="D17" s="34"/>
      <c r="E17" s="34"/>
      <c r="F17" s="34"/>
      <c r="G17" s="34"/>
      <c r="H17" s="34"/>
      <c r="I17" s="34"/>
    </row>
    <row r="18" spans="2:9" customFormat="1">
      <c r="B18" s="35"/>
      <c r="C18" s="2"/>
      <c r="D18" s="34"/>
      <c r="E18" s="34"/>
      <c r="F18" s="34"/>
      <c r="G18" s="34"/>
      <c r="H18" s="34"/>
      <c r="I18" s="34"/>
    </row>
    <row r="19" spans="2:9" customFormat="1">
      <c r="B19" s="35"/>
      <c r="C19" s="2"/>
      <c r="D19" s="34"/>
      <c r="E19" s="34"/>
      <c r="F19" s="34"/>
      <c r="G19" s="34"/>
      <c r="H19" s="34"/>
      <c r="I19" s="34"/>
    </row>
    <row r="20" spans="2:9" customFormat="1">
      <c r="B20" s="35"/>
      <c r="C20" s="2"/>
      <c r="D20" s="34"/>
      <c r="E20" s="34"/>
      <c r="F20" s="34"/>
      <c r="G20" s="34"/>
      <c r="H20" s="34"/>
      <c r="I20" s="34"/>
    </row>
    <row r="21" spans="2:9" customFormat="1">
      <c r="B21" s="35"/>
      <c r="C21" s="2"/>
      <c r="D21" s="34"/>
      <c r="E21" s="34"/>
      <c r="F21" s="34"/>
      <c r="G21" s="34"/>
      <c r="H21" s="34"/>
      <c r="I21" s="34"/>
    </row>
    <row r="22" spans="2:9" customFormat="1">
      <c r="B22" s="35"/>
      <c r="C22" s="2"/>
      <c r="D22" s="34"/>
      <c r="E22" s="34"/>
      <c r="F22" s="34"/>
      <c r="G22" s="34"/>
      <c r="H22" s="34"/>
      <c r="I22" s="34"/>
    </row>
    <row r="23" spans="2:9" customFormat="1">
      <c r="B23" s="35"/>
      <c r="C23" s="2"/>
      <c r="D23" s="34"/>
      <c r="E23" s="34"/>
      <c r="F23" s="34"/>
      <c r="G23" s="34"/>
      <c r="H23" s="34"/>
      <c r="I23" s="34"/>
    </row>
    <row r="24" spans="2:9" customFormat="1">
      <c r="B24" s="35"/>
      <c r="C24" s="2"/>
      <c r="D24" s="34"/>
      <c r="E24" s="34"/>
      <c r="F24" s="34"/>
      <c r="G24" s="34"/>
      <c r="H24" s="34"/>
      <c r="I24" s="34"/>
    </row>
    <row r="25" spans="2:9" customFormat="1">
      <c r="B25" s="35"/>
      <c r="C25" s="2"/>
      <c r="D25" s="34"/>
      <c r="E25" s="34"/>
      <c r="F25" s="34"/>
      <c r="G25" s="34"/>
      <c r="H25" s="34"/>
      <c r="I25" s="34"/>
    </row>
    <row r="26" spans="2:9" customFormat="1">
      <c r="B26" s="35"/>
      <c r="C26" s="2"/>
      <c r="D26" s="34"/>
      <c r="E26" s="34"/>
      <c r="F26" s="34"/>
      <c r="G26" s="34"/>
      <c r="H26" s="34"/>
      <c r="I26" s="34"/>
    </row>
    <row r="27" spans="2:9" customFormat="1">
      <c r="B27" s="35"/>
      <c r="C27" s="2"/>
      <c r="D27" s="34"/>
      <c r="E27" s="34"/>
      <c r="F27" s="34"/>
      <c r="G27" s="34"/>
      <c r="H27" s="34"/>
      <c r="I27" s="34"/>
    </row>
    <row r="28" spans="2:9" customFormat="1">
      <c r="B28" s="35"/>
      <c r="C28" s="2"/>
      <c r="D28" s="34"/>
      <c r="E28" s="34"/>
      <c r="F28" s="34"/>
      <c r="G28" s="34"/>
      <c r="H28" s="34"/>
      <c r="I28" s="34"/>
    </row>
    <row r="29" spans="2:9" customFormat="1">
      <c r="B29" s="35"/>
      <c r="C29" s="2"/>
      <c r="D29" s="34"/>
      <c r="E29" s="34"/>
      <c r="F29" s="34"/>
      <c r="G29" s="34"/>
      <c r="H29" s="34"/>
      <c r="I29" s="34"/>
    </row>
    <row r="30" spans="2:9" customFormat="1">
      <c r="B30" s="35"/>
      <c r="C30" s="2"/>
      <c r="D30" s="34"/>
      <c r="E30" s="34"/>
      <c r="F30" s="34"/>
      <c r="G30" s="34"/>
      <c r="H30" s="34"/>
      <c r="I30" s="34"/>
    </row>
    <row r="31" spans="2:9" customFormat="1">
      <c r="B31" s="35"/>
      <c r="C31" s="2"/>
      <c r="D31" s="34"/>
      <c r="E31" s="34"/>
      <c r="F31" s="34"/>
      <c r="G31" s="34"/>
      <c r="H31" s="34"/>
      <c r="I31" s="34"/>
    </row>
    <row r="32" spans="2:9" customFormat="1">
      <c r="B32" s="35"/>
      <c r="C32" s="2"/>
      <c r="D32" s="34"/>
      <c r="E32" s="34"/>
      <c r="F32" s="34"/>
      <c r="G32" s="34"/>
      <c r="H32" s="34"/>
      <c r="I32" s="34"/>
    </row>
    <row r="33" spans="2:9" customFormat="1">
      <c r="B33" s="35"/>
      <c r="C33" s="2"/>
      <c r="D33" s="34"/>
      <c r="E33" s="34"/>
      <c r="F33" s="34"/>
      <c r="G33" s="34"/>
      <c r="H33" s="34"/>
      <c r="I33" s="34"/>
    </row>
    <row r="34" spans="2:9" customFormat="1">
      <c r="B34" s="35"/>
      <c r="C34" s="2"/>
      <c r="D34" s="34"/>
      <c r="E34" s="34"/>
      <c r="F34" s="34"/>
      <c r="G34" s="34"/>
      <c r="H34" s="34"/>
      <c r="I34" s="34"/>
    </row>
    <row r="35" spans="2:9" customFormat="1">
      <c r="B35" s="35"/>
      <c r="C35" s="2"/>
      <c r="D35" s="34"/>
      <c r="E35" s="34"/>
      <c r="F35" s="34"/>
      <c r="G35" s="34"/>
      <c r="H35" s="34"/>
      <c r="I35" s="34"/>
    </row>
    <row r="36" spans="2:9" customFormat="1">
      <c r="B36" s="35"/>
      <c r="C36" s="2"/>
      <c r="D36" s="34"/>
      <c r="E36" s="34"/>
      <c r="F36" s="34"/>
      <c r="G36" s="34"/>
      <c r="H36" s="34"/>
      <c r="I36" s="34"/>
    </row>
    <row r="37" spans="2:9" customFormat="1">
      <c r="B37" s="35"/>
      <c r="C37" s="2"/>
      <c r="D37" s="34"/>
      <c r="E37" s="34"/>
      <c r="F37" s="34"/>
      <c r="G37" s="34"/>
      <c r="H37" s="34"/>
      <c r="I37" s="34"/>
    </row>
    <row r="38" spans="2:9" customFormat="1">
      <c r="B38" s="35"/>
      <c r="C38" s="2"/>
      <c r="D38" s="34"/>
      <c r="E38" s="34"/>
      <c r="F38" s="34"/>
      <c r="G38" s="34"/>
      <c r="H38" s="34"/>
      <c r="I38" s="34"/>
    </row>
    <row r="39" spans="2:9" customFormat="1">
      <c r="B39" s="35"/>
      <c r="C39" s="2"/>
    </row>
    <row r="40" spans="2:9" customFormat="1">
      <c r="B40" s="35"/>
    </row>
    <row r="41" spans="2:9" customFormat="1">
      <c r="B41" s="35"/>
    </row>
    <row r="42" spans="2:9" customFormat="1">
      <c r="B42" s="35"/>
    </row>
    <row r="43" spans="2:9" customFormat="1">
      <c r="B43" s="35"/>
    </row>
    <row r="44" spans="2:9" customFormat="1">
      <c r="B44" s="35"/>
    </row>
    <row r="45" spans="2:9" customFormat="1">
      <c r="B45" s="35"/>
    </row>
    <row r="46" spans="2:9" customFormat="1">
      <c r="B46" s="35"/>
    </row>
    <row r="47" spans="2:9" customFormat="1">
      <c r="B47" s="35"/>
    </row>
    <row r="48" spans="2:9" customFormat="1">
      <c r="B48" s="35"/>
    </row>
    <row r="49" spans="2:2" customFormat="1">
      <c r="B49" s="35"/>
    </row>
    <row r="50" spans="2:2" customFormat="1">
      <c r="B50" s="35"/>
    </row>
    <row r="51" spans="2:2" customFormat="1">
      <c r="B51" s="35"/>
    </row>
    <row r="52" spans="2:2" customFormat="1">
      <c r="B52" s="35"/>
    </row>
    <row r="53" spans="2:2" customFormat="1">
      <c r="B53" s="35"/>
    </row>
    <row r="54" spans="2:2" customFormat="1">
      <c r="B54" s="35"/>
    </row>
    <row r="55" spans="2:2" customFormat="1">
      <c r="B55" s="35"/>
    </row>
    <row r="56" spans="2:2" customFormat="1">
      <c r="B56" s="35"/>
    </row>
    <row r="57" spans="2:2" customFormat="1">
      <c r="B57" s="35"/>
    </row>
    <row r="58" spans="2:2" customFormat="1">
      <c r="B58" s="35"/>
    </row>
    <row r="59" spans="2:2" customFormat="1">
      <c r="B59" s="35"/>
    </row>
    <row r="60" spans="2:2" customFormat="1">
      <c r="B60" s="35"/>
    </row>
    <row r="61" spans="2:2" customFormat="1">
      <c r="B61" s="35"/>
    </row>
    <row r="62" spans="2:2" customFormat="1">
      <c r="B62" s="35"/>
    </row>
    <row r="63" spans="2:2" customFormat="1">
      <c r="B63" s="35"/>
    </row>
    <row r="64" spans="2:2" customFormat="1">
      <c r="B64" s="35"/>
    </row>
    <row r="65" spans="2:2" customFormat="1">
      <c r="B65" s="35"/>
    </row>
  </sheetData>
  <phoneticPr fontId="6" type="noConversion"/>
  <conditionalFormatting sqref="K4:XFD50 A4:I50">
    <cfRule type="expression" dxfId="1" priority="2">
      <formula>MOD(ROW(),2)=0</formula>
    </cfRule>
  </conditionalFormatting>
  <conditionalFormatting sqref="J4:J49">
    <cfRule type="expression" dxfId="0" priority="1">
      <formula>MOD(ROW(),2)=0</formula>
    </cfRule>
  </conditionalFormatting>
  <pageMargins left="0.75" right="0.75" top="1" bottom="1" header="0.5" footer="0.5"/>
  <pageSetup scale="5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167</v>
      </c>
      <c r="C1" s="2" t="s">
        <v>66</v>
      </c>
      <c r="D1" s="2" t="s">
        <v>61</v>
      </c>
      <c r="E1" t="s">
        <v>1</v>
      </c>
      <c r="F1" t="s">
        <v>42</v>
      </c>
      <c r="G1" t="s">
        <v>191</v>
      </c>
      <c r="H1" t="s">
        <v>121</v>
      </c>
      <c r="I1" t="s">
        <v>123</v>
      </c>
      <c r="J1" t="s">
        <v>2</v>
      </c>
      <c r="K1" t="s">
        <v>60</v>
      </c>
      <c r="L1" t="s">
        <v>192</v>
      </c>
      <c r="M1" t="s">
        <v>49</v>
      </c>
    </row>
    <row r="2" spans="1:13" ht="45">
      <c r="A2" s="2" t="s">
        <v>181</v>
      </c>
      <c r="B2" s="2" t="s">
        <v>119</v>
      </c>
      <c r="C2" s="2" t="s">
        <v>67</v>
      </c>
      <c r="D2" s="2" t="s">
        <v>125</v>
      </c>
      <c r="E2" s="2" t="s">
        <v>124</v>
      </c>
      <c r="F2" s="2" t="s">
        <v>48</v>
      </c>
      <c r="G2">
        <v>3</v>
      </c>
      <c r="H2">
        <v>2</v>
      </c>
      <c r="I2">
        <f t="shared" ref="I2:I29" si="0">G2*H2</f>
        <v>6</v>
      </c>
      <c r="J2" t="s">
        <v>3</v>
      </c>
      <c r="K2" t="s">
        <v>212</v>
      </c>
      <c r="M2" s="3" t="s">
        <v>50</v>
      </c>
    </row>
    <row r="3" spans="1:13">
      <c r="A3" s="2" t="s">
        <v>176</v>
      </c>
      <c r="B3" s="2" t="s">
        <v>119</v>
      </c>
      <c r="C3" s="2" t="s">
        <v>69</v>
      </c>
      <c r="D3" t="s">
        <v>125</v>
      </c>
      <c r="E3" t="s">
        <v>198</v>
      </c>
      <c r="F3" t="s">
        <v>197</v>
      </c>
      <c r="G3">
        <v>2</v>
      </c>
      <c r="H3">
        <v>2</v>
      </c>
      <c r="I3">
        <f t="shared" si="0"/>
        <v>4</v>
      </c>
      <c r="J3" t="s">
        <v>4</v>
      </c>
      <c r="M3" s="3" t="s">
        <v>196</v>
      </c>
    </row>
    <row r="4" spans="1:13">
      <c r="A4" s="2" t="s">
        <v>75</v>
      </c>
      <c r="B4" s="2" t="s">
        <v>119</v>
      </c>
      <c r="C4" s="2" t="s">
        <v>68</v>
      </c>
      <c r="D4" s="2" t="s">
        <v>136</v>
      </c>
      <c r="E4" s="2" t="s">
        <v>135</v>
      </c>
      <c r="F4" s="2" t="s">
        <v>81</v>
      </c>
      <c r="G4">
        <v>1</v>
      </c>
      <c r="H4">
        <v>2</v>
      </c>
      <c r="I4">
        <f t="shared" si="0"/>
        <v>2</v>
      </c>
      <c r="J4" t="s">
        <v>79</v>
      </c>
      <c r="M4" s="3" t="s">
        <v>80</v>
      </c>
    </row>
    <row r="5" spans="1:13">
      <c r="A5" s="2" t="s">
        <v>14</v>
      </c>
      <c r="B5" s="2" t="s">
        <v>119</v>
      </c>
      <c r="C5" s="2" t="s">
        <v>170</v>
      </c>
      <c r="D5" s="2" t="s">
        <v>154</v>
      </c>
      <c r="E5" s="2" t="s">
        <v>141</v>
      </c>
      <c r="F5" s="2" t="s">
        <v>102</v>
      </c>
      <c r="G5">
        <v>1</v>
      </c>
      <c r="H5">
        <v>5</v>
      </c>
      <c r="I5">
        <f t="shared" si="0"/>
        <v>5</v>
      </c>
      <c r="J5" t="s">
        <v>63</v>
      </c>
      <c r="M5" s="3" t="s">
        <v>103</v>
      </c>
    </row>
    <row r="6" spans="1:13">
      <c r="A6" s="2" t="s">
        <v>11</v>
      </c>
      <c r="B6" s="2" t="s">
        <v>119</v>
      </c>
      <c r="C6" s="2" t="s">
        <v>170</v>
      </c>
      <c r="D6" s="2" t="s">
        <v>154</v>
      </c>
      <c r="E6" s="2" t="s">
        <v>138</v>
      </c>
      <c r="F6" s="2" t="s">
        <v>96</v>
      </c>
      <c r="G6">
        <v>1</v>
      </c>
      <c r="H6">
        <v>5</v>
      </c>
      <c r="I6">
        <f t="shared" si="0"/>
        <v>5</v>
      </c>
      <c r="J6" t="s">
        <v>64</v>
      </c>
      <c r="M6" s="3" t="s">
        <v>97</v>
      </c>
    </row>
    <row r="7" spans="1:13">
      <c r="A7" s="2" t="s">
        <v>12</v>
      </c>
      <c r="B7" s="2" t="s">
        <v>119</v>
      </c>
      <c r="C7" s="2" t="s">
        <v>170</v>
      </c>
      <c r="D7" s="2" t="s">
        <v>154</v>
      </c>
      <c r="E7" s="2" t="s">
        <v>139</v>
      </c>
      <c r="F7" s="2" t="s">
        <v>98</v>
      </c>
      <c r="G7">
        <v>1</v>
      </c>
      <c r="H7">
        <v>5</v>
      </c>
      <c r="I7">
        <f t="shared" si="0"/>
        <v>5</v>
      </c>
      <c r="J7" t="s">
        <v>65</v>
      </c>
      <c r="M7" s="3" t="s">
        <v>99</v>
      </c>
    </row>
    <row r="8" spans="1:13">
      <c r="A8" s="2" t="s">
        <v>222</v>
      </c>
      <c r="B8" s="2" t="s">
        <v>119</v>
      </c>
      <c r="D8" s="9" t="s">
        <v>154</v>
      </c>
      <c r="E8" t="s">
        <v>153</v>
      </c>
      <c r="F8" t="s">
        <v>107</v>
      </c>
      <c r="G8">
        <v>2</v>
      </c>
      <c r="H8">
        <v>20</v>
      </c>
      <c r="I8">
        <f t="shared" si="0"/>
        <v>40</v>
      </c>
      <c r="J8" t="s">
        <v>70</v>
      </c>
      <c r="M8" s="3" t="s">
        <v>108</v>
      </c>
    </row>
    <row r="9" spans="1:13">
      <c r="A9" s="2" t="s">
        <v>16</v>
      </c>
      <c r="B9" s="2" t="s">
        <v>119</v>
      </c>
      <c r="C9" s="2" t="s">
        <v>170</v>
      </c>
      <c r="D9" t="s">
        <v>154</v>
      </c>
      <c r="E9" t="s">
        <v>220</v>
      </c>
      <c r="F9" t="s">
        <v>221</v>
      </c>
      <c r="G9">
        <v>1</v>
      </c>
      <c r="H9">
        <v>8</v>
      </c>
      <c r="I9">
        <f t="shared" si="0"/>
        <v>8</v>
      </c>
      <c r="J9" t="s">
        <v>218</v>
      </c>
      <c r="M9" s="3" t="s">
        <v>219</v>
      </c>
    </row>
    <row r="10" spans="1:13">
      <c r="A10" s="2" t="s">
        <v>15</v>
      </c>
      <c r="B10" s="2" t="s">
        <v>119</v>
      </c>
      <c r="C10" s="2" t="s">
        <v>170</v>
      </c>
      <c r="D10" t="s">
        <v>154</v>
      </c>
      <c r="E10" t="s">
        <v>142</v>
      </c>
      <c r="F10" t="s">
        <v>104</v>
      </c>
      <c r="G10">
        <v>2</v>
      </c>
      <c r="H10">
        <v>5</v>
      </c>
      <c r="I10">
        <f t="shared" si="0"/>
        <v>10</v>
      </c>
      <c r="J10" t="s">
        <v>106</v>
      </c>
      <c r="M10" s="3" t="s">
        <v>105</v>
      </c>
    </row>
    <row r="11" spans="1:13">
      <c r="A11" s="2" t="s">
        <v>10</v>
      </c>
      <c r="B11" s="2" t="s">
        <v>119</v>
      </c>
      <c r="C11" s="2" t="s">
        <v>169</v>
      </c>
      <c r="D11" s="2" t="s">
        <v>154</v>
      </c>
      <c r="E11" s="2" t="s">
        <v>190</v>
      </c>
      <c r="F11" s="2" t="s">
        <v>94</v>
      </c>
      <c r="G11">
        <v>1</v>
      </c>
      <c r="H11">
        <v>64</v>
      </c>
      <c r="I11">
        <f t="shared" si="0"/>
        <v>64</v>
      </c>
      <c r="J11" t="s">
        <v>189</v>
      </c>
      <c r="M11" s="3" t="s">
        <v>95</v>
      </c>
    </row>
    <row r="12" spans="1:13">
      <c r="A12" t="s">
        <v>184</v>
      </c>
      <c r="B12" s="2" t="s">
        <v>119</v>
      </c>
      <c r="C12" s="2" t="s">
        <v>67</v>
      </c>
      <c r="D12" s="2" t="s">
        <v>131</v>
      </c>
      <c r="E12" s="2" t="s">
        <v>132</v>
      </c>
      <c r="F12" s="2" t="s">
        <v>55</v>
      </c>
      <c r="G12">
        <v>13</v>
      </c>
      <c r="H12">
        <v>2</v>
      </c>
      <c r="I12">
        <f t="shared" si="0"/>
        <v>26</v>
      </c>
      <c r="J12" t="s">
        <v>9</v>
      </c>
      <c r="M12" s="3" t="s">
        <v>56</v>
      </c>
    </row>
    <row r="13" spans="1:13">
      <c r="A13" t="s">
        <v>182</v>
      </c>
      <c r="B13" s="2" t="s">
        <v>119</v>
      </c>
      <c r="C13" s="2" t="s">
        <v>67</v>
      </c>
      <c r="D13" s="2" t="s">
        <v>131</v>
      </c>
      <c r="E13" s="2" t="s">
        <v>188</v>
      </c>
      <c r="F13" s="2" t="s">
        <v>187</v>
      </c>
      <c r="G13">
        <v>2</v>
      </c>
      <c r="H13">
        <v>2</v>
      </c>
      <c r="I13">
        <f t="shared" si="0"/>
        <v>4</v>
      </c>
      <c r="J13" t="s">
        <v>183</v>
      </c>
      <c r="M13" s="3" t="s">
        <v>186</v>
      </c>
    </row>
    <row r="14" spans="1:13">
      <c r="A14" t="s">
        <v>216</v>
      </c>
      <c r="B14" s="2" t="s">
        <v>119</v>
      </c>
      <c r="C14" s="2" t="s">
        <v>67</v>
      </c>
      <c r="D14" s="2" t="s">
        <v>131</v>
      </c>
      <c r="E14" s="2" t="s">
        <v>130</v>
      </c>
      <c r="F14" s="2" t="s">
        <v>53</v>
      </c>
      <c r="G14">
        <v>26</v>
      </c>
      <c r="H14">
        <v>2</v>
      </c>
      <c r="I14">
        <f t="shared" si="0"/>
        <v>52</v>
      </c>
      <c r="J14" t="s">
        <v>8</v>
      </c>
      <c r="M14" s="3" t="s">
        <v>54</v>
      </c>
    </row>
    <row r="15" spans="1:13">
      <c r="A15" s="2" t="s">
        <v>23</v>
      </c>
      <c r="B15" s="2" t="s">
        <v>119</v>
      </c>
      <c r="C15" s="2" t="s">
        <v>215</v>
      </c>
      <c r="D15" s="2" t="s">
        <v>127</v>
      </c>
      <c r="E15" s="2" t="s">
        <v>214</v>
      </c>
      <c r="F15" s="2" t="s">
        <v>213</v>
      </c>
      <c r="G15">
        <v>4</v>
      </c>
      <c r="H15">
        <v>2</v>
      </c>
      <c r="I15">
        <f t="shared" si="0"/>
        <v>8</v>
      </c>
      <c r="J15" t="s">
        <v>24</v>
      </c>
      <c r="M15" s="3" t="s">
        <v>217</v>
      </c>
    </row>
    <row r="16" spans="1:13">
      <c r="A16" s="2" t="s">
        <v>185</v>
      </c>
      <c r="B16" s="2" t="s">
        <v>119</v>
      </c>
      <c r="C16" s="2" t="s">
        <v>67</v>
      </c>
      <c r="D16" s="2" t="s">
        <v>127</v>
      </c>
      <c r="E16" s="2" t="s">
        <v>126</v>
      </c>
      <c r="F16" s="2" t="s">
        <v>51</v>
      </c>
      <c r="G16">
        <v>8</v>
      </c>
      <c r="H16">
        <v>2</v>
      </c>
      <c r="I16">
        <f t="shared" si="0"/>
        <v>16</v>
      </c>
      <c r="J16" t="s">
        <v>5</v>
      </c>
      <c r="M16" s="3" t="s">
        <v>52</v>
      </c>
    </row>
    <row r="17" spans="1:13">
      <c r="A17" s="2" t="s">
        <v>17</v>
      </c>
      <c r="B17" s="2" t="s">
        <v>119</v>
      </c>
      <c r="D17" s="2" t="s">
        <v>143</v>
      </c>
      <c r="E17" s="2" t="s">
        <v>211</v>
      </c>
      <c r="F17" s="2" t="s">
        <v>210</v>
      </c>
      <c r="G17">
        <v>1</v>
      </c>
      <c r="H17">
        <v>2</v>
      </c>
      <c r="I17">
        <f t="shared" si="0"/>
        <v>2</v>
      </c>
      <c r="J17" t="s">
        <v>224</v>
      </c>
      <c r="M17" s="3" t="s">
        <v>223</v>
      </c>
    </row>
    <row r="18" spans="1:13" ht="30">
      <c r="A18" s="2" t="s">
        <v>76</v>
      </c>
      <c r="B18" s="2" t="s">
        <v>119</v>
      </c>
      <c r="C18" s="2" t="s">
        <v>68</v>
      </c>
      <c r="D18" s="2" t="s">
        <v>134</v>
      </c>
      <c r="E18" s="2" t="s">
        <v>133</v>
      </c>
      <c r="F18" s="2" t="s">
        <v>78</v>
      </c>
      <c r="G18">
        <v>1</v>
      </c>
      <c r="H18">
        <v>2</v>
      </c>
      <c r="I18">
        <f t="shared" si="0"/>
        <v>2</v>
      </c>
      <c r="J18" t="s">
        <v>74</v>
      </c>
      <c r="M18" s="3" t="s">
        <v>77</v>
      </c>
    </row>
    <row r="19" spans="1:13">
      <c r="A19" t="s">
        <v>6</v>
      </c>
      <c r="B19" s="2" t="s">
        <v>119</v>
      </c>
      <c r="C19" s="2" t="s">
        <v>67</v>
      </c>
      <c r="D19" t="s">
        <v>129</v>
      </c>
      <c r="E19" t="s">
        <v>128</v>
      </c>
      <c r="F19" t="s">
        <v>73</v>
      </c>
      <c r="G19">
        <v>17</v>
      </c>
      <c r="H19">
        <v>2</v>
      </c>
      <c r="I19">
        <f t="shared" si="0"/>
        <v>34</v>
      </c>
      <c r="J19" t="s">
        <v>7</v>
      </c>
      <c r="K19" t="s">
        <v>71</v>
      </c>
      <c r="M19" s="3" t="s">
        <v>72</v>
      </c>
    </row>
    <row r="20" spans="1:13">
      <c r="A20" s="2" t="s">
        <v>20</v>
      </c>
      <c r="B20" s="2" t="s">
        <v>168</v>
      </c>
      <c r="D20" t="s">
        <v>146</v>
      </c>
      <c r="E20" t="s">
        <v>147</v>
      </c>
      <c r="F20" t="s">
        <v>115</v>
      </c>
      <c r="G20">
        <v>1</v>
      </c>
      <c r="H20">
        <v>24</v>
      </c>
      <c r="I20">
        <f t="shared" si="0"/>
        <v>24</v>
      </c>
      <c r="J20" t="s">
        <v>57</v>
      </c>
      <c r="M20" s="3" t="s">
        <v>114</v>
      </c>
    </row>
    <row r="21" spans="1:13">
      <c r="A21" s="2" t="s">
        <v>19</v>
      </c>
      <c r="B21" s="2" t="s">
        <v>168</v>
      </c>
      <c r="D21" t="s">
        <v>146</v>
      </c>
      <c r="E21" t="s">
        <v>145</v>
      </c>
      <c r="F21" t="s">
        <v>113</v>
      </c>
      <c r="G21">
        <v>1</v>
      </c>
      <c r="H21">
        <v>8</v>
      </c>
      <c r="I21">
        <f t="shared" si="0"/>
        <v>8</v>
      </c>
      <c r="J21" t="s">
        <v>174</v>
      </c>
      <c r="M21" s="3" t="s">
        <v>112</v>
      </c>
    </row>
    <row r="22" spans="1:13">
      <c r="A22" s="2" t="s">
        <v>21</v>
      </c>
      <c r="B22" s="2" t="s">
        <v>168</v>
      </c>
      <c r="D22" t="s">
        <v>146</v>
      </c>
      <c r="E22" t="s">
        <v>195</v>
      </c>
      <c r="F22" t="s">
        <v>194</v>
      </c>
      <c r="G22">
        <v>1</v>
      </c>
      <c r="H22">
        <v>20</v>
      </c>
      <c r="I22">
        <f t="shared" si="0"/>
        <v>20</v>
      </c>
      <c r="J22" t="s">
        <v>175</v>
      </c>
      <c r="M22" s="3" t="s">
        <v>193</v>
      </c>
    </row>
    <row r="23" spans="1:13">
      <c r="A23" s="2" t="s">
        <v>87</v>
      </c>
      <c r="B23" s="2" t="s">
        <v>168</v>
      </c>
      <c r="D23" t="s">
        <v>146</v>
      </c>
      <c r="E23" t="s">
        <v>206</v>
      </c>
      <c r="F23" t="s">
        <v>205</v>
      </c>
      <c r="G23">
        <v>5</v>
      </c>
      <c r="H23">
        <v>3</v>
      </c>
      <c r="I23">
        <f t="shared" si="0"/>
        <v>15</v>
      </c>
      <c r="J23" t="s">
        <v>59</v>
      </c>
      <c r="M23" s="3" t="s">
        <v>199</v>
      </c>
    </row>
    <row r="24" spans="1:13">
      <c r="A24" s="2" t="s">
        <v>27</v>
      </c>
      <c r="B24" s="2" t="s">
        <v>119</v>
      </c>
      <c r="C24" s="2" t="s">
        <v>67</v>
      </c>
      <c r="D24" t="s">
        <v>149</v>
      </c>
      <c r="E24" t="s">
        <v>150</v>
      </c>
      <c r="F24" t="s">
        <v>85</v>
      </c>
      <c r="G24">
        <v>6</v>
      </c>
      <c r="H24">
        <v>2</v>
      </c>
      <c r="I24">
        <f t="shared" si="0"/>
        <v>12</v>
      </c>
      <c r="J24" t="s">
        <v>28</v>
      </c>
      <c r="M24" s="3" t="s">
        <v>86</v>
      </c>
    </row>
    <row r="25" spans="1:13">
      <c r="A25" s="2" t="s">
        <v>29</v>
      </c>
      <c r="B25" s="2" t="s">
        <v>119</v>
      </c>
      <c r="C25" s="2" t="s">
        <v>67</v>
      </c>
      <c r="D25" t="s">
        <v>149</v>
      </c>
      <c r="E25" t="s">
        <v>151</v>
      </c>
      <c r="F25" t="s">
        <v>89</v>
      </c>
      <c r="G25">
        <v>2</v>
      </c>
      <c r="H25">
        <v>2</v>
      </c>
      <c r="I25">
        <f t="shared" si="0"/>
        <v>4</v>
      </c>
      <c r="J25" t="s">
        <v>30</v>
      </c>
      <c r="M25" s="3" t="s">
        <v>90</v>
      </c>
    </row>
    <row r="26" spans="1:13">
      <c r="A26" s="2" t="s">
        <v>25</v>
      </c>
      <c r="B26" s="2" t="s">
        <v>119</v>
      </c>
      <c r="C26" s="2" t="s">
        <v>67</v>
      </c>
      <c r="D26" t="s">
        <v>149</v>
      </c>
      <c r="E26" t="s">
        <v>148</v>
      </c>
      <c r="F26" t="s">
        <v>91</v>
      </c>
      <c r="G26">
        <v>2</v>
      </c>
      <c r="H26">
        <v>2</v>
      </c>
      <c r="I26">
        <f t="shared" si="0"/>
        <v>4</v>
      </c>
      <c r="J26" t="s">
        <v>26</v>
      </c>
      <c r="M26" s="3" t="s">
        <v>92</v>
      </c>
    </row>
    <row r="27" spans="1:13">
      <c r="A27" s="2" t="s">
        <v>180</v>
      </c>
      <c r="B27" s="2" t="s">
        <v>119</v>
      </c>
      <c r="C27" s="2" t="s">
        <v>67</v>
      </c>
      <c r="D27" t="s">
        <v>149</v>
      </c>
      <c r="E27" t="s">
        <v>148</v>
      </c>
      <c r="F27" t="s">
        <v>177</v>
      </c>
      <c r="G27">
        <v>1</v>
      </c>
      <c r="H27">
        <v>2</v>
      </c>
      <c r="I27">
        <f t="shared" si="0"/>
        <v>2</v>
      </c>
      <c r="J27" t="s">
        <v>178</v>
      </c>
      <c r="M27" s="3" t="s">
        <v>179</v>
      </c>
    </row>
    <row r="28" spans="1:13" ht="30">
      <c r="A28" s="2" t="s">
        <v>31</v>
      </c>
      <c r="B28" s="2" t="s">
        <v>119</v>
      </c>
      <c r="C28" s="2" t="s">
        <v>67</v>
      </c>
      <c r="D28" t="s">
        <v>149</v>
      </c>
      <c r="E28" t="s">
        <v>152</v>
      </c>
      <c r="F28" t="s">
        <v>84</v>
      </c>
      <c r="G28">
        <v>18</v>
      </c>
      <c r="H28">
        <v>2</v>
      </c>
      <c r="I28">
        <f t="shared" si="0"/>
        <v>36</v>
      </c>
      <c r="J28" t="s">
        <v>32</v>
      </c>
      <c r="M28" s="3" t="s">
        <v>83</v>
      </c>
    </row>
    <row r="29" spans="1:13">
      <c r="A29" s="2" t="s">
        <v>18</v>
      </c>
      <c r="B29" s="2" t="s">
        <v>168</v>
      </c>
      <c r="D29" s="2" t="s">
        <v>109</v>
      </c>
      <c r="E29" s="2" t="s">
        <v>144</v>
      </c>
      <c r="F29" s="2" t="s">
        <v>110</v>
      </c>
      <c r="G29">
        <v>1</v>
      </c>
      <c r="H29">
        <v>30</v>
      </c>
      <c r="I29">
        <f t="shared" si="0"/>
        <v>30</v>
      </c>
      <c r="J29" t="s">
        <v>58</v>
      </c>
      <c r="M29" s="3" t="s">
        <v>111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5" x14ac:dyDescent="0"/>
  <cols>
    <col min="1" max="1" width="19.6640625" customWidth="1"/>
  </cols>
  <sheetData>
    <row r="1" spans="1:4">
      <c r="A1" t="s">
        <v>269</v>
      </c>
    </row>
    <row r="2" spans="1:4">
      <c r="B2" t="s">
        <v>322</v>
      </c>
      <c r="C2" t="s">
        <v>323</v>
      </c>
    </row>
    <row r="3" spans="1:4">
      <c r="A3" s="1" t="s">
        <v>277</v>
      </c>
    </row>
    <row r="4" spans="1:4">
      <c r="A4" t="s">
        <v>270</v>
      </c>
      <c r="D4">
        <v>0.69</v>
      </c>
    </row>
    <row r="5" spans="1:4">
      <c r="A5" t="s">
        <v>271</v>
      </c>
      <c r="B5">
        <v>13</v>
      </c>
      <c r="C5">
        <v>0.09</v>
      </c>
      <c r="D5" s="10">
        <f>B5*C5</f>
        <v>1.17</v>
      </c>
    </row>
    <row r="6" spans="1:4">
      <c r="A6" t="s">
        <v>272</v>
      </c>
      <c r="D6" s="10">
        <v>1</v>
      </c>
    </row>
    <row r="7" spans="1:4">
      <c r="A7" t="s">
        <v>273</v>
      </c>
      <c r="B7">
        <v>13</v>
      </c>
      <c r="C7" s="26">
        <v>1.1000000000000001</v>
      </c>
      <c r="D7" s="10">
        <f>B7*C7</f>
        <v>14.3</v>
      </c>
    </row>
    <row r="8" spans="1:4">
      <c r="A8" t="s">
        <v>274</v>
      </c>
      <c r="B8">
        <v>20</v>
      </c>
      <c r="C8">
        <v>10</v>
      </c>
      <c r="D8" s="10">
        <f>B8/C8</f>
        <v>2</v>
      </c>
    </row>
    <row r="10" spans="1:4">
      <c r="A10" t="s">
        <v>41</v>
      </c>
      <c r="D10">
        <f>SUM(D4:D8)</f>
        <v>19.16</v>
      </c>
    </row>
    <row r="12" spans="1:4">
      <c r="A12" s="1" t="s">
        <v>319</v>
      </c>
    </row>
    <row r="13" spans="1:4">
      <c r="A13" t="s">
        <v>320</v>
      </c>
      <c r="D13" s="10">
        <v>1.51</v>
      </c>
    </row>
    <row r="14" spans="1:4">
      <c r="A14" t="s">
        <v>321</v>
      </c>
      <c r="D14" s="10">
        <v>1.1000000000000001</v>
      </c>
    </row>
    <row r="15" spans="1:4">
      <c r="A15" t="s">
        <v>274</v>
      </c>
      <c r="B15">
        <v>20</v>
      </c>
      <c r="C15">
        <v>20</v>
      </c>
      <c r="D15" s="10">
        <f>B15/C15</f>
        <v>1</v>
      </c>
    </row>
    <row r="16" spans="1:4">
      <c r="A16" t="s">
        <v>41</v>
      </c>
      <c r="D16" s="10">
        <f>SUM(D13:D15)</f>
        <v>3.6100000000000003</v>
      </c>
    </row>
    <row r="17" spans="1:4">
      <c r="D17" s="10"/>
    </row>
    <row r="18" spans="1:4">
      <c r="A18" t="s">
        <v>41</v>
      </c>
      <c r="D18" s="10">
        <f>D10+D16</f>
        <v>22.77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BOM</vt:lpstr>
      <vt:lpstr>Stats</vt:lpstr>
      <vt:lpstr>Kickstarter</vt:lpstr>
      <vt:lpstr>Pledges</vt:lpstr>
      <vt:lpstr>Manufacturing</vt:lpstr>
      <vt:lpstr>Place</vt:lpstr>
      <vt:lpstr>Digikey</vt:lpstr>
      <vt:lpstr>Cable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2014-02-26T00:55:10Z</cp:lastPrinted>
  <dcterms:created xsi:type="dcterms:W3CDTF">2013-11-21T21:13:40Z</dcterms:created>
  <dcterms:modified xsi:type="dcterms:W3CDTF">2014-12-03T20:25:00Z</dcterms:modified>
</cp:coreProperties>
</file>